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activeX/activeX13.xml" ContentType="application/vnd.ms-office.activeX+xml"/>
  <Override PartName="/xl/activeX/activeX13.bin" ContentType="application/vnd.ms-office.activeX"/>
  <Override PartName="/xl/activeX/activeX14.xml" ContentType="application/vnd.ms-office.activeX+xml"/>
  <Override PartName="/xl/activeX/activeX14.bin" ContentType="application/vnd.ms-office.activeX"/>
  <Override PartName="/xl/activeX/activeX15.xml" ContentType="application/vnd.ms-office.activeX+xml"/>
  <Override PartName="/xl/activeX/activeX15.bin" ContentType="application/vnd.ms-office.activeX"/>
  <Override PartName="/xl/activeX/activeX16.xml" ContentType="application/vnd.ms-office.activeX+xml"/>
  <Override PartName="/xl/activeX/activeX16.bin" ContentType="application/vnd.ms-office.activeX"/>
  <Override PartName="/xl/activeX/activeX17.xml" ContentType="application/vnd.ms-office.activeX+xml"/>
  <Override PartName="/xl/activeX/activeX17.bin" ContentType="application/vnd.ms-office.activeX"/>
  <Override PartName="/xl/activeX/activeX18.xml" ContentType="application/vnd.ms-office.activeX+xml"/>
  <Override PartName="/xl/activeX/activeX18.bin" ContentType="application/vnd.ms-office.activeX"/>
  <Override PartName="/xl/activeX/activeX19.xml" ContentType="application/vnd.ms-office.activeX+xml"/>
  <Override PartName="/xl/activeX/activeX19.bin" ContentType="application/vnd.ms-office.activeX"/>
  <Override PartName="/xl/activeX/activeX20.xml" ContentType="application/vnd.ms-office.activeX+xml"/>
  <Override PartName="/xl/activeX/activeX20.bin" ContentType="application/vnd.ms-office.activeX"/>
  <Override PartName="/xl/activeX/activeX21.xml" ContentType="application/vnd.ms-office.activeX+xml"/>
  <Override PartName="/xl/activeX/activeX21.bin" ContentType="application/vnd.ms-office.activeX"/>
  <Override PartName="/xl/activeX/activeX22.xml" ContentType="application/vnd.ms-office.activeX+xml"/>
  <Override PartName="/xl/activeX/activeX22.bin" ContentType="application/vnd.ms-office.activeX"/>
  <Override PartName="/xl/activeX/activeX23.xml" ContentType="application/vnd.ms-office.activeX+xml"/>
  <Override PartName="/xl/activeX/activeX23.bin" ContentType="application/vnd.ms-office.activeX"/>
  <Override PartName="/xl/activeX/activeX24.xml" ContentType="application/vnd.ms-office.activeX+xml"/>
  <Override PartName="/xl/activeX/activeX24.bin" ContentType="application/vnd.ms-office.activeX"/>
  <Override PartName="/xl/activeX/activeX25.xml" ContentType="application/vnd.ms-office.activeX+xml"/>
  <Override PartName="/xl/activeX/activeX25.bin" ContentType="application/vnd.ms-office.activeX"/>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activeX/activeX26.xml" ContentType="application/vnd.ms-office.activeX+xml"/>
  <Override PartName="/xl/activeX/activeX26.bin" ContentType="application/vnd.ms-office.activeX"/>
  <Override PartName="/xl/comments2.xml" ContentType="application/vnd.openxmlformats-officedocument.spreadsheetml.comments+xml"/>
  <Override PartName="/xl/drawings/drawing3.xml" ContentType="application/vnd.openxmlformats-officedocument.drawing+xml"/>
  <Override PartName="/xl/activeX/activeX27.xml" ContentType="application/vnd.ms-office.activeX+xml"/>
  <Override PartName="/xl/activeX/activeX27.bin" ContentType="application/vnd.ms-office.activeX"/>
  <Override PartName="/xl/comments3.xml" ContentType="application/vnd.openxmlformats-officedocument.spreadsheetml.comments+xml"/>
  <Override PartName="/xl/drawings/drawing4.xml" ContentType="application/vnd.openxmlformats-officedocument.drawing+xml"/>
  <Override PartName="/xl/activeX/activeX28.xml" ContentType="application/vnd.ms-office.activeX+xml"/>
  <Override PartName="/xl/activeX/activeX28.bin" ContentType="application/vnd.ms-office.activeX"/>
  <Override PartName="/xl/activeX/activeX29.xml" ContentType="application/vnd.ms-office.activeX+xml"/>
  <Override PartName="/xl/activeX/activeX29.bin" ContentType="application/vnd.ms-office.activeX"/>
  <Override PartName="/xl/activeX/activeX30.xml" ContentType="application/vnd.ms-office.activeX+xml"/>
  <Override PartName="/xl/activeX/activeX30.bin" ContentType="application/vnd.ms-office.activeX"/>
  <Override PartName="/xl/activeX/activeX31.xml" ContentType="application/vnd.ms-office.activeX+xml"/>
  <Override PartName="/xl/activeX/activeX31.bin" ContentType="application/vnd.ms-office.activeX"/>
  <Override PartName="/xl/comments4.xml" ContentType="application/vnd.openxmlformats-officedocument.spreadsheetml.comments+xml"/>
  <Override PartName="/xl/drawings/drawing5.xml" ContentType="application/vnd.openxmlformats-officedocument.drawing+xml"/>
  <Override PartName="/xl/activeX/activeX32.xml" ContentType="application/vnd.ms-office.activeX+xml"/>
  <Override PartName="/xl/activeX/activeX32.bin" ContentType="application/vnd.ms-office.activeX"/>
  <Override PartName="/xl/comments5.xml" ContentType="application/vnd.openxmlformats-officedocument.spreadsheetml.comments+xml"/>
  <Override PartName="/xl/drawings/drawing6.xml" ContentType="application/vnd.openxmlformats-officedocument.drawing+xml"/>
  <Override PartName="/xl/activeX/activeX33.xml" ContentType="application/vnd.ms-office.activeX+xml"/>
  <Override PartName="/xl/activeX/activeX33.bin" ContentType="application/vnd.ms-office.activeX"/>
  <Override PartName="/xl/comments6.xml" ContentType="application/vnd.openxmlformats-officedocument.spreadsheetml.comments+xml"/>
  <Override PartName="/xl/drawings/drawing7.xml" ContentType="application/vnd.openxmlformats-officedocument.drawing+xml"/>
  <Override PartName="/xl/activeX/activeX34.xml" ContentType="application/vnd.ms-office.activeX+xml"/>
  <Override PartName="/xl/activeX/activeX34.bin" ContentType="application/vnd.ms-office.activeX"/>
  <Override PartName="/xl/comments7.xml" ContentType="application/vnd.openxmlformats-officedocument.spreadsheetml.comments+xml"/>
  <Override PartName="/xl/drawings/drawing8.xml" ContentType="application/vnd.openxmlformats-officedocument.drawing+xml"/>
  <Override PartName="/xl/activeX/activeX35.xml" ContentType="application/vnd.ms-office.activeX+xml"/>
  <Override PartName="/xl/activeX/activeX35.bin" ContentType="application/vnd.ms-office.activeX"/>
  <Override PartName="/xl/comments8.xml" ContentType="application/vnd.openxmlformats-officedocument.spreadsheetml.comments+xml"/>
  <Override PartName="/xl/drawings/drawing9.xml" ContentType="application/vnd.openxmlformats-officedocument.drawing+xml"/>
  <Override PartName="/xl/activeX/activeX36.xml" ContentType="application/vnd.ms-office.activeX+xml"/>
  <Override PartName="/xl/activeX/activeX36.bin" ContentType="application/vnd.ms-office.activeX"/>
  <Override PartName="/xl/comments9.xml" ContentType="application/vnd.openxmlformats-officedocument.spreadsheetml.comments+xml"/>
  <Override PartName="/xl/drawings/drawing10.xml" ContentType="application/vnd.openxmlformats-officedocument.drawing+xml"/>
  <Override PartName="/xl/activeX/activeX37.xml" ContentType="application/vnd.ms-office.activeX+xml"/>
  <Override PartName="/xl/activeX/activeX37.bin" ContentType="application/vnd.ms-office.activeX"/>
  <Override PartName="/xl/comments10.xml" ContentType="application/vnd.openxmlformats-officedocument.spreadsheetml.comments+xml"/>
  <Override PartName="/xl/drawings/drawing11.xml" ContentType="application/vnd.openxmlformats-officedocument.drawing+xml"/>
  <Override PartName="/xl/activeX/activeX38.xml" ContentType="application/vnd.ms-office.activeX+xml"/>
  <Override PartName="/xl/activeX/activeX38.bin" ContentType="application/vnd.ms-office.activeX"/>
  <Override PartName="/xl/comments11.xml" ContentType="application/vnd.openxmlformats-officedocument.spreadsheetml.comments+xml"/>
  <Override PartName="/xl/drawings/drawing12.xml" ContentType="application/vnd.openxmlformats-officedocument.drawing+xml"/>
  <Override PartName="/xl/activeX/activeX39.xml" ContentType="application/vnd.ms-office.activeX+xml"/>
  <Override PartName="/xl/activeX/activeX39.bin" ContentType="application/vnd.ms-office.activeX"/>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charts/chart2.xml" ContentType="application/vnd.openxmlformats-officedocument.drawingml.chart+xml"/>
  <Override PartName="/xl/charts/chart3.xml" ContentType="application/vnd.openxmlformats-officedocument.drawingml.chart+xml"/>
  <Override PartName="/xl/drawings/drawing14.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15.xml" ContentType="application/vnd.openxmlformats-officedocument.drawing+xml"/>
  <Override PartName="/xl/activeX/activeX40.xml" ContentType="application/vnd.ms-office.activeX+xml"/>
  <Override PartName="/xl/activeX/activeX40.bin" ContentType="application/vnd.ms-office.activeX"/>
  <Override PartName="/xl/charts/chart9.xml" ContentType="application/vnd.openxmlformats-officedocument.drawingml.chart+xml"/>
  <Override PartName="/xl/charts/chart10.xml" ContentType="application/vnd.openxmlformats-officedocument.drawingml.chart+xml"/>
  <Override PartName="/xl/drawings/drawing16.xml" ContentType="application/vnd.openxmlformats-officedocument.drawingml.chartshapes+xml"/>
  <Override PartName="/xl/charts/chart11.xml" ContentType="application/vnd.openxmlformats-officedocument.drawingml.chart+xml"/>
  <Override PartName="/xl/charts/chart12.xml" ContentType="application/vnd.openxmlformats-officedocument.drawingml.chart+xml"/>
  <Override PartName="/xl/drawings/drawing17.xml" ContentType="application/vnd.openxmlformats-officedocument.drawing+xml"/>
  <Override PartName="/xl/activeX/activeX41.xml" ContentType="application/vnd.ms-office.activeX+xml"/>
  <Override PartName="/xl/activeX/activeX41.bin" ContentType="application/vnd.ms-office.activeX"/>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School\Documents\S7_electronique_avance\03_CONCEPTION_NOTES\"/>
    </mc:Choice>
  </mc:AlternateContent>
  <xr:revisionPtr revIDLastSave="0" documentId="13_ncr:1_{8507BC05-8525-4558-BA62-7439E241070B}" xr6:coauthVersionLast="47" xr6:coauthVersionMax="47" xr10:uidLastSave="{00000000-0000-0000-0000-000000000000}"/>
  <workbookProtection workbookPassword="CF7D" lockStructure="1"/>
  <bookViews>
    <workbookView xWindow="30612" yWindow="-108" windowWidth="30936" windowHeight="16896" tabRatio="732" activeTab="3" xr2:uid="{00000000-000D-0000-FFFF-FFFF00000000}"/>
  </bookViews>
  <sheets>
    <sheet name="Summary" sheetId="3" r:id="rId1"/>
    <sheet name="CLOCK" sheetId="48" r:id="rId2"/>
    <sheet name="LOGIC" sheetId="4" r:id="rId3"/>
    <sheet name="IO" sheetId="50" r:id="rId4"/>
    <sheet name="BRAM" sheetId="1" r:id="rId5"/>
    <sheet name="DSP" sheetId="51" r:id="rId6"/>
    <sheet name="MULT" sheetId="6" state="hidden" r:id="rId7"/>
    <sheet name="DCM" sheetId="7" r:id="rId8"/>
    <sheet name="PLL" sheetId="52" r:id="rId9"/>
    <sheet name="GTP" sheetId="53" state="hidden" r:id="rId10"/>
    <sheet name="PCIE" sheetId="54" state="hidden" r:id="rId11"/>
    <sheet name="MCB" sheetId="55" r:id="rId12"/>
    <sheet name="Data" sheetId="11" state="hidden" r:id="rId13"/>
    <sheet name="Test" sheetId="14" state="hidden" r:id="rId14"/>
    <sheet name="User" sheetId="49" r:id="rId15"/>
    <sheet name="Graphs" sheetId="46" r:id="rId16"/>
    <sheet name="Release" sheetId="47" r:id="rId17"/>
  </sheets>
  <definedNames>
    <definedName name="AICC">Summary!$Q$16</definedName>
    <definedName name="AICCPLL">Summary!$Q$17</definedName>
    <definedName name="AICCPLLQ">Summary!$R$17</definedName>
    <definedName name="AICCQ">Summary!$R$16</definedName>
    <definedName name="AICCRX">Summary!$Q$16</definedName>
    <definedName name="AICCRXQ">Summary!$R$16</definedName>
    <definedName name="AIRFLOW">Summary!$C$21</definedName>
    <definedName name="AITTRX">Summary!$Q$19</definedName>
    <definedName name="AITTTX">Summary!$Q$18</definedName>
    <definedName name="AMBIENT_TEMP">Summary!$C$19</definedName>
    <definedName name="AVCC">Summary!$O$16</definedName>
    <definedName name="AVCCPLL">Summary!$O$17</definedName>
    <definedName name="AVCCPLLQ">GTP!$F$32</definedName>
    <definedName name="AVCCPLLQ_MAX">GTP!$G$32</definedName>
    <definedName name="AVCCQ">GTP!$F$31</definedName>
    <definedName name="AVCCQ_MAX">GTP!#REF!</definedName>
    <definedName name="AVCCTX">Summary!$O$16</definedName>
    <definedName name="AVCCTXQ">GTP!$F$31</definedName>
    <definedName name="AVTTRX">Summary!$O$19</definedName>
    <definedName name="AVTTRXQ">GTP!$F$34</definedName>
    <definedName name="AVTTTX">Summary!$O$18</definedName>
    <definedName name="AVTTTXQ">GTP!$F$33</definedName>
    <definedName name="BANK_LIST">Summary!$X$10:$X$14</definedName>
    <definedName name="BRAM_COUNT">BRAM!$E$51</definedName>
    <definedName name="BRAM_DESIGN_TEST">Test!$A$265:$A$303</definedName>
    <definedName name="BRAM_DESIGN_TEST_CLOCK">Test!$A$307:$A$310</definedName>
    <definedName name="BRAM_DESIGN_TEST_LOGIC">Test!$A$313:$A$321</definedName>
    <definedName name="BRAM_MODE_LIST">Data!$B$311:$S$311</definedName>
    <definedName name="BRAM_POWER">BRAM!$D$4</definedName>
    <definedName name="BRAM_TABLE">Data!$A$312</definedName>
    <definedName name="BRAM_TEST">Test!$A$12:$A$19</definedName>
    <definedName name="BRAM_WIDTH_LIST">Data!$A$313:$A$318</definedName>
    <definedName name="CHARACTERIZATION">Summary!$C$15</definedName>
    <definedName name="CLB_TEST">Test!$A$4:$A$9</definedName>
    <definedName name="CLOCK_COLS">Summary!$X$2</definedName>
    <definedName name="CLOCK_DATA">Data!$A$351</definedName>
    <definedName name="CLOCK_POWER">CLOCK!$D$4</definedName>
    <definedName name="CLOCK_ROWS">Summary!$W$2</definedName>
    <definedName name="COMMENTS">Summary!$C$33</definedName>
    <definedName name="CUSTOMTSA">Summary!$C$23</definedName>
    <definedName name="DCM_DATA">Data!$A$269</definedName>
    <definedName name="DCM_POWER">DCM!$D$6</definedName>
    <definedName name="DCM_TEST">Test!$A$22:$A$23</definedName>
    <definedName name="DCMAUX_POWER">DCM!$I$34</definedName>
    <definedName name="DCMAUXQ_POWER">DCM!$J$34</definedName>
    <definedName name="DCMINT_POWER">DCM!$H$34</definedName>
    <definedName name="DEFAULT_CLOCK">Summary!$S$11</definedName>
    <definedName name="DEFAULT_TOGGLE">Summary!$S$10</definedName>
    <definedName name="DSP_DATA">Data!$A$261</definedName>
    <definedName name="DSP_POWER">DSP!$D$4</definedName>
    <definedName name="DSP_TEST">Test!$A$26:$A$28</definedName>
    <definedName name="FAMILY">Summary!$C$8</definedName>
    <definedName name="FAMILY_LIST">Data!$L$2:$L$6</definedName>
    <definedName name="FANOUT">Data!$A$336</definedName>
    <definedName name="GRADE">Summary!$C$12</definedName>
    <definedName name="GRADE_FACTOR">Summary!$V$2</definedName>
    <definedName name="GRADE_FACTORAUX">Summary!$V$3</definedName>
    <definedName name="GRADELIST">Data!$F$2:$F$4</definedName>
    <definedName name="GTP_DATA">Data!$A$321</definedName>
    <definedName name="GTP_LEAKAGE">GTP!$F$35</definedName>
    <definedName name="GTP_MAXRATE">GTP!$W$1</definedName>
    <definedName name="GTPA1_TEST">Test!$A$662:$A$672</definedName>
    <definedName name="HEATSINK">Summary!$C$22</definedName>
    <definedName name="HEATSINK_DATA">Data!$A$664</definedName>
    <definedName name="HEATSINKLIST">Data!$N$2:$N$4</definedName>
    <definedName name="HS_INDEX">Summary!$U$41</definedName>
    <definedName name="ICCAUX">Summary!$Q$10</definedName>
    <definedName name="ICCAUXQ">Summary!$R$10</definedName>
    <definedName name="ICCAUXQ_D">Summary!$T$8</definedName>
    <definedName name="ICCAUXQ_MAX">Summary!$U$4</definedName>
    <definedName name="ICCAUXQ_TEMP">Summary!$T$3</definedName>
    <definedName name="ICCINT">Summary!$Q$9</definedName>
    <definedName name="ICCINTQ">Summary!$R$9</definedName>
    <definedName name="ICCINTQ_D">Summary!$T$2</definedName>
    <definedName name="ICCINTQ_MAX">Summary!$U$3</definedName>
    <definedName name="ICCINTQ_TEMP">Summary!$T$1</definedName>
    <definedName name="ICCO12">Summary!$Q$15</definedName>
    <definedName name="ICCO15">Summary!$Q$14</definedName>
    <definedName name="ICCO18">Summary!$Q$13</definedName>
    <definedName name="ICCO25">Summary!$Q$12</definedName>
    <definedName name="ICCO33">Summary!$Q$11</definedName>
    <definedName name="ICCOQ_D">Summary!$T$7</definedName>
    <definedName name="ICCOQ12">Summary!$R$15</definedName>
    <definedName name="ICCOQ15">Summary!$R$14</definedName>
    <definedName name="ICCOQ18">Summary!$R$13</definedName>
    <definedName name="ICCOQ25">Summary!$R$12</definedName>
    <definedName name="ICCOQ33">Summary!$R$11</definedName>
    <definedName name="IO_POWER">IO!$L$4</definedName>
    <definedName name="IO_STANDARDS">Data!$A$370</definedName>
    <definedName name="IO_TEST">Test!$A$31:$A$128</definedName>
    <definedName name="IOAUX_POWER">IO!$W$127</definedName>
    <definedName name="IOAUXQ_POWER">IO!$V$128</definedName>
    <definedName name="IODELAY_DATA">Data!$A$355</definedName>
    <definedName name="IOINT_POWER">IO!$V$127</definedName>
    <definedName name="IOROWS">IO!$B$127</definedName>
    <definedName name="IOSTD_LIST">Data!$A$371:$A$474</definedName>
    <definedName name="ISSTA">Summary!$T$28</definedName>
    <definedName name="ITTRXQ">Summary!$R$19</definedName>
    <definedName name="ITTTXQ">Summary!$R$18</definedName>
    <definedName name="JUNCTION_TEMP">Summary!$J$22</definedName>
    <definedName name="LOGIC_POWER">LOGIC!$D$4</definedName>
    <definedName name="LUT_DESIGN_TESTS">Test!$A$183:$A$260</definedName>
    <definedName name="MAPIO_LIST">Data!$P$371:$P$474</definedName>
    <definedName name="MAX_AMBIENT">Summary!$P$57</definedName>
    <definedName name="MCB_DATA">Data!$A$298</definedName>
    <definedName name="MCB_POWER">MCB!$D$4</definedName>
    <definedName name="MGT_POWER">GTP!$L$3</definedName>
    <definedName name="MGTAVCC_POWER">GTP!$G$7</definedName>
    <definedName name="MGTAVCCTX_POWER">GTP!$G$9</definedName>
    <definedName name="MGTINT_POWER">GTP!$G$6</definedName>
    <definedName name="MGTVCCPLL_POWER">GTP!$G$8</definedName>
    <definedName name="MGTVTTRX_POWER">GTP!$G$10</definedName>
    <definedName name="MGTVTTTX_POWER">GTP!$G$9</definedName>
    <definedName name="MODELIST">Data!$G$2:$G$4</definedName>
    <definedName name="MULT_DATA">Data!$A$255</definedName>
    <definedName name="MULT_POWER">MULT!$D$4</definedName>
    <definedName name="NUM_BANKS">Summary!$AK$2</definedName>
    <definedName name="NUM_BRAMS">Summary!$AA$2</definedName>
    <definedName name="NUM_DCMS">Summary!$AB$2</definedName>
    <definedName name="NUM_DSPS">Summary!$AD$2</definedName>
    <definedName name="NUM_EMACS">Summary!$AH$2</definedName>
    <definedName name="NUM_FFS">Summary!$Z$2</definedName>
    <definedName name="NUM_GTS">Summary!$AE$2</definedName>
    <definedName name="NUM_LUTS">Summary!$Y$2</definedName>
    <definedName name="NUM_MCBS">Summary!$AI$2</definedName>
    <definedName name="NUM_PCIES">Summary!$AF$2</definedName>
    <definedName name="NUM_PINS">Summary!$AJ$2</definedName>
    <definedName name="NUM_PLLS">Summary!$AC$2</definedName>
    <definedName name="NUM_PPCS">Summary!$AG$2</definedName>
    <definedName name="OFFCHIP_POWER">Summary!$P$26</definedName>
    <definedName name="OPTIMIZATION">Summary!$C$26</definedName>
    <definedName name="PACKAGE">Summary!$C$10</definedName>
    <definedName name="PACKAGES">Data!$A$72</definedName>
    <definedName name="PART">Summary!$C$9</definedName>
    <definedName name="PARTLIST">Data!$A$17:$A$65</definedName>
    <definedName name="PARTLIST_S3A">Data!$A$17:$A$28</definedName>
    <definedName name="PARTLIST_S6">Data!$A$29:$A$41</definedName>
    <definedName name="PARTLIST_S6L">Data!$A$42:$A$49</definedName>
    <definedName name="PARTLIST_XAS6">Data!$A$50:$A$59</definedName>
    <definedName name="PARTLIST_XQS6">Data!$A$60:$A$65</definedName>
    <definedName name="PARTS">Data!$A$16</definedName>
    <definedName name="PCIE_DATA">Data!$A$303</definedName>
    <definedName name="PCIE_POWER">PCIE!$D$4</definedName>
    <definedName name="PKG_LIST">Summary!$W$10:$W$15</definedName>
    <definedName name="PKG_MAP">Data!$A$642:$A$661</definedName>
    <definedName name="PLL_DATA">Data!$A$290</definedName>
    <definedName name="PLL_POWER">PLL!$D$6</definedName>
    <definedName name="PLLAUX_POWER">PLL!$O$16</definedName>
    <definedName name="PLLAUXQ_POWER">PLL!$P$16</definedName>
    <definedName name="PLLINT_POWER">PLL!$N$16</definedName>
    <definedName name="POWERMODE">Summary!$C$14</definedName>
    <definedName name="POWERUP">Summary!$U$51</definedName>
    <definedName name="PROCESS">Summary!$C$13</definedName>
    <definedName name="PROCESS_FACTOR">Summary!$U$2</definedName>
    <definedName name="PROCESSLIST">Data!$I$2:$I$3</definedName>
    <definedName name="PROJECT">Summary!$C$5</definedName>
    <definedName name="PVT_TEST">Test!$A$132:$A$141</definedName>
    <definedName name="Q_GradeAux">Summary!$P$53</definedName>
    <definedName name="Q_GradeInt">Summary!$P$52</definedName>
    <definedName name="QGRADE_FACTOR">Summary!$V$5</definedName>
    <definedName name="QGRADE_FACTORAUX">Summary!$V$6</definedName>
    <definedName name="RELEASE_DATE">Release!$A$3</definedName>
    <definedName name="S3PARTS">Data!$A$73:$A$101</definedName>
    <definedName name="S6_DESIGN_TESTS">Test!$A$326:$A$339</definedName>
    <definedName name="S6_IOTEST">Test!$A$399:$A$659</definedName>
    <definedName name="S6IO_STANDARD">Data!$A$478</definedName>
    <definedName name="S6IODELAY_DATA">Data!$A$359</definedName>
    <definedName name="S6IOSTD_LIST">Data!$A$479:$A$639</definedName>
    <definedName name="S6MAPIO_LIST">Data!$P$479:$P$639</definedName>
    <definedName name="S6PARTS">Data!$A$102:$A$223</definedName>
    <definedName name="SPEEDGRADE">Summary!$C$11</definedName>
    <definedName name="SPEEDLIST">Data!$J$2:$J$5</definedName>
    <definedName name="STATIC_POWER">Summary!$J$19</definedName>
    <definedName name="STEPPINGLIST">Data!$K$2:$K$3</definedName>
    <definedName name="TEMP_ESTIMATE">Summary!$K$60</definedName>
    <definedName name="TEMP_FACTOR_ROW">Summary!$V$4</definedName>
    <definedName name="TEMP_FACTORS">Data!$A$230</definedName>
    <definedName name="TEMP_FACTORS_LIST">Data!$A$231:$A$253</definedName>
    <definedName name="TEMPERATURE_LIMIT">Summary!$U$1</definedName>
    <definedName name="THERMAL_MARGIN_C">Summary!$J$25</definedName>
    <definedName name="THERMAL_MARGIN_W">Summary!$K$25</definedName>
    <definedName name="THETAJA">Summary!$AL$2</definedName>
    <definedName name="THETAJA250">Summary!$AO$2</definedName>
    <definedName name="THETAJA500">Summary!$AP$2</definedName>
    <definedName name="THETAJA750">Summary!$AQ$2</definedName>
    <definedName name="THETAJB">Summary!$AM$2</definedName>
    <definedName name="THETAJC">Summary!$AN$2</definedName>
    <definedName name="TJ_MAX">Data!$E$3</definedName>
    <definedName name="TJ_MIN">Data!$E$2</definedName>
    <definedName name="TJA">Summary!$J$26</definedName>
    <definedName name="TOTAL_POWER">Summary!$J$23</definedName>
    <definedName name="USER_DYNAMIC">Summary!$S$8</definedName>
    <definedName name="USER_THETAJA">Summary!$S$7</definedName>
    <definedName name="USER_TJ">Summary!$S$9</definedName>
    <definedName name="VCCAUX">Summary!$O$10</definedName>
    <definedName name="VCCAUX_SCALE">Summary!$S$4</definedName>
    <definedName name="VCCINT">Summary!$O$9</definedName>
    <definedName name="VCCINT_N">Summary!$S$1</definedName>
    <definedName name="VCCINT_SCALE">Summary!$S$3</definedName>
    <definedName name="VCCO_SCALE">Summary!$S$6</definedName>
    <definedName name="VCCO12">Summary!$O$15</definedName>
    <definedName name="VCCO15">Summary!$O$14</definedName>
    <definedName name="VCCO18">Summary!$O$13</definedName>
    <definedName name="VCCO25">Summary!$O$12</definedName>
    <definedName name="VCCO33">Summary!$O$11</definedName>
    <definedName name="VERSION">Release!$B$3</definedName>
    <definedName name="_xlnm.Print_Area" localSheetId="0">Summary!$A$1:$S$30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2" i="50" l="1"/>
  <c r="AD122" i="50"/>
  <c r="AF122" i="50"/>
  <c r="AW122" i="50"/>
  <c r="BT122" i="50"/>
  <c r="U123" i="50"/>
  <c r="AD123" i="50"/>
  <c r="AF123" i="50"/>
  <c r="AW123" i="50"/>
  <c r="BT123" i="50"/>
  <c r="U124" i="50"/>
  <c r="AD124" i="50"/>
  <c r="AF124" i="50"/>
  <c r="AW124" i="50"/>
  <c r="BT124" i="50"/>
  <c r="U125" i="50"/>
  <c r="AD125" i="50"/>
  <c r="AF125" i="50"/>
  <c r="AN125" i="50"/>
  <c r="AW125" i="50"/>
  <c r="BT125" i="50"/>
  <c r="U118" i="50"/>
  <c r="AD118" i="50"/>
  <c r="AF118" i="50"/>
  <c r="AW118" i="50"/>
  <c r="BT118" i="50"/>
  <c r="U119" i="50"/>
  <c r="AD119" i="50"/>
  <c r="AF119" i="50"/>
  <c r="AW119" i="50"/>
  <c r="BT119" i="50"/>
  <c r="U120" i="50"/>
  <c r="AD120" i="50"/>
  <c r="AF120" i="50"/>
  <c r="AN120" i="50"/>
  <c r="AW120" i="50"/>
  <c r="BT120" i="50"/>
  <c r="U121" i="50"/>
  <c r="AD121" i="50"/>
  <c r="AF121" i="50"/>
  <c r="AW121" i="50"/>
  <c r="BT121" i="50"/>
  <c r="U114" i="50"/>
  <c r="AD114" i="50"/>
  <c r="AF114" i="50"/>
  <c r="AW114" i="50"/>
  <c r="BT114" i="50"/>
  <c r="U115" i="50"/>
  <c r="AD115" i="50"/>
  <c r="AF115" i="50"/>
  <c r="AW115" i="50"/>
  <c r="BT115" i="50"/>
  <c r="U116" i="50"/>
  <c r="AD116" i="50"/>
  <c r="AN116" i="50"/>
  <c r="AF116" i="50"/>
  <c r="AW116" i="50"/>
  <c r="BT116" i="50"/>
  <c r="U117" i="50"/>
  <c r="AD117" i="50"/>
  <c r="AF117" i="50"/>
  <c r="AW117" i="50"/>
  <c r="BT117" i="50"/>
  <c r="U110" i="50"/>
  <c r="AD110" i="50"/>
  <c r="AF110" i="50"/>
  <c r="BT110" i="50"/>
  <c r="U111" i="50"/>
  <c r="AD111" i="50"/>
  <c r="AF111" i="50"/>
  <c r="AW111" i="50"/>
  <c r="BT111" i="50"/>
  <c r="U112" i="50"/>
  <c r="AD112" i="50"/>
  <c r="AN112" i="50"/>
  <c r="AF112" i="50"/>
  <c r="AW112" i="50"/>
  <c r="BT112" i="50"/>
  <c r="U113" i="50"/>
  <c r="AD113" i="50"/>
  <c r="AF113" i="50"/>
  <c r="AW113" i="50"/>
  <c r="BT113" i="50"/>
  <c r="U106" i="50"/>
  <c r="AD106" i="50"/>
  <c r="AF106" i="50"/>
  <c r="AW106" i="50"/>
  <c r="BT106" i="50"/>
  <c r="U107" i="50"/>
  <c r="AD107" i="50"/>
  <c r="AF107" i="50"/>
  <c r="AW107" i="50"/>
  <c r="BT107" i="50"/>
  <c r="U108" i="50"/>
  <c r="AD108" i="50"/>
  <c r="AF108" i="50"/>
  <c r="AW108" i="50"/>
  <c r="BT108" i="50"/>
  <c r="U109" i="50"/>
  <c r="AD109" i="50"/>
  <c r="AF109" i="50"/>
  <c r="AW109" i="50"/>
  <c r="BT109" i="50"/>
  <c r="U102" i="50"/>
  <c r="AD102" i="50"/>
  <c r="AF102" i="50"/>
  <c r="AW102" i="50"/>
  <c r="BT102" i="50"/>
  <c r="U103" i="50"/>
  <c r="AD103" i="50"/>
  <c r="AF103" i="50"/>
  <c r="AW103" i="50"/>
  <c r="BT103" i="50"/>
  <c r="U104" i="50"/>
  <c r="AD104" i="50"/>
  <c r="AF104" i="50"/>
  <c r="AW104" i="50"/>
  <c r="BT104" i="50"/>
  <c r="U105" i="50"/>
  <c r="AD105" i="50"/>
  <c r="AF105" i="50"/>
  <c r="AW105" i="50"/>
  <c r="BT105" i="50"/>
  <c r="U98" i="50"/>
  <c r="AD98" i="50"/>
  <c r="AF98" i="50"/>
  <c r="AW98" i="50"/>
  <c r="BT98" i="50"/>
  <c r="U99" i="50"/>
  <c r="AD99" i="50"/>
  <c r="AF99" i="50"/>
  <c r="AW99" i="50"/>
  <c r="BT99" i="50"/>
  <c r="U100" i="50"/>
  <c r="AD100" i="50"/>
  <c r="AN100" i="50"/>
  <c r="AF100" i="50"/>
  <c r="AW100" i="50"/>
  <c r="BT100" i="50"/>
  <c r="U101" i="50"/>
  <c r="AD101" i="50"/>
  <c r="AF101" i="50"/>
  <c r="AW101" i="50"/>
  <c r="BT101" i="50"/>
  <c r="U94" i="50"/>
  <c r="AD94" i="50"/>
  <c r="AF94" i="50"/>
  <c r="AW94" i="50"/>
  <c r="BT94" i="50"/>
  <c r="U95" i="50"/>
  <c r="AD95" i="50"/>
  <c r="AF95" i="50"/>
  <c r="AW95" i="50"/>
  <c r="BT95" i="50"/>
  <c r="U96" i="50"/>
  <c r="AD96" i="50"/>
  <c r="AN96" i="50"/>
  <c r="AF96" i="50"/>
  <c r="AW96" i="50"/>
  <c r="BT96" i="50"/>
  <c r="U97" i="50"/>
  <c r="AD97" i="50"/>
  <c r="AF97" i="50"/>
  <c r="AW97" i="50"/>
  <c r="BT97" i="50"/>
  <c r="U90" i="50"/>
  <c r="AD90" i="50"/>
  <c r="AF90" i="50"/>
  <c r="AW90" i="50"/>
  <c r="BT90" i="50"/>
  <c r="U91" i="50"/>
  <c r="AD91" i="50"/>
  <c r="AF91" i="50"/>
  <c r="AW91" i="50"/>
  <c r="BT91" i="50"/>
  <c r="U92" i="50"/>
  <c r="AD92" i="50"/>
  <c r="AN92" i="50"/>
  <c r="AF92" i="50"/>
  <c r="AW92" i="50"/>
  <c r="BT92" i="50"/>
  <c r="U93" i="50"/>
  <c r="AD93" i="50"/>
  <c r="AF93" i="50"/>
  <c r="AW93" i="50"/>
  <c r="BT93" i="50"/>
  <c r="U86" i="50"/>
  <c r="AD86" i="50"/>
  <c r="AF86" i="50"/>
  <c r="AW86" i="50"/>
  <c r="BT86" i="50"/>
  <c r="U87" i="50"/>
  <c r="AD87" i="50"/>
  <c r="AF87" i="50"/>
  <c r="AW87" i="50"/>
  <c r="BT87" i="50"/>
  <c r="U88" i="50"/>
  <c r="AD88" i="50"/>
  <c r="AF88" i="50"/>
  <c r="AW88" i="50"/>
  <c r="BT88" i="50"/>
  <c r="U89" i="50"/>
  <c r="AD89" i="50"/>
  <c r="AF89" i="50"/>
  <c r="AW89" i="50"/>
  <c r="BT89" i="50"/>
  <c r="U82" i="50"/>
  <c r="AD82" i="50"/>
  <c r="AF82" i="50"/>
  <c r="AW82" i="50"/>
  <c r="BT82" i="50"/>
  <c r="U83" i="50"/>
  <c r="AD83" i="50"/>
  <c r="AF83" i="50"/>
  <c r="AW83" i="50"/>
  <c r="BT83" i="50"/>
  <c r="U84" i="50"/>
  <c r="AD84" i="50"/>
  <c r="AN84" i="50"/>
  <c r="AF84" i="50"/>
  <c r="AW84" i="50"/>
  <c r="BT84" i="50"/>
  <c r="U85" i="50"/>
  <c r="AD85" i="50"/>
  <c r="AF85" i="50"/>
  <c r="AW85" i="50"/>
  <c r="BT85" i="50"/>
  <c r="U78" i="50"/>
  <c r="AD78" i="50"/>
  <c r="AF78" i="50"/>
  <c r="BT78" i="50"/>
  <c r="U79" i="50"/>
  <c r="AD79" i="50"/>
  <c r="AF79" i="50"/>
  <c r="BT79" i="50"/>
  <c r="U80" i="50"/>
  <c r="AD80" i="50"/>
  <c r="AF80" i="50"/>
  <c r="BT80" i="50"/>
  <c r="U81" i="50"/>
  <c r="AD81" i="50"/>
  <c r="AF81" i="50"/>
  <c r="AW81" i="50"/>
  <c r="BT81" i="50"/>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P20" i="48"/>
  <c r="Q20" i="48"/>
  <c r="P21" i="48"/>
  <c r="Q21" i="48"/>
  <c r="P22" i="48"/>
  <c r="Q22" i="48"/>
  <c r="P23" i="48"/>
  <c r="Q23" i="48"/>
  <c r="P24" i="48"/>
  <c r="Q24" i="48"/>
  <c r="P25" i="48"/>
  <c r="Q25" i="48"/>
  <c r="P26" i="48"/>
  <c r="Q26" i="48"/>
  <c r="P27" i="48"/>
  <c r="Q27" i="48"/>
  <c r="P28" i="48"/>
  <c r="R28" i="48" s="1"/>
  <c r="Q28" i="48"/>
  <c r="P29" i="48"/>
  <c r="Q29" i="48"/>
  <c r="P30" i="48"/>
  <c r="Q30" i="48"/>
  <c r="P31" i="48"/>
  <c r="Q31" i="48"/>
  <c r="P32" i="48"/>
  <c r="Q32" i="48"/>
  <c r="P33" i="48"/>
  <c r="Q33" i="48"/>
  <c r="P34" i="48"/>
  <c r="Q34" i="48"/>
  <c r="P35" i="48"/>
  <c r="Q35" i="48"/>
  <c r="J35" i="48"/>
  <c r="P36" i="48"/>
  <c r="Q36" i="48"/>
  <c r="P37" i="48"/>
  <c r="Q37" i="48"/>
  <c r="P38" i="48"/>
  <c r="Q38" i="48"/>
  <c r="P39" i="48"/>
  <c r="Q39" i="48"/>
  <c r="P40" i="48"/>
  <c r="Q40" i="48"/>
  <c r="P41" i="48"/>
  <c r="Q41" i="48"/>
  <c r="P42" i="48"/>
  <c r="Q42" i="48"/>
  <c r="P43" i="48"/>
  <c r="Q43" i="48"/>
  <c r="P44" i="48"/>
  <c r="Q44" i="48"/>
  <c r="P45" i="48"/>
  <c r="Q45" i="48"/>
  <c r="P46" i="48"/>
  <c r="Q46" i="48"/>
  <c r="P47" i="48"/>
  <c r="Q47" i="48"/>
  <c r="P48" i="48"/>
  <c r="Q48" i="48"/>
  <c r="P49" i="48"/>
  <c r="Q49" i="48"/>
  <c r="P50" i="48"/>
  <c r="Q50" i="48"/>
  <c r="P51" i="48"/>
  <c r="Q51" i="48"/>
  <c r="P52" i="48"/>
  <c r="Q52" i="48"/>
  <c r="P53" i="48"/>
  <c r="Q53" i="48"/>
  <c r="P54" i="48"/>
  <c r="Q54" i="48"/>
  <c r="P55" i="48"/>
  <c r="Q55" i="48"/>
  <c r="P56" i="48"/>
  <c r="Q56" i="48"/>
  <c r="P57" i="48"/>
  <c r="Q57" i="48"/>
  <c r="R57" i="48" s="1"/>
  <c r="P58" i="48"/>
  <c r="Q58" i="48"/>
  <c r="P59" i="48"/>
  <c r="Q59" i="48"/>
  <c r="P60" i="48"/>
  <c r="Q60" i="48"/>
  <c r="P61" i="48"/>
  <c r="Q61" i="48"/>
  <c r="P62" i="48"/>
  <c r="Q62" i="48"/>
  <c r="P63" i="48"/>
  <c r="Q63" i="48"/>
  <c r="P64" i="48"/>
  <c r="Q64" i="48"/>
  <c r="P65" i="48"/>
  <c r="Q65" i="48"/>
  <c r="P66" i="48"/>
  <c r="Q66" i="48"/>
  <c r="J67" i="48"/>
  <c r="P67" i="48"/>
  <c r="R67" i="48" s="1"/>
  <c r="Q67" i="48"/>
  <c r="J68" i="48"/>
  <c r="P68" i="48"/>
  <c r="Q68" i="48"/>
  <c r="J69" i="48"/>
  <c r="P69" i="48"/>
  <c r="Q69" i="48"/>
  <c r="E1" i="3"/>
  <c r="U74" i="50"/>
  <c r="AF74" i="50"/>
  <c r="AW74" i="50"/>
  <c r="T28" i="3"/>
  <c r="P16" i="4"/>
  <c r="S1" i="3"/>
  <c r="H26" i="6"/>
  <c r="B582" i="11"/>
  <c r="AB582" i="11" s="1"/>
  <c r="AD74" i="50"/>
  <c r="BT74" i="50"/>
  <c r="U75" i="50"/>
  <c r="AF75" i="50"/>
  <c r="AW75" i="50"/>
  <c r="AD75" i="50"/>
  <c r="BT75" i="50"/>
  <c r="U76" i="50"/>
  <c r="AF76" i="50"/>
  <c r="AW76" i="50"/>
  <c r="AD76" i="50"/>
  <c r="BT76" i="50"/>
  <c r="U77" i="50"/>
  <c r="AF77" i="50"/>
  <c r="AW77" i="50"/>
  <c r="AD77" i="50"/>
  <c r="BT77" i="50"/>
  <c r="U70" i="50"/>
  <c r="AF70" i="50"/>
  <c r="AW70" i="50"/>
  <c r="AD70" i="50"/>
  <c r="BT70" i="50"/>
  <c r="U71" i="50"/>
  <c r="AF71" i="50"/>
  <c r="AX71" i="50" s="1"/>
  <c r="AW71" i="50"/>
  <c r="AD71" i="50"/>
  <c r="BT71" i="50"/>
  <c r="U72" i="50"/>
  <c r="AF72" i="50"/>
  <c r="AW72" i="50"/>
  <c r="AD72" i="50"/>
  <c r="BT72" i="50"/>
  <c r="U73" i="50"/>
  <c r="AF73" i="50"/>
  <c r="AD73" i="50"/>
  <c r="BT73" i="50"/>
  <c r="V4" i="3"/>
  <c r="V6" i="3" s="1"/>
  <c r="P56" i="3" s="1"/>
  <c r="D9" i="3"/>
  <c r="U41" i="3"/>
  <c r="U46" i="3" s="1"/>
  <c r="U44" i="3"/>
  <c r="P9" i="48"/>
  <c r="L1" i="48"/>
  <c r="M1" i="48"/>
  <c r="Q9" i="48"/>
  <c r="P10" i="48"/>
  <c r="Q10" i="48"/>
  <c r="S10" i="48"/>
  <c r="O10" i="48" s="1"/>
  <c r="P11" i="48"/>
  <c r="Q11" i="48"/>
  <c r="P12" i="48"/>
  <c r="Q12" i="48"/>
  <c r="P13" i="48"/>
  <c r="Q13" i="48"/>
  <c r="P14" i="48"/>
  <c r="Q14" i="48"/>
  <c r="P15" i="48"/>
  <c r="Q15" i="48"/>
  <c r="P16" i="48"/>
  <c r="Q16" i="48"/>
  <c r="P17" i="48"/>
  <c r="Q17" i="48"/>
  <c r="P18" i="48"/>
  <c r="Q18" i="48"/>
  <c r="N18" i="48" s="1"/>
  <c r="P19" i="48"/>
  <c r="Q19" i="48"/>
  <c r="P70" i="48"/>
  <c r="Q70" i="48"/>
  <c r="J70" i="48"/>
  <c r="P71" i="48"/>
  <c r="Q71" i="48"/>
  <c r="J71" i="48"/>
  <c r="P72" i="48"/>
  <c r="Q72" i="48"/>
  <c r="J72" i="48"/>
  <c r="P73" i="48"/>
  <c r="Q73" i="48"/>
  <c r="J73" i="48"/>
  <c r="P74" i="48"/>
  <c r="Q74" i="48"/>
  <c r="J74" i="48"/>
  <c r="P75" i="48"/>
  <c r="Q75" i="48"/>
  <c r="J75" i="48"/>
  <c r="P76" i="48"/>
  <c r="Q76" i="48"/>
  <c r="J76" i="48"/>
  <c r="P77" i="48"/>
  <c r="Q77" i="48"/>
  <c r="J77" i="48"/>
  <c r="P78" i="48"/>
  <c r="Q78" i="48"/>
  <c r="J78" i="48"/>
  <c r="P79" i="48"/>
  <c r="Q79" i="48"/>
  <c r="J79" i="48"/>
  <c r="P80" i="48"/>
  <c r="Q80" i="48"/>
  <c r="J80" i="48"/>
  <c r="P81" i="48"/>
  <c r="Q81" i="48"/>
  <c r="J81" i="48"/>
  <c r="P82" i="48"/>
  <c r="Q82" i="48"/>
  <c r="J82" i="48"/>
  <c r="P83" i="48"/>
  <c r="Q83" i="48"/>
  <c r="J83" i="48"/>
  <c r="J84" i="48"/>
  <c r="J85" i="48"/>
  <c r="J86" i="48"/>
  <c r="J87" i="48"/>
  <c r="J88" i="48"/>
  <c r="J89" i="48"/>
  <c r="J90" i="48"/>
  <c r="J91" i="48"/>
  <c r="J92" i="48"/>
  <c r="J93" i="48"/>
  <c r="J94" i="48"/>
  <c r="J95" i="48"/>
  <c r="J96" i="48"/>
  <c r="J97" i="48"/>
  <c r="J98" i="48"/>
  <c r="J99" i="48"/>
  <c r="J100" i="48"/>
  <c r="G339" i="11"/>
  <c r="G341" i="11" s="1"/>
  <c r="F26" i="3"/>
  <c r="O340" i="11"/>
  <c r="O339" i="11"/>
  <c r="P83" i="4"/>
  <c r="Q83" i="4"/>
  <c r="P93" i="4"/>
  <c r="Z10" i="1"/>
  <c r="V36" i="1"/>
  <c r="AD44" i="1"/>
  <c r="AD48" i="1"/>
  <c r="V49" i="1"/>
  <c r="AD50" i="1"/>
  <c r="H13" i="6"/>
  <c r="L17" i="7"/>
  <c r="N19" i="7"/>
  <c r="L24" i="7"/>
  <c r="N25" i="7"/>
  <c r="N33" i="7"/>
  <c r="V10" i="52"/>
  <c r="U10" i="52"/>
  <c r="AA10" i="52"/>
  <c r="Z10" i="52"/>
  <c r="AB10" i="52"/>
  <c r="V11" i="52"/>
  <c r="U11" i="52"/>
  <c r="AA11" i="52"/>
  <c r="Z11" i="52"/>
  <c r="AB11" i="52"/>
  <c r="V12" i="52"/>
  <c r="W12" i="52"/>
  <c r="X12" i="52"/>
  <c r="Y12" i="52"/>
  <c r="Z12" i="52"/>
  <c r="AA12" i="52"/>
  <c r="AB12" i="52"/>
  <c r="U12" i="52"/>
  <c r="N12" i="52" s="1"/>
  <c r="V13" i="52"/>
  <c r="W13" i="52"/>
  <c r="X13" i="52"/>
  <c r="Y13" i="52"/>
  <c r="Z13" i="52"/>
  <c r="AA13" i="52"/>
  <c r="AB13" i="52"/>
  <c r="U13" i="52"/>
  <c r="V14" i="52"/>
  <c r="W14" i="52"/>
  <c r="X14" i="52"/>
  <c r="Y14" i="52"/>
  <c r="N14" i="52" s="1"/>
  <c r="Z14" i="52"/>
  <c r="AA14" i="52"/>
  <c r="AB14" i="52"/>
  <c r="U14" i="52"/>
  <c r="V15" i="52"/>
  <c r="W15" i="52"/>
  <c r="X15" i="52"/>
  <c r="Y15" i="52"/>
  <c r="Z15" i="52"/>
  <c r="AA15" i="52"/>
  <c r="AB15" i="52"/>
  <c r="U15" i="52"/>
  <c r="P10" i="52"/>
  <c r="O10" i="52" s="1"/>
  <c r="P11" i="52"/>
  <c r="O11" i="52" s="1"/>
  <c r="P12" i="52"/>
  <c r="P13" i="52"/>
  <c r="O13" i="52" s="1"/>
  <c r="P14" i="52"/>
  <c r="P15" i="52"/>
  <c r="F8" i="55"/>
  <c r="F9" i="55"/>
  <c r="F10" i="55"/>
  <c r="F11" i="55"/>
  <c r="AF17" i="50"/>
  <c r="AW17" i="50"/>
  <c r="AE17" i="50"/>
  <c r="BU17" i="50" s="1"/>
  <c r="AF18" i="50"/>
  <c r="AW18" i="50"/>
  <c r="AV18" i="50"/>
  <c r="AF19" i="50"/>
  <c r="AW19" i="50"/>
  <c r="AF20" i="50"/>
  <c r="AW20" i="50"/>
  <c r="AF21" i="50"/>
  <c r="AW21" i="50"/>
  <c r="AF22" i="50"/>
  <c r="AW22" i="50"/>
  <c r="AF23" i="50"/>
  <c r="AW23" i="50"/>
  <c r="AF24" i="50"/>
  <c r="AW24" i="50"/>
  <c r="AF25" i="50"/>
  <c r="AW25" i="50"/>
  <c r="AF26" i="50"/>
  <c r="AW26" i="50"/>
  <c r="AW27" i="50"/>
  <c r="AF27" i="50"/>
  <c r="AF28" i="50"/>
  <c r="AW28" i="50"/>
  <c r="AF29" i="50"/>
  <c r="AW29" i="50"/>
  <c r="AF30" i="50"/>
  <c r="AW30" i="50"/>
  <c r="AF31" i="50"/>
  <c r="AW31" i="50"/>
  <c r="AW32" i="50"/>
  <c r="AF32" i="50"/>
  <c r="AN32" i="50"/>
  <c r="AF33" i="50"/>
  <c r="AW33" i="50"/>
  <c r="AE33" i="50"/>
  <c r="AX33" i="50" s="1"/>
  <c r="AF34" i="50"/>
  <c r="AW34" i="50"/>
  <c r="AF35" i="50"/>
  <c r="AE35" i="50"/>
  <c r="BU35" i="50" s="1"/>
  <c r="BV35" i="50" s="1"/>
  <c r="AF36" i="50"/>
  <c r="AW36" i="50"/>
  <c r="AW37" i="50"/>
  <c r="AF37" i="50"/>
  <c r="AN37" i="50"/>
  <c r="AF38" i="50"/>
  <c r="AW38" i="50"/>
  <c r="AW39" i="50"/>
  <c r="AF39" i="50"/>
  <c r="AW40" i="50"/>
  <c r="AF40" i="50"/>
  <c r="AW41" i="50"/>
  <c r="AF41" i="50"/>
  <c r="AV41" i="50"/>
  <c r="AW42" i="50"/>
  <c r="AF42" i="50"/>
  <c r="AW43" i="50"/>
  <c r="AF43" i="50"/>
  <c r="AF44" i="50"/>
  <c r="AW44" i="50"/>
  <c r="AF45" i="50"/>
  <c r="AW46" i="50"/>
  <c r="AN46" i="50"/>
  <c r="AF46" i="50"/>
  <c r="AV46" i="50"/>
  <c r="AF47" i="50"/>
  <c r="AW47" i="50"/>
  <c r="AN47" i="50"/>
  <c r="AW48" i="50"/>
  <c r="AF48" i="50"/>
  <c r="AW49" i="50"/>
  <c r="AF49" i="50"/>
  <c r="AX49" i="50" s="1"/>
  <c r="AV49" i="50"/>
  <c r="AW50" i="50"/>
  <c r="AF50" i="50"/>
  <c r="AW51" i="50"/>
  <c r="AE51" i="50"/>
  <c r="AF51" i="50"/>
  <c r="AV51" i="50"/>
  <c r="AW52" i="50"/>
  <c r="AF52" i="50"/>
  <c r="AW53" i="50"/>
  <c r="AF53" i="50"/>
  <c r="AV53" i="50"/>
  <c r="AN53" i="50"/>
  <c r="AW54" i="50"/>
  <c r="AF54" i="50"/>
  <c r="AW55" i="50"/>
  <c r="AF55" i="50"/>
  <c r="AW56" i="50"/>
  <c r="AF56" i="50"/>
  <c r="AW57" i="50"/>
  <c r="AF57" i="50"/>
  <c r="AE57" i="50"/>
  <c r="AW58" i="50"/>
  <c r="AF58" i="50"/>
  <c r="AV58" i="50"/>
  <c r="AF59" i="50"/>
  <c r="AW59" i="50"/>
  <c r="AF60" i="50"/>
  <c r="AW60" i="50"/>
  <c r="AF61" i="50"/>
  <c r="AW61" i="50"/>
  <c r="AF62" i="50"/>
  <c r="AW62" i="50"/>
  <c r="AF63" i="50"/>
  <c r="AW63" i="50"/>
  <c r="AF64" i="50"/>
  <c r="AF65" i="50"/>
  <c r="AF66" i="50"/>
  <c r="AF67" i="50"/>
  <c r="AV67" i="50"/>
  <c r="AE67" i="50"/>
  <c r="AF68" i="50"/>
  <c r="AW68" i="50"/>
  <c r="AF69" i="50"/>
  <c r="AW126" i="50"/>
  <c r="AV126" i="50"/>
  <c r="AF126" i="50"/>
  <c r="F634" i="11"/>
  <c r="AN19" i="50"/>
  <c r="AN20" i="50"/>
  <c r="AN22" i="50"/>
  <c r="AN25" i="50"/>
  <c r="AN28" i="50"/>
  <c r="AN31" i="50"/>
  <c r="AN33" i="50"/>
  <c r="AN36" i="50"/>
  <c r="AN40" i="50"/>
  <c r="AN126" i="50"/>
  <c r="U1" i="53"/>
  <c r="AH13" i="53"/>
  <c r="K13" i="53"/>
  <c r="L13" i="53"/>
  <c r="AI13" i="53"/>
  <c r="AJ13" i="53"/>
  <c r="AH14" i="53"/>
  <c r="K14" i="53"/>
  <c r="L14" i="53"/>
  <c r="AL13" i="53"/>
  <c r="AL14" i="53"/>
  <c r="AL15" i="53"/>
  <c r="AL16" i="53"/>
  <c r="AL17" i="53"/>
  <c r="AL18" i="53"/>
  <c r="AL19" i="53"/>
  <c r="AL20" i="53"/>
  <c r="AL21" i="53"/>
  <c r="AL22" i="53"/>
  <c r="AL23" i="53"/>
  <c r="AL24" i="53"/>
  <c r="F10" i="54"/>
  <c r="AA13" i="53"/>
  <c r="AM13" i="53"/>
  <c r="W13" i="53" s="1"/>
  <c r="AA14" i="53"/>
  <c r="AM14" i="53"/>
  <c r="AA15" i="53"/>
  <c r="K15" i="53"/>
  <c r="AM15" i="53"/>
  <c r="L15" i="53"/>
  <c r="AA16" i="53"/>
  <c r="K16" i="53"/>
  <c r="AM16" i="53"/>
  <c r="L16" i="53"/>
  <c r="AA17" i="53"/>
  <c r="K17" i="53"/>
  <c r="AM17" i="53"/>
  <c r="X17" i="53" s="1"/>
  <c r="L17" i="53"/>
  <c r="AA18" i="53"/>
  <c r="S18" i="53" s="1"/>
  <c r="K18" i="53"/>
  <c r="AM18" i="53"/>
  <c r="L18" i="53"/>
  <c r="U18" i="53" s="1"/>
  <c r="AA19" i="53"/>
  <c r="K19" i="53"/>
  <c r="AM19" i="53"/>
  <c r="L19" i="53"/>
  <c r="AA20" i="53"/>
  <c r="K20" i="53"/>
  <c r="AM20" i="53"/>
  <c r="L20" i="53"/>
  <c r="X20" i="53"/>
  <c r="AA21" i="53"/>
  <c r="K21" i="53"/>
  <c r="AM21" i="53"/>
  <c r="L21" i="53"/>
  <c r="U21" i="53" s="1"/>
  <c r="AA22" i="53"/>
  <c r="K22" i="53"/>
  <c r="AM22" i="53"/>
  <c r="L22" i="53"/>
  <c r="AA23" i="53"/>
  <c r="AF23" i="53" s="1"/>
  <c r="K23" i="53"/>
  <c r="AM23" i="53"/>
  <c r="L23" i="53"/>
  <c r="AA24" i="53"/>
  <c r="K24" i="53"/>
  <c r="AM24" i="53"/>
  <c r="L24" i="53"/>
  <c r="U24" i="53" s="1"/>
  <c r="Y13" i="53"/>
  <c r="E324" i="11"/>
  <c r="C324" i="11"/>
  <c r="Z13" i="53"/>
  <c r="E323" i="11"/>
  <c r="C323" i="11"/>
  <c r="Y14" i="53"/>
  <c r="Z14" i="53"/>
  <c r="Y15" i="53"/>
  <c r="Z15" i="53"/>
  <c r="Y16" i="53"/>
  <c r="Z16" i="53"/>
  <c r="Y17" i="53"/>
  <c r="Z17" i="53"/>
  <c r="Y18" i="53"/>
  <c r="Z18" i="53"/>
  <c r="Y19" i="53"/>
  <c r="Z19" i="53"/>
  <c r="Y20" i="53"/>
  <c r="Z20" i="53"/>
  <c r="Y21" i="53"/>
  <c r="Z21" i="53"/>
  <c r="Y22" i="53"/>
  <c r="Z22" i="53"/>
  <c r="Y23" i="53"/>
  <c r="Z23" i="53"/>
  <c r="Y24" i="53"/>
  <c r="Z24" i="53"/>
  <c r="E330" i="11"/>
  <c r="E328" i="11"/>
  <c r="U18" i="50"/>
  <c r="U19" i="50"/>
  <c r="U20" i="50"/>
  <c r="U21" i="50"/>
  <c r="U22" i="50"/>
  <c r="U23" i="50"/>
  <c r="U24" i="50"/>
  <c r="U25" i="50"/>
  <c r="U26" i="50"/>
  <c r="U27" i="50"/>
  <c r="U28" i="50"/>
  <c r="U29" i="50"/>
  <c r="U30" i="50"/>
  <c r="U31" i="50"/>
  <c r="U32" i="50"/>
  <c r="U33" i="50"/>
  <c r="U34" i="50"/>
  <c r="U35" i="50"/>
  <c r="U36" i="50"/>
  <c r="U37" i="50"/>
  <c r="U38" i="50"/>
  <c r="U39" i="50"/>
  <c r="U40" i="50"/>
  <c r="U41" i="50"/>
  <c r="U42" i="50"/>
  <c r="U43" i="50"/>
  <c r="U44" i="50"/>
  <c r="U45" i="50"/>
  <c r="U46" i="50"/>
  <c r="U47" i="50"/>
  <c r="U48" i="50"/>
  <c r="U49" i="50"/>
  <c r="U50" i="50"/>
  <c r="U51" i="50"/>
  <c r="U52" i="50"/>
  <c r="U53" i="50"/>
  <c r="U54" i="50"/>
  <c r="U55" i="50"/>
  <c r="U56" i="50"/>
  <c r="U57" i="50"/>
  <c r="U58" i="50"/>
  <c r="U59" i="50"/>
  <c r="U60" i="50"/>
  <c r="U61" i="50"/>
  <c r="U62" i="50"/>
  <c r="U63" i="50"/>
  <c r="U64" i="50"/>
  <c r="U65" i="50"/>
  <c r="U66" i="50"/>
  <c r="U67" i="50"/>
  <c r="U68" i="50"/>
  <c r="U69" i="50"/>
  <c r="U126" i="50"/>
  <c r="U17" i="50"/>
  <c r="O2" i="3"/>
  <c r="AD66" i="50"/>
  <c r="BT66" i="50"/>
  <c r="AD67" i="50"/>
  <c r="BT67" i="50"/>
  <c r="AD68" i="50"/>
  <c r="BT68" i="50"/>
  <c r="AD69" i="50"/>
  <c r="BT69" i="50"/>
  <c r="AD62" i="50"/>
  <c r="BT62" i="50"/>
  <c r="AD63" i="50"/>
  <c r="BT63" i="50"/>
  <c r="AD64" i="50"/>
  <c r="BT64" i="50"/>
  <c r="AD65" i="50"/>
  <c r="BT65" i="50"/>
  <c r="AD58" i="50"/>
  <c r="BT58" i="50"/>
  <c r="AD59" i="50"/>
  <c r="BT59" i="50"/>
  <c r="AD60" i="50"/>
  <c r="BT60" i="50"/>
  <c r="AD61" i="50"/>
  <c r="BT61" i="50"/>
  <c r="AD54" i="50"/>
  <c r="BT54" i="50"/>
  <c r="AD55" i="50"/>
  <c r="BT55" i="50"/>
  <c r="AD56" i="50"/>
  <c r="BT56" i="50"/>
  <c r="AD57" i="50"/>
  <c r="BT57" i="50"/>
  <c r="BT50" i="50"/>
  <c r="AD50" i="50"/>
  <c r="AD51" i="50"/>
  <c r="BT51" i="50"/>
  <c r="AD52" i="50"/>
  <c r="BT52" i="50"/>
  <c r="AD53" i="50"/>
  <c r="BT53" i="50"/>
  <c r="BT46" i="50"/>
  <c r="AD46" i="50"/>
  <c r="BT47" i="50"/>
  <c r="AD47" i="50"/>
  <c r="BT48" i="50"/>
  <c r="AD48" i="50"/>
  <c r="BT49" i="50"/>
  <c r="AD49" i="50"/>
  <c r="BT42" i="50"/>
  <c r="AD42" i="50"/>
  <c r="BT43" i="50"/>
  <c r="AD43" i="50"/>
  <c r="BT44" i="50"/>
  <c r="AD44" i="50"/>
  <c r="BT45" i="50"/>
  <c r="AD45" i="50"/>
  <c r="W1" i="53"/>
  <c r="A1" i="47"/>
  <c r="U40" i="3"/>
  <c r="P84" i="48"/>
  <c r="Q84" i="48"/>
  <c r="S84" i="48"/>
  <c r="O84" i="48" s="1"/>
  <c r="P85" i="48"/>
  <c r="R85" i="48" s="1"/>
  <c r="Q85" i="48"/>
  <c r="S85" i="48"/>
  <c r="P86" i="48"/>
  <c r="Q86" i="48"/>
  <c r="S86" i="48"/>
  <c r="P87" i="48"/>
  <c r="Q87" i="48"/>
  <c r="S87" i="48"/>
  <c r="P88" i="48"/>
  <c r="Q88" i="48"/>
  <c r="P89" i="48"/>
  <c r="Q89" i="48"/>
  <c r="P90" i="48"/>
  <c r="Q90" i="48"/>
  <c r="S90" i="48"/>
  <c r="O347" i="11"/>
  <c r="B346" i="11" s="1"/>
  <c r="O344" i="11"/>
  <c r="O345" i="11"/>
  <c r="O346" i="11"/>
  <c r="D266" i="11"/>
  <c r="F266" i="11" s="1"/>
  <c r="H488" i="11"/>
  <c r="BT24" i="50"/>
  <c r="BT34" i="50"/>
  <c r="AD34" i="50"/>
  <c r="BT39" i="50"/>
  <c r="BT40" i="50"/>
  <c r="F602" i="11"/>
  <c r="F633" i="11"/>
  <c r="E488" i="11"/>
  <c r="F488" i="11"/>
  <c r="B546" i="11"/>
  <c r="M546" i="11"/>
  <c r="B554" i="11"/>
  <c r="W554" i="11" s="1"/>
  <c r="B602" i="11"/>
  <c r="M602" i="11"/>
  <c r="AS19" i="50"/>
  <c r="B633" i="11"/>
  <c r="V633" i="11" s="1"/>
  <c r="J633" i="11"/>
  <c r="B488" i="11"/>
  <c r="J488" i="11"/>
  <c r="D324" i="11"/>
  <c r="B324" i="11"/>
  <c r="D323" i="11"/>
  <c r="B323" i="11"/>
  <c r="D330" i="11"/>
  <c r="D328" i="11"/>
  <c r="AC12" i="53"/>
  <c r="B42" i="46"/>
  <c r="B146" i="14"/>
  <c r="C146" i="14"/>
  <c r="D146" i="14"/>
  <c r="E146" i="14"/>
  <c r="F146" i="14"/>
  <c r="B147" i="14"/>
  <c r="C147" i="14"/>
  <c r="D147" i="14"/>
  <c r="E147" i="14"/>
  <c r="F147" i="14"/>
  <c r="B148" i="14"/>
  <c r="C148" i="14"/>
  <c r="D148" i="14"/>
  <c r="E148" i="14"/>
  <c r="F148" i="14"/>
  <c r="B149" i="14"/>
  <c r="C149" i="14"/>
  <c r="D149" i="14"/>
  <c r="E149" i="14"/>
  <c r="F149" i="14"/>
  <c r="B150" i="14"/>
  <c r="C150" i="14"/>
  <c r="D150" i="14"/>
  <c r="E150" i="14"/>
  <c r="F150" i="14"/>
  <c r="H183" i="14"/>
  <c r="I183" i="14"/>
  <c r="L183" i="14"/>
  <c r="H184" i="14"/>
  <c r="I184" i="14"/>
  <c r="L184" i="14" s="1"/>
  <c r="H185" i="14"/>
  <c r="I185" i="14"/>
  <c r="L185" i="14" s="1"/>
  <c r="H186" i="14"/>
  <c r="I186" i="14" s="1"/>
  <c r="L186" i="14" s="1"/>
  <c r="H187" i="14"/>
  <c r="I187" i="14"/>
  <c r="L187" i="14" s="1"/>
  <c r="H188" i="14"/>
  <c r="I188" i="14"/>
  <c r="L188" i="14"/>
  <c r="H189" i="14"/>
  <c r="I189" i="14"/>
  <c r="L189" i="14" s="1"/>
  <c r="H190" i="14"/>
  <c r="I190" i="14"/>
  <c r="L190" i="14" s="1"/>
  <c r="H191" i="14"/>
  <c r="I191" i="14"/>
  <c r="L191" i="14" s="1"/>
  <c r="H192" i="14"/>
  <c r="I192" i="14"/>
  <c r="L192" i="14" s="1"/>
  <c r="H193" i="14"/>
  <c r="I193" i="14" s="1"/>
  <c r="L193" i="14" s="1"/>
  <c r="H194" i="14"/>
  <c r="I194" i="14" s="1"/>
  <c r="L194" i="14" s="1"/>
  <c r="H195" i="14"/>
  <c r="I195" i="14"/>
  <c r="L195" i="14"/>
  <c r="H196" i="14"/>
  <c r="I196" i="14"/>
  <c r="L196" i="14"/>
  <c r="H197" i="14"/>
  <c r="I197" i="14"/>
  <c r="L197" i="14"/>
  <c r="H198" i="14"/>
  <c r="I198" i="14" s="1"/>
  <c r="L198" i="14"/>
  <c r="H199" i="14"/>
  <c r="I199" i="14"/>
  <c r="L199" i="14" s="1"/>
  <c r="H200" i="14"/>
  <c r="I200" i="14"/>
  <c r="L200" i="14" s="1"/>
  <c r="H201" i="14"/>
  <c r="I201" i="14"/>
  <c r="L201" i="14"/>
  <c r="H202" i="14"/>
  <c r="I202" i="14"/>
  <c r="L202" i="14"/>
  <c r="H203" i="14"/>
  <c r="I203" i="14"/>
  <c r="L203" i="14" s="1"/>
  <c r="H204" i="14"/>
  <c r="I204" i="14"/>
  <c r="L204" i="14"/>
  <c r="H205" i="14"/>
  <c r="I205" i="14"/>
  <c r="L205" i="14" s="1"/>
  <c r="H206" i="14"/>
  <c r="I206" i="14"/>
  <c r="L206" i="14" s="1"/>
  <c r="H207" i="14"/>
  <c r="I207" i="14" s="1"/>
  <c r="L207" i="14" s="1"/>
  <c r="H208" i="14"/>
  <c r="I208" i="14"/>
  <c r="L208" i="14"/>
  <c r="H209" i="14"/>
  <c r="I209" i="14"/>
  <c r="L209" i="14"/>
  <c r="H210" i="14"/>
  <c r="I210" i="14"/>
  <c r="L210" i="14" s="1"/>
  <c r="H211" i="14"/>
  <c r="I211" i="14"/>
  <c r="L211" i="14"/>
  <c r="H212" i="14"/>
  <c r="I212" i="14"/>
  <c r="L212" i="14" s="1"/>
  <c r="H213" i="14"/>
  <c r="I213" i="14"/>
  <c r="L213" i="14" s="1"/>
  <c r="H214" i="14"/>
  <c r="I214" i="14" s="1"/>
  <c r="L214" i="14" s="1"/>
  <c r="H215" i="14"/>
  <c r="I215" i="14"/>
  <c r="L215" i="14"/>
  <c r="H216" i="14"/>
  <c r="I216" i="14"/>
  <c r="L216" i="14"/>
  <c r="H217" i="14"/>
  <c r="I217" i="14"/>
  <c r="L217" i="14"/>
  <c r="H218" i="14"/>
  <c r="I218" i="14"/>
  <c r="L218" i="14"/>
  <c r="H219" i="14"/>
  <c r="I219" i="14" s="1"/>
  <c r="L219" i="14"/>
  <c r="H220" i="14"/>
  <c r="I220" i="14"/>
  <c r="L220" i="14"/>
  <c r="H221" i="14"/>
  <c r="I221" i="14"/>
  <c r="L221" i="14"/>
  <c r="H222" i="14"/>
  <c r="I222" i="14"/>
  <c r="L222" i="14"/>
  <c r="H223" i="14"/>
  <c r="I223" i="14"/>
  <c r="L223" i="14"/>
  <c r="H224" i="14"/>
  <c r="I224" i="14"/>
  <c r="L224" i="14" s="1"/>
  <c r="H225" i="14"/>
  <c r="I225" i="14"/>
  <c r="L225" i="14"/>
  <c r="H226" i="14"/>
  <c r="I226" i="14"/>
  <c r="L226" i="14" s="1"/>
  <c r="H227" i="14"/>
  <c r="I227" i="14"/>
  <c r="L227" i="14" s="1"/>
  <c r="H228" i="14"/>
  <c r="I228" i="14"/>
  <c r="L228" i="14" s="1"/>
  <c r="H229" i="14"/>
  <c r="I229" i="14"/>
  <c r="L229" i="14"/>
  <c r="H230" i="14"/>
  <c r="I230" i="14"/>
  <c r="L230" i="14"/>
  <c r="H231" i="14"/>
  <c r="I231" i="14"/>
  <c r="L231" i="14" s="1"/>
  <c r="H232" i="14"/>
  <c r="I232" i="14"/>
  <c r="L232" i="14"/>
  <c r="H233" i="14"/>
  <c r="I233" i="14"/>
  <c r="L233" i="14" s="1"/>
  <c r="H234" i="14"/>
  <c r="I234" i="14" s="1"/>
  <c r="L234" i="14" s="1"/>
  <c r="H235" i="14"/>
  <c r="I235" i="14" s="1"/>
  <c r="L235" i="14"/>
  <c r="H236" i="14"/>
  <c r="I236" i="14"/>
  <c r="L236" i="14"/>
  <c r="H237" i="14"/>
  <c r="I237" i="14"/>
  <c r="L237" i="14"/>
  <c r="H238" i="14"/>
  <c r="I238" i="14"/>
  <c r="L238" i="14"/>
  <c r="H239" i="14"/>
  <c r="I239" i="14"/>
  <c r="L239" i="14"/>
  <c r="H240" i="14"/>
  <c r="I240" i="14" s="1"/>
  <c r="L240" i="14"/>
  <c r="H241" i="14"/>
  <c r="I241" i="14"/>
  <c r="L241" i="14"/>
  <c r="H242" i="14"/>
  <c r="I242" i="14"/>
  <c r="L242" i="14" s="1"/>
  <c r="H243" i="14"/>
  <c r="I243" i="14"/>
  <c r="L243" i="14"/>
  <c r="H244" i="14"/>
  <c r="I244" i="14"/>
  <c r="L244" i="14"/>
  <c r="H245" i="14"/>
  <c r="I245" i="14"/>
  <c r="L245" i="14" s="1"/>
  <c r="H246" i="14"/>
  <c r="I246" i="14"/>
  <c r="L246" i="14"/>
  <c r="H247" i="14"/>
  <c r="I247" i="14"/>
  <c r="L247" i="14" s="1"/>
  <c r="H248" i="14"/>
  <c r="I248" i="14"/>
  <c r="L248" i="14"/>
  <c r="H249" i="14"/>
  <c r="I249" i="14"/>
  <c r="L249" i="14" s="1"/>
  <c r="H250" i="14"/>
  <c r="I250" i="14"/>
  <c r="L250" i="14"/>
  <c r="H251" i="14"/>
  <c r="I251" i="14"/>
  <c r="L251" i="14"/>
  <c r="H252" i="14"/>
  <c r="I252" i="14"/>
  <c r="L252" i="14" s="1"/>
  <c r="H253" i="14"/>
  <c r="I253" i="14"/>
  <c r="L253" i="14"/>
  <c r="H254" i="14"/>
  <c r="I254" i="14" s="1"/>
  <c r="L254" i="14" s="1"/>
  <c r="H255" i="14"/>
  <c r="I255" i="14" s="1"/>
  <c r="L255" i="14"/>
  <c r="H256" i="14"/>
  <c r="I256" i="14" s="1"/>
  <c r="L256" i="14" s="1"/>
  <c r="H257" i="14"/>
  <c r="I257" i="14"/>
  <c r="L257" i="14"/>
  <c r="H258" i="14"/>
  <c r="I258" i="14"/>
  <c r="L258" i="14"/>
  <c r="H259" i="14"/>
  <c r="I259" i="14"/>
  <c r="L259" i="14"/>
  <c r="H260" i="14"/>
  <c r="I260" i="14"/>
  <c r="L260" i="14"/>
  <c r="M265" i="14"/>
  <c r="P265" i="14"/>
  <c r="M266" i="14"/>
  <c r="P266" i="14" s="1"/>
  <c r="M267" i="14"/>
  <c r="P267" i="14"/>
  <c r="M268" i="14"/>
  <c r="P268" i="14"/>
  <c r="M269" i="14"/>
  <c r="P269" i="14"/>
  <c r="M270" i="14"/>
  <c r="P270" i="14"/>
  <c r="M271" i="14"/>
  <c r="P271" i="14"/>
  <c r="M272" i="14"/>
  <c r="P272" i="14"/>
  <c r="M273" i="14"/>
  <c r="P273" i="14" s="1"/>
  <c r="M274" i="14"/>
  <c r="P274" i="14"/>
  <c r="M275" i="14"/>
  <c r="P275" i="14"/>
  <c r="M276" i="14"/>
  <c r="P276" i="14" s="1"/>
  <c r="M277" i="14"/>
  <c r="P277" i="14"/>
  <c r="M278" i="14"/>
  <c r="P278" i="14"/>
  <c r="M279" i="14"/>
  <c r="P279" i="14"/>
  <c r="M280" i="14"/>
  <c r="P280" i="14"/>
  <c r="M281" i="14"/>
  <c r="P281" i="14"/>
  <c r="M282" i="14"/>
  <c r="P282" i="14"/>
  <c r="M283" i="14"/>
  <c r="P283" i="14" s="1"/>
  <c r="M284" i="14"/>
  <c r="P284" i="14"/>
  <c r="M285" i="14"/>
  <c r="P285" i="14"/>
  <c r="M286" i="14"/>
  <c r="P286" i="14" s="1"/>
  <c r="M287" i="14"/>
  <c r="P287" i="14"/>
  <c r="M288" i="14"/>
  <c r="P288" i="14"/>
  <c r="M289" i="14"/>
  <c r="P289" i="14"/>
  <c r="M290" i="14"/>
  <c r="P290" i="14"/>
  <c r="M291" i="14"/>
  <c r="P291" i="14"/>
  <c r="M292" i="14"/>
  <c r="P292" i="14"/>
  <c r="M293" i="14"/>
  <c r="P293" i="14" s="1"/>
  <c r="M294" i="14"/>
  <c r="P294" i="14"/>
  <c r="M295" i="14"/>
  <c r="P295" i="14"/>
  <c r="M296" i="14"/>
  <c r="P296" i="14" s="1"/>
  <c r="M297" i="14"/>
  <c r="P297" i="14"/>
  <c r="M298" i="14"/>
  <c r="P298" i="14"/>
  <c r="M299" i="14"/>
  <c r="P299" i="14"/>
  <c r="M300" i="14"/>
  <c r="P300" i="14"/>
  <c r="M301" i="14"/>
  <c r="P301" i="14"/>
  <c r="M302" i="14"/>
  <c r="P302" i="14"/>
  <c r="M303" i="14"/>
  <c r="P303" i="14" s="1"/>
  <c r="E307" i="14"/>
  <c r="E308" i="14"/>
  <c r="E309" i="14"/>
  <c r="E310" i="14"/>
  <c r="J313" i="14"/>
  <c r="J314" i="14"/>
  <c r="J315" i="14"/>
  <c r="J316" i="14"/>
  <c r="J317" i="14"/>
  <c r="J318" i="14"/>
  <c r="J319" i="14"/>
  <c r="J320" i="14"/>
  <c r="J321" i="14"/>
  <c r="T326" i="14"/>
  <c r="X326" i="14"/>
  <c r="U326" i="14"/>
  <c r="AD326" i="14"/>
  <c r="Y326" i="14"/>
  <c r="T327" i="14"/>
  <c r="X327" i="14" s="1"/>
  <c r="U327" i="14"/>
  <c r="Y327" i="14"/>
  <c r="T328" i="14"/>
  <c r="X328" i="14"/>
  <c r="U328" i="14"/>
  <c r="AD328" i="14" s="1"/>
  <c r="T329" i="14"/>
  <c r="X329" i="14"/>
  <c r="U329" i="14"/>
  <c r="AD329" i="14"/>
  <c r="T330" i="14"/>
  <c r="X330" i="14"/>
  <c r="U330" i="14"/>
  <c r="T331" i="14"/>
  <c r="X331" i="14"/>
  <c r="U331" i="14"/>
  <c r="AD331" i="14"/>
  <c r="Y331" i="14"/>
  <c r="T332" i="14"/>
  <c r="U332" i="14"/>
  <c r="AD332" i="14"/>
  <c r="X332" i="14"/>
  <c r="T333" i="14"/>
  <c r="X333" i="14"/>
  <c r="U333" i="14"/>
  <c r="Y333" i="14" s="1"/>
  <c r="T334" i="14"/>
  <c r="X334" i="14"/>
  <c r="U334" i="14"/>
  <c r="AD334" i="14"/>
  <c r="T335" i="14"/>
  <c r="X335" i="14"/>
  <c r="U335" i="14"/>
  <c r="AD335" i="14"/>
  <c r="T336" i="14"/>
  <c r="X336" i="14"/>
  <c r="U336" i="14"/>
  <c r="AD336" i="14"/>
  <c r="Y336" i="14"/>
  <c r="E337" i="14"/>
  <c r="T337" i="14"/>
  <c r="X337" i="14"/>
  <c r="U337" i="14"/>
  <c r="AD337" i="14"/>
  <c r="T338" i="14"/>
  <c r="X338" i="14" s="1"/>
  <c r="U338" i="14"/>
  <c r="AD338" i="14"/>
  <c r="T339" i="14"/>
  <c r="U339" i="14"/>
  <c r="AD339" i="14" s="1"/>
  <c r="AB399" i="14"/>
  <c r="AC399" i="14"/>
  <c r="AD399" i="14"/>
  <c r="AE399" i="14"/>
  <c r="AB400" i="14"/>
  <c r="AC400" i="14"/>
  <c r="AD400" i="14"/>
  <c r="AE400" i="14"/>
  <c r="AB401" i="14"/>
  <c r="AC401" i="14"/>
  <c r="AD401" i="14"/>
  <c r="AE401" i="14"/>
  <c r="AB402" i="14"/>
  <c r="AC402" i="14"/>
  <c r="AD402" i="14"/>
  <c r="AE402" i="14"/>
  <c r="AB403" i="14"/>
  <c r="AC403" i="14"/>
  <c r="AD403" i="14"/>
  <c r="AE403" i="14"/>
  <c r="AB404" i="14"/>
  <c r="AC404" i="14"/>
  <c r="AD404" i="14"/>
  <c r="AE404" i="14"/>
  <c r="AB405" i="14"/>
  <c r="AC405" i="14"/>
  <c r="AD405" i="14"/>
  <c r="AE405" i="14"/>
  <c r="AB406" i="14"/>
  <c r="AC406" i="14"/>
  <c r="AD406" i="14"/>
  <c r="AE406" i="14"/>
  <c r="AB407" i="14"/>
  <c r="AC407" i="14"/>
  <c r="AD407" i="14"/>
  <c r="AE407" i="14"/>
  <c r="AB408" i="14"/>
  <c r="AC408" i="14"/>
  <c r="AD408" i="14"/>
  <c r="AE408" i="14"/>
  <c r="AB409" i="14"/>
  <c r="AC409" i="14"/>
  <c r="AD409" i="14"/>
  <c r="AE409" i="14"/>
  <c r="AB410" i="14"/>
  <c r="AC410" i="14"/>
  <c r="AD410" i="14"/>
  <c r="AE410" i="14"/>
  <c r="AB411" i="14"/>
  <c r="AC411" i="14"/>
  <c r="AD411" i="14"/>
  <c r="AE411" i="14"/>
  <c r="AB412" i="14"/>
  <c r="AC412" i="14"/>
  <c r="AD412" i="14"/>
  <c r="AE412" i="14"/>
  <c r="AB413" i="14"/>
  <c r="AC413" i="14"/>
  <c r="AD413" i="14"/>
  <c r="AE413" i="14"/>
  <c r="AB414" i="14"/>
  <c r="AC414" i="14"/>
  <c r="AD414" i="14"/>
  <c r="AE414" i="14"/>
  <c r="AB415" i="14"/>
  <c r="AC415" i="14"/>
  <c r="AD415" i="14"/>
  <c r="AE415" i="14"/>
  <c r="AB416" i="14"/>
  <c r="AC416" i="14"/>
  <c r="AD416" i="14"/>
  <c r="AE416" i="14"/>
  <c r="AB417" i="14"/>
  <c r="AC417" i="14"/>
  <c r="AD417" i="14"/>
  <c r="AE417" i="14"/>
  <c r="AB418" i="14"/>
  <c r="AC418" i="14"/>
  <c r="AD418" i="14"/>
  <c r="AE418" i="14"/>
  <c r="AB419" i="14"/>
  <c r="AC419" i="14"/>
  <c r="AD419" i="14"/>
  <c r="AE419" i="14"/>
  <c r="AB420" i="14"/>
  <c r="AC420" i="14"/>
  <c r="AD420" i="14"/>
  <c r="AE420" i="14"/>
  <c r="AB421" i="14"/>
  <c r="AC421" i="14"/>
  <c r="AD421" i="14"/>
  <c r="AE421" i="14"/>
  <c r="AB422" i="14"/>
  <c r="AC422" i="14"/>
  <c r="AD422" i="14"/>
  <c r="AE422" i="14"/>
  <c r="AB423" i="14"/>
  <c r="AC423" i="14"/>
  <c r="AD423" i="14"/>
  <c r="AE423" i="14"/>
  <c r="AB424" i="14"/>
  <c r="AC424" i="14"/>
  <c r="AD424" i="14"/>
  <c r="AE424" i="14"/>
  <c r="AB425" i="14"/>
  <c r="AC425" i="14"/>
  <c r="AD425" i="14"/>
  <c r="AE425" i="14"/>
  <c r="AB426" i="14"/>
  <c r="AC426" i="14"/>
  <c r="AD426" i="14"/>
  <c r="AE426" i="14"/>
  <c r="AB427" i="14"/>
  <c r="AC427" i="14"/>
  <c r="AD427" i="14"/>
  <c r="AE427" i="14"/>
  <c r="AB428" i="14"/>
  <c r="AC428" i="14"/>
  <c r="AD428" i="14"/>
  <c r="AE428" i="14"/>
  <c r="AB429" i="14"/>
  <c r="AC429" i="14"/>
  <c r="AD429" i="14"/>
  <c r="AE429" i="14"/>
  <c r="AB430" i="14"/>
  <c r="AC430" i="14"/>
  <c r="AD430" i="14"/>
  <c r="AE430" i="14"/>
  <c r="AB431" i="14"/>
  <c r="AC431" i="14"/>
  <c r="AD431" i="14"/>
  <c r="AE431" i="14"/>
  <c r="AB432" i="14"/>
  <c r="AC432" i="14"/>
  <c r="AD432" i="14"/>
  <c r="AE432" i="14"/>
  <c r="AB433" i="14"/>
  <c r="AC433" i="14"/>
  <c r="AD433" i="14"/>
  <c r="AE433" i="14"/>
  <c r="AB434" i="14"/>
  <c r="AC434" i="14"/>
  <c r="AD434" i="14"/>
  <c r="AE434" i="14"/>
  <c r="AB435" i="14"/>
  <c r="AC435" i="14"/>
  <c r="AD435" i="14"/>
  <c r="AE435" i="14"/>
  <c r="AB436" i="14"/>
  <c r="AC436" i="14"/>
  <c r="AD436" i="14"/>
  <c r="AE436" i="14"/>
  <c r="AB437" i="14"/>
  <c r="AC437" i="14"/>
  <c r="AD437" i="14"/>
  <c r="AE437" i="14"/>
  <c r="AB438" i="14"/>
  <c r="AC438" i="14"/>
  <c r="AD438" i="14"/>
  <c r="AE438" i="14"/>
  <c r="AB439" i="14"/>
  <c r="AC439" i="14"/>
  <c r="AD439" i="14"/>
  <c r="AE439" i="14"/>
  <c r="AB440" i="14"/>
  <c r="AC440" i="14"/>
  <c r="AD440" i="14"/>
  <c r="AE440" i="14"/>
  <c r="AB441" i="14"/>
  <c r="AC441" i="14"/>
  <c r="AD441" i="14"/>
  <c r="AE441" i="14"/>
  <c r="AB442" i="14"/>
  <c r="AC442" i="14"/>
  <c r="AD442" i="14"/>
  <c r="AE442" i="14"/>
  <c r="AB443" i="14"/>
  <c r="AC443" i="14"/>
  <c r="AD443" i="14"/>
  <c r="AE443" i="14"/>
  <c r="AB444" i="14"/>
  <c r="AC444" i="14"/>
  <c r="AD444" i="14"/>
  <c r="AE444" i="14"/>
  <c r="AB445" i="14"/>
  <c r="AC445" i="14"/>
  <c r="AD445" i="14"/>
  <c r="AE445" i="14"/>
  <c r="AB446" i="14"/>
  <c r="AC446" i="14"/>
  <c r="AD446" i="14"/>
  <c r="AE446" i="14"/>
  <c r="AB447" i="14"/>
  <c r="AC447" i="14"/>
  <c r="AD447" i="14"/>
  <c r="AE447" i="14"/>
  <c r="AB448" i="14"/>
  <c r="AC448" i="14"/>
  <c r="AD448" i="14"/>
  <c r="AE448" i="14"/>
  <c r="AB449" i="14"/>
  <c r="AC449" i="14"/>
  <c r="AD449" i="14"/>
  <c r="AE449" i="14"/>
  <c r="AB450" i="14"/>
  <c r="AC450" i="14"/>
  <c r="AD450" i="14"/>
  <c r="AE450" i="14"/>
  <c r="AB451" i="14"/>
  <c r="AC451" i="14"/>
  <c r="AD451" i="14"/>
  <c r="AE451" i="14"/>
  <c r="AB452" i="14"/>
  <c r="AC452" i="14"/>
  <c r="AD452" i="14"/>
  <c r="AE452" i="14"/>
  <c r="AB453" i="14"/>
  <c r="AC453" i="14"/>
  <c r="AD453" i="14"/>
  <c r="AE453" i="14"/>
  <c r="AB454" i="14"/>
  <c r="AC454" i="14"/>
  <c r="AD454" i="14"/>
  <c r="AE454" i="14"/>
  <c r="AB455" i="14"/>
  <c r="AC455" i="14"/>
  <c r="AD455" i="14"/>
  <c r="AE455" i="14"/>
  <c r="AB456" i="14"/>
  <c r="AC456" i="14"/>
  <c r="AD456" i="14"/>
  <c r="AE456" i="14"/>
  <c r="AB457" i="14"/>
  <c r="AC457" i="14"/>
  <c r="AD457" i="14"/>
  <c r="AE457" i="14"/>
  <c r="AB458" i="14"/>
  <c r="AC458" i="14"/>
  <c r="AD458" i="14"/>
  <c r="AE458" i="14"/>
  <c r="AB459" i="14"/>
  <c r="AC459" i="14"/>
  <c r="AD459" i="14"/>
  <c r="AE459" i="14"/>
  <c r="AB460" i="14"/>
  <c r="AC460" i="14"/>
  <c r="AD460" i="14"/>
  <c r="AE460" i="14"/>
  <c r="AB461" i="14"/>
  <c r="AC461" i="14"/>
  <c r="AD461" i="14"/>
  <c r="AE461" i="14"/>
  <c r="AB462" i="14"/>
  <c r="AC462" i="14"/>
  <c r="AD462" i="14"/>
  <c r="AE462" i="14"/>
  <c r="AB463" i="14"/>
  <c r="AC463" i="14"/>
  <c r="AD463" i="14"/>
  <c r="AE463" i="14"/>
  <c r="AB464" i="14"/>
  <c r="AC464" i="14"/>
  <c r="AD464" i="14"/>
  <c r="AE464" i="14"/>
  <c r="AB465" i="14"/>
  <c r="AC465" i="14"/>
  <c r="AD465" i="14"/>
  <c r="AE465" i="14"/>
  <c r="AB466" i="14"/>
  <c r="AC466" i="14"/>
  <c r="AD466" i="14"/>
  <c r="AE466" i="14"/>
  <c r="AB467" i="14"/>
  <c r="AC467" i="14"/>
  <c r="AD467" i="14"/>
  <c r="AE467" i="14"/>
  <c r="AB468" i="14"/>
  <c r="AC468" i="14"/>
  <c r="AD468" i="14"/>
  <c r="AE468" i="14"/>
  <c r="AB469" i="14"/>
  <c r="AC469" i="14"/>
  <c r="AD469" i="14"/>
  <c r="AE469" i="14"/>
  <c r="AB470" i="14"/>
  <c r="AC470" i="14"/>
  <c r="AD470" i="14"/>
  <c r="AE470" i="14"/>
  <c r="AB471" i="14"/>
  <c r="AC471" i="14"/>
  <c r="AD471" i="14"/>
  <c r="AE471" i="14"/>
  <c r="AB472" i="14"/>
  <c r="AC472" i="14"/>
  <c r="AD472" i="14"/>
  <c r="AE472" i="14"/>
  <c r="AB473" i="14"/>
  <c r="AC473" i="14"/>
  <c r="AD473" i="14"/>
  <c r="AE473" i="14"/>
  <c r="AB474" i="14"/>
  <c r="AC474" i="14"/>
  <c r="AD474" i="14"/>
  <c r="AE474" i="14"/>
  <c r="AB475" i="14"/>
  <c r="AC475" i="14"/>
  <c r="AD475" i="14"/>
  <c r="AE475" i="14"/>
  <c r="AB476" i="14"/>
  <c r="AC476" i="14"/>
  <c r="AD476" i="14"/>
  <c r="AE476" i="14"/>
  <c r="AB477" i="14"/>
  <c r="AC477" i="14"/>
  <c r="AD477" i="14"/>
  <c r="AE477" i="14"/>
  <c r="AB478" i="14"/>
  <c r="AC478" i="14"/>
  <c r="AD478" i="14"/>
  <c r="AE478" i="14"/>
  <c r="AB479" i="14"/>
  <c r="AC479" i="14"/>
  <c r="AD479" i="14"/>
  <c r="AE479" i="14"/>
  <c r="AB480" i="14"/>
  <c r="AC480" i="14"/>
  <c r="AD480" i="14"/>
  <c r="AE480" i="14"/>
  <c r="AB481" i="14"/>
  <c r="AC481" i="14"/>
  <c r="AD481" i="14"/>
  <c r="AE481" i="14"/>
  <c r="AB482" i="14"/>
  <c r="AC482" i="14"/>
  <c r="AD482" i="14"/>
  <c r="AE482" i="14"/>
  <c r="AB483" i="14"/>
  <c r="AC483" i="14"/>
  <c r="AD483" i="14"/>
  <c r="AE483" i="14"/>
  <c r="AB484" i="14"/>
  <c r="AC484" i="14"/>
  <c r="AD484" i="14"/>
  <c r="AE484" i="14"/>
  <c r="AB485" i="14"/>
  <c r="AC485" i="14"/>
  <c r="AD485" i="14"/>
  <c r="AE485" i="14"/>
  <c r="AB486" i="14"/>
  <c r="AC486" i="14"/>
  <c r="AD486" i="14"/>
  <c r="AE486" i="14"/>
  <c r="AB487" i="14"/>
  <c r="AC487" i="14"/>
  <c r="AD487" i="14"/>
  <c r="AE487" i="14"/>
  <c r="AB488" i="14"/>
  <c r="AC488" i="14"/>
  <c r="AD488" i="14"/>
  <c r="AE488" i="14"/>
  <c r="AB489" i="14"/>
  <c r="AC489" i="14"/>
  <c r="AD489" i="14"/>
  <c r="AE489" i="14"/>
  <c r="AB490" i="14"/>
  <c r="AC490" i="14"/>
  <c r="AD490" i="14"/>
  <c r="AE490" i="14"/>
  <c r="AB491" i="14"/>
  <c r="AC491" i="14"/>
  <c r="AD491" i="14"/>
  <c r="AE491" i="14"/>
  <c r="AB492" i="14"/>
  <c r="AC492" i="14"/>
  <c r="AD492" i="14"/>
  <c r="AE492" i="14"/>
  <c r="AB493" i="14"/>
  <c r="AC493" i="14"/>
  <c r="AD493" i="14"/>
  <c r="AE493" i="14"/>
  <c r="AB494" i="14"/>
  <c r="AC494" i="14"/>
  <c r="AD494" i="14"/>
  <c r="AE494" i="14"/>
  <c r="AB495" i="14"/>
  <c r="AC495" i="14"/>
  <c r="AD495" i="14"/>
  <c r="AE495" i="14"/>
  <c r="AB496" i="14"/>
  <c r="AC496" i="14"/>
  <c r="AD496" i="14"/>
  <c r="AE496" i="14"/>
  <c r="AB497" i="14"/>
  <c r="AC497" i="14"/>
  <c r="AD497" i="14"/>
  <c r="AE497" i="14"/>
  <c r="AB498" i="14"/>
  <c r="AC498" i="14"/>
  <c r="AD498" i="14"/>
  <c r="AE498" i="14"/>
  <c r="AB499" i="14"/>
  <c r="AC499" i="14"/>
  <c r="AD499" i="14"/>
  <c r="AE499" i="14"/>
  <c r="AB500" i="14"/>
  <c r="AC500" i="14"/>
  <c r="AD500" i="14"/>
  <c r="AE500" i="14"/>
  <c r="AB501" i="14"/>
  <c r="AC501" i="14"/>
  <c r="AD501" i="14"/>
  <c r="AE501" i="14"/>
  <c r="AB502" i="14"/>
  <c r="AC502" i="14"/>
  <c r="AD502" i="14"/>
  <c r="AE502" i="14"/>
  <c r="AB503" i="14"/>
  <c r="AC503" i="14"/>
  <c r="AD503" i="14"/>
  <c r="AE503" i="14"/>
  <c r="AB504" i="14"/>
  <c r="AC504" i="14"/>
  <c r="AD504" i="14"/>
  <c r="AE504" i="14"/>
  <c r="AB505" i="14"/>
  <c r="AC505" i="14"/>
  <c r="AD505" i="14"/>
  <c r="AE505" i="14"/>
  <c r="AB506" i="14"/>
  <c r="AC506" i="14"/>
  <c r="AD506" i="14"/>
  <c r="AE506" i="14"/>
  <c r="AB507" i="14"/>
  <c r="AC507" i="14"/>
  <c r="AD507" i="14"/>
  <c r="AE507" i="14"/>
  <c r="AB508" i="14"/>
  <c r="AC508" i="14"/>
  <c r="AD508" i="14"/>
  <c r="AE508" i="14"/>
  <c r="AB509" i="14"/>
  <c r="AC509" i="14"/>
  <c r="AD509" i="14"/>
  <c r="AE509" i="14"/>
  <c r="AB510" i="14"/>
  <c r="AC510" i="14"/>
  <c r="AD510" i="14"/>
  <c r="AE510" i="14"/>
  <c r="AB511" i="14"/>
  <c r="AC511" i="14"/>
  <c r="AD511" i="14"/>
  <c r="AE511" i="14"/>
  <c r="AB512" i="14"/>
  <c r="AC512" i="14"/>
  <c r="AD512" i="14"/>
  <c r="AE512" i="14"/>
  <c r="AB513" i="14"/>
  <c r="AC513" i="14"/>
  <c r="AD513" i="14"/>
  <c r="AE513" i="14"/>
  <c r="AB514" i="14"/>
  <c r="AC514" i="14"/>
  <c r="AD514" i="14"/>
  <c r="AE514" i="14"/>
  <c r="AB515" i="14"/>
  <c r="AC515" i="14"/>
  <c r="AD515" i="14"/>
  <c r="AE515" i="14"/>
  <c r="AB516" i="14"/>
  <c r="AC516" i="14"/>
  <c r="AD516" i="14"/>
  <c r="AE516" i="14"/>
  <c r="AB517" i="14"/>
  <c r="AC517" i="14"/>
  <c r="AD517" i="14"/>
  <c r="AE517" i="14"/>
  <c r="AB518" i="14"/>
  <c r="AC518" i="14"/>
  <c r="AD518" i="14"/>
  <c r="AE518" i="14"/>
  <c r="AB519" i="14"/>
  <c r="AC519" i="14"/>
  <c r="AD519" i="14"/>
  <c r="AE519" i="14"/>
  <c r="AB520" i="14"/>
  <c r="AC520" i="14"/>
  <c r="AD520" i="14"/>
  <c r="AE520" i="14"/>
  <c r="AB521" i="14"/>
  <c r="AC521" i="14"/>
  <c r="AD521" i="14"/>
  <c r="AE521" i="14"/>
  <c r="AB522" i="14"/>
  <c r="AC522" i="14"/>
  <c r="AD522" i="14"/>
  <c r="AE522" i="14"/>
  <c r="AB523" i="14"/>
  <c r="AC523" i="14"/>
  <c r="AD523" i="14"/>
  <c r="AE523" i="14"/>
  <c r="AB524" i="14"/>
  <c r="AC524" i="14"/>
  <c r="AD524" i="14"/>
  <c r="AE524" i="14"/>
  <c r="AB525" i="14"/>
  <c r="AC525" i="14"/>
  <c r="AD525" i="14"/>
  <c r="AE525" i="14"/>
  <c r="AB526" i="14"/>
  <c r="AC526" i="14"/>
  <c r="AD526" i="14"/>
  <c r="AE526" i="14"/>
  <c r="AB527" i="14"/>
  <c r="AC527" i="14"/>
  <c r="AD527" i="14"/>
  <c r="AE527" i="14"/>
  <c r="AB528" i="14"/>
  <c r="AC528" i="14"/>
  <c r="AD528" i="14"/>
  <c r="AE528" i="14"/>
  <c r="AB529" i="14"/>
  <c r="AC529" i="14"/>
  <c r="AD529" i="14"/>
  <c r="AE529" i="14"/>
  <c r="AB530" i="14"/>
  <c r="AC530" i="14"/>
  <c r="AD530" i="14"/>
  <c r="AE530" i="14"/>
  <c r="AB531" i="14"/>
  <c r="AC531" i="14"/>
  <c r="AD531" i="14"/>
  <c r="AE531" i="14"/>
  <c r="AB532" i="14"/>
  <c r="AC532" i="14"/>
  <c r="AD532" i="14"/>
  <c r="AE532" i="14"/>
  <c r="AB533" i="14"/>
  <c r="AC533" i="14"/>
  <c r="AD533" i="14"/>
  <c r="AE533" i="14"/>
  <c r="AB534" i="14"/>
  <c r="AC534" i="14"/>
  <c r="AD534" i="14"/>
  <c r="AE534" i="14"/>
  <c r="AB535" i="14"/>
  <c r="AC535" i="14"/>
  <c r="AD535" i="14"/>
  <c r="AE535" i="14"/>
  <c r="AB536" i="14"/>
  <c r="AC536" i="14"/>
  <c r="AD536" i="14"/>
  <c r="AE536" i="14"/>
  <c r="AB537" i="14"/>
  <c r="AC537" i="14"/>
  <c r="AD537" i="14"/>
  <c r="AE537" i="14"/>
  <c r="AB538" i="14"/>
  <c r="AC538" i="14"/>
  <c r="AD538" i="14"/>
  <c r="AE538" i="14"/>
  <c r="AB539" i="14"/>
  <c r="AC539" i="14"/>
  <c r="AD539" i="14"/>
  <c r="AE539" i="14"/>
  <c r="AB540" i="14"/>
  <c r="AC540" i="14"/>
  <c r="AD540" i="14"/>
  <c r="AE540" i="14"/>
  <c r="AB541" i="14"/>
  <c r="AC541" i="14"/>
  <c r="AD541" i="14"/>
  <c r="AE541" i="14"/>
  <c r="AB542" i="14"/>
  <c r="AC542" i="14"/>
  <c r="AD542" i="14"/>
  <c r="AE542" i="14"/>
  <c r="AB543" i="14"/>
  <c r="AC543" i="14"/>
  <c r="AD543" i="14"/>
  <c r="AE543" i="14"/>
  <c r="AB544" i="14"/>
  <c r="AC544" i="14"/>
  <c r="AD544" i="14"/>
  <c r="AE544" i="14"/>
  <c r="AB545" i="14"/>
  <c r="AC545" i="14"/>
  <c r="AD545" i="14"/>
  <c r="AE545" i="14"/>
  <c r="AB546" i="14"/>
  <c r="AC546" i="14"/>
  <c r="AD546" i="14"/>
  <c r="AE546" i="14"/>
  <c r="AB547" i="14"/>
  <c r="AC547" i="14"/>
  <c r="AD547" i="14"/>
  <c r="AE547" i="14"/>
  <c r="AB548" i="14"/>
  <c r="AC548" i="14"/>
  <c r="AD548" i="14"/>
  <c r="AE548" i="14"/>
  <c r="AB549" i="14"/>
  <c r="AC549" i="14"/>
  <c r="AD549" i="14"/>
  <c r="AE549" i="14"/>
  <c r="AB550" i="14"/>
  <c r="AC550" i="14"/>
  <c r="AD550" i="14"/>
  <c r="AE550" i="14"/>
  <c r="AB551" i="14"/>
  <c r="AC551" i="14"/>
  <c r="AD551" i="14"/>
  <c r="AE551" i="14"/>
  <c r="AB552" i="14"/>
  <c r="AC552" i="14"/>
  <c r="AD552" i="14"/>
  <c r="AE552" i="14"/>
  <c r="AB553" i="14"/>
  <c r="AC553" i="14"/>
  <c r="AD553" i="14"/>
  <c r="AE553" i="14"/>
  <c r="AB554" i="14"/>
  <c r="AC554" i="14"/>
  <c r="AD554" i="14"/>
  <c r="AE554" i="14"/>
  <c r="AB555" i="14"/>
  <c r="AC555" i="14"/>
  <c r="AD555" i="14"/>
  <c r="AE555" i="14"/>
  <c r="AB556" i="14"/>
  <c r="AC556" i="14"/>
  <c r="AD556" i="14"/>
  <c r="AE556" i="14"/>
  <c r="AB557" i="14"/>
  <c r="AC557" i="14"/>
  <c r="AD557" i="14"/>
  <c r="AE557" i="14"/>
  <c r="AB558" i="14"/>
  <c r="AC558" i="14"/>
  <c r="AD558" i="14"/>
  <c r="AE558" i="14"/>
  <c r="AB559" i="14"/>
  <c r="AC559" i="14"/>
  <c r="AD559" i="14"/>
  <c r="AE559" i="14"/>
  <c r="AB560" i="14"/>
  <c r="AC560" i="14"/>
  <c r="AD560" i="14"/>
  <c r="AE560" i="14"/>
  <c r="AB561" i="14"/>
  <c r="AC561" i="14"/>
  <c r="AD561" i="14"/>
  <c r="AE561" i="14"/>
  <c r="AB562" i="14"/>
  <c r="AC562" i="14"/>
  <c r="AD562" i="14"/>
  <c r="AE562" i="14"/>
  <c r="AB563" i="14"/>
  <c r="AC563" i="14"/>
  <c r="AD563" i="14"/>
  <c r="AE563" i="14"/>
  <c r="AB564" i="14"/>
  <c r="AC564" i="14"/>
  <c r="AD564" i="14"/>
  <c r="AE564" i="14"/>
  <c r="AB565" i="14"/>
  <c r="AC565" i="14"/>
  <c r="AD565" i="14"/>
  <c r="AE565" i="14"/>
  <c r="AB566" i="14"/>
  <c r="AC566" i="14"/>
  <c r="AD566" i="14"/>
  <c r="AE566" i="14"/>
  <c r="AB567" i="14"/>
  <c r="AC567" i="14"/>
  <c r="AD567" i="14"/>
  <c r="AE567" i="14"/>
  <c r="AB568" i="14"/>
  <c r="AC568" i="14"/>
  <c r="AD568" i="14"/>
  <c r="AE568" i="14"/>
  <c r="AB569" i="14"/>
  <c r="AC569" i="14"/>
  <c r="AD569" i="14"/>
  <c r="AE569" i="14"/>
  <c r="AB570" i="14"/>
  <c r="AC570" i="14"/>
  <c r="AD570" i="14"/>
  <c r="AE570" i="14"/>
  <c r="AB571" i="14"/>
  <c r="AC571" i="14"/>
  <c r="AD571" i="14"/>
  <c r="AE571" i="14"/>
  <c r="AB572" i="14"/>
  <c r="AC572" i="14"/>
  <c r="AD572" i="14"/>
  <c r="AE572" i="14"/>
  <c r="AB573" i="14"/>
  <c r="AC573" i="14"/>
  <c r="AD573" i="14"/>
  <c r="AE573" i="14"/>
  <c r="AB574" i="14"/>
  <c r="AC574" i="14"/>
  <c r="AD574" i="14"/>
  <c r="AE574" i="14"/>
  <c r="AB575" i="14"/>
  <c r="AC575" i="14"/>
  <c r="AD575" i="14"/>
  <c r="AE575" i="14"/>
  <c r="AB576" i="14"/>
  <c r="AC576" i="14"/>
  <c r="AD576" i="14"/>
  <c r="AE576" i="14"/>
  <c r="AB577" i="14"/>
  <c r="AC577" i="14"/>
  <c r="AD577" i="14"/>
  <c r="AE577" i="14"/>
  <c r="AB578" i="14"/>
  <c r="AC578" i="14"/>
  <c r="AD578" i="14"/>
  <c r="AE578" i="14"/>
  <c r="AB579" i="14"/>
  <c r="AC579" i="14"/>
  <c r="AD579" i="14"/>
  <c r="AE579" i="14"/>
  <c r="AB580" i="14"/>
  <c r="AC580" i="14"/>
  <c r="AD580" i="14"/>
  <c r="AE580" i="14"/>
  <c r="AB581" i="14"/>
  <c r="AC581" i="14"/>
  <c r="AD581" i="14"/>
  <c r="AE581" i="14"/>
  <c r="AB582" i="14"/>
  <c r="AC582" i="14"/>
  <c r="AD582" i="14"/>
  <c r="AE582" i="14"/>
  <c r="AB583" i="14"/>
  <c r="AC583" i="14"/>
  <c r="AD583" i="14"/>
  <c r="AE583" i="14"/>
  <c r="AB584" i="14"/>
  <c r="AC584" i="14"/>
  <c r="AD584" i="14"/>
  <c r="AE584" i="14"/>
  <c r="AB585" i="14"/>
  <c r="AC585" i="14"/>
  <c r="AD585" i="14"/>
  <c r="AE585" i="14"/>
  <c r="AB586" i="14"/>
  <c r="AC586" i="14"/>
  <c r="AD586" i="14"/>
  <c r="AE586" i="14"/>
  <c r="AB587" i="14"/>
  <c r="AC587" i="14"/>
  <c r="AD587" i="14"/>
  <c r="AE587" i="14"/>
  <c r="AB588" i="14"/>
  <c r="AC588" i="14"/>
  <c r="AD588" i="14"/>
  <c r="AE588" i="14"/>
  <c r="AB589" i="14"/>
  <c r="AC589" i="14"/>
  <c r="AD589" i="14"/>
  <c r="AE589" i="14"/>
  <c r="AB590" i="14"/>
  <c r="AC590" i="14"/>
  <c r="AD590" i="14"/>
  <c r="AE590" i="14"/>
  <c r="AB591" i="14"/>
  <c r="AC591" i="14"/>
  <c r="AD591" i="14"/>
  <c r="AE591" i="14"/>
  <c r="AB592" i="14"/>
  <c r="AC592" i="14"/>
  <c r="AD592" i="14"/>
  <c r="AE592" i="14"/>
  <c r="AB593" i="14"/>
  <c r="AC593" i="14"/>
  <c r="AD593" i="14"/>
  <c r="AE593" i="14"/>
  <c r="AB594" i="14"/>
  <c r="AC594" i="14"/>
  <c r="AD594" i="14"/>
  <c r="AE594" i="14"/>
  <c r="AB595" i="14"/>
  <c r="AC595" i="14"/>
  <c r="AD595" i="14"/>
  <c r="AE595" i="14"/>
  <c r="AB596" i="14"/>
  <c r="AC596" i="14"/>
  <c r="AD596" i="14"/>
  <c r="AE596" i="14"/>
  <c r="AB597" i="14"/>
  <c r="AC597" i="14"/>
  <c r="AD597" i="14"/>
  <c r="AE597" i="14"/>
  <c r="AB598" i="14"/>
  <c r="AC598" i="14"/>
  <c r="AD598" i="14"/>
  <c r="AE598" i="14"/>
  <c r="AB599" i="14"/>
  <c r="AC599" i="14"/>
  <c r="AD599" i="14"/>
  <c r="AE599" i="14"/>
  <c r="AB600" i="14"/>
  <c r="AC600" i="14"/>
  <c r="AD600" i="14"/>
  <c r="AE600" i="14"/>
  <c r="AB601" i="14"/>
  <c r="AC601" i="14"/>
  <c r="AD601" i="14"/>
  <c r="AE601" i="14"/>
  <c r="AB602" i="14"/>
  <c r="AC602" i="14"/>
  <c r="AD602" i="14"/>
  <c r="AE602" i="14"/>
  <c r="AB603" i="14"/>
  <c r="AC603" i="14"/>
  <c r="AD603" i="14"/>
  <c r="AE603" i="14"/>
  <c r="AB604" i="14"/>
  <c r="AC604" i="14"/>
  <c r="AD604" i="14"/>
  <c r="AE604" i="14"/>
  <c r="AB605" i="14"/>
  <c r="AC605" i="14"/>
  <c r="AD605" i="14"/>
  <c r="AE605" i="14"/>
  <c r="AB606" i="14"/>
  <c r="AC606" i="14"/>
  <c r="AD606" i="14"/>
  <c r="AE606" i="14"/>
  <c r="AB607" i="14"/>
  <c r="AC607" i="14"/>
  <c r="AD607" i="14"/>
  <c r="AE607" i="14"/>
  <c r="AB608" i="14"/>
  <c r="AC608" i="14"/>
  <c r="AD608" i="14"/>
  <c r="AE608" i="14"/>
  <c r="AB609" i="14"/>
  <c r="AC609" i="14"/>
  <c r="AD609" i="14"/>
  <c r="AE609" i="14"/>
  <c r="AB610" i="14"/>
  <c r="AC610" i="14"/>
  <c r="AD610" i="14"/>
  <c r="AE610" i="14"/>
  <c r="AB611" i="14"/>
  <c r="AC611" i="14"/>
  <c r="AD611" i="14"/>
  <c r="AE611" i="14"/>
  <c r="AB612" i="14"/>
  <c r="AC612" i="14"/>
  <c r="AD612" i="14"/>
  <c r="AE612" i="14"/>
  <c r="AB613" i="14"/>
  <c r="AC613" i="14"/>
  <c r="AD613" i="14"/>
  <c r="AE613" i="14"/>
  <c r="AB614" i="14"/>
  <c r="AC614" i="14"/>
  <c r="AD614" i="14"/>
  <c r="AE614" i="14"/>
  <c r="AB615" i="14"/>
  <c r="AC615" i="14"/>
  <c r="AD615" i="14"/>
  <c r="AE615" i="14"/>
  <c r="AB616" i="14"/>
  <c r="AC616" i="14"/>
  <c r="AD616" i="14"/>
  <c r="AE616" i="14"/>
  <c r="AB617" i="14"/>
  <c r="AC617" i="14"/>
  <c r="AD617" i="14"/>
  <c r="AE617" i="14"/>
  <c r="AB618" i="14"/>
  <c r="AC618" i="14"/>
  <c r="AD618" i="14"/>
  <c r="AE618" i="14"/>
  <c r="AB619" i="14"/>
  <c r="AC619" i="14"/>
  <c r="AD619" i="14"/>
  <c r="AE619" i="14"/>
  <c r="AB620" i="14"/>
  <c r="AC620" i="14"/>
  <c r="AD620" i="14"/>
  <c r="AE620" i="14"/>
  <c r="AB621" i="14"/>
  <c r="AC621" i="14"/>
  <c r="AD621" i="14"/>
  <c r="AE621" i="14"/>
  <c r="AB622" i="14"/>
  <c r="AC622" i="14"/>
  <c r="AD622" i="14"/>
  <c r="AE622" i="14"/>
  <c r="AB623" i="14"/>
  <c r="AC623" i="14"/>
  <c r="AD623" i="14"/>
  <c r="AE623" i="14"/>
  <c r="AB624" i="14"/>
  <c r="AC624" i="14"/>
  <c r="AD624" i="14"/>
  <c r="AE624" i="14"/>
  <c r="AB625" i="14"/>
  <c r="AC625" i="14"/>
  <c r="AD625" i="14"/>
  <c r="AE625" i="14"/>
  <c r="AB626" i="14"/>
  <c r="AC626" i="14"/>
  <c r="AD626" i="14"/>
  <c r="AE626" i="14"/>
  <c r="AB627" i="14"/>
  <c r="AC627" i="14"/>
  <c r="AD627" i="14"/>
  <c r="AE627" i="14"/>
  <c r="AB628" i="14"/>
  <c r="AC628" i="14"/>
  <c r="AD628" i="14"/>
  <c r="AE628" i="14"/>
  <c r="AB629" i="14"/>
  <c r="AC629" i="14"/>
  <c r="AD629" i="14"/>
  <c r="AE629" i="14"/>
  <c r="AB630" i="14"/>
  <c r="AC630" i="14"/>
  <c r="AD630" i="14"/>
  <c r="AE630" i="14"/>
  <c r="AB631" i="14"/>
  <c r="AC631" i="14"/>
  <c r="AD631" i="14"/>
  <c r="AE631" i="14"/>
  <c r="AB632" i="14"/>
  <c r="AC632" i="14"/>
  <c r="AD632" i="14"/>
  <c r="AE632" i="14"/>
  <c r="AB633" i="14"/>
  <c r="AC633" i="14"/>
  <c r="AD633" i="14"/>
  <c r="AE633" i="14"/>
  <c r="AB634" i="14"/>
  <c r="AC634" i="14"/>
  <c r="AD634" i="14"/>
  <c r="AE634" i="14"/>
  <c r="AB635" i="14"/>
  <c r="AC635" i="14"/>
  <c r="AD635" i="14"/>
  <c r="AE635" i="14"/>
  <c r="AB636" i="14"/>
  <c r="AC636" i="14"/>
  <c r="AD636" i="14"/>
  <c r="AE636" i="14"/>
  <c r="AB637" i="14"/>
  <c r="AC637" i="14"/>
  <c r="AD637" i="14"/>
  <c r="AE637" i="14"/>
  <c r="AB638" i="14"/>
  <c r="AC638" i="14"/>
  <c r="AD638" i="14"/>
  <c r="AE638" i="14"/>
  <c r="AB639" i="14"/>
  <c r="AC639" i="14"/>
  <c r="AD639" i="14"/>
  <c r="AE639" i="14"/>
  <c r="AB640" i="14"/>
  <c r="AC640" i="14"/>
  <c r="AD640" i="14"/>
  <c r="AE640" i="14"/>
  <c r="AB641" i="14"/>
  <c r="AC641" i="14"/>
  <c r="AD641" i="14"/>
  <c r="AE641" i="14"/>
  <c r="AB642" i="14"/>
  <c r="AC642" i="14"/>
  <c r="AD642" i="14"/>
  <c r="AE642" i="14"/>
  <c r="AB643" i="14"/>
  <c r="AC643" i="14"/>
  <c r="AD643" i="14"/>
  <c r="AE643" i="14"/>
  <c r="AB644" i="14"/>
  <c r="AC644" i="14"/>
  <c r="AD644" i="14"/>
  <c r="AE644" i="14"/>
  <c r="AB645" i="14"/>
  <c r="AC645" i="14"/>
  <c r="AD645" i="14"/>
  <c r="AE645" i="14"/>
  <c r="AB646" i="14"/>
  <c r="AC646" i="14"/>
  <c r="AD646" i="14"/>
  <c r="AE646" i="14"/>
  <c r="AB647" i="14"/>
  <c r="AC647" i="14"/>
  <c r="AD647" i="14"/>
  <c r="AE647" i="14"/>
  <c r="AB648" i="14"/>
  <c r="AC648" i="14"/>
  <c r="AD648" i="14"/>
  <c r="AE648" i="14"/>
  <c r="AB649" i="14"/>
  <c r="AC649" i="14"/>
  <c r="AD649" i="14"/>
  <c r="AE649" i="14"/>
  <c r="AB650" i="14"/>
  <c r="AC650" i="14"/>
  <c r="AD650" i="14"/>
  <c r="AE650" i="14"/>
  <c r="AB651" i="14"/>
  <c r="AC651" i="14"/>
  <c r="AD651" i="14"/>
  <c r="AE651" i="14"/>
  <c r="AB652" i="14"/>
  <c r="AC652" i="14"/>
  <c r="AD652" i="14"/>
  <c r="AE652" i="14"/>
  <c r="AB653" i="14"/>
  <c r="AC653" i="14"/>
  <c r="AD653" i="14"/>
  <c r="AE653" i="14"/>
  <c r="AB654" i="14"/>
  <c r="AC654" i="14"/>
  <c r="AD654" i="14"/>
  <c r="AE654" i="14"/>
  <c r="AB655" i="14"/>
  <c r="AC655" i="14"/>
  <c r="AD655" i="14"/>
  <c r="AE655" i="14"/>
  <c r="AB656" i="14"/>
  <c r="AC656" i="14"/>
  <c r="AD656" i="14"/>
  <c r="AE656" i="14"/>
  <c r="AB657" i="14"/>
  <c r="AC657" i="14"/>
  <c r="AD657" i="14"/>
  <c r="AE657" i="14"/>
  <c r="AB658" i="14"/>
  <c r="AC658" i="14"/>
  <c r="AD658" i="14"/>
  <c r="AE658" i="14"/>
  <c r="AB659" i="14"/>
  <c r="AC659" i="14"/>
  <c r="AD659" i="14"/>
  <c r="AE659" i="14"/>
  <c r="U81" i="11"/>
  <c r="U82" i="11"/>
  <c r="U83" i="11"/>
  <c r="U84" i="11"/>
  <c r="U85" i="11"/>
  <c r="T86" i="11"/>
  <c r="U86" i="11"/>
  <c r="T87" i="11"/>
  <c r="U87" i="11"/>
  <c r="T88" i="11"/>
  <c r="U88" i="11"/>
  <c r="T89" i="11"/>
  <c r="U89" i="11"/>
  <c r="T90" i="11"/>
  <c r="U90" i="11"/>
  <c r="T91" i="11"/>
  <c r="U91" i="11"/>
  <c r="T92" i="11"/>
  <c r="U92" i="11"/>
  <c r="T93" i="11"/>
  <c r="U93" i="11"/>
  <c r="T94" i="11"/>
  <c r="U94" i="11"/>
  <c r="T95" i="11"/>
  <c r="U95" i="11"/>
  <c r="T96" i="11"/>
  <c r="U96" i="11"/>
  <c r="T97" i="11"/>
  <c r="U97" i="11"/>
  <c r="T98" i="11"/>
  <c r="U98" i="11"/>
  <c r="T99" i="11"/>
  <c r="U99" i="11"/>
  <c r="T100" i="11"/>
  <c r="U100" i="11"/>
  <c r="T101" i="11"/>
  <c r="U101" i="11"/>
  <c r="U102" i="11"/>
  <c r="U103" i="11"/>
  <c r="U104" i="11"/>
  <c r="U105" i="11"/>
  <c r="U106" i="11"/>
  <c r="U107" i="11"/>
  <c r="U108" i="11"/>
  <c r="U109" i="11"/>
  <c r="U110" i="11"/>
  <c r="U111" i="11"/>
  <c r="U112" i="11"/>
  <c r="U113" i="11"/>
  <c r="U114" i="11"/>
  <c r="D263" i="11"/>
  <c r="D264" i="11"/>
  <c r="D265" i="11"/>
  <c r="H292" i="11"/>
  <c r="H293" i="11"/>
  <c r="H294" i="11"/>
  <c r="H295" i="11"/>
  <c r="N323" i="11"/>
  <c r="O323" i="11"/>
  <c r="P323" i="11"/>
  <c r="R323" i="11"/>
  <c r="N324" i="11"/>
  <c r="O324" i="11"/>
  <c r="P324" i="11"/>
  <c r="N325" i="11"/>
  <c r="O325" i="11"/>
  <c r="P325" i="11"/>
  <c r="Q325" i="11" s="1"/>
  <c r="N326" i="11"/>
  <c r="O326" i="11"/>
  <c r="P326" i="11"/>
  <c r="D329" i="11"/>
  <c r="E329" i="11"/>
  <c r="D331" i="11"/>
  <c r="E331" i="11"/>
  <c r="K341" i="11"/>
  <c r="K340" i="11"/>
  <c r="E339" i="11"/>
  <c r="G337" i="11"/>
  <c r="G338" i="11"/>
  <c r="C338" i="11" s="1"/>
  <c r="C339" i="11"/>
  <c r="D339" i="11"/>
  <c r="G346" i="11"/>
  <c r="G347" i="11"/>
  <c r="J347" i="11"/>
  <c r="K353" i="11"/>
  <c r="L353" i="11" s="1"/>
  <c r="K354" i="11"/>
  <c r="K371" i="11"/>
  <c r="M371" i="11" s="1"/>
  <c r="N371" i="11"/>
  <c r="D372" i="11"/>
  <c r="E372" i="11"/>
  <c r="D373" i="11"/>
  <c r="E373" i="11"/>
  <c r="E374" i="11"/>
  <c r="D375" i="11"/>
  <c r="E375" i="11"/>
  <c r="D376" i="11"/>
  <c r="E376" i="11"/>
  <c r="D377" i="11"/>
  <c r="E377" i="11"/>
  <c r="D378" i="11"/>
  <c r="E378" i="11"/>
  <c r="D379" i="11"/>
  <c r="E379" i="11"/>
  <c r="D380" i="11"/>
  <c r="E380" i="11"/>
  <c r="K442" i="11"/>
  <c r="M442" i="11" s="1"/>
  <c r="N442" i="11"/>
  <c r="K443" i="11"/>
  <c r="M443" i="11"/>
  <c r="N443" i="11"/>
  <c r="K444" i="11"/>
  <c r="M444" i="11"/>
  <c r="N444" i="11"/>
  <c r="K445" i="11"/>
  <c r="N445" i="11"/>
  <c r="K460" i="11"/>
  <c r="M460" i="11" s="1"/>
  <c r="N460" i="11"/>
  <c r="K461" i="11"/>
  <c r="M461" i="11"/>
  <c r="N461" i="11"/>
  <c r="K464" i="11"/>
  <c r="M464" i="11" s="1"/>
  <c r="N464" i="11"/>
  <c r="K465" i="11"/>
  <c r="M465" i="11" s="1"/>
  <c r="N465" i="11"/>
  <c r="K466" i="11"/>
  <c r="M466" i="11"/>
  <c r="N466" i="11"/>
  <c r="K467" i="11"/>
  <c r="M467" i="11"/>
  <c r="N467" i="11"/>
  <c r="K474" i="11"/>
  <c r="M474" i="11"/>
  <c r="N474" i="11"/>
  <c r="B479" i="11"/>
  <c r="M479" i="11" s="1"/>
  <c r="F479" i="11"/>
  <c r="B480" i="11"/>
  <c r="I480" i="11"/>
  <c r="E480" i="11"/>
  <c r="F480" i="11"/>
  <c r="H480" i="11"/>
  <c r="B495" i="11"/>
  <c r="V495" i="11"/>
  <c r="B481" i="11"/>
  <c r="I481" i="11"/>
  <c r="AA481" i="11" s="1"/>
  <c r="E481" i="11"/>
  <c r="F481" i="11"/>
  <c r="H481" i="11"/>
  <c r="B497" i="11"/>
  <c r="X497" i="11"/>
  <c r="B482" i="11"/>
  <c r="I482" i="11"/>
  <c r="E482" i="11"/>
  <c r="F482" i="11"/>
  <c r="H482" i="11"/>
  <c r="B499" i="11"/>
  <c r="I499" i="11"/>
  <c r="B483" i="11"/>
  <c r="E483" i="11"/>
  <c r="F483" i="11"/>
  <c r="H483" i="11"/>
  <c r="B496" i="11"/>
  <c r="W496" i="11"/>
  <c r="B484" i="11"/>
  <c r="I484" i="11"/>
  <c r="E484" i="11"/>
  <c r="F484" i="11"/>
  <c r="H484" i="11"/>
  <c r="B498" i="11"/>
  <c r="L498" i="11" s="1"/>
  <c r="X498" i="11"/>
  <c r="B485" i="11"/>
  <c r="I485" i="11"/>
  <c r="E485" i="11"/>
  <c r="F485" i="11"/>
  <c r="H485" i="11"/>
  <c r="B500" i="11"/>
  <c r="B486" i="11"/>
  <c r="E486" i="11"/>
  <c r="F486" i="11"/>
  <c r="H486" i="11"/>
  <c r="B631" i="11"/>
  <c r="B487" i="11"/>
  <c r="AA487" i="11" s="1"/>
  <c r="J487" i="11"/>
  <c r="E487" i="11"/>
  <c r="F487" i="11"/>
  <c r="H487" i="11"/>
  <c r="B632" i="11"/>
  <c r="V632" i="11" s="1"/>
  <c r="L632" i="11"/>
  <c r="B634" i="11"/>
  <c r="B489" i="11"/>
  <c r="E489" i="11"/>
  <c r="F489" i="11"/>
  <c r="H489" i="11"/>
  <c r="B490" i="11"/>
  <c r="E490" i="11"/>
  <c r="F490" i="11"/>
  <c r="H490" i="11"/>
  <c r="B635" i="11"/>
  <c r="B491" i="11"/>
  <c r="E491" i="11"/>
  <c r="F491" i="11"/>
  <c r="H491" i="11"/>
  <c r="B636" i="11"/>
  <c r="V636" i="11"/>
  <c r="B492" i="11"/>
  <c r="E492" i="11"/>
  <c r="F492" i="11"/>
  <c r="H492" i="11"/>
  <c r="B637" i="11"/>
  <c r="B493" i="11"/>
  <c r="Z493" i="11" s="1"/>
  <c r="AB493" i="11"/>
  <c r="E493" i="11"/>
  <c r="F493" i="11"/>
  <c r="H493" i="11"/>
  <c r="B494" i="11"/>
  <c r="F494" i="11"/>
  <c r="H494" i="11"/>
  <c r="F495" i="11"/>
  <c r="F496" i="11"/>
  <c r="F497" i="11"/>
  <c r="F498" i="11"/>
  <c r="F499" i="11"/>
  <c r="F500" i="11"/>
  <c r="B501" i="11"/>
  <c r="V501" i="11" s="1"/>
  <c r="I501" i="11"/>
  <c r="F501" i="11"/>
  <c r="B502" i="11"/>
  <c r="B503" i="11"/>
  <c r="B504" i="11"/>
  <c r="B505" i="11"/>
  <c r="B506" i="11"/>
  <c r="B507" i="11"/>
  <c r="B508" i="11"/>
  <c r="B509" i="11"/>
  <c r="B510" i="11"/>
  <c r="V510" i="11" s="1"/>
  <c r="U510" i="11"/>
  <c r="B511" i="11"/>
  <c r="B512" i="11"/>
  <c r="B513" i="11"/>
  <c r="B514" i="11"/>
  <c r="B515" i="11"/>
  <c r="B516" i="11"/>
  <c r="B517" i="11"/>
  <c r="B518" i="11"/>
  <c r="B519" i="11"/>
  <c r="B520" i="11"/>
  <c r="U520" i="11" s="1"/>
  <c r="B521" i="11"/>
  <c r="AB521" i="11"/>
  <c r="B522" i="11"/>
  <c r="B523" i="11"/>
  <c r="B524" i="11"/>
  <c r="B525" i="11"/>
  <c r="B526" i="11"/>
  <c r="B527" i="11"/>
  <c r="B528" i="11"/>
  <c r="B529" i="11"/>
  <c r="B530" i="11"/>
  <c r="W530" i="11"/>
  <c r="B531" i="11"/>
  <c r="Y531" i="11"/>
  <c r="B532" i="11"/>
  <c r="Z532" i="11" s="1"/>
  <c r="X532" i="11"/>
  <c r="B533" i="11"/>
  <c r="W533" i="11" s="1"/>
  <c r="AA533" i="11"/>
  <c r="B534" i="11"/>
  <c r="M534" i="11" s="1"/>
  <c r="B535" i="11"/>
  <c r="M535" i="11"/>
  <c r="B536" i="11"/>
  <c r="M536" i="11"/>
  <c r="B537" i="11"/>
  <c r="M537" i="11"/>
  <c r="B538" i="11"/>
  <c r="M538" i="11"/>
  <c r="B539" i="11"/>
  <c r="M539" i="11"/>
  <c r="B540" i="11"/>
  <c r="M540" i="11" s="1"/>
  <c r="B541" i="11"/>
  <c r="M541" i="11" s="1"/>
  <c r="B542" i="11"/>
  <c r="X542" i="11"/>
  <c r="B543" i="11"/>
  <c r="AB543" i="11"/>
  <c r="B544" i="11"/>
  <c r="Z544" i="11" s="1"/>
  <c r="B545" i="11"/>
  <c r="W545" i="11"/>
  <c r="B547" i="11"/>
  <c r="M547" i="11" s="1"/>
  <c r="B548" i="11"/>
  <c r="M548" i="11"/>
  <c r="B549" i="11"/>
  <c r="M549" i="11" s="1"/>
  <c r="B550" i="11"/>
  <c r="M550" i="11" s="1"/>
  <c r="B551" i="11"/>
  <c r="M551" i="11"/>
  <c r="B552" i="11"/>
  <c r="M552" i="11"/>
  <c r="B553" i="11"/>
  <c r="M553" i="11"/>
  <c r="B555" i="11"/>
  <c r="W555" i="11" s="1"/>
  <c r="AA555" i="11"/>
  <c r="B556" i="11"/>
  <c r="B557" i="11"/>
  <c r="Z557" i="11"/>
  <c r="U557" i="11"/>
  <c r="B558" i="11"/>
  <c r="W558" i="11" s="1"/>
  <c r="B559" i="11"/>
  <c r="B560" i="11"/>
  <c r="M560" i="11" s="1"/>
  <c r="B561" i="11"/>
  <c r="M561" i="11" s="1"/>
  <c r="B562" i="11"/>
  <c r="M562" i="11"/>
  <c r="B563" i="11"/>
  <c r="M563" i="11"/>
  <c r="B564" i="11"/>
  <c r="M564" i="11"/>
  <c r="B565" i="11"/>
  <c r="M565" i="11"/>
  <c r="B566" i="11"/>
  <c r="M566" i="11"/>
  <c r="B567" i="11"/>
  <c r="M567" i="11"/>
  <c r="B568" i="11"/>
  <c r="M568" i="11" s="1"/>
  <c r="B569" i="11"/>
  <c r="V569" i="11"/>
  <c r="B570" i="11"/>
  <c r="B571" i="11"/>
  <c r="B572" i="11"/>
  <c r="W572" i="11"/>
  <c r="B573" i="11"/>
  <c r="V573" i="11" s="1"/>
  <c r="AB573" i="11"/>
  <c r="B574" i="11"/>
  <c r="M574" i="11"/>
  <c r="B575" i="11"/>
  <c r="M575" i="11"/>
  <c r="B576" i="11"/>
  <c r="M576" i="11"/>
  <c r="B577" i="11"/>
  <c r="M577" i="11"/>
  <c r="B578" i="11"/>
  <c r="M578" i="11" s="1"/>
  <c r="B579" i="11"/>
  <c r="M579" i="11"/>
  <c r="B580" i="11"/>
  <c r="M580" i="11" s="1"/>
  <c r="B581" i="11"/>
  <c r="M581" i="11" s="1"/>
  <c r="M582" i="11"/>
  <c r="U582" i="11"/>
  <c r="V582" i="11"/>
  <c r="W582" i="11"/>
  <c r="X582" i="11"/>
  <c r="Y582" i="11"/>
  <c r="Z582" i="11"/>
  <c r="AA582" i="11"/>
  <c r="B583" i="11"/>
  <c r="Z583" i="11"/>
  <c r="B584" i="11"/>
  <c r="M584" i="11" s="1"/>
  <c r="U584" i="11"/>
  <c r="B585" i="11"/>
  <c r="M585" i="11" s="1"/>
  <c r="B586" i="11"/>
  <c r="V586" i="11"/>
  <c r="B587" i="11"/>
  <c r="B588" i="11"/>
  <c r="M588" i="11" s="1"/>
  <c r="B589" i="11"/>
  <c r="M589" i="11"/>
  <c r="B590" i="11"/>
  <c r="M590" i="11"/>
  <c r="B591" i="11"/>
  <c r="M591" i="11"/>
  <c r="B592" i="11"/>
  <c r="B593" i="11"/>
  <c r="B594" i="11"/>
  <c r="B595" i="11"/>
  <c r="B596" i="11"/>
  <c r="AB596" i="11"/>
  <c r="B597" i="11"/>
  <c r="V597" i="11" s="1"/>
  <c r="B598" i="11"/>
  <c r="W598" i="11"/>
  <c r="B599" i="11"/>
  <c r="B600" i="11"/>
  <c r="B601" i="11"/>
  <c r="X601" i="11"/>
  <c r="B603" i="11"/>
  <c r="M603" i="11" s="1"/>
  <c r="B604" i="11"/>
  <c r="M604" i="11" s="1"/>
  <c r="F604" i="11"/>
  <c r="B605" i="11"/>
  <c r="M605" i="11" s="1"/>
  <c r="B606" i="11"/>
  <c r="B607" i="11"/>
  <c r="B608" i="11"/>
  <c r="B609" i="11"/>
  <c r="B610" i="11"/>
  <c r="B611" i="11"/>
  <c r="B612" i="11"/>
  <c r="B613" i="11"/>
  <c r="B614" i="11"/>
  <c r="B615" i="11"/>
  <c r="B616" i="11"/>
  <c r="B617" i="11"/>
  <c r="B618" i="11"/>
  <c r="B619" i="11"/>
  <c r="B620" i="11"/>
  <c r="M620" i="11" s="1"/>
  <c r="F620" i="11"/>
  <c r="B621" i="11"/>
  <c r="M621" i="11"/>
  <c r="B622" i="11"/>
  <c r="I622" i="11"/>
  <c r="B623" i="11"/>
  <c r="B624" i="11"/>
  <c r="B625" i="11"/>
  <c r="M625" i="11"/>
  <c r="F625" i="11"/>
  <c r="B626" i="11"/>
  <c r="M626" i="11"/>
  <c r="B627" i="11"/>
  <c r="M627" i="11"/>
  <c r="F627" i="11"/>
  <c r="B628" i="11"/>
  <c r="M628" i="11" s="1"/>
  <c r="B629" i="11"/>
  <c r="B630" i="11"/>
  <c r="F630" i="11"/>
  <c r="F631" i="11"/>
  <c r="F632" i="11"/>
  <c r="F635" i="11"/>
  <c r="F636" i="11"/>
  <c r="F637" i="11"/>
  <c r="B638" i="11"/>
  <c r="B639" i="11"/>
  <c r="D642" i="11"/>
  <c r="D643" i="11"/>
  <c r="D644" i="11"/>
  <c r="D645" i="11"/>
  <c r="D646" i="11"/>
  <c r="D647" i="11"/>
  <c r="D648" i="11"/>
  <c r="D649" i="11"/>
  <c r="D650" i="11"/>
  <c r="D651" i="11"/>
  <c r="D652" i="11"/>
  <c r="D653" i="11"/>
  <c r="D654" i="11"/>
  <c r="D655" i="11"/>
  <c r="D656" i="11"/>
  <c r="D657" i="11"/>
  <c r="D658" i="11"/>
  <c r="D659" i="11"/>
  <c r="D660" i="11"/>
  <c r="U42" i="3" s="1"/>
  <c r="U43" i="3" s="1"/>
  <c r="U45" i="3" s="1"/>
  <c r="D661" i="11"/>
  <c r="C4" i="55"/>
  <c r="E4" i="55"/>
  <c r="G4" i="55"/>
  <c r="H4" i="55"/>
  <c r="C4" i="54"/>
  <c r="E4" i="54"/>
  <c r="G4" i="54"/>
  <c r="H4" i="54"/>
  <c r="Z1" i="53"/>
  <c r="C5" i="53"/>
  <c r="C6" i="53"/>
  <c r="C7" i="53"/>
  <c r="C8" i="53"/>
  <c r="C9" i="53"/>
  <c r="AI14" i="53"/>
  <c r="AJ14" i="53"/>
  <c r="AH15" i="53"/>
  <c r="AI15" i="53"/>
  <c r="AJ15" i="53"/>
  <c r="AH16" i="53"/>
  <c r="AI16" i="53"/>
  <c r="AJ16" i="53" s="1"/>
  <c r="AH17" i="53"/>
  <c r="AI17" i="53"/>
  <c r="AJ17" i="53"/>
  <c r="AH18" i="53"/>
  <c r="AI18" i="53"/>
  <c r="AJ18" i="53" s="1"/>
  <c r="AH19" i="53"/>
  <c r="AI19" i="53"/>
  <c r="AJ19" i="53" s="1"/>
  <c r="AH20" i="53"/>
  <c r="AI20" i="53"/>
  <c r="AJ20" i="53"/>
  <c r="AH21" i="53"/>
  <c r="AI21" i="53"/>
  <c r="AJ21" i="53"/>
  <c r="AH22" i="53"/>
  <c r="AI22" i="53"/>
  <c r="AJ22" i="53"/>
  <c r="AH23" i="53"/>
  <c r="AI23" i="53"/>
  <c r="AJ23" i="53"/>
  <c r="AH24" i="53"/>
  <c r="AI24" i="53"/>
  <c r="AJ24" i="53" s="1"/>
  <c r="Q26" i="53"/>
  <c r="C4" i="52"/>
  <c r="G4" i="52"/>
  <c r="H4" i="52"/>
  <c r="C5" i="52"/>
  <c r="E6" i="52"/>
  <c r="C4" i="7"/>
  <c r="H4" i="7"/>
  <c r="I4" i="7" s="1"/>
  <c r="C5" i="7"/>
  <c r="E6" i="7"/>
  <c r="C4" i="6"/>
  <c r="G4" i="6"/>
  <c r="H4" i="6"/>
  <c r="H32" i="6"/>
  <c r="B1" i="51"/>
  <c r="C4" i="51"/>
  <c r="G4" i="51"/>
  <c r="H4" i="51"/>
  <c r="I4" i="51"/>
  <c r="J4" i="51" s="1"/>
  <c r="N8" i="51"/>
  <c r="N9" i="51"/>
  <c r="N10" i="51"/>
  <c r="N11" i="51"/>
  <c r="N12" i="51"/>
  <c r="N13" i="51"/>
  <c r="N14" i="51"/>
  <c r="N15" i="51"/>
  <c r="N16" i="51"/>
  <c r="N17" i="51"/>
  <c r="N18" i="51"/>
  <c r="N19" i="51"/>
  <c r="N20" i="51"/>
  <c r="N21" i="51"/>
  <c r="N22" i="51"/>
  <c r="N23" i="51"/>
  <c r="N24" i="51"/>
  <c r="N25" i="51"/>
  <c r="N26" i="51"/>
  <c r="N27" i="51"/>
  <c r="N28" i="51"/>
  <c r="N29" i="51"/>
  <c r="N30" i="51"/>
  <c r="N31" i="51"/>
  <c r="N32" i="51"/>
  <c r="N33" i="51"/>
  <c r="N34" i="51"/>
  <c r="N35" i="51"/>
  <c r="N36" i="51"/>
  <c r="N37" i="51"/>
  <c r="N38" i="51"/>
  <c r="N39" i="51"/>
  <c r="N40" i="51"/>
  <c r="N41" i="51"/>
  <c r="N42" i="51"/>
  <c r="N43" i="51"/>
  <c r="N44" i="51"/>
  <c r="N45" i="51"/>
  <c r="N46" i="51"/>
  <c r="N47" i="51"/>
  <c r="N48" i="51"/>
  <c r="N49" i="51"/>
  <c r="N50" i="51"/>
  <c r="C4" i="1"/>
  <c r="G4" i="1"/>
  <c r="I4" i="1" a="1"/>
  <c r="I4" i="1" s="1"/>
  <c r="J4" i="1"/>
  <c r="D6" i="1"/>
  <c r="U9" i="1"/>
  <c r="W9" i="1"/>
  <c r="U10" i="1"/>
  <c r="W10" i="1"/>
  <c r="U11" i="1"/>
  <c r="W11" i="1"/>
  <c r="W12" i="1"/>
  <c r="U13" i="1"/>
  <c r="W13" i="1"/>
  <c r="U14" i="1"/>
  <c r="W14" i="1"/>
  <c r="U15" i="1"/>
  <c r="W15" i="1"/>
  <c r="U16" i="1"/>
  <c r="W16" i="1"/>
  <c r="U17" i="1"/>
  <c r="W18" i="1"/>
  <c r="U19" i="1"/>
  <c r="W19" i="1"/>
  <c r="U20" i="1"/>
  <c r="W20" i="1"/>
  <c r="U21" i="1"/>
  <c r="W21" i="1"/>
  <c r="U22" i="1"/>
  <c r="W22" i="1"/>
  <c r="W23" i="1"/>
  <c r="U24" i="1"/>
  <c r="W24" i="1"/>
  <c r="U25" i="1"/>
  <c r="W25" i="1"/>
  <c r="U26" i="1"/>
  <c r="W26" i="1"/>
  <c r="U27" i="1"/>
  <c r="W28" i="1"/>
  <c r="U29" i="1"/>
  <c r="W29" i="1"/>
  <c r="U30" i="1"/>
  <c r="W30" i="1"/>
  <c r="U31" i="1"/>
  <c r="W31" i="1"/>
  <c r="U32" i="1"/>
  <c r="W32" i="1"/>
  <c r="U33" i="1"/>
  <c r="W33" i="1"/>
  <c r="W34" i="1"/>
  <c r="U35" i="1"/>
  <c r="W35" i="1"/>
  <c r="U36" i="1"/>
  <c r="W36" i="1"/>
  <c r="U37" i="1"/>
  <c r="W38" i="1"/>
  <c r="U39" i="1"/>
  <c r="W39" i="1"/>
  <c r="U40" i="1"/>
  <c r="W40" i="1"/>
  <c r="U41" i="1"/>
  <c r="W41" i="1"/>
  <c r="U42" i="1"/>
  <c r="W42" i="1"/>
  <c r="U43" i="1"/>
  <c r="W43" i="1"/>
  <c r="U44" i="1"/>
  <c r="W44" i="1"/>
  <c r="W45" i="1"/>
  <c r="U46" i="1"/>
  <c r="W46" i="1"/>
  <c r="U47" i="1"/>
  <c r="W48" i="1"/>
  <c r="U49" i="1"/>
  <c r="W49" i="1"/>
  <c r="U50" i="1"/>
  <c r="W50" i="1"/>
  <c r="D5" i="50"/>
  <c r="D6" i="50"/>
  <c r="D7" i="50"/>
  <c r="D8" i="50"/>
  <c r="BT17" i="50"/>
  <c r="AD17" i="50"/>
  <c r="BT18" i="50"/>
  <c r="AD18" i="50"/>
  <c r="BT19" i="50"/>
  <c r="AD19" i="50"/>
  <c r="BT20" i="50"/>
  <c r="AD20" i="50"/>
  <c r="BT21" i="50"/>
  <c r="AD21" i="50"/>
  <c r="BT22" i="50"/>
  <c r="AD22" i="50"/>
  <c r="BT23" i="50"/>
  <c r="AD23" i="50"/>
  <c r="AD24" i="50"/>
  <c r="BT25" i="50"/>
  <c r="AD25" i="50"/>
  <c r="BT26" i="50"/>
  <c r="AD26" i="50"/>
  <c r="BT27" i="50"/>
  <c r="AD27" i="50"/>
  <c r="BT28" i="50"/>
  <c r="AD28" i="50"/>
  <c r="BT29" i="50"/>
  <c r="AD29" i="50"/>
  <c r="BT30" i="50"/>
  <c r="AD30" i="50"/>
  <c r="BT31" i="50"/>
  <c r="AD31" i="50"/>
  <c r="BT32" i="50"/>
  <c r="AD32" i="50"/>
  <c r="BT33" i="50"/>
  <c r="AD33" i="50"/>
  <c r="BT35" i="50"/>
  <c r="AD35" i="50"/>
  <c r="BT36" i="50"/>
  <c r="AD36" i="50"/>
  <c r="BT37" i="50"/>
  <c r="AD37" i="50"/>
  <c r="BT38" i="50"/>
  <c r="AD38" i="50"/>
  <c r="AD39" i="50"/>
  <c r="AD40" i="50"/>
  <c r="BT41" i="50"/>
  <c r="AD41" i="50"/>
  <c r="AD126" i="50"/>
  <c r="D9" i="50"/>
  <c r="D10" i="50"/>
  <c r="H127" i="50" a="1"/>
  <c r="H127" i="50" s="1"/>
  <c r="I127" i="50" a="1"/>
  <c r="I127" i="50" s="1"/>
  <c r="J127" i="50" a="1"/>
  <c r="J127" i="50" s="1"/>
  <c r="D11" i="50"/>
  <c r="V16" i="50"/>
  <c r="W16" i="50"/>
  <c r="AR17" i="50"/>
  <c r="AR18" i="50"/>
  <c r="AS18" i="50"/>
  <c r="AT18" i="50"/>
  <c r="AR19" i="50"/>
  <c r="AT19" i="50"/>
  <c r="AR20" i="50"/>
  <c r="AS20" i="50"/>
  <c r="AT20" i="50"/>
  <c r="AR21" i="50"/>
  <c r="AT21" i="50"/>
  <c r="AR22" i="50"/>
  <c r="AT22" i="50"/>
  <c r="AR23" i="50"/>
  <c r="AT23" i="50"/>
  <c r="AR24" i="50"/>
  <c r="AT24" i="50"/>
  <c r="AR25" i="50"/>
  <c r="AS25" i="50"/>
  <c r="AT25" i="50"/>
  <c r="AR26" i="50"/>
  <c r="AS26" i="50"/>
  <c r="AT26" i="50"/>
  <c r="AR27" i="50"/>
  <c r="AS27" i="50"/>
  <c r="AT27" i="50"/>
  <c r="AR28" i="50"/>
  <c r="AS28" i="50"/>
  <c r="AT28" i="50"/>
  <c r="AT29" i="50"/>
  <c r="AR30" i="50"/>
  <c r="AT30" i="50"/>
  <c r="AR31" i="50"/>
  <c r="AS31" i="50"/>
  <c r="AT31" i="50"/>
  <c r="AR32" i="50"/>
  <c r="AS32" i="50"/>
  <c r="AT32" i="50"/>
  <c r="AR33" i="50"/>
  <c r="AS33" i="50"/>
  <c r="AT33" i="50"/>
  <c r="AR34" i="50"/>
  <c r="AS34" i="50"/>
  <c r="AT34" i="50"/>
  <c r="AR35" i="50"/>
  <c r="AS35" i="50"/>
  <c r="AT35" i="50"/>
  <c r="AR36" i="50"/>
  <c r="AT36" i="50"/>
  <c r="AR37" i="50"/>
  <c r="AS37" i="50"/>
  <c r="AT37" i="50"/>
  <c r="AR38" i="50"/>
  <c r="AS38" i="50"/>
  <c r="AT38" i="50"/>
  <c r="AR39" i="50"/>
  <c r="AS39" i="50"/>
  <c r="AT39" i="50"/>
  <c r="AR40" i="50"/>
  <c r="AS40" i="50"/>
  <c r="AT40" i="50"/>
  <c r="AR41" i="50"/>
  <c r="AS41" i="50"/>
  <c r="AT41" i="50"/>
  <c r="AR126" i="50"/>
  <c r="AS126" i="50"/>
  <c r="AT126" i="50"/>
  <c r="BT126" i="50"/>
  <c r="B127" i="50"/>
  <c r="C4" i="4"/>
  <c r="H4" i="4"/>
  <c r="I4" i="4" s="1"/>
  <c r="H5" i="4"/>
  <c r="I5" i="4" s="1"/>
  <c r="D6" i="4"/>
  <c r="H6" i="4"/>
  <c r="I6" i="4"/>
  <c r="H7" i="4"/>
  <c r="H8" i="4"/>
  <c r="I7" i="4" s="1"/>
  <c r="M12" i="4"/>
  <c r="M13" i="4"/>
  <c r="M14" i="4"/>
  <c r="M15" i="4"/>
  <c r="M16" i="4"/>
  <c r="M1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C4" i="48"/>
  <c r="G4" i="48" a="1"/>
  <c r="G4" i="48" s="1"/>
  <c r="H4" i="48" s="1"/>
  <c r="G5" i="48" a="1"/>
  <c r="G5" i="48"/>
  <c r="D6" i="48"/>
  <c r="L6" i="48"/>
  <c r="P91" i="48"/>
  <c r="Q91" i="48"/>
  <c r="P92" i="48"/>
  <c r="Q92" i="48"/>
  <c r="S92" i="48"/>
  <c r="P93" i="48"/>
  <c r="R93" i="48" s="1"/>
  <c r="Q93" i="48"/>
  <c r="S93" i="48"/>
  <c r="P94" i="48"/>
  <c r="Q94" i="48"/>
  <c r="S94" i="48"/>
  <c r="P95" i="48"/>
  <c r="Q95" i="48"/>
  <c r="N95" i="48" s="1"/>
  <c r="S95" i="48"/>
  <c r="P96" i="48"/>
  <c r="Q96" i="48"/>
  <c r="S96" i="48"/>
  <c r="P97" i="48"/>
  <c r="M97" i="48" s="1"/>
  <c r="Q97" i="48"/>
  <c r="S97" i="48"/>
  <c r="P98" i="48"/>
  <c r="Q98" i="48"/>
  <c r="S98" i="48"/>
  <c r="P99" i="48"/>
  <c r="Q99" i="48"/>
  <c r="S99" i="48"/>
  <c r="O99" i="48" s="1"/>
  <c r="P100" i="48"/>
  <c r="Q100" i="48"/>
  <c r="S100" i="48"/>
  <c r="F102" i="48" a="1"/>
  <c r="F102" i="48" s="1"/>
  <c r="V1" i="3"/>
  <c r="F9" i="3"/>
  <c r="D10" i="3"/>
  <c r="F10" i="3"/>
  <c r="AS23" i="50"/>
  <c r="T17" i="3"/>
  <c r="T18" i="3"/>
  <c r="T19" i="3"/>
  <c r="T20" i="3"/>
  <c r="T21" i="3"/>
  <c r="T26" i="3"/>
  <c r="T27" i="3"/>
  <c r="U51" i="3"/>
  <c r="C30" i="3"/>
  <c r="T35" i="3"/>
  <c r="T36" i="3"/>
  <c r="T37" i="3"/>
  <c r="T38" i="3"/>
  <c r="T39" i="3"/>
  <c r="AP33" i="50"/>
  <c r="Z600" i="11"/>
  <c r="U532" i="11"/>
  <c r="V500" i="11"/>
  <c r="X573" i="11"/>
  <c r="U586" i="11"/>
  <c r="Y586" i="11"/>
  <c r="Z569" i="11"/>
  <c r="V544" i="11"/>
  <c r="U499" i="11"/>
  <c r="AA596" i="11"/>
  <c r="V557" i="11"/>
  <c r="V531" i="11"/>
  <c r="I496" i="11"/>
  <c r="M632" i="11" s="1"/>
  <c r="G344" i="11"/>
  <c r="G345" i="11"/>
  <c r="C345" i="11" s="1"/>
  <c r="G348" i="11"/>
  <c r="C348" i="11"/>
  <c r="C346" i="11"/>
  <c r="W634" i="11"/>
  <c r="V622" i="11"/>
  <c r="M586" i="11"/>
  <c r="M544" i="11"/>
  <c r="W532" i="11"/>
  <c r="J634" i="11"/>
  <c r="Y597" i="11"/>
  <c r="J632" i="11"/>
  <c r="W632" i="11"/>
  <c r="V558" i="11"/>
  <c r="U544" i="11"/>
  <c r="V499" i="11"/>
  <c r="E337" i="11"/>
  <c r="Z573" i="11"/>
  <c r="Y573" i="11"/>
  <c r="AA530" i="11"/>
  <c r="D338" i="11"/>
  <c r="V596" i="11"/>
  <c r="W498" i="11"/>
  <c r="E338" i="11"/>
  <c r="X622" i="11"/>
  <c r="U573" i="11"/>
  <c r="AA544" i="11"/>
  <c r="U511" i="11"/>
  <c r="J501" i="11"/>
  <c r="W501" i="11"/>
  <c r="AB586" i="11"/>
  <c r="W573" i="11"/>
  <c r="AD333" i="14"/>
  <c r="U497" i="11"/>
  <c r="Y332" i="14"/>
  <c r="U601" i="11"/>
  <c r="AB556" i="11"/>
  <c r="Y329" i="14"/>
  <c r="I633" i="11"/>
  <c r="C344" i="11"/>
  <c r="U554" i="11"/>
  <c r="Y601" i="11"/>
  <c r="W637" i="11"/>
  <c r="AO17" i="50"/>
  <c r="X520" i="11"/>
  <c r="Y493" i="11"/>
  <c r="U622" i="11"/>
  <c r="Z520" i="11"/>
  <c r="V554" i="11"/>
  <c r="W630" i="11"/>
  <c r="AS24" i="50"/>
  <c r="AA542" i="11"/>
  <c r="I487" i="11"/>
  <c r="AB487" i="11" s="1"/>
  <c r="AS30" i="50"/>
  <c r="W497" i="11"/>
  <c r="V634" i="11"/>
  <c r="W544" i="11"/>
  <c r="Y542" i="11"/>
  <c r="Y543" i="11"/>
  <c r="AB533" i="11"/>
  <c r="U531" i="11"/>
  <c r="Z545" i="11"/>
  <c r="X531" i="11"/>
  <c r="U632" i="11"/>
  <c r="AA585" i="11"/>
  <c r="AA583" i="11"/>
  <c r="AR45" i="50"/>
  <c r="AB583" i="11"/>
  <c r="M583" i="11"/>
  <c r="M557" i="11"/>
  <c r="U533" i="11"/>
  <c r="I637" i="11"/>
  <c r="U498" i="11"/>
  <c r="Y337" i="14"/>
  <c r="Y334" i="14"/>
  <c r="AR44" i="50"/>
  <c r="AR43" i="50"/>
  <c r="AR42" i="50"/>
  <c r="AR49" i="50"/>
  <c r="AR48" i="50"/>
  <c r="AR47" i="50"/>
  <c r="AR46" i="50"/>
  <c r="W622" i="11"/>
  <c r="U583" i="11"/>
  <c r="M542" i="11"/>
  <c r="J637" i="11"/>
  <c r="I495" i="11"/>
  <c r="B337" i="11"/>
  <c r="AS45" i="50"/>
  <c r="AS44" i="50"/>
  <c r="AS42" i="50"/>
  <c r="AS49" i="50"/>
  <c r="AS48" i="50"/>
  <c r="AS47" i="50"/>
  <c r="AS46" i="50"/>
  <c r="L637" i="11"/>
  <c r="U585" i="11"/>
  <c r="V583" i="11"/>
  <c r="V556" i="11"/>
  <c r="W542" i="11"/>
  <c r="I497" i="11"/>
  <c r="AB497" i="11" s="1"/>
  <c r="AT45" i="50"/>
  <c r="AT44" i="50"/>
  <c r="AT43" i="50"/>
  <c r="AT49" i="50"/>
  <c r="AT48" i="50"/>
  <c r="AT47" i="50"/>
  <c r="AT46" i="50"/>
  <c r="W583" i="11"/>
  <c r="X557" i="11"/>
  <c r="X533" i="11"/>
  <c r="X583" i="11"/>
  <c r="Y533" i="11"/>
  <c r="X637" i="11"/>
  <c r="Y583" i="11"/>
  <c r="AA532" i="11"/>
  <c r="Y338" i="14"/>
  <c r="Y335" i="14"/>
  <c r="V601" i="11"/>
  <c r="M554" i="11"/>
  <c r="W601" i="11"/>
  <c r="AB601" i="11"/>
  <c r="AB554" i="11"/>
  <c r="AR52" i="50"/>
  <c r="AT51" i="50"/>
  <c r="AR56" i="50"/>
  <c r="AT55" i="50"/>
  <c r="AS59" i="50"/>
  <c r="AS63" i="50"/>
  <c r="AR68" i="50"/>
  <c r="AS67" i="50"/>
  <c r="AS52" i="50"/>
  <c r="AS56" i="50"/>
  <c r="AT59" i="50"/>
  <c r="AR64" i="50"/>
  <c r="AT63" i="50"/>
  <c r="AS68" i="50"/>
  <c r="AT67" i="50"/>
  <c r="AT56" i="50"/>
  <c r="AS60" i="50"/>
  <c r="AR65" i="50"/>
  <c r="AS64" i="50"/>
  <c r="AR69" i="50"/>
  <c r="AT68" i="50"/>
  <c r="AS53" i="50"/>
  <c r="AR50" i="50"/>
  <c r="AS57" i="50"/>
  <c r="AR61" i="50"/>
  <c r="AT60" i="50"/>
  <c r="AS65" i="50"/>
  <c r="AT64" i="50"/>
  <c r="AS69" i="50"/>
  <c r="AS50" i="50"/>
  <c r="AT57" i="50"/>
  <c r="AR54" i="50"/>
  <c r="AS61" i="50"/>
  <c r="AT65" i="50"/>
  <c r="AR62" i="50"/>
  <c r="AT69" i="50"/>
  <c r="AT50" i="50"/>
  <c r="AS54" i="50"/>
  <c r="AT61" i="50"/>
  <c r="AR58" i="50"/>
  <c r="AS62" i="50"/>
  <c r="AR66" i="50"/>
  <c r="AR51" i="50"/>
  <c r="AR55" i="50"/>
  <c r="AT54" i="50"/>
  <c r="AS58" i="50"/>
  <c r="AT62" i="50"/>
  <c r="AS66" i="50"/>
  <c r="AS55" i="50"/>
  <c r="AR59" i="50"/>
  <c r="AT58" i="50"/>
  <c r="AR63" i="50"/>
  <c r="AR67" i="50"/>
  <c r="AR57" i="50"/>
  <c r="AT66" i="50"/>
  <c r="AR53" i="50"/>
  <c r="J622" i="11"/>
  <c r="Z554" i="11"/>
  <c r="Y554" i="11"/>
  <c r="R4" i="53"/>
  <c r="V637" i="11"/>
  <c r="U637" i="11"/>
  <c r="W633" i="11"/>
  <c r="U633" i="11"/>
  <c r="X633" i="11"/>
  <c r="B348" i="11"/>
  <c r="M587" i="11"/>
  <c r="W16" i="53"/>
  <c r="X597" i="11"/>
  <c r="W597" i="11"/>
  <c r="X587" i="11"/>
  <c r="AA587" i="11"/>
  <c r="L501" i="11"/>
  <c r="U501" i="11"/>
  <c r="L500" i="11"/>
  <c r="U14" i="53"/>
  <c r="V14" i="53"/>
  <c r="AV71" i="50"/>
  <c r="AT71" i="50"/>
  <c r="AS72" i="50"/>
  <c r="AE73" i="50"/>
  <c r="AK73" i="50"/>
  <c r="P13" i="4"/>
  <c r="P71" i="4"/>
  <c r="Q71" i="4" s="1"/>
  <c r="N71" i="4" s="1"/>
  <c r="P79" i="4"/>
  <c r="Q79" i="4"/>
  <c r="P87" i="4"/>
  <c r="P95" i="4"/>
  <c r="AD11" i="1"/>
  <c r="AD15" i="1"/>
  <c r="AD19" i="1"/>
  <c r="AD23" i="1"/>
  <c r="AD27" i="1"/>
  <c r="AD31" i="1"/>
  <c r="AD35" i="1"/>
  <c r="AD39" i="1"/>
  <c r="AD43" i="1"/>
  <c r="AD47" i="1"/>
  <c r="N10" i="7"/>
  <c r="J10" i="7" s="1"/>
  <c r="I10" i="7" s="1"/>
  <c r="N12" i="7"/>
  <c r="N16" i="7"/>
  <c r="N18" i="7"/>
  <c r="N20" i="7"/>
  <c r="J20" i="7" s="1"/>
  <c r="I20" i="7" s="1"/>
  <c r="N22" i="7"/>
  <c r="N24" i="7"/>
  <c r="N26" i="7"/>
  <c r="N28" i="7"/>
  <c r="N30" i="7"/>
  <c r="N32" i="7"/>
  <c r="AE18" i="50"/>
  <c r="AZ18" i="50" s="1"/>
  <c r="AV23" i="50"/>
  <c r="AE26" i="50"/>
  <c r="AX26" i="50" s="1"/>
  <c r="AV31" i="50"/>
  <c r="AE34" i="50"/>
  <c r="AY34" i="50" s="1"/>
  <c r="AV39" i="50"/>
  <c r="AV47" i="50"/>
  <c r="AE50" i="50"/>
  <c r="AK50" i="50"/>
  <c r="AV55" i="50"/>
  <c r="AE58" i="50"/>
  <c r="AX58" i="50"/>
  <c r="AV63" i="50"/>
  <c r="AE66" i="50"/>
  <c r="I488" i="11"/>
  <c r="U22" i="53"/>
  <c r="V5" i="3"/>
  <c r="AR74" i="50"/>
  <c r="AE74" i="50"/>
  <c r="AP74" i="50" s="1"/>
  <c r="J12" i="48"/>
  <c r="J16" i="48"/>
  <c r="W21" i="53"/>
  <c r="AV74" i="50"/>
  <c r="Z17" i="1"/>
  <c r="Z33" i="1"/>
  <c r="Z49" i="1"/>
  <c r="U569" i="11"/>
  <c r="M569" i="11"/>
  <c r="Z531" i="11"/>
  <c r="J19" i="48"/>
  <c r="J18" i="48"/>
  <c r="Q87" i="4"/>
  <c r="N87" i="4" s="1"/>
  <c r="AV72" i="50"/>
  <c r="AT77" i="50"/>
  <c r="AT75" i="50"/>
  <c r="AR70" i="50"/>
  <c r="AS71" i="50"/>
  <c r="AT72" i="50"/>
  <c r="AE70" i="50"/>
  <c r="AY70" i="50" s="1"/>
  <c r="L31" i="7"/>
  <c r="L25" i="7"/>
  <c r="J25" i="7" s="1"/>
  <c r="I25" i="7" s="1"/>
  <c r="L18" i="7"/>
  <c r="L12" i="7"/>
  <c r="V45" i="1"/>
  <c r="AD42" i="1"/>
  <c r="V35" i="1"/>
  <c r="V28" i="1"/>
  <c r="V21" i="1"/>
  <c r="AD18" i="1"/>
  <c r="V14" i="1"/>
  <c r="V10" i="1"/>
  <c r="Q93" i="4"/>
  <c r="N93" i="4" s="1"/>
  <c r="P81" i="4"/>
  <c r="Q81" i="4" s="1"/>
  <c r="N81" i="4" s="1"/>
  <c r="P73" i="4"/>
  <c r="Q73" i="4"/>
  <c r="S83" i="48"/>
  <c r="S74" i="48"/>
  <c r="AS77" i="50"/>
  <c r="AR75" i="50"/>
  <c r="S65" i="48"/>
  <c r="S54" i="48"/>
  <c r="S51" i="48"/>
  <c r="S43" i="48"/>
  <c r="J43" i="48"/>
  <c r="S34" i="48"/>
  <c r="S31" i="48"/>
  <c r="P63" i="4"/>
  <c r="Q63" i="4"/>
  <c r="N63" i="4" s="1"/>
  <c r="P60" i="4"/>
  <c r="Q60" i="4"/>
  <c r="N60" i="4" s="1"/>
  <c r="P47" i="4"/>
  <c r="Q47" i="4"/>
  <c r="N47" i="4" s="1"/>
  <c r="P44" i="4"/>
  <c r="Q44" i="4" s="1"/>
  <c r="P28" i="4"/>
  <c r="Q28" i="4" s="1"/>
  <c r="AS75" i="50"/>
  <c r="S66" i="48"/>
  <c r="S64" i="48"/>
  <c r="O64" i="48" s="1"/>
  <c r="S58" i="48"/>
  <c r="O58" i="48" s="1"/>
  <c r="S57" i="48"/>
  <c r="J48" i="48"/>
  <c r="S46" i="48"/>
  <c r="S39" i="48"/>
  <c r="J30" i="48"/>
  <c r="S27" i="48"/>
  <c r="S23" i="48"/>
  <c r="J21" i="48"/>
  <c r="P57" i="4"/>
  <c r="Q57" i="4"/>
  <c r="N57" i="4" s="1"/>
  <c r="P54" i="4"/>
  <c r="Q54" i="4" s="1"/>
  <c r="N54" i="4" s="1"/>
  <c r="P38" i="4"/>
  <c r="Q38" i="4"/>
  <c r="N38" i="4" s="1"/>
  <c r="P25" i="4"/>
  <c r="Q25" i="4" s="1"/>
  <c r="N25" i="4" s="1"/>
  <c r="P22" i="4"/>
  <c r="Q22" i="4"/>
  <c r="P18" i="4"/>
  <c r="Q18" i="4"/>
  <c r="N18" i="4" s="1"/>
  <c r="S61" i="48"/>
  <c r="O61" i="48" s="1"/>
  <c r="S56" i="48"/>
  <c r="J55" i="48"/>
  <c r="S50" i="48"/>
  <c r="J44" i="48"/>
  <c r="S42" i="48"/>
  <c r="S33" i="48"/>
  <c r="S30" i="48"/>
  <c r="S26" i="48"/>
  <c r="P67" i="4"/>
  <c r="P64" i="4"/>
  <c r="Q64" i="4" s="1"/>
  <c r="N64" i="4" s="1"/>
  <c r="P51" i="4"/>
  <c r="Q51" i="4"/>
  <c r="N51" i="4" s="1"/>
  <c r="P48" i="4"/>
  <c r="Q48" i="4"/>
  <c r="P35" i="4"/>
  <c r="Q35" i="4" s="1"/>
  <c r="P32" i="4"/>
  <c r="AV77" i="50"/>
  <c r="AR76" i="50"/>
  <c r="AE75" i="50"/>
  <c r="AK75" i="50"/>
  <c r="S53" i="48"/>
  <c r="S49" i="48"/>
  <c r="S45" i="48"/>
  <c r="S41" i="48"/>
  <c r="J41" i="48"/>
  <c r="S38" i="48"/>
  <c r="S36" i="48"/>
  <c r="J32" i="48"/>
  <c r="S25" i="48"/>
  <c r="S22" i="48"/>
  <c r="P61" i="4"/>
  <c r="Q61" i="4"/>
  <c r="P58" i="4"/>
  <c r="Q58" i="4"/>
  <c r="P45" i="4"/>
  <c r="Q45" i="4"/>
  <c r="P42" i="4"/>
  <c r="Q42" i="4"/>
  <c r="N42" i="4" s="1"/>
  <c r="P29" i="4"/>
  <c r="Q29" i="4"/>
  <c r="P26" i="4"/>
  <c r="P19" i="4"/>
  <c r="BU51" i="50"/>
  <c r="AS76" i="50"/>
  <c r="S69" i="48"/>
  <c r="S63" i="48"/>
  <c r="J59" i="48"/>
  <c r="S48" i="48"/>
  <c r="S29" i="48"/>
  <c r="P55" i="4"/>
  <c r="Q55" i="4"/>
  <c r="P52" i="4"/>
  <c r="Q52" i="4"/>
  <c r="N52" i="4" s="1"/>
  <c r="P39" i="4"/>
  <c r="Q39" i="4"/>
  <c r="N39" i="4" s="1"/>
  <c r="P36" i="4"/>
  <c r="Q36" i="4"/>
  <c r="N36" i="4" s="1"/>
  <c r="P23" i="4"/>
  <c r="Q23" i="4"/>
  <c r="AT76" i="50"/>
  <c r="AV75" i="50"/>
  <c r="S60" i="48"/>
  <c r="J46" i="48"/>
  <c r="S44" i="48"/>
  <c r="S32" i="48"/>
  <c r="S21" i="48"/>
  <c r="P65" i="4"/>
  <c r="Q65" i="4"/>
  <c r="P62" i="4"/>
  <c r="Q62" i="4"/>
  <c r="N62" i="4" s="1"/>
  <c r="P49" i="4"/>
  <c r="Q49" i="4"/>
  <c r="N49" i="4" s="1"/>
  <c r="P46" i="4"/>
  <c r="Q46" i="4" s="1"/>
  <c r="P33" i="4"/>
  <c r="Q33" i="4"/>
  <c r="P30" i="4"/>
  <c r="Q30" i="4"/>
  <c r="P20" i="4"/>
  <c r="Q20" i="4"/>
  <c r="AS70" i="50"/>
  <c r="AS74" i="50"/>
  <c r="S68" i="48"/>
  <c r="S52" i="48"/>
  <c r="S40" i="48"/>
  <c r="J40" i="48"/>
  <c r="S35" i="48"/>
  <c r="S28" i="48"/>
  <c r="S24" i="48"/>
  <c r="P59" i="4"/>
  <c r="Q59" i="4"/>
  <c r="P56" i="4"/>
  <c r="Q56" i="4"/>
  <c r="N56" i="4" s="1"/>
  <c r="P43" i="4"/>
  <c r="Q43" i="4"/>
  <c r="P40" i="4"/>
  <c r="Q40" i="4"/>
  <c r="P27" i="4"/>
  <c r="Q27" i="4"/>
  <c r="AP35" i="50"/>
  <c r="AX35" i="50"/>
  <c r="AE44" i="50"/>
  <c r="AV42" i="50"/>
  <c r="AV40" i="50"/>
  <c r="AE29" i="50"/>
  <c r="AK29" i="50"/>
  <c r="AE27" i="50"/>
  <c r="AY27" i="50"/>
  <c r="AV25" i="50"/>
  <c r="AV19" i="50"/>
  <c r="AV17" i="50"/>
  <c r="V17" i="50" s="1"/>
  <c r="L33" i="7"/>
  <c r="M33" i="7"/>
  <c r="H33" i="7" s="1"/>
  <c r="L28" i="7"/>
  <c r="N23" i="7"/>
  <c r="N13" i="7"/>
  <c r="R1" i="51"/>
  <c r="Q44" i="51"/>
  <c r="V42" i="1"/>
  <c r="X42" i="1" s="1"/>
  <c r="AD37" i="1"/>
  <c r="AD34" i="1"/>
  <c r="AD25" i="1"/>
  <c r="AD22" i="1"/>
  <c r="AD20" i="1"/>
  <c r="AD17" i="1"/>
  <c r="AD14" i="1"/>
  <c r="V11" i="1"/>
  <c r="Y11" i="1" s="1"/>
  <c r="P99" i="4"/>
  <c r="Q99" i="4"/>
  <c r="N99" i="4" s="1"/>
  <c r="P94" i="4"/>
  <c r="Q94" i="4"/>
  <c r="P80" i="4"/>
  <c r="Q80" i="4"/>
  <c r="P68" i="4"/>
  <c r="Q68" i="4" s="1"/>
  <c r="S81" i="48"/>
  <c r="O81" i="48" s="1"/>
  <c r="AT73" i="50"/>
  <c r="AT70" i="50"/>
  <c r="AR77" i="50"/>
  <c r="AT74" i="50"/>
  <c r="S67" i="48"/>
  <c r="S62" i="48"/>
  <c r="J61" i="48"/>
  <c r="S59" i="48"/>
  <c r="J56" i="48"/>
  <c r="J49" i="48"/>
  <c r="S47" i="48"/>
  <c r="J45" i="48"/>
  <c r="J37" i="48"/>
  <c r="J33" i="48"/>
  <c r="J26" i="48"/>
  <c r="J22" i="48"/>
  <c r="S20" i="48"/>
  <c r="P66" i="4"/>
  <c r="Q66" i="4" s="1"/>
  <c r="P53" i="4"/>
  <c r="Q53" i="4" s="1"/>
  <c r="N53" i="4" s="1"/>
  <c r="P50" i="4"/>
  <c r="Q50" i="4" s="1"/>
  <c r="N50" i="4" s="1"/>
  <c r="P37" i="4"/>
  <c r="Q37" i="4"/>
  <c r="P34" i="4"/>
  <c r="X556" i="11"/>
  <c r="AA493" i="11"/>
  <c r="Z530" i="11"/>
  <c r="L622" i="11"/>
  <c r="AB542" i="11"/>
  <c r="Y510" i="11"/>
  <c r="Z497" i="11"/>
  <c r="Z585" i="11"/>
  <c r="U572" i="11"/>
  <c r="AB557" i="11"/>
  <c r="AA543" i="11"/>
  <c r="AB531" i="11"/>
  <c r="I632" i="11"/>
  <c r="N632" i="11"/>
  <c r="N487" i="11"/>
  <c r="L499" i="11"/>
  <c r="W14" i="53"/>
  <c r="AZ51" i="50"/>
  <c r="AI51" i="50" s="1"/>
  <c r="X569" i="11"/>
  <c r="L497" i="11"/>
  <c r="Y585" i="11"/>
  <c r="V533" i="11"/>
  <c r="AA545" i="11"/>
  <c r="U543" i="11"/>
  <c r="W499" i="11"/>
  <c r="AB520" i="11"/>
  <c r="AA521" i="11"/>
  <c r="V520" i="11"/>
  <c r="AB569" i="11"/>
  <c r="AB510" i="11"/>
  <c r="AA586" i="11"/>
  <c r="V555" i="11"/>
  <c r="Y544" i="11"/>
  <c r="Y555" i="11"/>
  <c r="Y532" i="11"/>
  <c r="BA51" i="50"/>
  <c r="BS51" i="50" s="1"/>
  <c r="U15" i="53"/>
  <c r="V15" i="53" s="1"/>
  <c r="J36" i="48"/>
  <c r="J28" i="48"/>
  <c r="J15" i="48"/>
  <c r="Z555" i="11"/>
  <c r="U597" i="11"/>
  <c r="AB545" i="11"/>
  <c r="Z601" i="11"/>
  <c r="W586" i="11"/>
  <c r="X558" i="11"/>
  <c r="X544" i="11"/>
  <c r="AB532" i="11"/>
  <c r="W520" i="11"/>
  <c r="I634" i="11"/>
  <c r="AB634" i="11" s="1"/>
  <c r="Z634" i="11"/>
  <c r="V521" i="11"/>
  <c r="V498" i="11"/>
  <c r="AA554" i="11"/>
  <c r="X585" i="11"/>
  <c r="V585" i="11"/>
  <c r="U556" i="11"/>
  <c r="W585" i="11"/>
  <c r="AA531" i="11"/>
  <c r="X543" i="11"/>
  <c r="Y521" i="11"/>
  <c r="V497" i="11"/>
  <c r="V530" i="11"/>
  <c r="Z630" i="11"/>
  <c r="I498" i="11"/>
  <c r="Y557" i="11"/>
  <c r="X598" i="11"/>
  <c r="V571" i="11"/>
  <c r="AB555" i="11"/>
  <c r="U545" i="11"/>
  <c r="X521" i="11"/>
  <c r="J636" i="11"/>
  <c r="R14" i="51"/>
  <c r="O14" i="51" s="1"/>
  <c r="V598" i="11"/>
  <c r="M555" i="11"/>
  <c r="U555" i="11"/>
  <c r="AZ33" i="50"/>
  <c r="AK33" i="50"/>
  <c r="Z598" i="11"/>
  <c r="AA598" i="11"/>
  <c r="AA630" i="11"/>
  <c r="U598" i="11"/>
  <c r="BA35" i="50"/>
  <c r="BR35" i="50" s="1"/>
  <c r="P21" i="4"/>
  <c r="Y598" i="11"/>
  <c r="AA571" i="11"/>
  <c r="AB598" i="11"/>
  <c r="V630" i="11"/>
  <c r="V545" i="11"/>
  <c r="X630" i="11"/>
  <c r="U630" i="11"/>
  <c r="J38" i="48"/>
  <c r="J17" i="48"/>
  <c r="J23" i="48"/>
  <c r="J57" i="48"/>
  <c r="J58" i="48"/>
  <c r="J50" i="48"/>
  <c r="J14" i="48"/>
  <c r="J20" i="48"/>
  <c r="J34" i="48"/>
  <c r="J24" i="48"/>
  <c r="J64" i="48"/>
  <c r="J51" i="48"/>
  <c r="J29" i="48"/>
  <c r="J42" i="48"/>
  <c r="J31" i="48"/>
  <c r="J52" i="48"/>
  <c r="J62" i="48"/>
  <c r="J47" i="48"/>
  <c r="J66" i="48"/>
  <c r="J63" i="48"/>
  <c r="J13" i="48"/>
  <c r="J39" i="48"/>
  <c r="J54" i="48"/>
  <c r="J25" i="48"/>
  <c r="J53" i="48"/>
  <c r="AN117" i="50"/>
  <c r="W11" i="52"/>
  <c r="W10" i="52"/>
  <c r="X11" i="52"/>
  <c r="X10" i="52"/>
  <c r="AN124" i="50"/>
  <c r="AN17" i="50"/>
  <c r="Y11" i="52"/>
  <c r="Y10" i="52"/>
  <c r="N10" i="52" s="1"/>
  <c r="AN121" i="50"/>
  <c r="AN122" i="50"/>
  <c r="AW110" i="50"/>
  <c r="AN123" i="50"/>
  <c r="AN118" i="50"/>
  <c r="AV117" i="50"/>
  <c r="BA17" i="50"/>
  <c r="BR17" i="50" s="1"/>
  <c r="AN119" i="50"/>
  <c r="AN114" i="50"/>
  <c r="AN21" i="50"/>
  <c r="AN113" i="50"/>
  <c r="AN115" i="50"/>
  <c r="AV113" i="50"/>
  <c r="AN110" i="50"/>
  <c r="BA26" i="50"/>
  <c r="AX51" i="50"/>
  <c r="AK35" i="50"/>
  <c r="AN41" i="50"/>
  <c r="AN23" i="50"/>
  <c r="AN109" i="50"/>
  <c r="AN108" i="50"/>
  <c r="AN111" i="50"/>
  <c r="AN24" i="50"/>
  <c r="AW65" i="50"/>
  <c r="AN106" i="50"/>
  <c r="AN101" i="50"/>
  <c r="AN49" i="50"/>
  <c r="AN107" i="50"/>
  <c r="AN39" i="50"/>
  <c r="AN105" i="50"/>
  <c r="AN102" i="50"/>
  <c r="AN103" i="50"/>
  <c r="AN104" i="50"/>
  <c r="AN30" i="50"/>
  <c r="AN98" i="50"/>
  <c r="AN99" i="50"/>
  <c r="AN97" i="50"/>
  <c r="AN81" i="50"/>
  <c r="AN94" i="50"/>
  <c r="AN52" i="50"/>
  <c r="AN89" i="50"/>
  <c r="AN95" i="50"/>
  <c r="AN60" i="50"/>
  <c r="AY17" i="50"/>
  <c r="AN35" i="50"/>
  <c r="AN93" i="50"/>
  <c r="AN90" i="50"/>
  <c r="AO50" i="50"/>
  <c r="BA34" i="50"/>
  <c r="AN87" i="50"/>
  <c r="AN91" i="50"/>
  <c r="AN62" i="50"/>
  <c r="AN88" i="50"/>
  <c r="AN86" i="50"/>
  <c r="AV70" i="50"/>
  <c r="AN79" i="50"/>
  <c r="AN61" i="50"/>
  <c r="AN45" i="50"/>
  <c r="AW67" i="50"/>
  <c r="AN85" i="50"/>
  <c r="AN63" i="50"/>
  <c r="AV44" i="50"/>
  <c r="AV81" i="50"/>
  <c r="AN67" i="50"/>
  <c r="AN48" i="50"/>
  <c r="AN38" i="50"/>
  <c r="AW45" i="50"/>
  <c r="AW79" i="50"/>
  <c r="AW78" i="50"/>
  <c r="AN82" i="50"/>
  <c r="AW73" i="50"/>
  <c r="AN77" i="50"/>
  <c r="AV79" i="50"/>
  <c r="AN83" i="50"/>
  <c r="AN64" i="50"/>
  <c r="AN54" i="50"/>
  <c r="AY50" i="50"/>
  <c r="AZ26" i="50"/>
  <c r="BI26" i="50" s="1"/>
  <c r="AN65" i="50"/>
  <c r="AN55" i="50"/>
  <c r="AW35" i="50"/>
  <c r="BU26" i="50"/>
  <c r="AN68" i="50"/>
  <c r="AN57" i="50"/>
  <c r="AK70" i="50"/>
  <c r="AN80" i="50"/>
  <c r="AN78" i="50"/>
  <c r="AN51" i="50"/>
  <c r="AV36" i="50"/>
  <c r="AN72" i="50"/>
  <c r="AV68" i="50"/>
  <c r="AN71" i="50"/>
  <c r="AW66" i="50"/>
  <c r="AW64" i="50"/>
  <c r="AW69" i="50"/>
  <c r="AV62" i="50"/>
  <c r="AV76" i="50"/>
  <c r="AW80" i="50"/>
  <c r="AN18" i="50"/>
  <c r="AN42" i="50"/>
  <c r="AN26" i="50"/>
  <c r="AN76" i="50"/>
  <c r="AY66" i="50"/>
  <c r="AO66" i="50"/>
  <c r="AN69" i="50"/>
  <c r="AN43" i="50"/>
  <c r="AN27" i="50"/>
  <c r="AN75" i="50"/>
  <c r="AK26" i="50"/>
  <c r="AP50" i="50"/>
  <c r="AN56" i="50"/>
  <c r="AN74" i="50"/>
  <c r="BU50" i="50"/>
  <c r="AQ50" i="50" s="1"/>
  <c r="AN50" i="50"/>
  <c r="AN44" i="50"/>
  <c r="AV30" i="50"/>
  <c r="AN29" i="50"/>
  <c r="AN73" i="50"/>
  <c r="AN58" i="50"/>
  <c r="AX66" i="50"/>
  <c r="AN66" i="50"/>
  <c r="AN59" i="50"/>
  <c r="AN34" i="50"/>
  <c r="AY33" i="50"/>
  <c r="AN70" i="50"/>
  <c r="M558" i="11"/>
  <c r="N634" i="11"/>
  <c r="N489" i="11"/>
  <c r="X634" i="11"/>
  <c r="J492" i="11"/>
  <c r="I492" i="11"/>
  <c r="Y492" i="11" s="1"/>
  <c r="AA492" i="11"/>
  <c r="F33" i="53"/>
  <c r="R18" i="3"/>
  <c r="AG20" i="53"/>
  <c r="S22" i="53"/>
  <c r="AG21" i="53"/>
  <c r="AF18" i="53"/>
  <c r="AG14" i="53"/>
  <c r="F32" i="53"/>
  <c r="R17" i="3"/>
  <c r="F31" i="53"/>
  <c r="F34" i="53"/>
  <c r="R19" i="3"/>
  <c r="AF13" i="53"/>
  <c r="R35" i="51"/>
  <c r="O35" i="51" s="1"/>
  <c r="AP29" i="50"/>
  <c r="BA50" i="50"/>
  <c r="BR50" i="50" s="1"/>
  <c r="AZ50" i="50"/>
  <c r="BL50" i="50" s="1"/>
  <c r="AX50" i="50"/>
  <c r="X19" i="53"/>
  <c r="X14" i="53"/>
  <c r="U20" i="53"/>
  <c r="V24" i="53"/>
  <c r="X15" i="53"/>
  <c r="Q4" i="53"/>
  <c r="S24" i="53"/>
  <c r="X24" i="53"/>
  <c r="W15" i="53"/>
  <c r="AO51" i="50"/>
  <c r="AO35" i="50"/>
  <c r="BA33" i="50"/>
  <c r="BR33" i="50" s="1"/>
  <c r="AO29" i="50"/>
  <c r="AA484" i="11"/>
  <c r="AB484" i="11"/>
  <c r="Z484" i="11"/>
  <c r="Y484" i="11"/>
  <c r="Z481" i="11"/>
  <c r="AB481" i="11"/>
  <c r="X22" i="53"/>
  <c r="H20" i="6"/>
  <c r="Z43" i="1"/>
  <c r="Z498" i="11"/>
  <c r="AB585" i="11"/>
  <c r="Z586" i="11"/>
  <c r="AA520" i="11"/>
  <c r="U636" i="11"/>
  <c r="AA569" i="11"/>
  <c r="I490" i="11"/>
  <c r="AA573" i="11"/>
  <c r="Y569" i="11"/>
  <c r="H30" i="6"/>
  <c r="M634" i="11"/>
  <c r="X636" i="11"/>
  <c r="L636" i="11"/>
  <c r="H31" i="6"/>
  <c r="Z28" i="1"/>
  <c r="AP44" i="50"/>
  <c r="AA601" i="11"/>
  <c r="W569" i="11"/>
  <c r="Z510" i="11"/>
  <c r="W636" i="11"/>
  <c r="X632" i="11"/>
  <c r="H18" i="6"/>
  <c r="Z23" i="1"/>
  <c r="AZ70" i="50"/>
  <c r="BP70" i="50" s="1"/>
  <c r="J28" i="7"/>
  <c r="I28" i="7" s="1"/>
  <c r="Y497" i="11"/>
  <c r="AB544" i="11"/>
  <c r="BU58" i="50"/>
  <c r="BV58" i="50" s="1"/>
  <c r="N622" i="11"/>
  <c r="U16" i="53"/>
  <c r="V16" i="53" s="1"/>
  <c r="Z46" i="1"/>
  <c r="Z15" i="1"/>
  <c r="AP34" i="50"/>
  <c r="AK34" i="50"/>
  <c r="Z543" i="11"/>
  <c r="Z597" i="11"/>
  <c r="AB568" i="11"/>
  <c r="X530" i="11"/>
  <c r="AA558" i="11"/>
  <c r="M573" i="11"/>
  <c r="Y530" i="11"/>
  <c r="BA70" i="50"/>
  <c r="BS70" i="50" s="1"/>
  <c r="AO70" i="50"/>
  <c r="AO34" i="50"/>
  <c r="V568" i="11"/>
  <c r="AB597" i="11"/>
  <c r="Z558" i="11"/>
  <c r="W20" i="53"/>
  <c r="X18" i="53"/>
  <c r="Z492" i="11"/>
  <c r="BU70" i="50"/>
  <c r="BV70" i="50" s="1"/>
  <c r="BU34" i="50"/>
  <c r="AA480" i="11"/>
  <c r="AB480" i="11"/>
  <c r="Z480" i="11"/>
  <c r="Y480" i="11"/>
  <c r="J12" i="7"/>
  <c r="I12" i="7" s="1"/>
  <c r="Y584" i="11"/>
  <c r="Z556" i="11"/>
  <c r="AA557" i="11"/>
  <c r="W543" i="11"/>
  <c r="W531" i="11"/>
  <c r="I636" i="11"/>
  <c r="M556" i="11"/>
  <c r="AB584" i="11"/>
  <c r="X499" i="11"/>
  <c r="AA556" i="11"/>
  <c r="U542" i="11"/>
  <c r="AB530" i="11"/>
  <c r="X510" i="11"/>
  <c r="I489" i="11"/>
  <c r="U500" i="11"/>
  <c r="Z542" i="11"/>
  <c r="AA510" i="11"/>
  <c r="Y599" i="11"/>
  <c r="W557" i="11"/>
  <c r="V20" i="53"/>
  <c r="AE20" i="53"/>
  <c r="V584" i="11"/>
  <c r="X584" i="11"/>
  <c r="U530" i="11"/>
  <c r="V542" i="11"/>
  <c r="W510" i="11"/>
  <c r="M28" i="7"/>
  <c r="H28" i="7" s="1"/>
  <c r="X501" i="11"/>
  <c r="Z599" i="11"/>
  <c r="J27" i="48"/>
  <c r="J60" i="48"/>
  <c r="J65" i="48"/>
  <c r="AA636" i="11"/>
  <c r="AE14" i="53"/>
  <c r="AD14" i="53"/>
  <c r="Y487" i="11"/>
  <c r="Z487" i="11"/>
  <c r="AA482" i="11"/>
  <c r="Z482" i="11"/>
  <c r="Y482" i="11"/>
  <c r="AB482" i="11"/>
  <c r="Z485" i="11"/>
  <c r="AA485" i="11"/>
  <c r="Y485" i="11"/>
  <c r="AB488" i="11"/>
  <c r="Z488" i="11"/>
  <c r="Y488" i="11"/>
  <c r="AA488" i="11"/>
  <c r="Z636" i="11"/>
  <c r="Y520" i="11"/>
  <c r="L633" i="11"/>
  <c r="AO74" i="50"/>
  <c r="X586" i="11"/>
  <c r="BA29" i="50"/>
  <c r="M498" i="11"/>
  <c r="M484" i="11" s="1"/>
  <c r="AX29" i="50"/>
  <c r="J33" i="7"/>
  <c r="I33" i="7" s="1"/>
  <c r="BU29" i="50"/>
  <c r="BV29" i="50" s="1"/>
  <c r="AO44" i="50"/>
  <c r="AZ74" i="50"/>
  <c r="BQ74" i="50" s="1"/>
  <c r="AH74" i="50" s="1"/>
  <c r="AY74" i="50"/>
  <c r="G6" i="53"/>
  <c r="D5" i="53" s="1"/>
  <c r="AO26" i="50"/>
  <c r="S70" i="48"/>
  <c r="AP26" i="50"/>
  <c r="AK27" i="50"/>
  <c r="AY26" i="50"/>
  <c r="AT52" i="50"/>
  <c r="AX17" i="50"/>
  <c r="AE48" i="50"/>
  <c r="AV34" i="50"/>
  <c r="AV29" i="50"/>
  <c r="AV26" i="50"/>
  <c r="L27" i="7"/>
  <c r="L14" i="7"/>
  <c r="AD45" i="1"/>
  <c r="AD38" i="1"/>
  <c r="AD26" i="1"/>
  <c r="V12" i="1"/>
  <c r="X12" i="1" s="1"/>
  <c r="P69" i="4"/>
  <c r="Q69" i="4"/>
  <c r="N69" i="4" s="1"/>
  <c r="S72" i="48"/>
  <c r="S16" i="48"/>
  <c r="AV60" i="50"/>
  <c r="AE55" i="50"/>
  <c r="AV45" i="50"/>
  <c r="AE36" i="50"/>
  <c r="AV22" i="50"/>
  <c r="N27" i="7"/>
  <c r="M27" i="7" s="1"/>
  <c r="H27" i="7" s="1"/>
  <c r="N15" i="7"/>
  <c r="AD40" i="1"/>
  <c r="Y40" i="1" s="1"/>
  <c r="V30" i="1"/>
  <c r="V19" i="1"/>
  <c r="P96" i="4"/>
  <c r="G10" i="53"/>
  <c r="D9" i="53" s="1"/>
  <c r="Q19" i="3"/>
  <c r="P19" i="3"/>
  <c r="D4" i="54"/>
  <c r="U38" i="3"/>
  <c r="F35" i="53"/>
  <c r="R16" i="3"/>
  <c r="V41" i="1"/>
  <c r="AD36" i="1"/>
  <c r="V24" i="1"/>
  <c r="Y24" i="1" s="1"/>
  <c r="V9" i="1"/>
  <c r="Y9" i="1" s="1"/>
  <c r="P90" i="4"/>
  <c r="Q90" i="4"/>
  <c r="P76" i="4"/>
  <c r="Q76" i="4" s="1"/>
  <c r="S82" i="48"/>
  <c r="S71" i="48"/>
  <c r="P91" i="4"/>
  <c r="Q91" i="4" s="1"/>
  <c r="P78" i="4"/>
  <c r="S80" i="48"/>
  <c r="S78" i="48"/>
  <c r="S76" i="48"/>
  <c r="S12" i="48"/>
  <c r="S9" i="48"/>
  <c r="AK74" i="50"/>
  <c r="BA27" i="50"/>
  <c r="AX74" i="50"/>
  <c r="AK55" i="50"/>
  <c r="V27" i="1"/>
  <c r="AD13" i="1"/>
  <c r="P97" i="4"/>
  <c r="P85" i="4"/>
  <c r="Q85" i="4" s="1"/>
  <c r="N85" i="4" s="1"/>
  <c r="P72" i="4"/>
  <c r="Q72" i="4"/>
  <c r="S79" i="48"/>
  <c r="S77" i="48"/>
  <c r="BA74" i="50"/>
  <c r="AE49" i="50"/>
  <c r="AE47" i="50"/>
  <c r="AE45" i="50"/>
  <c r="AE32" i="50"/>
  <c r="AE21" i="50"/>
  <c r="L29" i="7"/>
  <c r="L20" i="7"/>
  <c r="L11" i="7"/>
  <c r="V46" i="1"/>
  <c r="V40" i="1"/>
  <c r="V33" i="1"/>
  <c r="AD28" i="1"/>
  <c r="V23" i="1"/>
  <c r="V15" i="1"/>
  <c r="Y15" i="1" s="1"/>
  <c r="P86" i="4"/>
  <c r="S88" i="48"/>
  <c r="AZ17" i="50"/>
  <c r="BL17" i="50" s="1"/>
  <c r="AE69" i="50"/>
  <c r="AE61" i="50"/>
  <c r="AV52" i="50"/>
  <c r="AE37" i="50"/>
  <c r="AV27" i="50"/>
  <c r="AE24" i="50"/>
  <c r="AE19" i="50"/>
  <c r="BA19" i="50" s="1"/>
  <c r="BR19" i="50" s="1"/>
  <c r="N29" i="7"/>
  <c r="L21" i="7"/>
  <c r="N11" i="7"/>
  <c r="V47" i="1"/>
  <c r="AD29" i="1"/>
  <c r="AD24" i="1"/>
  <c r="V16" i="1"/>
  <c r="AD9" i="1"/>
  <c r="P74" i="4"/>
  <c r="Q74" i="4"/>
  <c r="S18" i="48"/>
  <c r="Q33" i="51"/>
  <c r="Q21" i="51"/>
  <c r="Q40" i="51"/>
  <c r="Q26" i="51"/>
  <c r="Q13" i="51"/>
  <c r="S17" i="48"/>
  <c r="S14" i="48"/>
  <c r="S11" i="48"/>
  <c r="O11" i="48" s="1"/>
  <c r="Q24" i="51"/>
  <c r="Q10" i="51"/>
  <c r="Q42" i="51"/>
  <c r="Q29" i="51"/>
  <c r="Q15" i="51"/>
  <c r="Q43" i="51"/>
  <c r="Q30" i="51"/>
  <c r="Q17" i="51"/>
  <c r="Q12" i="51"/>
  <c r="Q45" i="51"/>
  <c r="Q32" i="51"/>
  <c r="Q18" i="51"/>
  <c r="Q20" i="51"/>
  <c r="Q47" i="51"/>
  <c r="Q34" i="51"/>
  <c r="Q19" i="51"/>
  <c r="J42" i="3"/>
  <c r="P55" i="3"/>
  <c r="Q28" i="51"/>
  <c r="Q48" i="51"/>
  <c r="Q35" i="51"/>
  <c r="Q22" i="51"/>
  <c r="Q41" i="51"/>
  <c r="Q36" i="51"/>
  <c r="Q49" i="51"/>
  <c r="Q37" i="51"/>
  <c r="Q23" i="51"/>
  <c r="Q9" i="51"/>
  <c r="S19" i="48"/>
  <c r="Q46" i="51"/>
  <c r="Q31" i="51"/>
  <c r="AO33" i="50"/>
  <c r="AS22" i="50"/>
  <c r="AT17" i="50"/>
  <c r="AE126" i="50"/>
  <c r="AE62" i="50"/>
  <c r="AV56" i="50"/>
  <c r="AE52" i="50"/>
  <c r="AV50" i="50"/>
  <c r="AE41" i="50"/>
  <c r="AE39" i="50"/>
  <c r="AV37" i="50"/>
  <c r="AE30" i="50"/>
  <c r="AV28" i="50"/>
  <c r="AE25" i="50"/>
  <c r="AE20" i="50"/>
  <c r="L26" i="7"/>
  <c r="N17" i="7"/>
  <c r="L10" i="7"/>
  <c r="Q38" i="51"/>
  <c r="Q25" i="51"/>
  <c r="Q11" i="51"/>
  <c r="V48" i="1"/>
  <c r="V43" i="1"/>
  <c r="Y43" i="1" s="1"/>
  <c r="V38" i="1"/>
  <c r="V32" i="1"/>
  <c r="AD21" i="1"/>
  <c r="X21" i="1" s="1"/>
  <c r="V13" i="1"/>
  <c r="P100" i="4"/>
  <c r="P88" i="4"/>
  <c r="P77" i="4"/>
  <c r="Q77" i="4" s="1"/>
  <c r="P15" i="4"/>
  <c r="AR72" i="50"/>
  <c r="AT81" i="50"/>
  <c r="AS85" i="50"/>
  <c r="AT82" i="50"/>
  <c r="AE89" i="50"/>
  <c r="AP89" i="50" s="1"/>
  <c r="AR88" i="50"/>
  <c r="AV87" i="50"/>
  <c r="AS93" i="50"/>
  <c r="AT90" i="50"/>
  <c r="AE97" i="50"/>
  <c r="AO97" i="50" s="1"/>
  <c r="AR96" i="50"/>
  <c r="AV95" i="50"/>
  <c r="AS101" i="50"/>
  <c r="AS98" i="50"/>
  <c r="AE105" i="50"/>
  <c r="BA105" i="50" s="1"/>
  <c r="BS105" i="50" s="1"/>
  <c r="AR104" i="50"/>
  <c r="AV103" i="50"/>
  <c r="AR109" i="50"/>
  <c r="AT106" i="50"/>
  <c r="AR112" i="50"/>
  <c r="AV111" i="50"/>
  <c r="AE110" i="50"/>
  <c r="AO110" i="50"/>
  <c r="AT116" i="50"/>
  <c r="AS114" i="50"/>
  <c r="AV119" i="50"/>
  <c r="AS125" i="50"/>
  <c r="AE124" i="50"/>
  <c r="AR123" i="50"/>
  <c r="AV122" i="50"/>
  <c r="AE79" i="50"/>
  <c r="BA79" i="50" s="1"/>
  <c r="BR79" i="50" s="1"/>
  <c r="AP79" i="50"/>
  <c r="AT85" i="50"/>
  <c r="AE84" i="50"/>
  <c r="AZ84" i="50" s="1"/>
  <c r="BJ84" i="50" s="1"/>
  <c r="AR83" i="50"/>
  <c r="AV82" i="50"/>
  <c r="AS88" i="50"/>
  <c r="AT93" i="50"/>
  <c r="AE92" i="50"/>
  <c r="AR91" i="50"/>
  <c r="AV90" i="50"/>
  <c r="AS96" i="50"/>
  <c r="AT101" i="50"/>
  <c r="AE100" i="50"/>
  <c r="AR99" i="50"/>
  <c r="AT98" i="50"/>
  <c r="AS104" i="50"/>
  <c r="AS109" i="50"/>
  <c r="AE108" i="50"/>
  <c r="AR107" i="50"/>
  <c r="AV106" i="50"/>
  <c r="AE113" i="50"/>
  <c r="AZ113" i="50" s="1"/>
  <c r="AS112" i="50"/>
  <c r="AV116" i="50"/>
  <c r="AT114" i="50"/>
  <c r="AE121" i="50"/>
  <c r="BU121" i="50" s="1"/>
  <c r="AR120" i="50"/>
  <c r="AT125" i="50"/>
  <c r="AS123" i="50"/>
  <c r="AE77" i="50"/>
  <c r="AE80" i="50"/>
  <c r="AV78" i="50"/>
  <c r="AV85" i="50"/>
  <c r="AS83" i="50"/>
  <c r="AT88" i="50"/>
  <c r="AE87" i="50"/>
  <c r="AK87" i="50" s="1"/>
  <c r="AR86" i="50"/>
  <c r="AV93" i="50"/>
  <c r="AS91" i="50"/>
  <c r="AT96" i="50"/>
  <c r="AE95" i="50"/>
  <c r="AR94" i="50"/>
  <c r="AV101" i="50"/>
  <c r="AS99" i="50"/>
  <c r="AT104" i="50"/>
  <c r="AE103" i="50"/>
  <c r="AR102" i="50"/>
  <c r="AT109" i="50"/>
  <c r="AS107" i="50"/>
  <c r="AT112" i="50"/>
  <c r="AE111" i="50"/>
  <c r="AX111" i="50" s="1"/>
  <c r="AR117" i="50"/>
  <c r="AE116" i="50"/>
  <c r="AR115" i="50"/>
  <c r="AV114" i="50"/>
  <c r="AS120" i="50"/>
  <c r="AE119" i="50"/>
  <c r="AR118" i="50"/>
  <c r="AV125" i="50"/>
  <c r="AT123" i="50"/>
  <c r="AE122" i="50"/>
  <c r="AE81" i="50"/>
  <c r="AR78" i="50"/>
  <c r="AT83" i="50"/>
  <c r="AE82" i="50"/>
  <c r="AO82" i="50" s="1"/>
  <c r="AR89" i="50"/>
  <c r="AV88" i="50"/>
  <c r="AS86" i="50"/>
  <c r="AT91" i="50"/>
  <c r="AE90" i="50"/>
  <c r="AO90" i="50"/>
  <c r="AR97" i="50"/>
  <c r="AV96" i="50"/>
  <c r="AS94" i="50"/>
  <c r="AT99" i="50"/>
  <c r="AE98" i="50"/>
  <c r="AO98" i="50"/>
  <c r="AR105" i="50"/>
  <c r="AV104" i="50"/>
  <c r="AS102" i="50"/>
  <c r="AV109" i="50"/>
  <c r="AT107" i="50"/>
  <c r="AE106" i="50"/>
  <c r="AV112" i="50"/>
  <c r="AV110" i="50"/>
  <c r="AS117" i="50"/>
  <c r="AS115" i="50"/>
  <c r="AT120" i="50"/>
  <c r="AS118" i="50"/>
  <c r="AE125" i="50"/>
  <c r="AR124" i="50"/>
  <c r="AV123" i="50"/>
  <c r="AY51" i="50"/>
  <c r="S75" i="48"/>
  <c r="S73" i="48"/>
  <c r="I42" i="3"/>
  <c r="AV73" i="50"/>
  <c r="AV80" i="50"/>
  <c r="AR79" i="50"/>
  <c r="AS78" i="50"/>
  <c r="AE85" i="50"/>
  <c r="AY85" i="50"/>
  <c r="AR84" i="50"/>
  <c r="AV83" i="50"/>
  <c r="AS89" i="50"/>
  <c r="AT86" i="50"/>
  <c r="AE93" i="50"/>
  <c r="AZ93" i="50" s="1"/>
  <c r="BH93" i="50" s="1"/>
  <c r="AR92" i="50"/>
  <c r="AV91" i="50"/>
  <c r="AS97" i="50"/>
  <c r="AT94" i="50"/>
  <c r="AE101" i="50"/>
  <c r="AR100" i="50"/>
  <c r="AV99" i="50"/>
  <c r="AS105" i="50"/>
  <c r="AT102" i="50"/>
  <c r="AE109" i="50"/>
  <c r="AR108" i="50"/>
  <c r="AV107" i="50"/>
  <c r="AR110" i="50"/>
  <c r="AT117" i="50"/>
  <c r="AT115" i="50"/>
  <c r="AE114" i="50"/>
  <c r="AX114" i="50" s="1"/>
  <c r="AR121" i="50"/>
  <c r="AV120" i="50"/>
  <c r="AT118" i="50"/>
  <c r="AS124" i="50"/>
  <c r="AR80" i="50"/>
  <c r="AS79" i="50"/>
  <c r="AT78" i="50"/>
  <c r="AS84" i="50"/>
  <c r="AT89" i="50"/>
  <c r="AE88" i="50"/>
  <c r="AR87" i="50"/>
  <c r="AV86" i="50"/>
  <c r="AS92" i="50"/>
  <c r="AT97" i="50"/>
  <c r="AE96" i="50"/>
  <c r="AR95" i="50"/>
  <c r="AV94" i="50"/>
  <c r="AS100" i="50"/>
  <c r="AT105" i="50"/>
  <c r="AE104" i="50"/>
  <c r="AR103" i="50"/>
  <c r="AV102" i="50"/>
  <c r="AS108" i="50"/>
  <c r="AR113" i="50"/>
  <c r="AE112" i="50"/>
  <c r="AR111" i="50"/>
  <c r="AS110" i="50"/>
  <c r="AV115" i="50"/>
  <c r="AS121" i="50"/>
  <c r="AE120" i="50"/>
  <c r="BA120" i="50"/>
  <c r="AR119" i="50"/>
  <c r="AV118" i="50"/>
  <c r="AT124" i="50"/>
  <c r="AE123" i="50"/>
  <c r="AR122" i="50"/>
  <c r="AY44" i="50"/>
  <c r="Q32" i="4"/>
  <c r="AS73" i="50"/>
  <c r="AE72" i="50"/>
  <c r="AE71" i="50"/>
  <c r="AR71" i="50"/>
  <c r="AR81" i="50"/>
  <c r="AS80" i="50"/>
  <c r="AT79" i="50"/>
  <c r="AT84" i="50"/>
  <c r="AE83" i="50"/>
  <c r="AR82" i="50"/>
  <c r="AV89" i="50"/>
  <c r="AS87" i="50"/>
  <c r="AT92" i="50"/>
  <c r="AE91" i="50"/>
  <c r="AR90" i="50"/>
  <c r="AV97" i="50"/>
  <c r="AS95" i="50"/>
  <c r="AT100" i="50"/>
  <c r="AE99" i="50"/>
  <c r="AP99" i="50" s="1"/>
  <c r="AV98" i="50"/>
  <c r="AV105" i="50"/>
  <c r="AS103" i="50"/>
  <c r="AT108" i="50"/>
  <c r="AE107" i="50"/>
  <c r="AP107" i="50" s="1"/>
  <c r="AR106" i="50"/>
  <c r="AS113" i="50"/>
  <c r="AS111" i="50"/>
  <c r="AT110" i="50"/>
  <c r="AE117" i="50"/>
  <c r="AK117" i="50" s="1"/>
  <c r="AR116" i="50"/>
  <c r="AT121" i="50"/>
  <c r="AS119" i="50"/>
  <c r="AV124" i="50"/>
  <c r="AS122" i="50"/>
  <c r="AX44" i="50"/>
  <c r="AE60" i="50"/>
  <c r="AK60" i="50" s="1"/>
  <c r="AE53" i="50"/>
  <c r="AV48" i="50"/>
  <c r="AV38" i="50"/>
  <c r="AV24" i="50"/>
  <c r="AE22" i="50"/>
  <c r="L30" i="7"/>
  <c r="J30" i="7" s="1"/>
  <c r="I30" i="7" s="1"/>
  <c r="L23" i="7"/>
  <c r="L16" i="7"/>
  <c r="Q50" i="51"/>
  <c r="Q39" i="51"/>
  <c r="Q27" i="51"/>
  <c r="Q16" i="51"/>
  <c r="AD46" i="1"/>
  <c r="AD41" i="1"/>
  <c r="V37" i="1"/>
  <c r="AD32" i="1"/>
  <c r="V22" i="1"/>
  <c r="AD16" i="1"/>
  <c r="Y16" i="1" s="1"/>
  <c r="AD10" i="1"/>
  <c r="X10" i="1" s="1"/>
  <c r="Y10" i="1"/>
  <c r="Q96" i="4"/>
  <c r="P89" i="4"/>
  <c r="Q89" i="4"/>
  <c r="N89" i="4" s="1"/>
  <c r="P75" i="4"/>
  <c r="P17" i="4"/>
  <c r="Q17" i="4"/>
  <c r="N17" i="4" s="1"/>
  <c r="P12" i="4"/>
  <c r="Q12" i="4"/>
  <c r="S15" i="48"/>
  <c r="S13" i="48"/>
  <c r="T8" i="48"/>
  <c r="AS81" i="50"/>
  <c r="AT80" i="50"/>
  <c r="AE78" i="50"/>
  <c r="AO78" i="50"/>
  <c r="AR85" i="50"/>
  <c r="AV84" i="50"/>
  <c r="AS82" i="50"/>
  <c r="AT87" i="50"/>
  <c r="AE86" i="50"/>
  <c r="AR93" i="50"/>
  <c r="AV92" i="50"/>
  <c r="AS90" i="50"/>
  <c r="AT95" i="50"/>
  <c r="AE94" i="50"/>
  <c r="AX94" i="50"/>
  <c r="AR101" i="50"/>
  <c r="AV100" i="50"/>
  <c r="AR98" i="50"/>
  <c r="AT103" i="50"/>
  <c r="AE102" i="50"/>
  <c r="AY102" i="50" s="1"/>
  <c r="AV108" i="50"/>
  <c r="AS106" i="50"/>
  <c r="AT113" i="50"/>
  <c r="AT111" i="50"/>
  <c r="AS116" i="50"/>
  <c r="AE115" i="50"/>
  <c r="AR114" i="50"/>
  <c r="AV121" i="50"/>
  <c r="AT119" i="50"/>
  <c r="AE118" i="50"/>
  <c r="AO118" i="50"/>
  <c r="AR125" i="50"/>
  <c r="AZ48" i="50"/>
  <c r="AP48" i="50"/>
  <c r="BU36" i="50"/>
  <c r="AK36" i="50"/>
  <c r="BU55" i="50"/>
  <c r="AY55" i="50"/>
  <c r="AX55" i="50"/>
  <c r="J15" i="3"/>
  <c r="K15" i="3"/>
  <c r="G7" i="53"/>
  <c r="G8" i="53"/>
  <c r="D7" i="53" s="1"/>
  <c r="G9" i="53"/>
  <c r="AP69" i="50"/>
  <c r="AY21" i="50"/>
  <c r="AX21" i="50"/>
  <c r="AP61" i="50"/>
  <c r="AX61" i="50"/>
  <c r="AO61" i="50"/>
  <c r="AZ61" i="50"/>
  <c r="BE61" i="50" s="1"/>
  <c r="BU61" i="50"/>
  <c r="AK61" i="50"/>
  <c r="J29" i="7"/>
  <c r="I29" i="7" s="1"/>
  <c r="M29" i="7"/>
  <c r="H29" i="7" s="1"/>
  <c r="Q100" i="4"/>
  <c r="Q97" i="4"/>
  <c r="X36" i="1"/>
  <c r="Q88" i="4"/>
  <c r="AZ49" i="50"/>
  <c r="BD49" i="50" s="1"/>
  <c r="AY49" i="50"/>
  <c r="AK49" i="50"/>
  <c r="BU49" i="50"/>
  <c r="BV49" i="50" s="1"/>
  <c r="AP49" i="50"/>
  <c r="Q78" i="4"/>
  <c r="N78" i="4" s="1"/>
  <c r="M10" i="7"/>
  <c r="H10" i="7" s="1"/>
  <c r="Q15" i="4"/>
  <c r="N15" i="4" s="1"/>
  <c r="AX37" i="50"/>
  <c r="AY37" i="50"/>
  <c r="AZ37" i="50"/>
  <c r="BF37" i="50" s="1"/>
  <c r="AP37" i="50"/>
  <c r="BU37" i="50"/>
  <c r="AQ37" i="50" s="1"/>
  <c r="AO37" i="50"/>
  <c r="BA47" i="50"/>
  <c r="BR47" i="50" s="1"/>
  <c r="J26" i="7"/>
  <c r="I26" i="7" s="1"/>
  <c r="M26" i="7"/>
  <c r="H26" i="7" s="1"/>
  <c r="J17" i="7"/>
  <c r="I17" i="7" s="1"/>
  <c r="M17" i="7"/>
  <c r="H17" i="7" s="1"/>
  <c r="BU24" i="50"/>
  <c r="BA24" i="50"/>
  <c r="AY32" i="50"/>
  <c r="AZ32" i="50"/>
  <c r="BB32" i="50" s="1"/>
  <c r="AX32" i="50"/>
  <c r="X43" i="1"/>
  <c r="AY20" i="50"/>
  <c r="AO20" i="50"/>
  <c r="AP20" i="50"/>
  <c r="BU20" i="50"/>
  <c r="BV20" i="50" s="1"/>
  <c r="AK20" i="50"/>
  <c r="BA20" i="50"/>
  <c r="AX20" i="50"/>
  <c r="AZ20" i="50"/>
  <c r="BH20" i="50" s="1"/>
  <c r="AY41" i="50"/>
  <c r="BU41" i="50"/>
  <c r="AP41" i="50"/>
  <c r="AO41" i="50"/>
  <c r="AK41" i="50"/>
  <c r="AZ41" i="50"/>
  <c r="BD41" i="50" s="1"/>
  <c r="BA41" i="50"/>
  <c r="AX41" i="50"/>
  <c r="AX39" i="50"/>
  <c r="AY39" i="50"/>
  <c r="AK39" i="50"/>
  <c r="BU39" i="50"/>
  <c r="AZ39" i="50"/>
  <c r="BE39" i="50" s="1"/>
  <c r="BA39" i="50"/>
  <c r="BR39" i="50" s="1"/>
  <c r="Y13" i="1"/>
  <c r="AO126" i="50"/>
  <c r="BU126" i="50"/>
  <c r="AY30" i="50"/>
  <c r="AO30" i="50"/>
  <c r="BA30" i="50"/>
  <c r="AP30" i="50"/>
  <c r="BU30" i="50"/>
  <c r="AZ30" i="50"/>
  <c r="BN30" i="50" s="1"/>
  <c r="AK30" i="50"/>
  <c r="AX30" i="50"/>
  <c r="BU62" i="50"/>
  <c r="AZ62" i="50"/>
  <c r="BL62" i="50" s="1"/>
  <c r="BA62" i="50"/>
  <c r="AK62" i="50"/>
  <c r="AP62" i="50"/>
  <c r="AP25" i="50"/>
  <c r="AY25" i="50"/>
  <c r="AZ25" i="50"/>
  <c r="BE25" i="50" s="1"/>
  <c r="BU25" i="50"/>
  <c r="AQ25" i="50" s="1"/>
  <c r="AX25" i="50"/>
  <c r="AO25" i="50"/>
  <c r="AK25" i="50"/>
  <c r="BA25" i="50"/>
  <c r="BA94" i="50"/>
  <c r="BR94" i="50" s="1"/>
  <c r="AP122" i="50"/>
  <c r="BU122" i="50"/>
  <c r="BV122" i="50" s="1"/>
  <c r="AY122" i="50"/>
  <c r="AZ122" i="50"/>
  <c r="BL122" i="50" s="1"/>
  <c r="BU116" i="50"/>
  <c r="BV116" i="50" s="1"/>
  <c r="AO116" i="50"/>
  <c r="AP116" i="50"/>
  <c r="AZ116" i="50"/>
  <c r="BP116" i="50" s="1"/>
  <c r="AX116" i="50"/>
  <c r="BA116" i="50"/>
  <c r="BR116" i="50" s="1"/>
  <c r="AX77" i="50"/>
  <c r="AK77" i="50"/>
  <c r="AO77" i="50"/>
  <c r="BA107" i="50"/>
  <c r="BS107" i="50" s="1"/>
  <c r="AK120" i="50"/>
  <c r="AZ120" i="50"/>
  <c r="BG120" i="50" s="1"/>
  <c r="AP96" i="50"/>
  <c r="AK96" i="50"/>
  <c r="AZ114" i="50"/>
  <c r="BL114" i="50" s="1"/>
  <c r="BA114" i="50"/>
  <c r="BU114" i="50"/>
  <c r="AP114" i="50"/>
  <c r="AK114" i="50"/>
  <c r="AY114" i="50"/>
  <c r="BU103" i="50"/>
  <c r="AK103" i="50"/>
  <c r="AZ103" i="50"/>
  <c r="AX103" i="50"/>
  <c r="AY103" i="50"/>
  <c r="AP103" i="50"/>
  <c r="BA103" i="50"/>
  <c r="AO103" i="50"/>
  <c r="AY92" i="50"/>
  <c r="AO92" i="50"/>
  <c r="BA92" i="50"/>
  <c r="AP92" i="50"/>
  <c r="BU92" i="50"/>
  <c r="AQ92" i="50" s="1"/>
  <c r="AK92" i="50"/>
  <c r="AX92" i="50"/>
  <c r="AZ92" i="50"/>
  <c r="BP92" i="50" s="1"/>
  <c r="BU97" i="50"/>
  <c r="BV97" i="50" s="1"/>
  <c r="AY97" i="50"/>
  <c r="BA97" i="50"/>
  <c r="AK97" i="50"/>
  <c r="AP97" i="50"/>
  <c r="AZ97" i="50"/>
  <c r="BB97" i="50" s="1"/>
  <c r="AX97" i="50"/>
  <c r="X16" i="1"/>
  <c r="AZ83" i="50"/>
  <c r="BQ83" i="50" s="1"/>
  <c r="AO109" i="50"/>
  <c r="AK109" i="50"/>
  <c r="AY109" i="50"/>
  <c r="BU90" i="50"/>
  <c r="BV90" i="50" s="1"/>
  <c r="AX90" i="50"/>
  <c r="AK90" i="50"/>
  <c r="AZ90" i="50"/>
  <c r="BJ90" i="50" s="1"/>
  <c r="AP90" i="50"/>
  <c r="BA90" i="50"/>
  <c r="BS90" i="50" s="1"/>
  <c r="AY90" i="50"/>
  <c r="AZ79" i="50"/>
  <c r="BN79" i="50" s="1"/>
  <c r="AO79" i="50"/>
  <c r="AY79" i="50"/>
  <c r="BU79" i="50"/>
  <c r="AK79" i="50"/>
  <c r="AX79" i="50"/>
  <c r="BA115" i="50"/>
  <c r="BU115" i="50"/>
  <c r="AQ115" i="50" s="1"/>
  <c r="AP115" i="50"/>
  <c r="AX86" i="50"/>
  <c r="AK86" i="50"/>
  <c r="BA86" i="50"/>
  <c r="BS86" i="50" s="1"/>
  <c r="L78" i="48"/>
  <c r="M84" i="48"/>
  <c r="O87" i="48"/>
  <c r="N94" i="48"/>
  <c r="N100" i="48"/>
  <c r="L99" i="48"/>
  <c r="O71" i="48"/>
  <c r="L14" i="48"/>
  <c r="O76" i="48"/>
  <c r="M33" i="48"/>
  <c r="L21" i="48"/>
  <c r="N66" i="48"/>
  <c r="L57" i="48"/>
  <c r="M40" i="48"/>
  <c r="L27" i="48"/>
  <c r="M65" i="48"/>
  <c r="N52" i="48"/>
  <c r="N40" i="48"/>
  <c r="M30" i="48"/>
  <c r="R61" i="48"/>
  <c r="L15" i="48"/>
  <c r="M94" i="48"/>
  <c r="R91" i="48"/>
  <c r="R63" i="48"/>
  <c r="O98" i="48"/>
  <c r="R12" i="48"/>
  <c r="L74" i="48"/>
  <c r="N17" i="48"/>
  <c r="L79" i="48"/>
  <c r="M16" i="48"/>
  <c r="L10" i="48"/>
  <c r="O83" i="48"/>
  <c r="L69" i="48"/>
  <c r="M45" i="48"/>
  <c r="O34" i="48"/>
  <c r="L68" i="48"/>
  <c r="N30" i="48"/>
  <c r="O23" i="48"/>
  <c r="O26" i="48"/>
  <c r="L54" i="48"/>
  <c r="L42" i="48"/>
  <c r="N59" i="48"/>
  <c r="R43" i="48"/>
  <c r="O35" i="48"/>
  <c r="N20" i="48"/>
  <c r="N76" i="48"/>
  <c r="M64" i="48"/>
  <c r="L56" i="48"/>
  <c r="L45" i="48"/>
  <c r="R62" i="48"/>
  <c r="R76" i="48"/>
  <c r="L96" i="48"/>
  <c r="R81" i="48"/>
  <c r="O19" i="48"/>
  <c r="N82" i="48"/>
  <c r="M15" i="48"/>
  <c r="O15" i="48"/>
  <c r="R99" i="48"/>
  <c r="N46" i="48"/>
  <c r="L60" i="48"/>
  <c r="L48" i="48"/>
  <c r="M48" i="48"/>
  <c r="N44" i="48"/>
  <c r="O29" i="48"/>
  <c r="O44" i="48"/>
  <c r="M31" i="48"/>
  <c r="R20" i="48"/>
  <c r="N62" i="48"/>
  <c r="R65" i="48"/>
  <c r="N58" i="48"/>
  <c r="M20" i="48"/>
  <c r="R32" i="48"/>
  <c r="O14" i="48"/>
  <c r="M86" i="48"/>
  <c r="N92" i="48"/>
  <c r="O93" i="48"/>
  <c r="O96" i="48"/>
  <c r="L100" i="48"/>
  <c r="L98" i="48"/>
  <c r="L72" i="48"/>
  <c r="L13" i="48"/>
  <c r="N72" i="48"/>
  <c r="R58" i="48"/>
  <c r="L36" i="48"/>
  <c r="L25" i="48"/>
  <c r="N61" i="48"/>
  <c r="M47" i="48"/>
  <c r="O32" i="48"/>
  <c r="O21" i="48"/>
  <c r="L64" i="48"/>
  <c r="L49" i="48"/>
  <c r="O59" i="48"/>
  <c r="R22" i="48"/>
  <c r="M72" i="48"/>
  <c r="N73" i="48"/>
  <c r="M87" i="48"/>
  <c r="O90" i="48"/>
  <c r="M98" i="48"/>
  <c r="N16" i="48"/>
  <c r="M13" i="48"/>
  <c r="L63" i="48"/>
  <c r="M53" i="48"/>
  <c r="R26" i="48"/>
  <c r="N60" i="48"/>
  <c r="O50" i="48"/>
  <c r="N41" i="48"/>
  <c r="L58" i="48"/>
  <c r="O38" i="48"/>
  <c r="L28" i="48"/>
  <c r="L62" i="48"/>
  <c r="O48" i="48"/>
  <c r="M9" i="48"/>
  <c r="N14" i="48"/>
  <c r="N70" i="48"/>
  <c r="N78" i="48"/>
  <c r="M81" i="48"/>
  <c r="N89" i="48"/>
  <c r="M92" i="48"/>
  <c r="N93" i="48"/>
  <c r="N96" i="48"/>
  <c r="M95" i="48"/>
  <c r="R72" i="48"/>
  <c r="O77" i="48"/>
  <c r="L29" i="48"/>
  <c r="N56" i="48"/>
  <c r="M41" i="48"/>
  <c r="O27" i="48"/>
  <c r="O42" i="48"/>
  <c r="L32" i="48"/>
  <c r="L59" i="48"/>
  <c r="O63" i="48"/>
  <c r="L46" i="48"/>
  <c r="M39" i="48"/>
  <c r="O28" i="48"/>
  <c r="L75" i="48"/>
  <c r="O79" i="48"/>
  <c r="N84" i="48"/>
  <c r="N90" i="48"/>
  <c r="O94" i="48"/>
  <c r="O97" i="48"/>
  <c r="O100" i="48"/>
  <c r="R77" i="48"/>
  <c r="R19" i="48"/>
  <c r="L94" i="48"/>
  <c r="L16" i="48"/>
  <c r="M18" i="48"/>
  <c r="M77" i="48"/>
  <c r="O82" i="48"/>
  <c r="O33" i="48"/>
  <c r="M21" i="48"/>
  <c r="R60" i="48"/>
  <c r="N48" i="48"/>
  <c r="L40" i="48"/>
  <c r="L34" i="48"/>
  <c r="N21" i="48"/>
  <c r="L61" i="48"/>
  <c r="M50" i="48"/>
  <c r="N38" i="48"/>
  <c r="R53" i="48"/>
  <c r="M60" i="48"/>
  <c r="R64" i="48"/>
  <c r="R86" i="48"/>
  <c r="R17" i="48"/>
  <c r="L81" i="48"/>
  <c r="O86" i="48"/>
  <c r="R73" i="48"/>
  <c r="L93" i="48"/>
  <c r="N97" i="48"/>
  <c r="R84" i="48"/>
  <c r="N19" i="48"/>
  <c r="N83" i="48"/>
  <c r="N74" i="48"/>
  <c r="M11" i="48"/>
  <c r="M17" i="48"/>
  <c r="M76" i="48"/>
  <c r="O66" i="48"/>
  <c r="O46" i="48"/>
  <c r="O49" i="48"/>
  <c r="M32" i="48"/>
  <c r="O22" i="48"/>
  <c r="N65" i="48"/>
  <c r="M62" i="48"/>
  <c r="M51" i="48"/>
  <c r="L39" i="48"/>
  <c r="L26" i="48"/>
  <c r="M54" i="48"/>
  <c r="L30" i="48"/>
  <c r="O62" i="48"/>
  <c r="R41" i="48"/>
  <c r="N88" i="48"/>
  <c r="R59" i="48"/>
  <c r="R23" i="48"/>
  <c r="N85" i="48"/>
  <c r="N23" i="48"/>
  <c r="R51" i="48"/>
  <c r="L22" i="48"/>
  <c r="R36" i="48"/>
  <c r="R40" i="48"/>
  <c r="R31" i="48"/>
  <c r="R90" i="48"/>
  <c r="R47" i="48"/>
  <c r="N63" i="48"/>
  <c r="R88" i="48"/>
  <c r="M36" i="48"/>
  <c r="N98" i="48"/>
  <c r="M52" i="48"/>
  <c r="R15" i="48"/>
  <c r="R55" i="48"/>
  <c r="R39" i="48"/>
  <c r="AY72" i="50"/>
  <c r="AX72" i="50"/>
  <c r="BA72" i="50"/>
  <c r="BR72" i="50" s="1"/>
  <c r="AK72" i="50"/>
  <c r="AP72" i="50"/>
  <c r="AO72" i="50"/>
  <c r="BU72" i="50"/>
  <c r="BV72" i="50" s="1"/>
  <c r="AZ72" i="50"/>
  <c r="BH72" i="50" s="1"/>
  <c r="BU112" i="50"/>
  <c r="AY112" i="50"/>
  <c r="AX112" i="50"/>
  <c r="AK112" i="50"/>
  <c r="AO121" i="50"/>
  <c r="BA121" i="50"/>
  <c r="BS121" i="50" s="1"/>
  <c r="AK121" i="50"/>
  <c r="AZ121" i="50"/>
  <c r="AY121" i="50"/>
  <c r="AP121" i="50"/>
  <c r="AX121" i="50"/>
  <c r="AZ108" i="50"/>
  <c r="BJ108" i="50" s="1"/>
  <c r="AO108" i="50"/>
  <c r="AY108" i="50"/>
  <c r="BU108" i="50"/>
  <c r="BV108" i="50" s="1"/>
  <c r="AP108" i="50"/>
  <c r="AZ89" i="50"/>
  <c r="BK89" i="50" s="1"/>
  <c r="AO89" i="50"/>
  <c r="AX89" i="50"/>
  <c r="Y46" i="1"/>
  <c r="X46" i="1"/>
  <c r="AK99" i="50"/>
  <c r="AO99" i="50"/>
  <c r="AZ99" i="50"/>
  <c r="AX99" i="50"/>
  <c r="BA99" i="50"/>
  <c r="BA71" i="50"/>
  <c r="AO71" i="50"/>
  <c r="BU71" i="50"/>
  <c r="BV71" i="50" s="1"/>
  <c r="AK71" i="50"/>
  <c r="AY71" i="50"/>
  <c r="AP71" i="50"/>
  <c r="AZ71" i="50"/>
  <c r="BI71" i="50" s="1"/>
  <c r="AO88" i="50"/>
  <c r="AY88" i="50"/>
  <c r="BA88" i="50"/>
  <c r="AZ88" i="50"/>
  <c r="BK88" i="50" s="1"/>
  <c r="BU88" i="50"/>
  <c r="AQ88" i="50" s="1"/>
  <c r="AX88" i="50"/>
  <c r="AP88" i="50"/>
  <c r="AY101" i="50"/>
  <c r="AZ101" i="50"/>
  <c r="AK101" i="50"/>
  <c r="BU101" i="50"/>
  <c r="BA125" i="50"/>
  <c r="BS125" i="50" s="1"/>
  <c r="AK125" i="50"/>
  <c r="AO125" i="50"/>
  <c r="AP125" i="50"/>
  <c r="AX125" i="50"/>
  <c r="AY125" i="50"/>
  <c r="AZ125" i="50"/>
  <c r="BQ125" i="50" s="1"/>
  <c r="AJ125" i="50" s="1"/>
  <c r="BU125" i="50"/>
  <c r="AQ125" i="50" s="1"/>
  <c r="AX119" i="50"/>
  <c r="AY119" i="50"/>
  <c r="AY95" i="50"/>
  <c r="AO95" i="50"/>
  <c r="AX84" i="50"/>
  <c r="AK84" i="50"/>
  <c r="BA84" i="50"/>
  <c r="BS84" i="50" s="1"/>
  <c r="AO84" i="50"/>
  <c r="BU84" i="50"/>
  <c r="AP84" i="50"/>
  <c r="AY84" i="50"/>
  <c r="AP22" i="50"/>
  <c r="AK22" i="50"/>
  <c r="AY22" i="50"/>
  <c r="AO22" i="50"/>
  <c r="BA22" i="50"/>
  <c r="BS22" i="50" s="1"/>
  <c r="BU22" i="50"/>
  <c r="BV22" i="50" s="1"/>
  <c r="AZ22" i="50"/>
  <c r="BL22" i="50" s="1"/>
  <c r="AX22" i="50"/>
  <c r="AX102" i="50"/>
  <c r="BA102" i="50"/>
  <c r="BR102" i="50" s="1"/>
  <c r="X41" i="1"/>
  <c r="Y41" i="1"/>
  <c r="M30" i="7"/>
  <c r="H30" i="7" s="1"/>
  <c r="AK123" i="50"/>
  <c r="BU123" i="50"/>
  <c r="BV123" i="50" s="1"/>
  <c r="AP123" i="50"/>
  <c r="BA123" i="50"/>
  <c r="AX123" i="50"/>
  <c r="AZ123" i="50"/>
  <c r="BA106" i="50"/>
  <c r="AZ82" i="50"/>
  <c r="BU82" i="50"/>
  <c r="BV82" i="50" s="1"/>
  <c r="AK82" i="50"/>
  <c r="BA82" i="50"/>
  <c r="AP82" i="50"/>
  <c r="AX82" i="50"/>
  <c r="AY82" i="50"/>
  <c r="AX124" i="50"/>
  <c r="AK124" i="50"/>
  <c r="BA124" i="50"/>
  <c r="BR124" i="50" s="1"/>
  <c r="AZ124" i="50"/>
  <c r="BI124" i="50" s="1"/>
  <c r="Y37" i="1"/>
  <c r="AZ78" i="50"/>
  <c r="BN78" i="50" s="1"/>
  <c r="AK78" i="50"/>
  <c r="Q75" i="4"/>
  <c r="J23" i="7"/>
  <c r="I23" i="7" s="1"/>
  <c r="M23" i="7"/>
  <c r="H23" i="7" s="1"/>
  <c r="AO117" i="50"/>
  <c r="AX117" i="50"/>
  <c r="AZ117" i="50"/>
  <c r="AY117" i="50"/>
  <c r="BU117" i="50"/>
  <c r="AP117" i="50"/>
  <c r="BA104" i="50"/>
  <c r="BR104" i="50" s="1"/>
  <c r="AX104" i="50"/>
  <c r="AO104" i="50"/>
  <c r="AK104" i="50"/>
  <c r="AY104" i="50"/>
  <c r="BU104" i="50"/>
  <c r="BV104" i="50" s="1"/>
  <c r="AP104" i="50"/>
  <c r="AZ104" i="50"/>
  <c r="BE104" i="50" s="1"/>
  <c r="AO93" i="50"/>
  <c r="AX93" i="50"/>
  <c r="BU93" i="50"/>
  <c r="AK93" i="50"/>
  <c r="BA93" i="50"/>
  <c r="AY93" i="50"/>
  <c r="AP93" i="50"/>
  <c r="BA111" i="50"/>
  <c r="AO111" i="50"/>
  <c r="AY111" i="50"/>
  <c r="W111" i="50" s="1"/>
  <c r="AK111" i="50"/>
  <c r="AP111" i="50"/>
  <c r="AZ111" i="50"/>
  <c r="BL111" i="50" s="1"/>
  <c r="BU111" i="50"/>
  <c r="AP113" i="50"/>
  <c r="BA100" i="50"/>
  <c r="BR100" i="50" s="1"/>
  <c r="AK100" i="50"/>
  <c r="AX100" i="50"/>
  <c r="AO100" i="50"/>
  <c r="AP100" i="50"/>
  <c r="AZ100" i="50"/>
  <c r="BF100" i="50" s="1"/>
  <c r="AO86" i="50"/>
  <c r="AP118" i="50"/>
  <c r="BA118" i="50"/>
  <c r="AX118" i="50"/>
  <c r="AZ118" i="50"/>
  <c r="AK118" i="50"/>
  <c r="BU91" i="50"/>
  <c r="AP91" i="50"/>
  <c r="AZ91" i="50"/>
  <c r="BI91" i="50" s="1"/>
  <c r="AO91" i="50"/>
  <c r="AY91" i="50"/>
  <c r="AX91" i="50"/>
  <c r="AZ98" i="50"/>
  <c r="BL98" i="50" s="1"/>
  <c r="BU98" i="50"/>
  <c r="AY98" i="50"/>
  <c r="AZ87" i="50"/>
  <c r="BP87" i="50" s="1"/>
  <c r="AP87" i="50"/>
  <c r="AY87" i="50"/>
  <c r="AO87" i="50"/>
  <c r="BU87" i="50"/>
  <c r="BA87" i="50"/>
  <c r="AX87" i="50"/>
  <c r="AX110" i="50"/>
  <c r="AZ110" i="50"/>
  <c r="BI110" i="50" s="1"/>
  <c r="BA110" i="50"/>
  <c r="AY110" i="50"/>
  <c r="BU110" i="50"/>
  <c r="AQ110" i="50" s="1"/>
  <c r="AK110" i="50"/>
  <c r="AP110" i="50"/>
  <c r="AO105" i="50"/>
  <c r="AO114" i="50"/>
  <c r="AO122" i="50"/>
  <c r="D6" i="53"/>
  <c r="J6" i="53"/>
  <c r="Q16" i="3"/>
  <c r="P16" i="3"/>
  <c r="L3" i="53"/>
  <c r="Q17" i="3"/>
  <c r="P17" i="3"/>
  <c r="Q18" i="3"/>
  <c r="P18" i="3"/>
  <c r="D8" i="53"/>
  <c r="U37" i="3"/>
  <c r="J18" i="3"/>
  <c r="K18" i="3" s="1"/>
  <c r="Z40" i="1"/>
  <c r="Z22" i="1"/>
  <c r="H23" i="6"/>
  <c r="X13" i="1"/>
  <c r="X37" i="1"/>
  <c r="Y45" i="1"/>
  <c r="Z19" i="1"/>
  <c r="H16" i="6"/>
  <c r="Z30" i="1"/>
  <c r="H28" i="6"/>
  <c r="Z36" i="1"/>
  <c r="Z14" i="1"/>
  <c r="Z18" i="1"/>
  <c r="Z47" i="1"/>
  <c r="H29" i="6"/>
  <c r="H27" i="6"/>
  <c r="Z45" i="1"/>
  <c r="Z29" i="1"/>
  <c r="Z13" i="1"/>
  <c r="F9" i="54"/>
  <c r="H17" i="6"/>
  <c r="Z44" i="1"/>
  <c r="Z38" i="1"/>
  <c r="Y22" i="1"/>
  <c r="Y42" i="1"/>
  <c r="Z31" i="1"/>
  <c r="Z34" i="1"/>
  <c r="H12" i="6"/>
  <c r="H10" i="6"/>
  <c r="Z27" i="1"/>
  <c r="Z50" i="1"/>
  <c r="N13" i="52"/>
  <c r="Y35" i="1"/>
  <c r="X35" i="1"/>
  <c r="H19" i="6"/>
  <c r="Z41" i="1"/>
  <c r="Z25" i="1"/>
  <c r="Z9" i="1"/>
  <c r="F8" i="54"/>
  <c r="H25" i="6"/>
  <c r="H15" i="6"/>
  <c r="Z26" i="1"/>
  <c r="Z16" i="1"/>
  <c r="X40" i="1"/>
  <c r="Y36" i="1"/>
  <c r="X9" i="1"/>
  <c r="X45" i="1"/>
  <c r="Y47" i="1"/>
  <c r="X11" i="1"/>
  <c r="Z11" i="1"/>
  <c r="Z35" i="1"/>
  <c r="H8" i="6"/>
  <c r="Z24" i="1"/>
  <c r="H22" i="6"/>
  <c r="H21" i="6"/>
  <c r="Z39" i="1"/>
  <c r="H9" i="6"/>
  <c r="H11" i="6"/>
  <c r="Z37" i="1"/>
  <c r="Z21" i="1"/>
  <c r="N15" i="52"/>
  <c r="F11" i="54"/>
  <c r="H24" i="6"/>
  <c r="H14" i="6"/>
  <c r="Z48" i="1"/>
  <c r="Z42" i="1"/>
  <c r="Z32" i="1"/>
  <c r="Z12" i="1"/>
  <c r="Z20" i="1"/>
  <c r="BE26" i="50"/>
  <c r="P22" i="3"/>
  <c r="AY80" i="50"/>
  <c r="AX120" i="50"/>
  <c r="AP120" i="50"/>
  <c r="AY107" i="50"/>
  <c r="AX107" i="50"/>
  <c r="AK107" i="50"/>
  <c r="AK94" i="50"/>
  <c r="AY94" i="50"/>
  <c r="BU120" i="50"/>
  <c r="AQ120" i="50" s="1"/>
  <c r="AO120" i="50"/>
  <c r="BU107" i="50"/>
  <c r="AQ107" i="50" s="1"/>
  <c r="AZ107" i="50"/>
  <c r="BE107" i="50" s="1"/>
  <c r="AO85" i="50"/>
  <c r="AK85" i="50"/>
  <c r="AP94" i="50"/>
  <c r="BU94" i="50"/>
  <c r="AQ94" i="50" s="1"/>
  <c r="AO94" i="50"/>
  <c r="BU80" i="50"/>
  <c r="AY120" i="50"/>
  <c r="AO107" i="50"/>
  <c r="AX85" i="50"/>
  <c r="AZ94" i="50"/>
  <c r="BD94" i="50" s="1"/>
  <c r="X47" i="1"/>
  <c r="Q86" i="4"/>
  <c r="Y19" i="1"/>
  <c r="Q95" i="4"/>
  <c r="Q13" i="4"/>
  <c r="N13" i="4" s="1"/>
  <c r="AA495" i="11"/>
  <c r="N495" i="11"/>
  <c r="N480" i="11" s="1"/>
  <c r="Z495" i="11"/>
  <c r="N636" i="11"/>
  <c r="N491" i="11" s="1"/>
  <c r="B345" i="11"/>
  <c r="AD330" i="14"/>
  <c r="Y330" i="14"/>
  <c r="Z584" i="11"/>
  <c r="Z570" i="11"/>
  <c r="Y568" i="11"/>
  <c r="AA584" i="11"/>
  <c r="Y545" i="11"/>
  <c r="B344" i="11"/>
  <c r="AA559" i="11"/>
  <c r="Y559" i="11"/>
  <c r="L634" i="11"/>
  <c r="U634" i="11"/>
  <c r="W568" i="11"/>
  <c r="X568" i="11"/>
  <c r="W584" i="11"/>
  <c r="U521" i="11"/>
  <c r="Z521" i="11"/>
  <c r="U596" i="11"/>
  <c r="Y596" i="11"/>
  <c r="X596" i="11"/>
  <c r="X545" i="11"/>
  <c r="V600" i="11"/>
  <c r="X600" i="11"/>
  <c r="Z568" i="11"/>
  <c r="W521" i="11"/>
  <c r="W596" i="11"/>
  <c r="Z596" i="11"/>
  <c r="M545" i="11"/>
  <c r="AA568" i="11"/>
  <c r="Q16" i="4"/>
  <c r="AD327" i="14"/>
  <c r="AV69" i="50"/>
  <c r="AV66" i="50"/>
  <c r="AV65" i="50"/>
  <c r="AV64" i="50"/>
  <c r="AE46" i="50"/>
  <c r="AV43" i="50"/>
  <c r="AE38" i="50"/>
  <c r="AV33" i="50"/>
  <c r="AE31" i="50"/>
  <c r="AE28" i="50"/>
  <c r="AE23" i="50"/>
  <c r="AV20" i="50"/>
  <c r="N31" i="7"/>
  <c r="M31" i="7" s="1"/>
  <c r="H31" i="7" s="1"/>
  <c r="N21" i="7"/>
  <c r="L13" i="7"/>
  <c r="M13" i="7" s="1"/>
  <c r="H13" i="7" s="1"/>
  <c r="V50" i="1"/>
  <c r="AD49" i="1"/>
  <c r="V44" i="1"/>
  <c r="V39" i="1"/>
  <c r="V26" i="1"/>
  <c r="V18" i="1"/>
  <c r="AD12" i="1"/>
  <c r="P70" i="4"/>
  <c r="Q70" i="4" s="1"/>
  <c r="AT122" i="50"/>
  <c r="AS17" i="50"/>
  <c r="AE68" i="50"/>
  <c r="AE65" i="50"/>
  <c r="AE64" i="50"/>
  <c r="BA64" i="50" s="1"/>
  <c r="BS64" i="50" s="1"/>
  <c r="AE63" i="50"/>
  <c r="AE59" i="50"/>
  <c r="AV57" i="50"/>
  <c r="AE56" i="50"/>
  <c r="AY56" i="50" s="1"/>
  <c r="AE43" i="50"/>
  <c r="AO38" i="50"/>
  <c r="AV35" i="50"/>
  <c r="AV32" i="50"/>
  <c r="L32" i="7"/>
  <c r="L22" i="7"/>
  <c r="L15" i="7"/>
  <c r="AD33" i="1"/>
  <c r="V20" i="1"/>
  <c r="X20" i="1"/>
  <c r="P92" i="4"/>
  <c r="P82" i="4"/>
  <c r="Q82" i="4" s="1"/>
  <c r="AP68" i="50"/>
  <c r="AK68" i="50"/>
  <c r="BU68" i="50"/>
  <c r="BV68" i="50" s="1"/>
  <c r="X39" i="1"/>
  <c r="Y39" i="1"/>
  <c r="AZ63" i="50"/>
  <c r="BJ63" i="50" s="1"/>
  <c r="BU63" i="50"/>
  <c r="BV63" i="50" s="1"/>
  <c r="AK63" i="50"/>
  <c r="AY63" i="50"/>
  <c r="Y12" i="1"/>
  <c r="Y44" i="1"/>
  <c r="X44" i="1"/>
  <c r="M21" i="7"/>
  <c r="H21" i="7" s="1"/>
  <c r="J21" i="7"/>
  <c r="I21" i="7" s="1"/>
  <c r="BU28" i="50"/>
  <c r="AO28" i="50"/>
  <c r="AY28" i="50"/>
  <c r="AO59" i="50"/>
  <c r="BU23" i="50"/>
  <c r="AO23" i="50"/>
  <c r="BA23" i="50"/>
  <c r="BS23" i="50" s="1"/>
  <c r="AZ23" i="50"/>
  <c r="BK23" i="50" s="1"/>
  <c r="AP23" i="50"/>
  <c r="Y33" i="1"/>
  <c r="X33" i="1"/>
  <c r="AK64" i="50"/>
  <c r="AY64" i="50"/>
  <c r="AX64" i="50"/>
  <c r="AO64" i="50"/>
  <c r="BA31" i="50"/>
  <c r="BS31" i="50" s="1"/>
  <c r="AO31" i="50"/>
  <c r="AK31" i="50"/>
  <c r="AP31" i="50"/>
  <c r="BU31" i="50"/>
  <c r="BV31" i="50" s="1"/>
  <c r="AO46" i="50"/>
  <c r="AY46" i="50"/>
  <c r="AX46" i="50"/>
  <c r="AZ46" i="50"/>
  <c r="BO46" i="50" s="1"/>
  <c r="BA46" i="50"/>
  <c r="BU46" i="50"/>
  <c r="AQ46" i="50" s="1"/>
  <c r="AP46" i="50"/>
  <c r="AK46" i="50"/>
  <c r="Y20" i="1"/>
  <c r="J15" i="7"/>
  <c r="I15" i="7" s="1"/>
  <c r="M15" i="7"/>
  <c r="H15" i="7" s="1"/>
  <c r="BA56" i="50"/>
  <c r="BS56" i="50" s="1"/>
  <c r="BU56" i="50"/>
  <c r="AQ56" i="50" s="1"/>
  <c r="Q92" i="4"/>
  <c r="N92" i="4" s="1"/>
  <c r="J22" i="7"/>
  <c r="I22" i="7" s="1"/>
  <c r="M22" i="7"/>
  <c r="H22" i="7" s="1"/>
  <c r="BA65" i="50"/>
  <c r="X26" i="1"/>
  <c r="Y26" i="1"/>
  <c r="Y50" i="1"/>
  <c r="X50" i="1"/>
  <c r="AB15" i="53"/>
  <c r="AB22" i="53"/>
  <c r="AB20" i="53"/>
  <c r="AB13" i="53"/>
  <c r="AB18" i="53"/>
  <c r="AB19" i="53"/>
  <c r="AB21" i="53"/>
  <c r="AB23" i="53"/>
  <c r="AB17" i="53"/>
  <c r="AB14" i="53"/>
  <c r="AB16" i="53"/>
  <c r="AB24" i="53"/>
  <c r="V109" i="50" l="1"/>
  <c r="AP18" i="50"/>
  <c r="AM18" i="50" s="1"/>
  <c r="AO18" i="50"/>
  <c r="BD26" i="50"/>
  <c r="V113" i="50"/>
  <c r="AM87" i="50"/>
  <c r="V117" i="50"/>
  <c r="V100" i="50"/>
  <c r="W110" i="50"/>
  <c r="L9" i="50"/>
  <c r="P26" i="3" s="1"/>
  <c r="BK114" i="50"/>
  <c r="AQ49" i="50"/>
  <c r="AM62" i="50"/>
  <c r="AU84" i="50"/>
  <c r="BI72" i="50"/>
  <c r="BQ72" i="50"/>
  <c r="AH72" i="50" s="1"/>
  <c r="BQ108" i="50"/>
  <c r="AH108" i="50" s="1"/>
  <c r="W125" i="50"/>
  <c r="BF62" i="50"/>
  <c r="BV110" i="50"/>
  <c r="W84" i="50"/>
  <c r="W39" i="50"/>
  <c r="BL89" i="50"/>
  <c r="BN110" i="50"/>
  <c r="BH89" i="50"/>
  <c r="BK71" i="50"/>
  <c r="S37" i="1"/>
  <c r="R37" i="1" s="1"/>
  <c r="BS102" i="50"/>
  <c r="AU102" i="50"/>
  <c r="BF88" i="50"/>
  <c r="BR22" i="50"/>
  <c r="BB62" i="50"/>
  <c r="BJ98" i="50"/>
  <c r="S45" i="1"/>
  <c r="R45" i="1" s="1"/>
  <c r="BO41" i="50"/>
  <c r="BD74" i="50"/>
  <c r="BP120" i="50"/>
  <c r="BP93" i="50"/>
  <c r="BR84" i="50"/>
  <c r="BG89" i="50"/>
  <c r="BI41" i="50"/>
  <c r="W17" i="50"/>
  <c r="BD110" i="50"/>
  <c r="BO50" i="50"/>
  <c r="AI74" i="50"/>
  <c r="BQ50" i="50"/>
  <c r="AJ50" i="50" s="1"/>
  <c r="BG74" i="50"/>
  <c r="AQ35" i="50"/>
  <c r="BF74" i="50"/>
  <c r="BB74" i="50"/>
  <c r="BG50" i="50"/>
  <c r="BE74" i="50"/>
  <c r="BL110" i="50"/>
  <c r="BH50" i="50"/>
  <c r="BN74" i="50"/>
  <c r="AI70" i="50"/>
  <c r="V38" i="50"/>
  <c r="BH110" i="50"/>
  <c r="AU104" i="50"/>
  <c r="BI74" i="50"/>
  <c r="BH74" i="50"/>
  <c r="BJ74" i="50"/>
  <c r="BE50" i="50"/>
  <c r="AM111" i="50"/>
  <c r="AI50" i="50"/>
  <c r="BF94" i="50"/>
  <c r="BL74" i="50"/>
  <c r="BK74" i="50"/>
  <c r="BP74" i="50"/>
  <c r="BP110" i="50"/>
  <c r="AM97" i="50"/>
  <c r="BF110" i="50"/>
  <c r="BE110" i="50"/>
  <c r="V20" i="50"/>
  <c r="BQ110" i="50"/>
  <c r="AJ110" i="50" s="1"/>
  <c r="BP111" i="50"/>
  <c r="AQ72" i="50"/>
  <c r="BN62" i="50"/>
  <c r="BS33" i="50"/>
  <c r="V116" i="50"/>
  <c r="AU33" i="50"/>
  <c r="BK93" i="50"/>
  <c r="BG70" i="50"/>
  <c r="AU17" i="50"/>
  <c r="BF70" i="50"/>
  <c r="S40" i="1"/>
  <c r="R40" i="1" s="1"/>
  <c r="BB110" i="50"/>
  <c r="BS17" i="50"/>
  <c r="W85" i="50"/>
  <c r="BO110" i="50"/>
  <c r="BS35" i="50"/>
  <c r="BO104" i="50"/>
  <c r="V85" i="50"/>
  <c r="BD125" i="50"/>
  <c r="BF98" i="50"/>
  <c r="BV25" i="50"/>
  <c r="W30" i="50"/>
  <c r="AQ70" i="50"/>
  <c r="BO63" i="50"/>
  <c r="BJ125" i="50"/>
  <c r="BN98" i="50"/>
  <c r="BF124" i="50"/>
  <c r="BB20" i="50"/>
  <c r="BS72" i="50"/>
  <c r="BB70" i="50"/>
  <c r="AG107" i="50"/>
  <c r="BM107" i="50" s="1"/>
  <c r="BQ25" i="50"/>
  <c r="AH25" i="50" s="1"/>
  <c r="AL25" i="50" s="1"/>
  <c r="X25" i="50" s="1"/>
  <c r="BC25" i="50" s="1"/>
  <c r="V35" i="50"/>
  <c r="BK124" i="50"/>
  <c r="BJ70" i="50"/>
  <c r="AI91" i="50"/>
  <c r="AM25" i="50"/>
  <c r="V90" i="50"/>
  <c r="BO70" i="50"/>
  <c r="AU50" i="50"/>
  <c r="AQ108" i="50"/>
  <c r="BR51" i="50"/>
  <c r="N61" i="4"/>
  <c r="BE70" i="50"/>
  <c r="BL91" i="50"/>
  <c r="BL104" i="50"/>
  <c r="BG17" i="50"/>
  <c r="BR107" i="50"/>
  <c r="BK70" i="50"/>
  <c r="BK91" i="50"/>
  <c r="W93" i="50"/>
  <c r="BH91" i="50"/>
  <c r="BE22" i="50"/>
  <c r="BI25" i="50"/>
  <c r="W88" i="50"/>
  <c r="BJ110" i="50"/>
  <c r="BH124" i="50"/>
  <c r="BK51" i="50"/>
  <c r="BG62" i="50"/>
  <c r="BS50" i="50"/>
  <c r="V82" i="50"/>
  <c r="BV120" i="50"/>
  <c r="BK110" i="50"/>
  <c r="BV50" i="50"/>
  <c r="BR121" i="50"/>
  <c r="AU35" i="50"/>
  <c r="BO26" i="50"/>
  <c r="V74" i="50"/>
  <c r="AI94" i="50"/>
  <c r="BP107" i="50"/>
  <c r="BL70" i="50"/>
  <c r="BB17" i="50"/>
  <c r="AQ29" i="50"/>
  <c r="BL71" i="50"/>
  <c r="BJ17" i="50"/>
  <c r="AM26" i="50"/>
  <c r="W94" i="50"/>
  <c r="AI17" i="50"/>
  <c r="BQ122" i="50"/>
  <c r="AJ122" i="50" s="1"/>
  <c r="BH26" i="50"/>
  <c r="V104" i="50"/>
  <c r="BI17" i="50"/>
  <c r="BS79" i="50"/>
  <c r="BK17" i="50"/>
  <c r="W92" i="50"/>
  <c r="V80" i="50"/>
  <c r="V93" i="50"/>
  <c r="BH70" i="50"/>
  <c r="BI70" i="50"/>
  <c r="BH17" i="50"/>
  <c r="BQ70" i="50"/>
  <c r="BP91" i="50"/>
  <c r="BN70" i="50"/>
  <c r="BD17" i="50"/>
  <c r="BE122" i="50"/>
  <c r="BQ17" i="50"/>
  <c r="AH17" i="50" s="1"/>
  <c r="BL93" i="50"/>
  <c r="BD70" i="50"/>
  <c r="BD104" i="50"/>
  <c r="BV92" i="50"/>
  <c r="BL20" i="50"/>
  <c r="BF17" i="50"/>
  <c r="W91" i="50"/>
  <c r="V114" i="50"/>
  <c r="AG110" i="50"/>
  <c r="BM110" i="50" s="1"/>
  <c r="U19" i="53"/>
  <c r="W19" i="53"/>
  <c r="U13" i="53"/>
  <c r="X13" i="53"/>
  <c r="V18" i="53"/>
  <c r="AD18" i="53" s="1"/>
  <c r="N11" i="52"/>
  <c r="N16" i="52" s="1"/>
  <c r="D4" i="52" s="1"/>
  <c r="N29" i="4"/>
  <c r="AQ28" i="50"/>
  <c r="BV28" i="50"/>
  <c r="AO57" i="50"/>
  <c r="BA57" i="50"/>
  <c r="AU57" i="50" s="1"/>
  <c r="AK57" i="50"/>
  <c r="AZ57" i="50"/>
  <c r="BO57" i="50" s="1"/>
  <c r="BU57" i="50"/>
  <c r="AX57" i="50"/>
  <c r="AY57" i="50"/>
  <c r="AP57" i="50"/>
  <c r="BA67" i="50"/>
  <c r="AU67" i="50" s="1"/>
  <c r="AY67" i="50"/>
  <c r="AX67" i="50"/>
  <c r="BU67" i="50"/>
  <c r="AK67" i="50"/>
  <c r="AO67" i="50"/>
  <c r="AP67" i="50"/>
  <c r="AZ67" i="50"/>
  <c r="BH67" i="50" s="1"/>
  <c r="U23" i="53"/>
  <c r="BG82" i="50"/>
  <c r="AM82" i="50"/>
  <c r="AQ101" i="50"/>
  <c r="BV101" i="50"/>
  <c r="BG99" i="50"/>
  <c r="BN99" i="50"/>
  <c r="BL99" i="50"/>
  <c r="BP99" i="50"/>
  <c r="BE99" i="50"/>
  <c r="BI99" i="50"/>
  <c r="BK99" i="50"/>
  <c r="BH99" i="50"/>
  <c r="BB99" i="50"/>
  <c r="BO99" i="50"/>
  <c r="Q34" i="4"/>
  <c r="N34" i="4" s="1"/>
  <c r="N20" i="4"/>
  <c r="N23" i="4"/>
  <c r="BL118" i="50"/>
  <c r="BG118" i="50"/>
  <c r="BE118" i="50"/>
  <c r="AI118" i="50"/>
  <c r="X23" i="1"/>
  <c r="Y23" i="1"/>
  <c r="Q26" i="4"/>
  <c r="N26" i="4" s="1"/>
  <c r="AO75" i="50"/>
  <c r="AP75" i="50"/>
  <c r="AX75" i="50"/>
  <c r="BA75" i="50"/>
  <c r="AZ75" i="50"/>
  <c r="BU75" i="50"/>
  <c r="AY75" i="50"/>
  <c r="R12" i="51"/>
  <c r="O12" i="51" s="1"/>
  <c r="R21" i="51"/>
  <c r="O21" i="51" s="1"/>
  <c r="R9" i="51"/>
  <c r="O9" i="51" s="1"/>
  <c r="R46" i="51"/>
  <c r="O46" i="51" s="1"/>
  <c r="R27" i="51"/>
  <c r="O27" i="51" s="1"/>
  <c r="R36" i="51"/>
  <c r="O36" i="51" s="1"/>
  <c r="R31" i="51"/>
  <c r="O31" i="51" s="1"/>
  <c r="R24" i="51"/>
  <c r="O24" i="51" s="1"/>
  <c r="R49" i="51"/>
  <c r="O49" i="51" s="1"/>
  <c r="R26" i="51"/>
  <c r="O26" i="51" s="1"/>
  <c r="R17" i="51"/>
  <c r="O17" i="51" s="1"/>
  <c r="R29" i="51"/>
  <c r="O29" i="51" s="1"/>
  <c r="R37" i="51"/>
  <c r="O37" i="51" s="1"/>
  <c r="R45" i="51"/>
  <c r="O45" i="51" s="1"/>
  <c r="R44" i="51"/>
  <c r="O44" i="51" s="1"/>
  <c r="R11" i="51"/>
  <c r="O11" i="51" s="1"/>
  <c r="R30" i="51"/>
  <c r="O30" i="51" s="1"/>
  <c r="R43" i="51"/>
  <c r="O43" i="51" s="1"/>
  <c r="R50" i="51"/>
  <c r="O50" i="51" s="1"/>
  <c r="R47" i="51"/>
  <c r="O47" i="51" s="1"/>
  <c r="R25" i="51"/>
  <c r="O25" i="51" s="1"/>
  <c r="R22" i="51"/>
  <c r="O22" i="51" s="1"/>
  <c r="R39" i="51"/>
  <c r="O39" i="51" s="1"/>
  <c r="R8" i="51"/>
  <c r="O8" i="51" s="1"/>
  <c r="R16" i="51"/>
  <c r="O16" i="51" s="1"/>
  <c r="R42" i="51"/>
  <c r="O42" i="51" s="1"/>
  <c r="R32" i="51"/>
  <c r="O32" i="51" s="1"/>
  <c r="R10" i="51"/>
  <c r="O10" i="51" s="1"/>
  <c r="R34" i="51"/>
  <c r="O34" i="51" s="1"/>
  <c r="R19" i="51"/>
  <c r="O19" i="51" s="1"/>
  <c r="R23" i="51"/>
  <c r="O23" i="51" s="1"/>
  <c r="R28" i="51"/>
  <c r="O28" i="51" s="1"/>
  <c r="R40" i="51"/>
  <c r="O40" i="51" s="1"/>
  <c r="R33" i="51"/>
  <c r="O33" i="51" s="1"/>
  <c r="R15" i="51"/>
  <c r="O15" i="51" s="1"/>
  <c r="R48" i="51"/>
  <c r="O48" i="51" s="1"/>
  <c r="R38" i="51"/>
  <c r="O38" i="51" s="1"/>
  <c r="R18" i="51"/>
  <c r="O18" i="51" s="1"/>
  <c r="BO113" i="50"/>
  <c r="BK113" i="50"/>
  <c r="BP113" i="50"/>
  <c r="BH113" i="50"/>
  <c r="BF113" i="50"/>
  <c r="BL113" i="50"/>
  <c r="BE113" i="50"/>
  <c r="BD113" i="50"/>
  <c r="BS111" i="50"/>
  <c r="AU111" i="50"/>
  <c r="BH123" i="50"/>
  <c r="BE123" i="50"/>
  <c r="BI123" i="50"/>
  <c r="BN123" i="50"/>
  <c r="BL123" i="50"/>
  <c r="BK123" i="50"/>
  <c r="BD123" i="50"/>
  <c r="BO123" i="50"/>
  <c r="BP123" i="50"/>
  <c r="AI101" i="50"/>
  <c r="BN101" i="50"/>
  <c r="BV80" i="50"/>
  <c r="AQ80" i="50"/>
  <c r="BR26" i="50"/>
  <c r="AG26" i="50"/>
  <c r="BM26" i="50" s="1"/>
  <c r="O16" i="53"/>
  <c r="AG22" i="53"/>
  <c r="BS34" i="50"/>
  <c r="BR34" i="50"/>
  <c r="AE15" i="53"/>
  <c r="BV115" i="50"/>
  <c r="AD20" i="53"/>
  <c r="Q20" i="53" s="1"/>
  <c r="S16" i="53"/>
  <c r="BA73" i="50"/>
  <c r="AX73" i="50"/>
  <c r="AY73" i="50"/>
  <c r="BH83" i="50"/>
  <c r="BP78" i="50"/>
  <c r="BK78" i="50"/>
  <c r="N58" i="4"/>
  <c r="AB559" i="11"/>
  <c r="X559" i="11"/>
  <c r="Z559" i="11"/>
  <c r="W559" i="11"/>
  <c r="V559" i="11"/>
  <c r="U559" i="11"/>
  <c r="AK52" i="50"/>
  <c r="AX52" i="50"/>
  <c r="AP52" i="50"/>
  <c r="AO52" i="50"/>
  <c r="BA52" i="50"/>
  <c r="AU52" i="50" s="1"/>
  <c r="AZ52" i="50"/>
  <c r="BQ52" i="50" s="1"/>
  <c r="AH52" i="50" s="1"/>
  <c r="AY52" i="50"/>
  <c r="BU52" i="50"/>
  <c r="BV52" i="50" s="1"/>
  <c r="N498" i="11"/>
  <c r="N484" i="11" s="1"/>
  <c r="AB498" i="11"/>
  <c r="AA498" i="11"/>
  <c r="M633" i="11"/>
  <c r="X18" i="1"/>
  <c r="Y18" i="1"/>
  <c r="M559" i="11"/>
  <c r="AB571" i="11"/>
  <c r="Z571" i="11"/>
  <c r="X571" i="11"/>
  <c r="Y571" i="11"/>
  <c r="W571" i="11"/>
  <c r="V496" i="11"/>
  <c r="Z496" i="11"/>
  <c r="AA496" i="11"/>
  <c r="N496" i="11"/>
  <c r="N483" i="11" s="1"/>
  <c r="L496" i="11"/>
  <c r="U496" i="11"/>
  <c r="X496" i="11"/>
  <c r="M496" i="11"/>
  <c r="M483" i="11" s="1"/>
  <c r="Y496" i="11"/>
  <c r="X495" i="11"/>
  <c r="Y495" i="11"/>
  <c r="L495" i="11"/>
  <c r="AB495" i="11"/>
  <c r="U495" i="11"/>
  <c r="W22" i="53"/>
  <c r="O22" i="53" s="1"/>
  <c r="U17" i="53"/>
  <c r="W17" i="53"/>
  <c r="O17" i="53" s="1"/>
  <c r="Y632" i="11"/>
  <c r="AA632" i="11"/>
  <c r="X49" i="1"/>
  <c r="Y49" i="1"/>
  <c r="AE24" i="53"/>
  <c r="BG100" i="50"/>
  <c r="BQ100" i="50"/>
  <c r="AJ100" i="50" s="1"/>
  <c r="AY58" i="50"/>
  <c r="W58" i="50" s="1"/>
  <c r="AO58" i="50"/>
  <c r="AP58" i="50"/>
  <c r="AK58" i="50"/>
  <c r="Z501" i="11"/>
  <c r="Y501" i="11"/>
  <c r="N501" i="11"/>
  <c r="AK43" i="50"/>
  <c r="AO43" i="50"/>
  <c r="AP43" i="50"/>
  <c r="BK62" i="50"/>
  <c r="BO62" i="50"/>
  <c r="BH62" i="50"/>
  <c r="BJ62" i="50"/>
  <c r="S13" i="53"/>
  <c r="AO106" i="50"/>
  <c r="AP106" i="50"/>
  <c r="BU106" i="50"/>
  <c r="AK106" i="50"/>
  <c r="AY106" i="50"/>
  <c r="AX106" i="50"/>
  <c r="AZ106" i="50"/>
  <c r="BQ106" i="50" s="1"/>
  <c r="AJ106" i="50" s="1"/>
  <c r="AK24" i="50"/>
  <c r="AP24" i="50"/>
  <c r="AX24" i="50"/>
  <c r="AZ24" i="50"/>
  <c r="BE24" i="50" s="1"/>
  <c r="AO24" i="50"/>
  <c r="N55" i="4"/>
  <c r="AP56" i="50"/>
  <c r="BQ87" i="50"/>
  <c r="AX105" i="50"/>
  <c r="AP19" i="50"/>
  <c r="BV84" i="50"/>
  <c r="AQ84" i="50"/>
  <c r="AI39" i="50"/>
  <c r="BH39" i="50"/>
  <c r="BI39" i="50"/>
  <c r="BP39" i="50"/>
  <c r="BJ39" i="50"/>
  <c r="BL39" i="50"/>
  <c r="BB39" i="50"/>
  <c r="BO39" i="50"/>
  <c r="BK39" i="50"/>
  <c r="BB103" i="50"/>
  <c r="BQ103" i="50"/>
  <c r="BI103" i="50"/>
  <c r="BG103" i="50"/>
  <c r="BE103" i="50"/>
  <c r="BH103" i="50"/>
  <c r="AI103" i="50"/>
  <c r="BF103" i="50"/>
  <c r="AF19" i="53"/>
  <c r="AG18" i="53"/>
  <c r="P18" i="53" s="1"/>
  <c r="W18" i="53"/>
  <c r="O18" i="53" s="1"/>
  <c r="AF17" i="53"/>
  <c r="BS26" i="50"/>
  <c r="M20" i="7"/>
  <c r="H20" i="7" s="1"/>
  <c r="N48" i="4"/>
  <c r="V572" i="11"/>
  <c r="AA572" i="11"/>
  <c r="Y572" i="11"/>
  <c r="M572" i="11"/>
  <c r="X572" i="11"/>
  <c r="BB87" i="50"/>
  <c r="AO56" i="50"/>
  <c r="BD39" i="50"/>
  <c r="BD103" i="50"/>
  <c r="BL124" i="50"/>
  <c r="BJ124" i="50"/>
  <c r="BH48" i="50"/>
  <c r="BI48" i="50"/>
  <c r="BE48" i="50"/>
  <c r="BL48" i="50"/>
  <c r="M489" i="11"/>
  <c r="M488" i="11"/>
  <c r="AA570" i="11"/>
  <c r="U570" i="11"/>
  <c r="X570" i="11"/>
  <c r="Y570" i="11"/>
  <c r="AB570" i="11"/>
  <c r="V21" i="53"/>
  <c r="AD21" i="53" s="1"/>
  <c r="AE21" i="53"/>
  <c r="V23" i="50"/>
  <c r="AX23" i="50"/>
  <c r="AY23" i="50"/>
  <c r="E348" i="11"/>
  <c r="E347" i="11"/>
  <c r="E346" i="11"/>
  <c r="E344" i="11"/>
  <c r="AK56" i="50"/>
  <c r="BU43" i="50"/>
  <c r="BV43" i="50" s="1"/>
  <c r="AP28" i="50"/>
  <c r="AK28" i="50"/>
  <c r="AX28" i="50"/>
  <c r="W28" i="50" s="1"/>
  <c r="BA28" i="50"/>
  <c r="BR28" i="50" s="1"/>
  <c r="N90" i="4"/>
  <c r="N32" i="4"/>
  <c r="AZ85" i="50"/>
  <c r="BG85" i="50" s="1"/>
  <c r="BU85" i="50"/>
  <c r="AY126" i="50"/>
  <c r="AK126" i="50"/>
  <c r="AX126" i="50"/>
  <c r="BA126" i="50"/>
  <c r="BS126" i="50" s="1"/>
  <c r="AZ126" i="50"/>
  <c r="D346" i="11"/>
  <c r="N33" i="4"/>
  <c r="D344" i="11"/>
  <c r="N94" i="4"/>
  <c r="N35" i="4"/>
  <c r="N83" i="4"/>
  <c r="J24" i="7"/>
  <c r="I24" i="7" s="1"/>
  <c r="M24" i="7"/>
  <c r="H24" i="7" s="1"/>
  <c r="AX56" i="50"/>
  <c r="W56" i="50" s="1"/>
  <c r="BN100" i="50"/>
  <c r="O15" i="53"/>
  <c r="N96" i="4"/>
  <c r="BR118" i="50"/>
  <c r="AU118" i="50"/>
  <c r="W112" i="50"/>
  <c r="E33" i="53"/>
  <c r="AG19" i="53"/>
  <c r="S14" i="53"/>
  <c r="AF20" i="53"/>
  <c r="P20" i="53" s="1"/>
  <c r="AF15" i="53"/>
  <c r="AF24" i="53"/>
  <c r="O13" i="53"/>
  <c r="O19" i="53"/>
  <c r="AG17" i="53"/>
  <c r="AG16" i="53"/>
  <c r="O14" i="53"/>
  <c r="E31" i="53"/>
  <c r="AE16" i="53"/>
  <c r="S20" i="53"/>
  <c r="AD15" i="53"/>
  <c r="S21" i="53"/>
  <c r="AG15" i="53"/>
  <c r="AF21" i="53"/>
  <c r="P21" i="53" s="1"/>
  <c r="E34" i="53"/>
  <c r="S17" i="53"/>
  <c r="AD16" i="53"/>
  <c r="AQ55" i="50"/>
  <c r="BV55" i="50"/>
  <c r="W66" i="50"/>
  <c r="AP66" i="50"/>
  <c r="AK66" i="50"/>
  <c r="BA66" i="50"/>
  <c r="AZ66" i="50"/>
  <c r="W23" i="53"/>
  <c r="S23" i="53"/>
  <c r="AG23" i="53"/>
  <c r="P23" i="53" s="1"/>
  <c r="X23" i="53"/>
  <c r="O23" i="53" s="1"/>
  <c r="M11" i="7"/>
  <c r="H11" i="7" s="1"/>
  <c r="J11" i="7"/>
  <c r="I11" i="7" s="1"/>
  <c r="AG24" i="53"/>
  <c r="S15" i="53"/>
  <c r="B347" i="11"/>
  <c r="D347" i="11"/>
  <c r="BD87" i="50"/>
  <c r="BR62" i="50"/>
  <c r="BS62" i="50"/>
  <c r="C341" i="11"/>
  <c r="E341" i="11"/>
  <c r="AY105" i="50"/>
  <c r="BU105" i="50"/>
  <c r="AZ105" i="50"/>
  <c r="BE105" i="50" s="1"/>
  <c r="AK105" i="50"/>
  <c r="AP105" i="50"/>
  <c r="AF22" i="53"/>
  <c r="BG98" i="50"/>
  <c r="BE98" i="50"/>
  <c r="BN122" i="50"/>
  <c r="BG122" i="50"/>
  <c r="BB122" i="50"/>
  <c r="BF122" i="50"/>
  <c r="BK122" i="50"/>
  <c r="AO21" i="50"/>
  <c r="AK21" i="50"/>
  <c r="AP21" i="50"/>
  <c r="AZ21" i="50"/>
  <c r="BE21" i="50" s="1"/>
  <c r="BU21" i="50"/>
  <c r="BA21" i="50"/>
  <c r="AU21" i="50" s="1"/>
  <c r="AA501" i="11"/>
  <c r="AP73" i="50"/>
  <c r="M637" i="11"/>
  <c r="M492" i="11" s="1"/>
  <c r="Z637" i="11"/>
  <c r="Y637" i="11"/>
  <c r="AA637" i="11"/>
  <c r="X631" i="11"/>
  <c r="L631" i="11"/>
  <c r="W631" i="11"/>
  <c r="AK23" i="50"/>
  <c r="BK103" i="50"/>
  <c r="AY24" i="50"/>
  <c r="V105" i="50"/>
  <c r="AY81" i="50"/>
  <c r="AO81" i="50"/>
  <c r="AP81" i="50"/>
  <c r="AX81" i="50"/>
  <c r="AK81" i="50"/>
  <c r="BU81" i="50"/>
  <c r="BV81" i="50" s="1"/>
  <c r="BA81" i="50"/>
  <c r="AU81" i="50" s="1"/>
  <c r="AZ81" i="50"/>
  <c r="BE81" i="50" s="1"/>
  <c r="AX62" i="50"/>
  <c r="AY62" i="50"/>
  <c r="AO62" i="50"/>
  <c r="AG62" i="50" s="1"/>
  <c r="BM62" i="50" s="1"/>
  <c r="V62" i="50"/>
  <c r="AO32" i="50"/>
  <c r="BU32" i="50"/>
  <c r="AQ32" i="50" s="1"/>
  <c r="AK32" i="50"/>
  <c r="AP32" i="50"/>
  <c r="AM32" i="50" s="1"/>
  <c r="BA32" i="50"/>
  <c r="BR32" i="50" s="1"/>
  <c r="N59" i="4"/>
  <c r="X28" i="1"/>
  <c r="Y28" i="1"/>
  <c r="D341" i="11"/>
  <c r="AZ59" i="50"/>
  <c r="BB59" i="50" s="1"/>
  <c r="AP59" i="50"/>
  <c r="AK59" i="50"/>
  <c r="N46" i="4"/>
  <c r="BG39" i="50"/>
  <c r="BN103" i="50"/>
  <c r="AM113" i="50"/>
  <c r="X24" i="1"/>
  <c r="S24" i="1" s="1"/>
  <c r="R24" i="1" s="1"/>
  <c r="AK19" i="50"/>
  <c r="AK113" i="50"/>
  <c r="BU113" i="50"/>
  <c r="BV113" i="50" s="1"/>
  <c r="AY113" i="50"/>
  <c r="AX113" i="50"/>
  <c r="S43" i="1"/>
  <c r="R43" i="1" s="1"/>
  <c r="BA37" i="50"/>
  <c r="BR37" i="50" s="1"/>
  <c r="AK37" i="50"/>
  <c r="BU45" i="50"/>
  <c r="AY45" i="50"/>
  <c r="BU73" i="50"/>
  <c r="BV73" i="50" s="1"/>
  <c r="AB572" i="11"/>
  <c r="Y14" i="1"/>
  <c r="X14" i="1"/>
  <c r="AZ27" i="50"/>
  <c r="AI27" i="50" s="1"/>
  <c r="BU27" i="50"/>
  <c r="AP27" i="50"/>
  <c r="AX27" i="50"/>
  <c r="W27" i="50" s="1"/>
  <c r="AO27" i="50"/>
  <c r="R96" i="48"/>
  <c r="J491" i="11"/>
  <c r="Z491" i="11" s="1"/>
  <c r="Y491" i="11"/>
  <c r="I491" i="11"/>
  <c r="AA491" i="11" s="1"/>
  <c r="AB491" i="11"/>
  <c r="Z633" i="11"/>
  <c r="N633" i="11"/>
  <c r="N488" i="11" s="1"/>
  <c r="Y633" i="11"/>
  <c r="AA633" i="11"/>
  <c r="AY59" i="50"/>
  <c r="AZ43" i="50"/>
  <c r="BQ43" i="50" s="1"/>
  <c r="AJ43" i="50" s="1"/>
  <c r="BA63" i="50"/>
  <c r="BS63" i="50" s="1"/>
  <c r="AX63" i="50"/>
  <c r="W63" i="50" s="1"/>
  <c r="AP63" i="50"/>
  <c r="AM63" i="50" s="1"/>
  <c r="AO63" i="50"/>
  <c r="AX31" i="50"/>
  <c r="V31" i="50"/>
  <c r="AY31" i="50"/>
  <c r="AZ31" i="50"/>
  <c r="N30" i="4"/>
  <c r="BQ113" i="50"/>
  <c r="AJ113" i="50" s="1"/>
  <c r="BQ39" i="50"/>
  <c r="AH39" i="50" s="1"/>
  <c r="BL103" i="50"/>
  <c r="BG125" i="50"/>
  <c r="BP125" i="50"/>
  <c r="BL125" i="50"/>
  <c r="BN125" i="50"/>
  <c r="BQ114" i="50"/>
  <c r="AH114" i="50" s="1"/>
  <c r="BD114" i="50"/>
  <c r="BJ114" i="50"/>
  <c r="BO114" i="50"/>
  <c r="BG114" i="50"/>
  <c r="AI114" i="50"/>
  <c r="AM122" i="50"/>
  <c r="AZ19" i="50"/>
  <c r="BE19" i="50" s="1"/>
  <c r="V118" i="50"/>
  <c r="BU118" i="50"/>
  <c r="AY118" i="50"/>
  <c r="W118" i="50" s="1"/>
  <c r="AK53" i="50"/>
  <c r="AX53" i="50"/>
  <c r="V53" i="50"/>
  <c r="AO53" i="50"/>
  <c r="AZ53" i="50"/>
  <c r="BP53" i="50" s="1"/>
  <c r="BU53" i="50"/>
  <c r="BV53" i="50" s="1"/>
  <c r="AY53" i="50"/>
  <c r="BA53" i="50"/>
  <c r="AM99" i="50"/>
  <c r="BA122" i="50"/>
  <c r="AU122" i="50" s="1"/>
  <c r="AX122" i="50"/>
  <c r="W122" i="50" s="1"/>
  <c r="AK122" i="50"/>
  <c r="AI122" i="50"/>
  <c r="AZ95" i="50"/>
  <c r="BJ95" i="50" s="1"/>
  <c r="BU95" i="50"/>
  <c r="AQ95" i="50" s="1"/>
  <c r="AP95" i="50"/>
  <c r="AX95" i="50"/>
  <c r="W95" i="50" s="1"/>
  <c r="BA95" i="50"/>
  <c r="AU95" i="50" s="1"/>
  <c r="AK95" i="50"/>
  <c r="Y48" i="1"/>
  <c r="X48" i="1"/>
  <c r="V52" i="50"/>
  <c r="AO47" i="50"/>
  <c r="AK47" i="50"/>
  <c r="AY47" i="50"/>
  <c r="AP47" i="50"/>
  <c r="AZ47" i="50"/>
  <c r="BU47" i="50"/>
  <c r="AX47" i="50"/>
  <c r="AB632" i="11"/>
  <c r="AZ73" i="50"/>
  <c r="W570" i="11"/>
  <c r="X635" i="11"/>
  <c r="I635" i="11"/>
  <c r="AA635" i="11" s="1"/>
  <c r="J635" i="11"/>
  <c r="AB635" i="11"/>
  <c r="N635" i="11"/>
  <c r="N490" i="11" s="1"/>
  <c r="I483" i="11"/>
  <c r="AA483" i="11"/>
  <c r="Y483" i="11"/>
  <c r="J31" i="7"/>
  <c r="I31" i="7" s="1"/>
  <c r="AY43" i="50"/>
  <c r="V33" i="50"/>
  <c r="D345" i="11"/>
  <c r="BE62" i="50"/>
  <c r="BP103" i="50"/>
  <c r="BO122" i="50"/>
  <c r="BI114" i="50"/>
  <c r="Y21" i="1"/>
  <c r="S21" i="1" s="1"/>
  <c r="R21" i="1" s="1"/>
  <c r="AO113" i="50"/>
  <c r="Z511" i="11"/>
  <c r="V511" i="11"/>
  <c r="AA511" i="11"/>
  <c r="W511" i="11"/>
  <c r="Y511" i="11"/>
  <c r="AB511" i="11"/>
  <c r="X511" i="11"/>
  <c r="AX43" i="50"/>
  <c r="AX38" i="50"/>
  <c r="AP38" i="50"/>
  <c r="AY38" i="50"/>
  <c r="BU38" i="50"/>
  <c r="BA38" i="50"/>
  <c r="BS38" i="50" s="1"/>
  <c r="BF125" i="50"/>
  <c r="BD62" i="50"/>
  <c r="BE114" i="50"/>
  <c r="O20" i="53"/>
  <c r="AP85" i="50"/>
  <c r="S10" i="1"/>
  <c r="R10" i="1" s="1"/>
  <c r="AY123" i="50"/>
  <c r="W123" i="50" s="1"/>
  <c r="AO123" i="50"/>
  <c r="AG123" i="50" s="1"/>
  <c r="BM123" i="50" s="1"/>
  <c r="BQ123" i="50"/>
  <c r="AH123" i="50" s="1"/>
  <c r="BA108" i="50"/>
  <c r="AK108" i="50"/>
  <c r="AX108" i="50"/>
  <c r="W108" i="50" s="1"/>
  <c r="BA69" i="50"/>
  <c r="AU69" i="50" s="1"/>
  <c r="BU69" i="50"/>
  <c r="AX69" i="50"/>
  <c r="AZ69" i="50"/>
  <c r="BH69" i="50" s="1"/>
  <c r="AY69" i="50"/>
  <c r="AO69" i="50"/>
  <c r="AK69" i="50"/>
  <c r="M495" i="11"/>
  <c r="X27" i="1"/>
  <c r="Y27" i="1"/>
  <c r="BU64" i="50"/>
  <c r="BV64" i="50" s="1"/>
  <c r="BA59" i="50"/>
  <c r="AU59" i="50" s="1"/>
  <c r="BA43" i="50"/>
  <c r="BR43" i="50" s="1"/>
  <c r="BK125" i="50"/>
  <c r="BP62" i="50"/>
  <c r="BJ122" i="50"/>
  <c r="AM125" i="50"/>
  <c r="AG125" i="50"/>
  <c r="BM125" i="50" s="1"/>
  <c r="N88" i="4"/>
  <c r="AO19" i="50"/>
  <c r="AP109" i="50"/>
  <c r="BU109" i="50"/>
  <c r="BV109" i="50" s="1"/>
  <c r="AX109" i="50"/>
  <c r="W109" i="50" s="1"/>
  <c r="BA109" i="50"/>
  <c r="BR109" i="50" s="1"/>
  <c r="Y481" i="11"/>
  <c r="W635" i="11"/>
  <c r="BU66" i="50"/>
  <c r="I631" i="11"/>
  <c r="N82" i="4"/>
  <c r="N95" i="4"/>
  <c r="BJ48" i="50"/>
  <c r="BI62" i="50"/>
  <c r="AQ97" i="50"/>
  <c r="BH122" i="50"/>
  <c r="BH114" i="50"/>
  <c r="AY60" i="50"/>
  <c r="AX115" i="50"/>
  <c r="AK115" i="50"/>
  <c r="AO115" i="50"/>
  <c r="AG115" i="50" s="1"/>
  <c r="AY115" i="50"/>
  <c r="AZ115" i="50"/>
  <c r="AI115" i="50" s="1"/>
  <c r="BA98" i="50"/>
  <c r="AP98" i="50"/>
  <c r="AM98" i="50" s="1"/>
  <c r="AX98" i="50"/>
  <c r="W98" i="50" s="1"/>
  <c r="AK98" i="50"/>
  <c r="AO45" i="50"/>
  <c r="S19" i="53"/>
  <c r="AO73" i="50"/>
  <c r="BU44" i="50"/>
  <c r="AQ44" i="50" s="1"/>
  <c r="AK44" i="50"/>
  <c r="BA44" i="50"/>
  <c r="AG44" i="50" s="1"/>
  <c r="AZ44" i="50"/>
  <c r="AM44" i="50" s="1"/>
  <c r="X19" i="1"/>
  <c r="S19" i="1" s="1"/>
  <c r="R19" i="1" s="1"/>
  <c r="Z572" i="11"/>
  <c r="AZ38" i="50"/>
  <c r="BQ38" i="50" s="1"/>
  <c r="AJ38" i="50" s="1"/>
  <c r="AZ64" i="50"/>
  <c r="BD64" i="50" s="1"/>
  <c r="M25" i="7"/>
  <c r="H25" i="7" s="1"/>
  <c r="BE125" i="50"/>
  <c r="BQ62" i="50"/>
  <c r="BI122" i="50"/>
  <c r="BP114" i="50"/>
  <c r="N28" i="4"/>
  <c r="AM117" i="50"/>
  <c r="BU99" i="50"/>
  <c r="AQ99" i="50" s="1"/>
  <c r="BA45" i="50"/>
  <c r="Y32" i="1"/>
  <c r="X32" i="1"/>
  <c r="AK91" i="50"/>
  <c r="BA91" i="50"/>
  <c r="BS91" i="50" s="1"/>
  <c r="V86" i="50"/>
  <c r="N72" i="4"/>
  <c r="N91" i="4"/>
  <c r="L635" i="11"/>
  <c r="Y635" i="11"/>
  <c r="AF16" i="53"/>
  <c r="U635" i="11"/>
  <c r="Q19" i="4"/>
  <c r="N19" i="4" s="1"/>
  <c r="AK18" i="50"/>
  <c r="AX18" i="50"/>
  <c r="BU18" i="50"/>
  <c r="BA18" i="50"/>
  <c r="AY18" i="50"/>
  <c r="X15" i="1"/>
  <c r="S15" i="1" s="1"/>
  <c r="R15" i="1" s="1"/>
  <c r="W495" i="11"/>
  <c r="AZ56" i="50"/>
  <c r="BQ56" i="50" s="1"/>
  <c r="AJ56" i="50" s="1"/>
  <c r="BU59" i="50"/>
  <c r="AQ59" i="50" s="1"/>
  <c r="BO125" i="50"/>
  <c r="BL100" i="50"/>
  <c r="BE91" i="50"/>
  <c r="BD91" i="50"/>
  <c r="BO91" i="50"/>
  <c r="BB91" i="50"/>
  <c r="BG91" i="50"/>
  <c r="R18" i="48"/>
  <c r="BA85" i="50"/>
  <c r="BS85" i="50" s="1"/>
  <c r="AY19" i="50"/>
  <c r="AP86" i="50"/>
  <c r="AZ86" i="50"/>
  <c r="BG86" i="50" s="1"/>
  <c r="BU86" i="50"/>
  <c r="AY86" i="50"/>
  <c r="W86" i="50" s="1"/>
  <c r="BU60" i="50"/>
  <c r="AZ60" i="50"/>
  <c r="AP60" i="50"/>
  <c r="BA60" i="50"/>
  <c r="AO60" i="50"/>
  <c r="AY61" i="50"/>
  <c r="W61" i="50" s="1"/>
  <c r="BA61" i="50"/>
  <c r="BS61" i="50" s="1"/>
  <c r="Y498" i="11"/>
  <c r="AB633" i="11"/>
  <c r="BV34" i="50"/>
  <c r="AQ34" i="50"/>
  <c r="AB501" i="11"/>
  <c r="BL26" i="50"/>
  <c r="BN26" i="50"/>
  <c r="BF26" i="50"/>
  <c r="BG26" i="50"/>
  <c r="AI26" i="50"/>
  <c r="BB26" i="50"/>
  <c r="BJ26" i="50"/>
  <c r="BP26" i="50"/>
  <c r="V570" i="11"/>
  <c r="AA497" i="11"/>
  <c r="M497" i="11"/>
  <c r="U631" i="11"/>
  <c r="M570" i="11"/>
  <c r="J486" i="11"/>
  <c r="I486" i="11"/>
  <c r="AB486" i="11" s="1"/>
  <c r="AA486" i="11"/>
  <c r="Z486" i="11"/>
  <c r="Y486" i="11"/>
  <c r="AB499" i="11"/>
  <c r="AA499" i="11"/>
  <c r="N499" i="11"/>
  <c r="N482" i="11" s="1"/>
  <c r="Y499" i="11"/>
  <c r="Z499" i="11"/>
  <c r="M499" i="11"/>
  <c r="AX59" i="50"/>
  <c r="BU65" i="50"/>
  <c r="BV65" i="50" s="1"/>
  <c r="AK65" i="50"/>
  <c r="AO65" i="50"/>
  <c r="AX65" i="50"/>
  <c r="AY65" i="50"/>
  <c r="AP65" i="50"/>
  <c r="AZ65" i="50"/>
  <c r="BO103" i="50"/>
  <c r="BP122" i="50"/>
  <c r="BK26" i="50"/>
  <c r="BA113" i="50"/>
  <c r="AX45" i="50"/>
  <c r="BL49" i="50"/>
  <c r="BJ49" i="50"/>
  <c r="AX19" i="50"/>
  <c r="AY96" i="50"/>
  <c r="BU96" i="50"/>
  <c r="AX96" i="50"/>
  <c r="BA96" i="50"/>
  <c r="BR96" i="50" s="1"/>
  <c r="J27" i="7"/>
  <c r="I27" i="7" s="1"/>
  <c r="AZ58" i="50"/>
  <c r="M501" i="11"/>
  <c r="BJ50" i="50"/>
  <c r="BB50" i="50"/>
  <c r="BP50" i="50"/>
  <c r="BK50" i="50"/>
  <c r="BD50" i="50"/>
  <c r="BN50" i="50"/>
  <c r="BF50" i="50"/>
  <c r="BI50" i="50"/>
  <c r="E32" i="53"/>
  <c r="AM50" i="50"/>
  <c r="M571" i="11"/>
  <c r="U571" i="11"/>
  <c r="J631" i="11"/>
  <c r="AY68" i="50"/>
  <c r="BA68" i="50"/>
  <c r="AZ68" i="50"/>
  <c r="AI68" i="50" s="1"/>
  <c r="AO68" i="50"/>
  <c r="AX68" i="50"/>
  <c r="E345" i="11"/>
  <c r="AQ104" i="50"/>
  <c r="BJ103" i="50"/>
  <c r="BB114" i="50"/>
  <c r="AZ96" i="50"/>
  <c r="AM96" i="50" s="1"/>
  <c r="AP53" i="50"/>
  <c r="AK45" i="50"/>
  <c r="AP124" i="50"/>
  <c r="AM124" i="50" s="1"/>
  <c r="BU124" i="50"/>
  <c r="AO124" i="50"/>
  <c r="AY124" i="50"/>
  <c r="W124" i="50" s="1"/>
  <c r="AP45" i="50"/>
  <c r="BA58" i="50"/>
  <c r="BS58" i="50" s="1"/>
  <c r="AG13" i="53"/>
  <c r="P13" i="53" s="1"/>
  <c r="J18" i="7"/>
  <c r="I18" i="7" s="1"/>
  <c r="M18" i="7"/>
  <c r="H18" i="7" s="1"/>
  <c r="AP64" i="50"/>
  <c r="AG64" i="50" s="1"/>
  <c r="BM64" i="50" s="1"/>
  <c r="J13" i="7"/>
  <c r="I13" i="7" s="1"/>
  <c r="AI125" i="50"/>
  <c r="N73" i="4"/>
  <c r="M67" i="48"/>
  <c r="R97" i="48"/>
  <c r="AO96" i="50"/>
  <c r="AZ45" i="50"/>
  <c r="BL45" i="50" s="1"/>
  <c r="BU19" i="50"/>
  <c r="W44" i="50"/>
  <c r="AK119" i="50"/>
  <c r="AZ119" i="50"/>
  <c r="BD119" i="50" s="1"/>
  <c r="AP119" i="50"/>
  <c r="BA119" i="50"/>
  <c r="AU119" i="50" s="1"/>
  <c r="AO119" i="50"/>
  <c r="BU119" i="50"/>
  <c r="Z632" i="11"/>
  <c r="M636" i="11"/>
  <c r="M491" i="11" s="1"/>
  <c r="Y636" i="11"/>
  <c r="V635" i="11"/>
  <c r="V631" i="11"/>
  <c r="C347" i="11"/>
  <c r="N45" i="4"/>
  <c r="AK38" i="50"/>
  <c r="AZ28" i="50"/>
  <c r="BJ28" i="50" s="1"/>
  <c r="N70" i="4"/>
  <c r="BB125" i="50"/>
  <c r="BI98" i="50"/>
  <c r="AI62" i="50"/>
  <c r="BD122" i="50"/>
  <c r="BQ26" i="50"/>
  <c r="AH26" i="50" s="1"/>
  <c r="BN114" i="50"/>
  <c r="AX60" i="50"/>
  <c r="BV117" i="50"/>
  <c r="AQ117" i="50"/>
  <c r="AY99" i="50"/>
  <c r="W99" i="50" s="1"/>
  <c r="AZ109" i="50"/>
  <c r="BQ109" i="50" s="1"/>
  <c r="AH109" i="50" s="1"/>
  <c r="AP126" i="50"/>
  <c r="N100" i="4"/>
  <c r="AY48" i="50"/>
  <c r="BU48" i="50"/>
  <c r="AX48" i="50"/>
  <c r="BA48" i="50"/>
  <c r="AU48" i="50" s="1"/>
  <c r="AK48" i="50"/>
  <c r="AO48" i="50"/>
  <c r="AB496" i="11"/>
  <c r="AD24" i="53"/>
  <c r="X21" i="53"/>
  <c r="O21" i="53" s="1"/>
  <c r="AF14" i="53"/>
  <c r="P14" i="53" s="1"/>
  <c r="N637" i="11"/>
  <c r="N492" i="11" s="1"/>
  <c r="M32" i="7"/>
  <c r="H32" i="7" s="1"/>
  <c r="J32" i="7"/>
  <c r="I32" i="7" s="1"/>
  <c r="W500" i="11"/>
  <c r="I500" i="11"/>
  <c r="X500" i="11"/>
  <c r="M500" i="11"/>
  <c r="M485" i="11" s="1"/>
  <c r="Y500" i="11"/>
  <c r="R70" i="48"/>
  <c r="M66" i="48"/>
  <c r="N39" i="48"/>
  <c r="M74" i="48"/>
  <c r="M58" i="48"/>
  <c r="L84" i="48"/>
  <c r="M22" i="48"/>
  <c r="M46" i="48"/>
  <c r="O89" i="48"/>
  <c r="O39" i="48"/>
  <c r="O12" i="48"/>
  <c r="O51" i="48"/>
  <c r="N34" i="48"/>
  <c r="R71" i="48"/>
  <c r="L47" i="48"/>
  <c r="O85" i="48"/>
  <c r="O65" i="48"/>
  <c r="M43" i="48"/>
  <c r="R16" i="48"/>
  <c r="M29" i="48"/>
  <c r="N54" i="48"/>
  <c r="R13" i="48"/>
  <c r="N11" i="48"/>
  <c r="L92" i="48"/>
  <c r="O41" i="48"/>
  <c r="N13" i="48"/>
  <c r="M83" i="48"/>
  <c r="L43" i="48"/>
  <c r="N87" i="48"/>
  <c r="N69" i="48"/>
  <c r="M23" i="48"/>
  <c r="M91" i="48"/>
  <c r="M25" i="48"/>
  <c r="L17" i="48"/>
  <c r="L41" i="48"/>
  <c r="R29" i="48"/>
  <c r="O13" i="48"/>
  <c r="N29" i="48"/>
  <c r="L87" i="48"/>
  <c r="L53" i="48"/>
  <c r="R45" i="48"/>
  <c r="L97" i="48"/>
  <c r="M63" i="48"/>
  <c r="M42" i="48"/>
  <c r="R11" i="48"/>
  <c r="N31" i="48"/>
  <c r="M90" i="48"/>
  <c r="N25" i="48"/>
  <c r="O80" i="48"/>
  <c r="M56" i="48"/>
  <c r="N28" i="48"/>
  <c r="N77" i="48"/>
  <c r="O25" i="48"/>
  <c r="N35" i="48"/>
  <c r="M49" i="48"/>
  <c r="R34" i="48"/>
  <c r="M61" i="48"/>
  <c r="M44" i="48"/>
  <c r="M78" i="48"/>
  <c r="L37" i="48"/>
  <c r="R87" i="48"/>
  <c r="L51" i="48"/>
  <c r="L88" i="48"/>
  <c r="R89" i="48"/>
  <c r="O40" i="48"/>
  <c r="R83" i="48"/>
  <c r="R25" i="48"/>
  <c r="M10" i="48"/>
  <c r="M27" i="48"/>
  <c r="R75" i="48"/>
  <c r="L67" i="48"/>
  <c r="O75" i="48"/>
  <c r="N33" i="48"/>
  <c r="O20" i="48"/>
  <c r="M14" i="48"/>
  <c r="M37" i="48"/>
  <c r="M79" i="48"/>
  <c r="M38" i="48"/>
  <c r="M19" i="48"/>
  <c r="L23" i="48"/>
  <c r="L80" i="48"/>
  <c r="L50" i="48"/>
  <c r="M96" i="48"/>
  <c r="N53" i="48"/>
  <c r="R54" i="48"/>
  <c r="R56" i="48"/>
  <c r="M75" i="48"/>
  <c r="M57" i="48"/>
  <c r="R80" i="48"/>
  <c r="O53" i="48"/>
  <c r="O88" i="48"/>
  <c r="R69" i="48"/>
  <c r="R21" i="48"/>
  <c r="M71" i="48"/>
  <c r="O24" i="48"/>
  <c r="L77" i="48"/>
  <c r="R33" i="48"/>
  <c r="N80" i="48"/>
  <c r="O68" i="48"/>
  <c r="L71" i="48"/>
  <c r="L38" i="48"/>
  <c r="M99" i="48"/>
  <c r="N22" i="48"/>
  <c r="M68" i="48"/>
  <c r="R98" i="48"/>
  <c r="O16" i="48"/>
  <c r="M34" i="48"/>
  <c r="R79" i="48"/>
  <c r="L24" i="48"/>
  <c r="L90" i="48"/>
  <c r="O56" i="48"/>
  <c r="R68" i="48"/>
  <c r="M80" i="48"/>
  <c r="O67" i="48"/>
  <c r="L18" i="48"/>
  <c r="R48" i="48"/>
  <c r="N71" i="48"/>
  <c r="O52" i="48"/>
  <c r="M12" i="48"/>
  <c r="N24" i="48"/>
  <c r="L91" i="48"/>
  <c r="L65" i="48"/>
  <c r="R92" i="48"/>
  <c r="N27" i="48"/>
  <c r="L66" i="48"/>
  <c r="N86" i="48"/>
  <c r="N68" i="48"/>
  <c r="M28" i="48"/>
  <c r="R37" i="48"/>
  <c r="O70" i="48"/>
  <c r="R38" i="48"/>
  <c r="R82" i="48"/>
  <c r="L31" i="48"/>
  <c r="O18" i="48"/>
  <c r="N49" i="48"/>
  <c r="O74" i="48"/>
  <c r="N10" i="48"/>
  <c r="L11" i="48"/>
  <c r="M26" i="48"/>
  <c r="R94" i="48"/>
  <c r="O17" i="48"/>
  <c r="N91" i="48"/>
  <c r="M100" i="48"/>
  <c r="M55" i="48"/>
  <c r="N67" i="48"/>
  <c r="N51" i="48"/>
  <c r="O54" i="48"/>
  <c r="R35" i="48"/>
  <c r="O36" i="48"/>
  <c r="N36" i="48"/>
  <c r="O69" i="48"/>
  <c r="O45" i="48"/>
  <c r="N50" i="48"/>
  <c r="N12" i="48"/>
  <c r="L73" i="48"/>
  <c r="R30" i="48"/>
  <c r="N43" i="48"/>
  <c r="L44" i="48"/>
  <c r="L89" i="48"/>
  <c r="L55" i="48"/>
  <c r="R24" i="48"/>
  <c r="R44" i="48"/>
  <c r="O78" i="48"/>
  <c r="O30" i="48"/>
  <c r="L95" i="48"/>
  <c r="N57" i="48"/>
  <c r="N15" i="48"/>
  <c r="N37" i="48"/>
  <c r="O31" i="48"/>
  <c r="N47" i="48"/>
  <c r="L76" i="48"/>
  <c r="M69" i="48"/>
  <c r="N55" i="48"/>
  <c r="L35" i="48"/>
  <c r="N45" i="48"/>
  <c r="N81" i="48"/>
  <c r="R74" i="48"/>
  <c r="N64" i="48"/>
  <c r="O57" i="48"/>
  <c r="L12" i="48"/>
  <c r="R46" i="48"/>
  <c r="L70" i="48"/>
  <c r="O92" i="48"/>
  <c r="R10" i="48"/>
  <c r="L85" i="48"/>
  <c r="N75" i="48"/>
  <c r="N42" i="48"/>
  <c r="R42" i="48"/>
  <c r="O43" i="48"/>
  <c r="BU83" i="50"/>
  <c r="AQ83" i="50" s="1"/>
  <c r="AP83" i="50"/>
  <c r="AM83" i="50" s="1"/>
  <c r="AK83" i="50"/>
  <c r="BA83" i="50"/>
  <c r="AO83" i="50"/>
  <c r="AX83" i="50"/>
  <c r="AY83" i="50"/>
  <c r="V78" i="50"/>
  <c r="N68" i="4"/>
  <c r="N27" i="4"/>
  <c r="BG88" i="50"/>
  <c r="BP88" i="50"/>
  <c r="R78" i="48"/>
  <c r="M93" i="48"/>
  <c r="L52" i="48"/>
  <c r="O60" i="48"/>
  <c r="N99" i="48"/>
  <c r="L19" i="48"/>
  <c r="O95" i="48"/>
  <c r="BA80" i="50"/>
  <c r="AP80" i="50"/>
  <c r="AO80" i="50"/>
  <c r="AZ80" i="50"/>
  <c r="AK80" i="50"/>
  <c r="N66" i="4"/>
  <c r="N40" i="4"/>
  <c r="V69" i="50"/>
  <c r="BO120" i="50"/>
  <c r="BS88" i="50"/>
  <c r="BR88" i="50"/>
  <c r="M35" i="48"/>
  <c r="O73" i="48"/>
  <c r="N26" i="48"/>
  <c r="L33" i="48"/>
  <c r="M85" i="48"/>
  <c r="V91" i="50"/>
  <c r="BU77" i="50"/>
  <c r="AZ77" i="50"/>
  <c r="BK77" i="50" s="1"/>
  <c r="BA77" i="50"/>
  <c r="BR77" i="50" s="1"/>
  <c r="AP77" i="50"/>
  <c r="AM77" i="50" s="1"/>
  <c r="V45" i="50"/>
  <c r="AA634" i="11"/>
  <c r="N79" i="4"/>
  <c r="R95" i="48"/>
  <c r="B339" i="11"/>
  <c r="B338" i="11"/>
  <c r="B341" i="11"/>
  <c r="V65" i="50"/>
  <c r="BU102" i="50"/>
  <c r="BV102" i="50" s="1"/>
  <c r="AP102" i="50"/>
  <c r="AZ102" i="50"/>
  <c r="BB102" i="50" s="1"/>
  <c r="AO102" i="50"/>
  <c r="N76" i="4"/>
  <c r="AK102" i="50"/>
  <c r="M24" i="48"/>
  <c r="M88" i="48"/>
  <c r="M59" i="48"/>
  <c r="R66" i="48"/>
  <c r="AZ36" i="50"/>
  <c r="BQ36" i="50" s="1"/>
  <c r="BA36" i="50"/>
  <c r="AX36" i="50"/>
  <c r="AO36" i="50"/>
  <c r="N80" i="4"/>
  <c r="AX80" i="50"/>
  <c r="W80" i="50" s="1"/>
  <c r="R14" i="48"/>
  <c r="L20" i="48"/>
  <c r="L86" i="48"/>
  <c r="R49" i="48"/>
  <c r="M82" i="48"/>
  <c r="R100" i="48"/>
  <c r="L82" i="48"/>
  <c r="AP36" i="50"/>
  <c r="AO112" i="50"/>
  <c r="AP112" i="50"/>
  <c r="BA112" i="50"/>
  <c r="AU112" i="50" s="1"/>
  <c r="AZ112" i="50"/>
  <c r="BK112" i="50" s="1"/>
  <c r="BF111" i="50"/>
  <c r="BA117" i="50"/>
  <c r="AU117" i="50" s="1"/>
  <c r="R27" i="48"/>
  <c r="R52" i="48"/>
  <c r="M89" i="48"/>
  <c r="L9" i="48"/>
  <c r="N32" i="48"/>
  <c r="L83" i="48"/>
  <c r="M70" i="48"/>
  <c r="R50" i="48"/>
  <c r="O47" i="48"/>
  <c r="M73" i="48"/>
  <c r="O72" i="48"/>
  <c r="N79" i="48"/>
  <c r="AY77" i="50"/>
  <c r="W77" i="50" s="1"/>
  <c r="AY36" i="50"/>
  <c r="N12" i="4"/>
  <c r="M16" i="7"/>
  <c r="H16" i="7" s="1"/>
  <c r="J16" i="7"/>
  <c r="I16" i="7" s="1"/>
  <c r="N77" i="4"/>
  <c r="BA55" i="50"/>
  <c r="AZ55" i="50"/>
  <c r="BI55" i="50" s="1"/>
  <c r="AP55" i="50"/>
  <c r="M635" i="11"/>
  <c r="M490" i="11" s="1"/>
  <c r="W50" i="50"/>
  <c r="N44" i="4"/>
  <c r="V124" i="50"/>
  <c r="AO49" i="50"/>
  <c r="BA49" i="50"/>
  <c r="O9" i="48"/>
  <c r="X38" i="1"/>
  <c r="D348" i="11"/>
  <c r="AB587" i="11"/>
  <c r="U587" i="11"/>
  <c r="V587" i="11"/>
  <c r="W587" i="11"/>
  <c r="Y587" i="11"/>
  <c r="AG88" i="50"/>
  <c r="BM88" i="50" s="1"/>
  <c r="AP78" i="50"/>
  <c r="AM78" i="50" s="1"/>
  <c r="AX78" i="50"/>
  <c r="BU78" i="50"/>
  <c r="BV78" i="50" s="1"/>
  <c r="AY29" i="50"/>
  <c r="W29" i="50" s="1"/>
  <c r="AZ29" i="50"/>
  <c r="BD29" i="50" s="1"/>
  <c r="S47" i="1"/>
  <c r="R47" i="1" s="1"/>
  <c r="AY78" i="50"/>
  <c r="N97" i="4"/>
  <c r="AY100" i="50"/>
  <c r="W100" i="50" s="1"/>
  <c r="BU100" i="50"/>
  <c r="X22" i="1"/>
  <c r="S22" i="1" s="1"/>
  <c r="R22" i="1" s="1"/>
  <c r="Y328" i="14"/>
  <c r="AB637" i="11"/>
  <c r="N75" i="4"/>
  <c r="V119" i="50"/>
  <c r="N86" i="4"/>
  <c r="BS103" i="50"/>
  <c r="AU103" i="50"/>
  <c r="BR103" i="50"/>
  <c r="AK88" i="50"/>
  <c r="AI88" i="50"/>
  <c r="BU89" i="50"/>
  <c r="AY89" i="50"/>
  <c r="W89" i="50" s="1"/>
  <c r="BA89" i="50"/>
  <c r="BS89" i="50" s="1"/>
  <c r="AB492" i="11"/>
  <c r="V32" i="50"/>
  <c r="N16" i="4"/>
  <c r="AI41" i="50"/>
  <c r="BN17" i="50"/>
  <c r="BP17" i="50"/>
  <c r="Y38" i="1"/>
  <c r="BA78" i="50"/>
  <c r="BR78" i="50" s="1"/>
  <c r="AK89" i="50"/>
  <c r="BA101" i="50"/>
  <c r="AX101" i="50"/>
  <c r="W101" i="50" s="1"/>
  <c r="AP101" i="50"/>
  <c r="AM101" i="50" s="1"/>
  <c r="AO101" i="50"/>
  <c r="AY116" i="50"/>
  <c r="W116" i="50" s="1"/>
  <c r="AK116" i="50"/>
  <c r="N74" i="4"/>
  <c r="M12" i="7"/>
  <c r="H12" i="7" s="1"/>
  <c r="Z587" i="11"/>
  <c r="AP39" i="50"/>
  <c r="AO39" i="50"/>
  <c r="V77" i="50"/>
  <c r="Y622" i="11"/>
  <c r="AA622" i="11"/>
  <c r="Z622" i="11"/>
  <c r="M622" i="11"/>
  <c r="AB622" i="11"/>
  <c r="L10" i="50"/>
  <c r="L11" i="50" s="1"/>
  <c r="J490" i="11"/>
  <c r="AA490" i="11"/>
  <c r="Y490" i="11"/>
  <c r="N43" i="4"/>
  <c r="N22" i="4"/>
  <c r="Y600" i="11"/>
  <c r="W600" i="11"/>
  <c r="AA600" i="11"/>
  <c r="U600" i="11"/>
  <c r="AB600" i="11"/>
  <c r="V66" i="50"/>
  <c r="AM104" i="50"/>
  <c r="L6" i="53"/>
  <c r="V22" i="53"/>
  <c r="AE22" i="53" s="1"/>
  <c r="AD22" i="53"/>
  <c r="AB630" i="11"/>
  <c r="Y630" i="11"/>
  <c r="U599" i="11"/>
  <c r="W599" i="11"/>
  <c r="AB599" i="11"/>
  <c r="AA599" i="11"/>
  <c r="V599" i="11"/>
  <c r="X599" i="11"/>
  <c r="AK51" i="50"/>
  <c r="AP51" i="50"/>
  <c r="AG51" i="50" s="1"/>
  <c r="BM51" i="50" s="1"/>
  <c r="V81" i="50"/>
  <c r="N497" i="11"/>
  <c r="N481" i="11" s="1"/>
  <c r="AX70" i="50"/>
  <c r="W70" i="50" s="1"/>
  <c r="AY35" i="50"/>
  <c r="W35" i="50" s="1"/>
  <c r="N37" i="4"/>
  <c r="N65" i="4"/>
  <c r="J489" i="11"/>
  <c r="AA489" i="11"/>
  <c r="AP17" i="50"/>
  <c r="AM17" i="50" s="1"/>
  <c r="BU74" i="50"/>
  <c r="AX34" i="50"/>
  <c r="W34" i="50" s="1"/>
  <c r="AZ34" i="50"/>
  <c r="BO34" i="50" s="1"/>
  <c r="AB558" i="11"/>
  <c r="Y634" i="11"/>
  <c r="AB485" i="11"/>
  <c r="AG74" i="50"/>
  <c r="BM74" i="50" s="1"/>
  <c r="AP70" i="50"/>
  <c r="AM70" i="50" s="1"/>
  <c r="O12" i="52"/>
  <c r="W556" i="11"/>
  <c r="Y556" i="11"/>
  <c r="AK17" i="50"/>
  <c r="M543" i="11"/>
  <c r="V543" i="11"/>
  <c r="AB636" i="11"/>
  <c r="G340" i="11"/>
  <c r="W24" i="53"/>
  <c r="O24" i="53" s="1"/>
  <c r="N9" i="48"/>
  <c r="AZ35" i="50"/>
  <c r="BH35" i="50" s="1"/>
  <c r="Z533" i="11"/>
  <c r="X555" i="11"/>
  <c r="U48" i="3"/>
  <c r="J26" i="3" s="1"/>
  <c r="E20" i="3" s="1"/>
  <c r="U568" i="11"/>
  <c r="AA597" i="11"/>
  <c r="V532" i="11"/>
  <c r="X554" i="11"/>
  <c r="BU33" i="50"/>
  <c r="V17" i="1"/>
  <c r="AV21" i="50"/>
  <c r="V21" i="50" s="1"/>
  <c r="S89" i="48"/>
  <c r="I5" i="1" a="1"/>
  <c r="I5" i="1" s="1"/>
  <c r="W17" i="1"/>
  <c r="W27" i="1"/>
  <c r="W37" i="1"/>
  <c r="W47" i="1"/>
  <c r="V25" i="1"/>
  <c r="AV61" i="50"/>
  <c r="V61" i="50" s="1"/>
  <c r="U18" i="1"/>
  <c r="U28" i="1"/>
  <c r="U38" i="1"/>
  <c r="U48" i="1"/>
  <c r="AS21" i="50"/>
  <c r="AR29" i="50"/>
  <c r="AS36" i="50"/>
  <c r="S91" i="48"/>
  <c r="O91" i="48" s="1"/>
  <c r="AS43" i="50"/>
  <c r="AT42" i="50"/>
  <c r="AR60" i="50"/>
  <c r="AT53" i="50"/>
  <c r="AS51" i="50"/>
  <c r="AR73" i="50"/>
  <c r="N14" i="7"/>
  <c r="AE42" i="50"/>
  <c r="P14" i="4"/>
  <c r="Q14" i="4" s="1"/>
  <c r="N14" i="4" s="1"/>
  <c r="P31" i="4"/>
  <c r="Q31" i="4" s="1"/>
  <c r="N31" i="4" s="1"/>
  <c r="P41" i="4"/>
  <c r="Q41" i="4" s="1"/>
  <c r="N41" i="4" s="1"/>
  <c r="Q67" i="4"/>
  <c r="N67" i="4" s="1"/>
  <c r="S37" i="48"/>
  <c r="O37" i="48" s="1"/>
  <c r="S55" i="48"/>
  <c r="O55" i="48" s="1"/>
  <c r="AE76" i="50"/>
  <c r="P24" i="4"/>
  <c r="Q24" i="4" s="1"/>
  <c r="N24" i="4" s="1"/>
  <c r="L19" i="7"/>
  <c r="P84" i="4"/>
  <c r="Q84" i="4" s="1"/>
  <c r="N84" i="4" s="1"/>
  <c r="Q21" i="4"/>
  <c r="N21" i="4" s="1"/>
  <c r="R20" i="51"/>
  <c r="O20" i="51" s="1"/>
  <c r="AV59" i="50"/>
  <c r="V59" i="50" s="1"/>
  <c r="AO55" i="50"/>
  <c r="V29" i="1"/>
  <c r="R41" i="51"/>
  <c r="O41" i="51" s="1"/>
  <c r="R13" i="51"/>
  <c r="O13" i="51" s="1"/>
  <c r="P98" i="4"/>
  <c r="Q98" i="4" s="1"/>
  <c r="N98" i="4" s="1"/>
  <c r="V34" i="1"/>
  <c r="Q14" i="51"/>
  <c r="Q8" i="51"/>
  <c r="AV54" i="50"/>
  <c r="Y558" i="11"/>
  <c r="AS29" i="50"/>
  <c r="AE40" i="50"/>
  <c r="V31" i="1"/>
  <c r="U45" i="1"/>
  <c r="U34" i="1"/>
  <c r="U23" i="1"/>
  <c r="U12" i="1"/>
  <c r="U558" i="11"/>
  <c r="X16" i="53"/>
  <c r="AE54" i="50"/>
  <c r="O15" i="52"/>
  <c r="AD30" i="1"/>
  <c r="O14" i="52"/>
  <c r="AI84" i="50"/>
  <c r="BE84" i="50"/>
  <c r="BK84" i="50"/>
  <c r="BL84" i="50"/>
  <c r="BH84" i="50"/>
  <c r="BO72" i="50"/>
  <c r="BK72" i="50"/>
  <c r="BB72" i="50"/>
  <c r="BF63" i="50"/>
  <c r="AQ22" i="50"/>
  <c r="BO111" i="50"/>
  <c r="BN111" i="50"/>
  <c r="BF84" i="50"/>
  <c r="AM72" i="50"/>
  <c r="AM123" i="50"/>
  <c r="BJ72" i="50"/>
  <c r="BD72" i="50"/>
  <c r="BP72" i="50"/>
  <c r="BE72" i="50"/>
  <c r="BF101" i="50"/>
  <c r="BP84" i="50"/>
  <c r="BK41" i="50"/>
  <c r="BI78" i="50"/>
  <c r="BD84" i="50"/>
  <c r="BQ41" i="50"/>
  <c r="AJ41" i="50" s="1"/>
  <c r="AI78" i="50"/>
  <c r="BL78" i="50"/>
  <c r="BH78" i="50"/>
  <c r="BS114" i="50"/>
  <c r="BR114" i="50"/>
  <c r="BV30" i="50"/>
  <c r="AQ30" i="50"/>
  <c r="AQ41" i="50"/>
  <c r="BV41" i="50"/>
  <c r="BK111" i="50"/>
  <c r="BQ111" i="50"/>
  <c r="AJ111" i="50" s="1"/>
  <c r="BV88" i="50"/>
  <c r="BG84" i="50"/>
  <c r="BL72" i="50"/>
  <c r="BS124" i="50"/>
  <c r="BG72" i="50"/>
  <c r="AI72" i="50"/>
  <c r="BD78" i="50"/>
  <c r="BS94" i="50"/>
  <c r="BB84" i="50"/>
  <c r="BD101" i="50"/>
  <c r="BQ84" i="50"/>
  <c r="AH84" i="50" s="1"/>
  <c r="BP32" i="50"/>
  <c r="BS39" i="50"/>
  <c r="AI110" i="50"/>
  <c r="BG110" i="50"/>
  <c r="AQ87" i="50"/>
  <c r="BV87" i="50"/>
  <c r="BK98" i="50"/>
  <c r="BB98" i="50"/>
  <c r="BD98" i="50"/>
  <c r="AI98" i="50"/>
  <c r="BN91" i="50"/>
  <c r="BQ91" i="50"/>
  <c r="BJ91" i="50"/>
  <c r="BF91" i="50"/>
  <c r="BQ118" i="50"/>
  <c r="AJ118" i="50" s="1"/>
  <c r="BP118" i="50"/>
  <c r="BF118" i="50"/>
  <c r="BN118" i="50"/>
  <c r="BJ118" i="50"/>
  <c r="BB118" i="50"/>
  <c r="BJ123" i="50"/>
  <c r="BF123" i="50"/>
  <c r="BG123" i="50"/>
  <c r="BJ88" i="50"/>
  <c r="BN88" i="50"/>
  <c r="BQ88" i="50"/>
  <c r="BS71" i="50"/>
  <c r="AU71" i="50"/>
  <c r="BR71" i="50"/>
  <c r="BS82" i="50"/>
  <c r="BR82" i="50"/>
  <c r="AQ62" i="50"/>
  <c r="BV62" i="50"/>
  <c r="BH41" i="50"/>
  <c r="BB41" i="50"/>
  <c r="BJ41" i="50"/>
  <c r="BN41" i="50"/>
  <c r="BP41" i="50"/>
  <c r="BF41" i="50"/>
  <c r="BL41" i="50"/>
  <c r="BD111" i="50"/>
  <c r="BH111" i="50"/>
  <c r="BE111" i="50"/>
  <c r="BO84" i="50"/>
  <c r="W120" i="50"/>
  <c r="BN72" i="50"/>
  <c r="BF72" i="50"/>
  <c r="BB78" i="50"/>
  <c r="BI84" i="50"/>
  <c r="BE41" i="50"/>
  <c r="BK118" i="50"/>
  <c r="AU114" i="50"/>
  <c r="BP98" i="50"/>
  <c r="BO98" i="50"/>
  <c r="BD88" i="50"/>
  <c r="BN84" i="50"/>
  <c r="BE32" i="50"/>
  <c r="BR125" i="50"/>
  <c r="BG41" i="50"/>
  <c r="AG29" i="50"/>
  <c r="Q14" i="53"/>
  <c r="AG34" i="50"/>
  <c r="V67" i="50"/>
  <c r="V25" i="50"/>
  <c r="V72" i="50"/>
  <c r="AM74" i="50"/>
  <c r="AU26" i="50"/>
  <c r="V68" i="50"/>
  <c r="V63" i="50"/>
  <c r="V46" i="50"/>
  <c r="V37" i="50"/>
  <c r="V27" i="50"/>
  <c r="V19" i="50"/>
  <c r="BO74" i="50"/>
  <c r="BR90" i="50"/>
  <c r="AM110" i="50"/>
  <c r="AG93" i="50"/>
  <c r="BM93" i="50" s="1"/>
  <c r="W104" i="50"/>
  <c r="W117" i="50"/>
  <c r="W82" i="50"/>
  <c r="AG22" i="50"/>
  <c r="BM22" i="50" s="1"/>
  <c r="W119" i="50"/>
  <c r="AG79" i="50"/>
  <c r="BM79" i="50" s="1"/>
  <c r="AM103" i="50"/>
  <c r="V108" i="50"/>
  <c r="V84" i="50"/>
  <c r="AU121" i="50"/>
  <c r="V89" i="50"/>
  <c r="AU79" i="50"/>
  <c r="V73" i="50"/>
  <c r="W51" i="50"/>
  <c r="AM79" i="50"/>
  <c r="V95" i="50"/>
  <c r="AU82" i="50"/>
  <c r="V56" i="50"/>
  <c r="W74" i="50"/>
  <c r="V29" i="50"/>
  <c r="V58" i="50"/>
  <c r="BF114" i="50"/>
  <c r="S42" i="1"/>
  <c r="R42" i="1" s="1"/>
  <c r="W71" i="50"/>
  <c r="V121" i="50"/>
  <c r="V123" i="50"/>
  <c r="V112" i="50"/>
  <c r="V50" i="50"/>
  <c r="V60" i="50"/>
  <c r="V39" i="50"/>
  <c r="V18" i="50"/>
  <c r="BL63" i="50"/>
  <c r="BB63" i="50"/>
  <c r="V64" i="50"/>
  <c r="BE87" i="50"/>
  <c r="BN93" i="50"/>
  <c r="BD93" i="50"/>
  <c r="BO93" i="50"/>
  <c r="AM93" i="50"/>
  <c r="AU29" i="50"/>
  <c r="AI48" i="50"/>
  <c r="AM91" i="50"/>
  <c r="AI71" i="50"/>
  <c r="BK48" i="50"/>
  <c r="BB48" i="50"/>
  <c r="BQ48" i="50"/>
  <c r="AM20" i="50"/>
  <c r="BL116" i="50"/>
  <c r="BE71" i="50"/>
  <c r="BD71" i="50"/>
  <c r="BJ71" i="50"/>
  <c r="AU88" i="50"/>
  <c r="BF20" i="50"/>
  <c r="BP20" i="50"/>
  <c r="BK25" i="50"/>
  <c r="BK20" i="50"/>
  <c r="BV37" i="50"/>
  <c r="AG33" i="50"/>
  <c r="BM33" i="50" s="1"/>
  <c r="S39" i="1"/>
  <c r="R39" i="1" s="1"/>
  <c r="BF87" i="50"/>
  <c r="AG46" i="50"/>
  <c r="BM46" i="50" s="1"/>
  <c r="BE93" i="50"/>
  <c r="BI87" i="50"/>
  <c r="BH87" i="50"/>
  <c r="BG87" i="50"/>
  <c r="BJ93" i="50"/>
  <c r="BF93" i="50"/>
  <c r="BI93" i="50"/>
  <c r="BQ93" i="50"/>
  <c r="AJ93" i="50" s="1"/>
  <c r="BP48" i="50"/>
  <c r="BS100" i="50"/>
  <c r="AM48" i="50"/>
  <c r="BF48" i="50"/>
  <c r="BQ116" i="50"/>
  <c r="AJ116" i="50" s="1"/>
  <c r="BB71" i="50"/>
  <c r="BG71" i="50"/>
  <c r="BF71" i="50"/>
  <c r="BH71" i="50"/>
  <c r="BS19" i="50"/>
  <c r="BJ20" i="50"/>
  <c r="AI20" i="50"/>
  <c r="AQ82" i="50"/>
  <c r="BN92" i="50"/>
  <c r="BQ20" i="50"/>
  <c r="AH20" i="50" s="1"/>
  <c r="BI20" i="50"/>
  <c r="V49" i="50"/>
  <c r="BN87" i="50"/>
  <c r="BK87" i="50"/>
  <c r="BP63" i="50"/>
  <c r="BN63" i="50"/>
  <c r="AG31" i="50"/>
  <c r="AI63" i="50"/>
  <c r="BH63" i="50"/>
  <c r="BK63" i="50"/>
  <c r="V43" i="50"/>
  <c r="BS104" i="50"/>
  <c r="AI87" i="50"/>
  <c r="BJ87" i="50"/>
  <c r="BL87" i="50"/>
  <c r="AG104" i="50"/>
  <c r="BM104" i="50" s="1"/>
  <c r="BB93" i="50"/>
  <c r="BG93" i="50"/>
  <c r="AI93" i="50"/>
  <c r="BD48" i="50"/>
  <c r="BO87" i="50"/>
  <c r="BS118" i="50"/>
  <c r="BN48" i="50"/>
  <c r="BG48" i="50"/>
  <c r="BO71" i="50"/>
  <c r="BN71" i="50"/>
  <c r="BQ71" i="50"/>
  <c r="AH71" i="50" s="1"/>
  <c r="AU100" i="50"/>
  <c r="BV125" i="50"/>
  <c r="BR111" i="50"/>
  <c r="BO20" i="50"/>
  <c r="BE20" i="50"/>
  <c r="BD20" i="50"/>
  <c r="AQ90" i="50"/>
  <c r="BR86" i="50"/>
  <c r="BN20" i="50"/>
  <c r="BG20" i="50"/>
  <c r="AQ20" i="50"/>
  <c r="V48" i="50"/>
  <c r="AU31" i="50"/>
  <c r="BO23" i="50"/>
  <c r="AM90" i="50"/>
  <c r="W114" i="50"/>
  <c r="AU94" i="50"/>
  <c r="AU93" i="50"/>
  <c r="V70" i="50"/>
  <c r="V87" i="50"/>
  <c r="W22" i="50"/>
  <c r="AM84" i="50"/>
  <c r="S46" i="1"/>
  <c r="R46" i="1" s="1"/>
  <c r="W25" i="50"/>
  <c r="AM41" i="50"/>
  <c r="AU62" i="50"/>
  <c r="AI92" i="50"/>
  <c r="BG92" i="50"/>
  <c r="BF92" i="50"/>
  <c r="BH92" i="50"/>
  <c r="BI92" i="50"/>
  <c r="BD92" i="50"/>
  <c r="BQ92" i="50"/>
  <c r="AJ92" i="50" s="1"/>
  <c r="BE92" i="50"/>
  <c r="BO92" i="50"/>
  <c r="BJ92" i="50"/>
  <c r="BK92" i="50"/>
  <c r="BB92" i="50"/>
  <c r="AM92" i="50"/>
  <c r="AM114" i="50"/>
  <c r="AG114" i="50"/>
  <c r="BM114" i="50" s="1"/>
  <c r="BK116" i="50"/>
  <c r="BH116" i="50"/>
  <c r="BB116" i="50"/>
  <c r="BO116" i="50"/>
  <c r="BG116" i="50"/>
  <c r="BE116" i="50"/>
  <c r="BD116" i="50"/>
  <c r="BI116" i="50"/>
  <c r="BJ116" i="50"/>
  <c r="BN116" i="50"/>
  <c r="AM116" i="50"/>
  <c r="BL25" i="50"/>
  <c r="BB25" i="50"/>
  <c r="BG25" i="50"/>
  <c r="AI25" i="50"/>
  <c r="BJ25" i="50"/>
  <c r="BP25" i="50"/>
  <c r="BD25" i="50"/>
  <c r="BO25" i="50"/>
  <c r="BF25" i="50"/>
  <c r="BS30" i="50"/>
  <c r="BR30" i="50"/>
  <c r="BV39" i="50"/>
  <c r="AQ39" i="50"/>
  <c r="BS20" i="50"/>
  <c r="BR20" i="50"/>
  <c r="AU20" i="50"/>
  <c r="BK32" i="50"/>
  <c r="AI32" i="50"/>
  <c r="BJ32" i="50"/>
  <c r="BI32" i="50"/>
  <c r="BO32" i="50"/>
  <c r="BL32" i="50"/>
  <c r="BQ32" i="50"/>
  <c r="BD32" i="50"/>
  <c r="BF32" i="50"/>
  <c r="BG32" i="50"/>
  <c r="BN32" i="50"/>
  <c r="BR24" i="50"/>
  <c r="BS24" i="50"/>
  <c r="BI37" i="50"/>
  <c r="BB37" i="50"/>
  <c r="BE37" i="50"/>
  <c r="BO37" i="50"/>
  <c r="AI37" i="50"/>
  <c r="BV17" i="50"/>
  <c r="AQ17" i="50"/>
  <c r="AG23" i="50"/>
  <c r="BM23" i="50" s="1"/>
  <c r="S12" i="1"/>
  <c r="R12" i="1" s="1"/>
  <c r="W107" i="50"/>
  <c r="BS110" i="50"/>
  <c r="BR110" i="50"/>
  <c r="AQ91" i="50"/>
  <c r="BV91" i="50"/>
  <c r="BJ100" i="50"/>
  <c r="BI100" i="50"/>
  <c r="BJ113" i="50"/>
  <c r="AI113" i="50"/>
  <c r="BG113" i="50"/>
  <c r="BG104" i="50"/>
  <c r="BF104" i="50"/>
  <c r="AI104" i="50"/>
  <c r="BK104" i="50"/>
  <c r="BJ104" i="50"/>
  <c r="BP117" i="50"/>
  <c r="BD117" i="50"/>
  <c r="BL117" i="50"/>
  <c r="BQ22" i="50"/>
  <c r="BN22" i="50"/>
  <c r="BD22" i="50"/>
  <c r="BI89" i="50"/>
  <c r="AI89" i="50"/>
  <c r="BJ89" i="50"/>
  <c r="BO89" i="50"/>
  <c r="BP89" i="50"/>
  <c r="BE89" i="50"/>
  <c r="BD89" i="50"/>
  <c r="BH108" i="50"/>
  <c r="BN108" i="50"/>
  <c r="BF108" i="50"/>
  <c r="BL108" i="50"/>
  <c r="BD108" i="50"/>
  <c r="BE108" i="50"/>
  <c r="BP108" i="50"/>
  <c r="BB108" i="50"/>
  <c r="BG108" i="50"/>
  <c r="AM121" i="50"/>
  <c r="BF121" i="50"/>
  <c r="V47" i="50"/>
  <c r="AU56" i="50"/>
  <c r="BV46" i="50"/>
  <c r="BD107" i="50"/>
  <c r="AG121" i="50"/>
  <c r="BM121" i="50" s="1"/>
  <c r="V115" i="50"/>
  <c r="V83" i="50"/>
  <c r="V96" i="50"/>
  <c r="V101" i="50"/>
  <c r="V106" i="50"/>
  <c r="AU72" i="50"/>
  <c r="AU51" i="50"/>
  <c r="AU34" i="50"/>
  <c r="AU30" i="50"/>
  <c r="AU24" i="50"/>
  <c r="AU22" i="50"/>
  <c r="AU19" i="50"/>
  <c r="AG20" i="50"/>
  <c r="BM20" i="50" s="1"/>
  <c r="V126" i="50"/>
  <c r="V55" i="50"/>
  <c r="V44" i="50"/>
  <c r="V41" i="50"/>
  <c r="V36" i="50"/>
  <c r="V28" i="50"/>
  <c r="V26" i="50"/>
  <c r="V24" i="50"/>
  <c r="D4" i="55"/>
  <c r="U39" i="3" s="1"/>
  <c r="V75" i="50"/>
  <c r="V88" i="50"/>
  <c r="V92" i="50"/>
  <c r="V97" i="50"/>
  <c r="V99" i="50"/>
  <c r="V103" i="50"/>
  <c r="V107" i="50"/>
  <c r="V120" i="50"/>
  <c r="V125" i="50"/>
  <c r="S35" i="1"/>
  <c r="R35" i="1" s="1"/>
  <c r="W87" i="50"/>
  <c r="AM100" i="50"/>
  <c r="AM71" i="50"/>
  <c r="AG30" i="50"/>
  <c r="BM30" i="50" s="1"/>
  <c r="V98" i="50"/>
  <c r="V102" i="50"/>
  <c r="V111" i="50"/>
  <c r="V34" i="50"/>
  <c r="S11" i="1"/>
  <c r="R11" i="1" s="1"/>
  <c r="S16" i="1"/>
  <c r="R16" i="1" s="1"/>
  <c r="AG97" i="50"/>
  <c r="BM97" i="50" s="1"/>
  <c r="W97" i="50"/>
  <c r="AU39" i="50"/>
  <c r="W21" i="50"/>
  <c r="AQ68" i="50"/>
  <c r="BG117" i="50"/>
  <c r="BK117" i="50"/>
  <c r="AI117" i="50"/>
  <c r="BH117" i="50"/>
  <c r="BF117" i="50"/>
  <c r="BO117" i="50"/>
  <c r="BQ117" i="50"/>
  <c r="AJ117" i="50" s="1"/>
  <c r="BN117" i="50"/>
  <c r="BB117" i="50"/>
  <c r="BJ117" i="50"/>
  <c r="BR120" i="50"/>
  <c r="BS120" i="50"/>
  <c r="AU120" i="50"/>
  <c r="W26" i="50"/>
  <c r="AG82" i="50"/>
  <c r="BM82" i="50" s="1"/>
  <c r="AG99" i="50"/>
  <c r="BM99" i="50" s="1"/>
  <c r="BD33" i="50"/>
  <c r="BN33" i="50"/>
  <c r="BD82" i="50"/>
  <c r="BE82" i="50"/>
  <c r="BF82" i="50"/>
  <c r="BB82" i="50"/>
  <c r="BO82" i="50"/>
  <c r="BI82" i="50"/>
  <c r="BH82" i="50"/>
  <c r="BS106" i="50"/>
  <c r="BR106" i="50"/>
  <c r="AU106" i="50"/>
  <c r="BH46" i="50"/>
  <c r="BI23" i="50"/>
  <c r="BB124" i="50"/>
  <c r="BD124" i="50"/>
  <c r="AH83" i="50"/>
  <c r="AJ83" i="50"/>
  <c r="AG118" i="50"/>
  <c r="BM118" i="50" s="1"/>
  <c r="AI111" i="50"/>
  <c r="BI111" i="50"/>
  <c r="BJ111" i="50"/>
  <c r="BG111" i="50"/>
  <c r="BB111" i="50"/>
  <c r="AQ93" i="50"/>
  <c r="BV93" i="50"/>
  <c r="BH101" i="50"/>
  <c r="BQ101" i="50"/>
  <c r="BO101" i="50"/>
  <c r="BI101" i="50"/>
  <c r="BK101" i="50"/>
  <c r="BE101" i="50"/>
  <c r="BJ101" i="50"/>
  <c r="BP101" i="50"/>
  <c r="BB101" i="50"/>
  <c r="BL101" i="50"/>
  <c r="BG101" i="50"/>
  <c r="AG72" i="50"/>
  <c r="BM72" i="50" s="1"/>
  <c r="AQ103" i="50"/>
  <c r="BV103" i="50"/>
  <c r="BV114" i="50"/>
  <c r="AQ114" i="50"/>
  <c r="BJ120" i="50"/>
  <c r="BB120" i="50"/>
  <c r="BD120" i="50"/>
  <c r="BI120" i="50"/>
  <c r="BL120" i="50"/>
  <c r="BF120" i="50"/>
  <c r="BE120" i="50"/>
  <c r="BH120" i="50"/>
  <c r="AI120" i="50"/>
  <c r="BK120" i="50"/>
  <c r="BN120" i="50"/>
  <c r="BQ120" i="50"/>
  <c r="AH120" i="50" s="1"/>
  <c r="AL120" i="50" s="1"/>
  <c r="X120" i="50" s="1"/>
  <c r="BC120" i="50" s="1"/>
  <c r="BP30" i="50"/>
  <c r="AM30" i="50"/>
  <c r="BF30" i="50"/>
  <c r="AQ126" i="50"/>
  <c r="BV126" i="50"/>
  <c r="AU41" i="50"/>
  <c r="BS41" i="50"/>
  <c r="AG41" i="50"/>
  <c r="BM41" i="50" s="1"/>
  <c r="BV24" i="50"/>
  <c r="AQ24" i="50"/>
  <c r="BO49" i="50"/>
  <c r="BG49" i="50"/>
  <c r="BP49" i="50"/>
  <c r="BE49" i="50"/>
  <c r="AI49" i="50"/>
  <c r="BQ49" i="50"/>
  <c r="BH49" i="50"/>
  <c r="BB49" i="50"/>
  <c r="BN49" i="50"/>
  <c r="AQ61" i="50"/>
  <c r="BV61" i="50"/>
  <c r="BP124" i="50"/>
  <c r="BG124" i="50"/>
  <c r="BE124" i="50"/>
  <c r="BO124" i="50"/>
  <c r="BQ63" i="50"/>
  <c r="BL46" i="50"/>
  <c r="BD63" i="50"/>
  <c r="BI63" i="50"/>
  <c r="AU23" i="50"/>
  <c r="BN124" i="50"/>
  <c r="BQ124" i="50"/>
  <c r="AJ124" i="50" s="1"/>
  <c r="AI124" i="50"/>
  <c r="BE117" i="50"/>
  <c r="BI117" i="50"/>
  <c r="BS115" i="50"/>
  <c r="BR115" i="50"/>
  <c r="AU115" i="50"/>
  <c r="BV79" i="50"/>
  <c r="AQ79" i="50"/>
  <c r="AG103" i="50"/>
  <c r="BM103" i="50" s="1"/>
  <c r="V122" i="50"/>
  <c r="R9" i="48"/>
  <c r="W37" i="50"/>
  <c r="W49" i="50"/>
  <c r="AU86" i="50"/>
  <c r="AG90" i="50"/>
  <c r="BM90" i="50" s="1"/>
  <c r="AU90" i="50"/>
  <c r="AM120" i="50"/>
  <c r="S13" i="1"/>
  <c r="R13" i="1" s="1"/>
  <c r="W41" i="50"/>
  <c r="W32" i="50"/>
  <c r="S41" i="1"/>
  <c r="R41" i="1" s="1"/>
  <c r="W72" i="50"/>
  <c r="W103" i="50"/>
  <c r="W55" i="50"/>
  <c r="BV26" i="50"/>
  <c r="AQ26" i="50"/>
  <c r="BQ18" i="50"/>
  <c r="AH18" i="50" s="1"/>
  <c r="AI18" i="50"/>
  <c r="BO18" i="50"/>
  <c r="BG18" i="50"/>
  <c r="BF18" i="50"/>
  <c r="BD18" i="50"/>
  <c r="BI18" i="50"/>
  <c r="BJ18" i="50"/>
  <c r="BH18" i="50"/>
  <c r="BP18" i="50"/>
  <c r="BN18" i="50"/>
  <c r="BB33" i="50"/>
  <c r="BK33" i="50"/>
  <c r="BH33" i="50"/>
  <c r="BJ33" i="50"/>
  <c r="BP33" i="50"/>
  <c r="AM33" i="50"/>
  <c r="BE33" i="50"/>
  <c r="BL33" i="50"/>
  <c r="BQ33" i="50"/>
  <c r="AH33" i="50" s="1"/>
  <c r="BF33" i="50"/>
  <c r="BI33" i="50"/>
  <c r="BO33" i="50"/>
  <c r="BG33" i="50"/>
  <c r="AI33" i="50"/>
  <c r="V51" i="50"/>
  <c r="V30" i="50"/>
  <c r="V22" i="50"/>
  <c r="AG100" i="50"/>
  <c r="BM100" i="50" s="1"/>
  <c r="AQ98" i="50"/>
  <c r="BV98" i="50"/>
  <c r="BR74" i="50"/>
  <c r="AU74" i="50"/>
  <c r="BE51" i="50"/>
  <c r="BB51" i="50"/>
  <c r="BQ51" i="50"/>
  <c r="AH51" i="50" s="1"/>
  <c r="BI51" i="50"/>
  <c r="AM94" i="50"/>
  <c r="BI94" i="50"/>
  <c r="BF107" i="50"/>
  <c r="AI107" i="50"/>
  <c r="BV94" i="50"/>
  <c r="BR29" i="50"/>
  <c r="BF51" i="50"/>
  <c r="BS74" i="50"/>
  <c r="AG94" i="50"/>
  <c r="BM94" i="50" s="1"/>
  <c r="AU70" i="50"/>
  <c r="BR70" i="50"/>
  <c r="BK18" i="50"/>
  <c r="BP61" i="50"/>
  <c r="BL61" i="50"/>
  <c r="BB61" i="50"/>
  <c r="BK61" i="50"/>
  <c r="BJ61" i="50"/>
  <c r="AQ36" i="50"/>
  <c r="BV36" i="50"/>
  <c r="AU87" i="50"/>
  <c r="BS87" i="50"/>
  <c r="BE46" i="50"/>
  <c r="BG23" i="50"/>
  <c r="BL94" i="50"/>
  <c r="BB94" i="50"/>
  <c r="BI107" i="50"/>
  <c r="BK107" i="50"/>
  <c r="AM118" i="50"/>
  <c r="BH51" i="50"/>
  <c r="BP51" i="50"/>
  <c r="BO51" i="50"/>
  <c r="BJ51" i="50"/>
  <c r="BN51" i="50"/>
  <c r="AG120" i="50"/>
  <c r="BM120" i="50" s="1"/>
  <c r="BR105" i="50"/>
  <c r="AI108" i="50"/>
  <c r="BO108" i="50"/>
  <c r="BB89" i="50"/>
  <c r="BN89" i="50"/>
  <c r="BQ89" i="50"/>
  <c r="BF89" i="50"/>
  <c r="BE18" i="50"/>
  <c r="AQ71" i="50"/>
  <c r="BI61" i="50"/>
  <c r="BR25" i="50"/>
  <c r="BS25" i="50"/>
  <c r="AU25" i="50"/>
  <c r="BF39" i="50"/>
  <c r="BN39" i="50"/>
  <c r="BS46" i="50"/>
  <c r="S20" i="1"/>
  <c r="R20" i="1" s="1"/>
  <c r="BO94" i="50"/>
  <c r="BQ107" i="50"/>
  <c r="AH125" i="50"/>
  <c r="AL125" i="50" s="1"/>
  <c r="X125" i="50" s="1"/>
  <c r="BC125" i="50" s="1"/>
  <c r="BS29" i="50"/>
  <c r="BD51" i="50"/>
  <c r="BL51" i="50"/>
  <c r="BG51" i="50"/>
  <c r="AQ58" i="50"/>
  <c r="AU105" i="50"/>
  <c r="BI113" i="50"/>
  <c r="BB113" i="50"/>
  <c r="BQ104" i="50"/>
  <c r="AH104" i="50" s="1"/>
  <c r="BH104" i="50"/>
  <c r="BB104" i="50"/>
  <c r="BP104" i="50"/>
  <c r="AM22" i="50"/>
  <c r="BP22" i="50"/>
  <c r="BF22" i="50"/>
  <c r="BI22" i="50"/>
  <c r="BB22" i="50"/>
  <c r="BH22" i="50"/>
  <c r="BH125" i="50"/>
  <c r="BI125" i="50"/>
  <c r="BQ99" i="50"/>
  <c r="BF99" i="50"/>
  <c r="BK108" i="50"/>
  <c r="BI108" i="50"/>
  <c r="BO121" i="50"/>
  <c r="BK121" i="50"/>
  <c r="BN121" i="50"/>
  <c r="BJ121" i="50"/>
  <c r="BB121" i="50"/>
  <c r="AI121" i="50"/>
  <c r="BH79" i="50"/>
  <c r="BE79" i="50"/>
  <c r="BG79" i="50"/>
  <c r="BK90" i="50"/>
  <c r="BH90" i="50"/>
  <c r="BB90" i="50"/>
  <c r="BD90" i="50"/>
  <c r="BI90" i="50"/>
  <c r="BL90" i="50"/>
  <c r="BO90" i="50"/>
  <c r="BD83" i="50"/>
  <c r="BL83" i="50"/>
  <c r="BI97" i="50"/>
  <c r="BE97" i="50"/>
  <c r="BR97" i="50"/>
  <c r="AU97" i="50"/>
  <c r="BS97" i="50"/>
  <c r="BF116" i="50"/>
  <c r="AI116" i="50"/>
  <c r="AM89" i="50"/>
  <c r="AM108" i="50"/>
  <c r="AG50" i="50"/>
  <c r="BM50" i="50" s="1"/>
  <c r="AG35" i="50"/>
  <c r="AG84" i="50"/>
  <c r="BM84" i="50" s="1"/>
  <c r="AU99" i="50"/>
  <c r="AG25" i="50"/>
  <c r="BM25" i="50" s="1"/>
  <c r="W20" i="50"/>
  <c r="V79" i="50"/>
  <c r="V110" i="50"/>
  <c r="W79" i="50"/>
  <c r="W33" i="50"/>
  <c r="BR64" i="50"/>
  <c r="AU27" i="50"/>
  <c r="BE88" i="50"/>
  <c r="BI88" i="50"/>
  <c r="BO88" i="50"/>
  <c r="BB88" i="50"/>
  <c r="BS116" i="50"/>
  <c r="AG116" i="50"/>
  <c r="BM116" i="50" s="1"/>
  <c r="AU116" i="50"/>
  <c r="BE30" i="50"/>
  <c r="BO30" i="50"/>
  <c r="AI30" i="50"/>
  <c r="BK30" i="50"/>
  <c r="BQ30" i="50"/>
  <c r="BB30" i="50"/>
  <c r="BQ37" i="50"/>
  <c r="BK37" i="50"/>
  <c r="BH37" i="50"/>
  <c r="BG37" i="50"/>
  <c r="BJ37" i="50"/>
  <c r="BN37" i="50"/>
  <c r="BL37" i="50"/>
  <c r="BD37" i="50"/>
  <c r="AM37" i="50"/>
  <c r="AM49" i="50"/>
  <c r="BV51" i="50"/>
  <c r="AQ51" i="50"/>
  <c r="BR56" i="50"/>
  <c r="P16" i="52"/>
  <c r="AU64" i="50"/>
  <c r="BB46" i="50"/>
  <c r="BE63" i="50"/>
  <c r="BG63" i="50"/>
  <c r="W46" i="50"/>
  <c r="BV107" i="50"/>
  <c r="BR27" i="50"/>
  <c r="BR41" i="50"/>
  <c r="AG71" i="50"/>
  <c r="BM71" i="50" s="1"/>
  <c r="BL88" i="50"/>
  <c r="BN113" i="50"/>
  <c r="AU125" i="50"/>
  <c r="BP37" i="50"/>
  <c r="BH88" i="50"/>
  <c r="BG30" i="50"/>
  <c r="AQ63" i="50"/>
  <c r="S26" i="1"/>
  <c r="R26" i="1" s="1"/>
  <c r="V57" i="50"/>
  <c r="BS27" i="50"/>
  <c r="AQ111" i="50"/>
  <c r="BV111" i="50"/>
  <c r="BP79" i="50"/>
  <c r="BI79" i="50"/>
  <c r="BO79" i="50"/>
  <c r="BF79" i="50"/>
  <c r="BJ79" i="50"/>
  <c r="BK79" i="50"/>
  <c r="BL79" i="50"/>
  <c r="BQ79" i="50"/>
  <c r="BB79" i="50"/>
  <c r="BD79" i="50"/>
  <c r="AI79" i="50"/>
  <c r="AI90" i="50"/>
  <c r="BF90" i="50"/>
  <c r="BP90" i="50"/>
  <c r="BN90" i="50"/>
  <c r="BG90" i="50"/>
  <c r="BQ90" i="50"/>
  <c r="AH90" i="50" s="1"/>
  <c r="BE90" i="50"/>
  <c r="BI83" i="50"/>
  <c r="AI83" i="50"/>
  <c r="BJ83" i="50"/>
  <c r="BO83" i="50"/>
  <c r="BG83" i="50"/>
  <c r="AI97" i="50"/>
  <c r="BP97" i="50"/>
  <c r="BK97" i="50"/>
  <c r="BJ97" i="50"/>
  <c r="BO97" i="50"/>
  <c r="AG92" i="50"/>
  <c r="BM92" i="50" s="1"/>
  <c r="AU92" i="50"/>
  <c r="BS92" i="50"/>
  <c r="BH61" i="50"/>
  <c r="BG61" i="50"/>
  <c r="BQ61" i="50"/>
  <c r="AH61" i="50" s="1"/>
  <c r="AI61" i="50"/>
  <c r="BF61" i="50"/>
  <c r="BD61" i="50"/>
  <c r="BN61" i="50"/>
  <c r="BO61" i="50"/>
  <c r="AG111" i="50"/>
  <c r="BM111" i="50" s="1"/>
  <c r="W102" i="50"/>
  <c r="W121" i="50"/>
  <c r="W90" i="50"/>
  <c r="S36" i="1"/>
  <c r="R36" i="1" s="1"/>
  <c r="AM61" i="50"/>
  <c r="V94" i="50"/>
  <c r="BF23" i="50"/>
  <c r="BQ94" i="50"/>
  <c r="AJ94" i="50" s="1"/>
  <c r="BJ94" i="50"/>
  <c r="BP94" i="50"/>
  <c r="BG94" i="50"/>
  <c r="BE94" i="50"/>
  <c r="BN94" i="50"/>
  <c r="BK94" i="50"/>
  <c r="BH94" i="50"/>
  <c r="BV112" i="50"/>
  <c r="AQ112" i="50"/>
  <c r="AU46" i="50"/>
  <c r="AI46" i="50"/>
  <c r="BH107" i="50"/>
  <c r="BL107" i="50"/>
  <c r="BO107" i="50"/>
  <c r="BG107" i="50"/>
  <c r="BB107" i="50"/>
  <c r="BN107" i="50"/>
  <c r="AM107" i="50"/>
  <c r="BJ107" i="50"/>
  <c r="BJ23" i="50"/>
  <c r="BL23" i="50"/>
  <c r="BB23" i="50"/>
  <c r="BE23" i="50"/>
  <c r="BR46" i="50"/>
  <c r="BI46" i="50"/>
  <c r="BJ46" i="50"/>
  <c r="AM23" i="50"/>
  <c r="BP23" i="50"/>
  <c r="BQ46" i="50"/>
  <c r="AH46" i="50" s="1"/>
  <c r="AL46" i="50" s="1"/>
  <c r="X46" i="50" s="1"/>
  <c r="BC46" i="50" s="1"/>
  <c r="AQ31" i="50"/>
  <c r="BG46" i="50"/>
  <c r="AI23" i="50"/>
  <c r="BD23" i="50"/>
  <c r="BN23" i="50"/>
  <c r="BH23" i="50"/>
  <c r="AU65" i="50"/>
  <c r="BR65" i="50"/>
  <c r="S33" i="1"/>
  <c r="R33" i="1" s="1"/>
  <c r="BQ23" i="50"/>
  <c r="AH23" i="50" s="1"/>
  <c r="AQ23" i="50"/>
  <c r="BV23" i="50"/>
  <c r="S44" i="1"/>
  <c r="R44" i="1" s="1"/>
  <c r="BE100" i="50"/>
  <c r="BP100" i="50"/>
  <c r="AI100" i="50"/>
  <c r="BB100" i="50"/>
  <c r="BO100" i="50"/>
  <c r="BK100" i="50"/>
  <c r="BR87" i="50"/>
  <c r="AG87" i="50"/>
  <c r="BM87" i="50" s="1"/>
  <c r="BD100" i="50"/>
  <c r="BH100" i="50"/>
  <c r="BR93" i="50"/>
  <c r="BS93" i="50"/>
  <c r="BJ78" i="50"/>
  <c r="BF78" i="50"/>
  <c r="BE78" i="50"/>
  <c r="BL82" i="50"/>
  <c r="BK82" i="50"/>
  <c r="AI82" i="50"/>
  <c r="BJ82" i="50"/>
  <c r="BP82" i="50"/>
  <c r="BR123" i="50"/>
  <c r="BS123" i="50"/>
  <c r="AI22" i="50"/>
  <c r="BG22" i="50"/>
  <c r="BO22" i="50"/>
  <c r="BK22" i="50"/>
  <c r="BJ22" i="50"/>
  <c r="BD99" i="50"/>
  <c r="BJ99" i="50"/>
  <c r="AI99" i="50"/>
  <c r="BV121" i="50"/>
  <c r="AQ121" i="50"/>
  <c r="BK83" i="50"/>
  <c r="BR92" i="50"/>
  <c r="BG97" i="50"/>
  <c r="BL97" i="50"/>
  <c r="BF97" i="50"/>
  <c r="BP83" i="50"/>
  <c r="BB83" i="50"/>
  <c r="BE83" i="50"/>
  <c r="AQ116" i="50"/>
  <c r="AU107" i="50"/>
  <c r="BH32" i="50"/>
  <c r="BS47" i="50"/>
  <c r="BJ30" i="50"/>
  <c r="AU47" i="50"/>
  <c r="BL30" i="50"/>
  <c r="BQ97" i="50"/>
  <c r="BH97" i="50"/>
  <c r="BD30" i="50"/>
  <c r="BH30" i="50"/>
  <c r="BI30" i="50"/>
  <c r="BN97" i="50"/>
  <c r="BD97" i="50"/>
  <c r="BN83" i="50"/>
  <c r="BF83" i="50"/>
  <c r="S9" i="1"/>
  <c r="R9" i="1" s="1"/>
  <c r="BO48" i="50"/>
  <c r="AM88" i="50"/>
  <c r="BN46" i="50"/>
  <c r="BF46" i="50"/>
  <c r="BD46" i="50"/>
  <c r="BR23" i="50"/>
  <c r="BS65" i="50"/>
  <c r="BP46" i="50"/>
  <c r="BK46" i="50"/>
  <c r="BV56" i="50"/>
  <c r="S50" i="1"/>
  <c r="R50" i="1" s="1"/>
  <c r="AM46" i="50"/>
  <c r="W64" i="50"/>
  <c r="AU123" i="50"/>
  <c r="BN104" i="50"/>
  <c r="BQ82" i="50"/>
  <c r="BO118" i="50"/>
  <c r="BG78" i="50"/>
  <c r="BP71" i="50"/>
  <c r="BP121" i="50"/>
  <c r="BQ78" i="50"/>
  <c r="BS99" i="50"/>
  <c r="BD121" i="50"/>
  <c r="BG121" i="50"/>
  <c r="BE121" i="50"/>
  <c r="D4" i="6"/>
  <c r="BN25" i="50"/>
  <c r="V71" i="50"/>
  <c r="BR99" i="50"/>
  <c r="BI121" i="50"/>
  <c r="AQ123" i="50"/>
  <c r="AQ122" i="50"/>
  <c r="BH25" i="50"/>
  <c r="BB123" i="50"/>
  <c r="AU124" i="50"/>
  <c r="BI118" i="50"/>
  <c r="BI104" i="50"/>
  <c r="AI123" i="50"/>
  <c r="BH118" i="50"/>
  <c r="BN82" i="50"/>
  <c r="BL121" i="50"/>
  <c r="BH121" i="50"/>
  <c r="BD118" i="50"/>
  <c r="BO78" i="50"/>
  <c r="BL92" i="50"/>
  <c r="AU110" i="50"/>
  <c r="R19" i="53"/>
  <c r="R20" i="53"/>
  <c r="R17" i="53"/>
  <c r="R24" i="53"/>
  <c r="R22" i="53"/>
  <c r="R23" i="53"/>
  <c r="R18" i="53"/>
  <c r="R15" i="53"/>
  <c r="R13" i="53"/>
  <c r="R16" i="53"/>
  <c r="R21" i="53"/>
  <c r="R14" i="53"/>
  <c r="BR31" i="50"/>
  <c r="BQ121" i="50"/>
  <c r="AJ121" i="50" s="1"/>
  <c r="AJ74" i="50"/>
  <c r="BK49" i="50"/>
  <c r="BI49" i="50"/>
  <c r="BF49" i="50"/>
  <c r="BH98" i="50"/>
  <c r="BQ98" i="50"/>
  <c r="AG18" i="50" l="1"/>
  <c r="BM18" i="50" s="1"/>
  <c r="BL18" i="50"/>
  <c r="BQ27" i="50"/>
  <c r="AH27" i="50" s="1"/>
  <c r="BQ19" i="50"/>
  <c r="AJ19" i="50" s="1"/>
  <c r="Q24" i="53"/>
  <c r="W31" i="50"/>
  <c r="AI95" i="50"/>
  <c r="AI21" i="50"/>
  <c r="AM55" i="50"/>
  <c r="AJ72" i="50"/>
  <c r="AJ108" i="50"/>
  <c r="AL72" i="50"/>
  <c r="X72" i="50" s="1"/>
  <c r="BC72" i="50" s="1"/>
  <c r="W23" i="50"/>
  <c r="J11" i="48"/>
  <c r="S14" i="1"/>
  <c r="R14" i="1" s="1"/>
  <c r="AM59" i="50"/>
  <c r="AI77" i="50"/>
  <c r="J10" i="48"/>
  <c r="BK38" i="50"/>
  <c r="BF38" i="50"/>
  <c r="BL38" i="50"/>
  <c r="AI85" i="50"/>
  <c r="BN85" i="50"/>
  <c r="BE85" i="50"/>
  <c r="BD112" i="50"/>
  <c r="BO85" i="50"/>
  <c r="BF112" i="50"/>
  <c r="BO43" i="50"/>
  <c r="BG19" i="50"/>
  <c r="BG59" i="50"/>
  <c r="BE86" i="50"/>
  <c r="BK68" i="50"/>
  <c r="BS96" i="50"/>
  <c r="BD86" i="50"/>
  <c r="BJ112" i="50"/>
  <c r="BR63" i="50"/>
  <c r="BG112" i="50"/>
  <c r="AJ114" i="50"/>
  <c r="BJ68" i="50"/>
  <c r="S48" i="1"/>
  <c r="R48" i="1" s="1"/>
  <c r="BP59" i="50"/>
  <c r="BI68" i="50"/>
  <c r="AM60" i="50"/>
  <c r="AH50" i="50"/>
  <c r="AL50" i="50" s="1"/>
  <c r="X50" i="50" s="1"/>
  <c r="BC50" i="50" s="1"/>
  <c r="BL64" i="50"/>
  <c r="BN64" i="50"/>
  <c r="AH38" i="50"/>
  <c r="BB21" i="50"/>
  <c r="AJ25" i="50"/>
  <c r="BH86" i="50"/>
  <c r="BE59" i="50"/>
  <c r="W68" i="50"/>
  <c r="AI86" i="50"/>
  <c r="AL108" i="50"/>
  <c r="X108" i="50" s="1"/>
  <c r="BC108" i="50" s="1"/>
  <c r="BJ59" i="50"/>
  <c r="W96" i="50"/>
  <c r="BJ19" i="50"/>
  <c r="BF102" i="50"/>
  <c r="BB64" i="50"/>
  <c r="BF64" i="50"/>
  <c r="BB69" i="50"/>
  <c r="AM64" i="50"/>
  <c r="BJ64" i="50"/>
  <c r="Q21" i="53"/>
  <c r="AG95" i="50"/>
  <c r="BM95" i="50" s="1"/>
  <c r="BH64" i="50"/>
  <c r="BI19" i="50"/>
  <c r="AI112" i="50"/>
  <c r="BL112" i="50"/>
  <c r="BP38" i="50"/>
  <c r="AJ51" i="50"/>
  <c r="BO59" i="50"/>
  <c r="BS48" i="50"/>
  <c r="BN38" i="50"/>
  <c r="AG49" i="50"/>
  <c r="BM49" i="50" s="1"/>
  <c r="AL20" i="50"/>
  <c r="X20" i="50" s="1"/>
  <c r="BC20" i="50" s="1"/>
  <c r="AM24" i="50"/>
  <c r="BE69" i="50"/>
  <c r="AJ52" i="50"/>
  <c r="BF86" i="50"/>
  <c r="BR48" i="50"/>
  <c r="BE77" i="50"/>
  <c r="BN36" i="50"/>
  <c r="AJ33" i="50"/>
  <c r="BE68" i="50"/>
  <c r="AU85" i="50"/>
  <c r="BS52" i="50"/>
  <c r="BL21" i="50"/>
  <c r="BP112" i="50"/>
  <c r="BP19" i="50"/>
  <c r="BO38" i="50"/>
  <c r="BE64" i="50"/>
  <c r="BH19" i="50"/>
  <c r="BJ38" i="50"/>
  <c r="BG64" i="50"/>
  <c r="BN19" i="50"/>
  <c r="BB19" i="50"/>
  <c r="AU96" i="50"/>
  <c r="BF106" i="50"/>
  <c r="BQ85" i="50"/>
  <c r="AH85" i="50" s="1"/>
  <c r="BO68" i="50"/>
  <c r="BD85" i="50"/>
  <c r="AH110" i="50"/>
  <c r="AL110" i="50" s="1"/>
  <c r="X110" i="50" s="1"/>
  <c r="BC110" i="50" s="1"/>
  <c r="BR85" i="50"/>
  <c r="BR52" i="50"/>
  <c r="BF21" i="50"/>
  <c r="BE38" i="50"/>
  <c r="AI38" i="50"/>
  <c r="BL19" i="50"/>
  <c r="BI38" i="50"/>
  <c r="BQ95" i="50"/>
  <c r="AJ95" i="50" s="1"/>
  <c r="AL17" i="50"/>
  <c r="X17" i="50" s="1"/>
  <c r="BK21" i="50"/>
  <c r="BG68" i="50"/>
  <c r="BB106" i="50"/>
  <c r="AM86" i="50"/>
  <c r="W115" i="50"/>
  <c r="AI106" i="50"/>
  <c r="BI106" i="50"/>
  <c r="W81" i="50"/>
  <c r="BP119" i="50"/>
  <c r="BQ21" i="50"/>
  <c r="AJ21" i="50" s="1"/>
  <c r="BF68" i="50"/>
  <c r="AU49" i="50"/>
  <c r="W24" i="50"/>
  <c r="Q16" i="53"/>
  <c r="P19" i="53"/>
  <c r="AL84" i="50"/>
  <c r="X84" i="50" s="1"/>
  <c r="BC84" i="50" s="1"/>
  <c r="AJ123" i="50"/>
  <c r="BB24" i="50"/>
  <c r="AG108" i="50"/>
  <c r="BM108" i="50" s="1"/>
  <c r="AM19" i="50"/>
  <c r="AQ73" i="50"/>
  <c r="BH24" i="50"/>
  <c r="W75" i="50"/>
  <c r="AM68" i="50"/>
  <c r="BR38" i="50"/>
  <c r="BO77" i="50"/>
  <c r="AU63" i="50"/>
  <c r="BP95" i="50"/>
  <c r="BE119" i="50"/>
  <c r="AM43" i="50"/>
  <c r="BI119" i="50"/>
  <c r="AU108" i="50"/>
  <c r="AQ109" i="50"/>
  <c r="AL109" i="50" s="1"/>
  <c r="X109" i="50" s="1"/>
  <c r="BC109" i="50" s="1"/>
  <c r="AM95" i="50"/>
  <c r="BN119" i="50"/>
  <c r="S38" i="1"/>
  <c r="R38" i="1" s="1"/>
  <c r="AG47" i="50"/>
  <c r="BM47" i="50" s="1"/>
  <c r="S23" i="1"/>
  <c r="R23" i="1" s="1"/>
  <c r="BJ56" i="50"/>
  <c r="BP64" i="50"/>
  <c r="BD68" i="50"/>
  <c r="BI64" i="50"/>
  <c r="BH68" i="50"/>
  <c r="AI119" i="50"/>
  <c r="W83" i="50"/>
  <c r="AM119" i="50"/>
  <c r="BS44" i="50"/>
  <c r="BN53" i="50"/>
  <c r="BS119" i="50"/>
  <c r="AG61" i="50"/>
  <c r="BM61" i="50" s="1"/>
  <c r="BR122" i="50"/>
  <c r="BR119" i="50"/>
  <c r="BQ53" i="50"/>
  <c r="AJ53" i="50" s="1"/>
  <c r="AG24" i="50"/>
  <c r="BM24" i="50" s="1"/>
  <c r="BQ119" i="50"/>
  <c r="AH119" i="50" s="1"/>
  <c r="BN21" i="50"/>
  <c r="AQ102" i="50"/>
  <c r="W69" i="50"/>
  <c r="W38" i="50"/>
  <c r="AM73" i="50"/>
  <c r="P15" i="53"/>
  <c r="AU77" i="50"/>
  <c r="BG109" i="50"/>
  <c r="AG83" i="50"/>
  <c r="BM83" i="50" s="1"/>
  <c r="AM53" i="50"/>
  <c r="W43" i="50"/>
  <c r="BL106" i="50"/>
  <c r="W78" i="50"/>
  <c r="W36" i="50"/>
  <c r="W18" i="50"/>
  <c r="AM38" i="50"/>
  <c r="W73" i="50"/>
  <c r="AU91" i="50"/>
  <c r="AU37" i="50"/>
  <c r="AH124" i="50"/>
  <c r="BR61" i="50"/>
  <c r="BG29" i="50"/>
  <c r="BK106" i="50"/>
  <c r="BS43" i="50"/>
  <c r="AG91" i="50"/>
  <c r="BM91" i="50" s="1"/>
  <c r="AH118" i="50"/>
  <c r="BQ77" i="50"/>
  <c r="AH77" i="50" s="1"/>
  <c r="AG86" i="50"/>
  <c r="BM86" i="50" s="1"/>
  <c r="BS95" i="50"/>
  <c r="AG63" i="50"/>
  <c r="BM63" i="50" s="1"/>
  <c r="Q15" i="53"/>
  <c r="BK109" i="50"/>
  <c r="BF77" i="50"/>
  <c r="BP28" i="50"/>
  <c r="BR95" i="50"/>
  <c r="AM52" i="50"/>
  <c r="AJ17" i="50"/>
  <c r="BH77" i="50"/>
  <c r="AU78" i="50"/>
  <c r="AU44" i="50"/>
  <c r="W52" i="50"/>
  <c r="BD109" i="50"/>
  <c r="AG58" i="50"/>
  <c r="BM58" i="50" s="1"/>
  <c r="BN106" i="50"/>
  <c r="BL77" i="50"/>
  <c r="W45" i="50"/>
  <c r="AJ109" i="50"/>
  <c r="AL104" i="50"/>
  <c r="X104" i="50" s="1"/>
  <c r="BC104" i="50" s="1"/>
  <c r="AG70" i="50"/>
  <c r="BM70" i="50" s="1"/>
  <c r="W59" i="50"/>
  <c r="AH122" i="50"/>
  <c r="AL122" i="50" s="1"/>
  <c r="X122" i="50" s="1"/>
  <c r="BC122" i="50" s="1"/>
  <c r="AH101" i="50"/>
  <c r="AL101" i="50" s="1"/>
  <c r="X101" i="50" s="1"/>
  <c r="BC101" i="50" s="1"/>
  <c r="AJ101" i="50"/>
  <c r="BQ66" i="50"/>
  <c r="AJ66" i="50" s="1"/>
  <c r="BB66" i="50"/>
  <c r="BD66" i="50"/>
  <c r="BN66" i="50"/>
  <c r="BK66" i="50"/>
  <c r="S18" i="1"/>
  <c r="R18" i="1" s="1"/>
  <c r="BB75" i="50"/>
  <c r="BK75" i="50"/>
  <c r="BQ75" i="50"/>
  <c r="AJ75" i="50" s="1"/>
  <c r="BD75" i="50"/>
  <c r="AI75" i="50"/>
  <c r="BF75" i="50"/>
  <c r="BH75" i="50"/>
  <c r="BB80" i="50"/>
  <c r="BE80" i="50"/>
  <c r="W62" i="50"/>
  <c r="BV105" i="50"/>
  <c r="AQ105" i="50"/>
  <c r="AM66" i="50"/>
  <c r="BF126" i="50"/>
  <c r="AI126" i="50"/>
  <c r="W65" i="50"/>
  <c r="AU109" i="50"/>
  <c r="AG109" i="50"/>
  <c r="BM109" i="50" s="1"/>
  <c r="BS109" i="50"/>
  <c r="BP69" i="50"/>
  <c r="BQ69" i="50"/>
  <c r="AJ69" i="50" s="1"/>
  <c r="BO69" i="50"/>
  <c r="BG69" i="50"/>
  <c r="BJ69" i="50"/>
  <c r="BD69" i="50"/>
  <c r="W105" i="50"/>
  <c r="AM80" i="50"/>
  <c r="BK31" i="50"/>
  <c r="BB31" i="50"/>
  <c r="AH87" i="50"/>
  <c r="AL87" i="50" s="1"/>
  <c r="X87" i="50" s="1"/>
  <c r="BC87" i="50" s="1"/>
  <c r="AJ87" i="50"/>
  <c r="AQ75" i="50"/>
  <c r="BV75" i="50"/>
  <c r="AH107" i="50"/>
  <c r="AL107" i="50" s="1"/>
  <c r="X107" i="50" s="1"/>
  <c r="BC107" i="50" s="1"/>
  <c r="AJ107" i="50"/>
  <c r="AG56" i="50"/>
  <c r="BM56" i="50" s="1"/>
  <c r="AM56" i="50"/>
  <c r="BD105" i="50"/>
  <c r="BO105" i="50"/>
  <c r="BP105" i="50"/>
  <c r="D4" i="51"/>
  <c r="U35" i="3" s="1"/>
  <c r="BF34" i="50"/>
  <c r="BB34" i="50"/>
  <c r="AI34" i="50"/>
  <c r="AM34" i="50"/>
  <c r="BL34" i="50"/>
  <c r="BP34" i="50"/>
  <c r="BD34" i="50"/>
  <c r="BH34" i="50"/>
  <c r="BE34" i="50"/>
  <c r="BJ34" i="50"/>
  <c r="BQ34" i="50"/>
  <c r="AH34" i="50" s="1"/>
  <c r="AL34" i="50" s="1"/>
  <c r="X34" i="50" s="1"/>
  <c r="BC34" i="50" s="1"/>
  <c r="BG34" i="50"/>
  <c r="BN34" i="50"/>
  <c r="BL66" i="50"/>
  <c r="BQ96" i="50"/>
  <c r="AJ96" i="50" s="1"/>
  <c r="BK34" i="50"/>
  <c r="AJ91" i="50"/>
  <c r="AH91" i="50"/>
  <c r="AL91" i="50" s="1"/>
  <c r="X91" i="50" s="1"/>
  <c r="BC91" i="50" s="1"/>
  <c r="BI75" i="50"/>
  <c r="BF105" i="50"/>
  <c r="BK105" i="50"/>
  <c r="AI105" i="50"/>
  <c r="BM34" i="50"/>
  <c r="AH88" i="50"/>
  <c r="AL88" i="50" s="1"/>
  <c r="X88" i="50" s="1"/>
  <c r="BC88" i="50" s="1"/>
  <c r="AJ88" i="50"/>
  <c r="BH29" i="50"/>
  <c r="BB29" i="50"/>
  <c r="BI36" i="50"/>
  <c r="BE36" i="50"/>
  <c r="BV69" i="50"/>
  <c r="AQ69" i="50"/>
  <c r="AM27" i="50"/>
  <c r="AG27" i="50"/>
  <c r="BM27" i="50" s="1"/>
  <c r="AH103" i="50"/>
  <c r="AL103" i="50" s="1"/>
  <c r="X103" i="50" s="1"/>
  <c r="BC103" i="50" s="1"/>
  <c r="AJ103" i="50"/>
  <c r="AH93" i="50"/>
  <c r="AL93" i="50" s="1"/>
  <c r="X93" i="50" s="1"/>
  <c r="BC93" i="50" s="1"/>
  <c r="BO36" i="50"/>
  <c r="BJ29" i="50"/>
  <c r="BR126" i="50"/>
  <c r="AM75" i="50"/>
  <c r="BH28" i="50"/>
  <c r="BB55" i="50"/>
  <c r="BE28" i="50"/>
  <c r="BQ28" i="50"/>
  <c r="AJ28" i="50" s="1"/>
  <c r="AM36" i="50"/>
  <c r="AU89" i="50"/>
  <c r="BI43" i="50"/>
  <c r="AH43" i="50"/>
  <c r="BF43" i="50"/>
  <c r="BK28" i="50"/>
  <c r="BL102" i="50"/>
  <c r="BN102" i="50"/>
  <c r="AM126" i="50"/>
  <c r="AG28" i="50"/>
  <c r="BM28" i="50" s="1"/>
  <c r="BQ67" i="50"/>
  <c r="AJ67" i="50" s="1"/>
  <c r="BD67" i="50"/>
  <c r="BP67" i="50"/>
  <c r="AH70" i="50"/>
  <c r="AL70" i="50" s="1"/>
  <c r="X70" i="50" s="1"/>
  <c r="BC70" i="50" s="1"/>
  <c r="AJ70" i="50"/>
  <c r="AG89" i="50"/>
  <c r="BM89" i="50" s="1"/>
  <c r="AH41" i="50"/>
  <c r="AL41" i="50" s="1"/>
  <c r="X41" i="50" s="1"/>
  <c r="BC41" i="50" s="1"/>
  <c r="AG113" i="50"/>
  <c r="BM113" i="50" s="1"/>
  <c r="BM44" i="50"/>
  <c r="S49" i="1"/>
  <c r="R49" i="1" s="1"/>
  <c r="BR44" i="50"/>
  <c r="BB28" i="50"/>
  <c r="AM51" i="50"/>
  <c r="AG119" i="50"/>
  <c r="BM119" i="50" s="1"/>
  <c r="BI28" i="50"/>
  <c r="BQ29" i="50"/>
  <c r="AH29" i="50" s="1"/>
  <c r="AL29" i="50" s="1"/>
  <c r="X29" i="50" s="1"/>
  <c r="BC29" i="50" s="1"/>
  <c r="AU43" i="50"/>
  <c r="AG55" i="50"/>
  <c r="BM55" i="50" s="1"/>
  <c r="AQ124" i="50"/>
  <c r="BV124" i="50"/>
  <c r="S27" i="1"/>
  <c r="R27" i="1" s="1"/>
  <c r="W47" i="50"/>
  <c r="W113" i="50"/>
  <c r="AJ27" i="50"/>
  <c r="AJ104" i="50"/>
  <c r="BO28" i="50"/>
  <c r="AQ65" i="50"/>
  <c r="BG36" i="50"/>
  <c r="BL43" i="50"/>
  <c r="AL39" i="50"/>
  <c r="X39" i="50" s="1"/>
  <c r="BC39" i="50" s="1"/>
  <c r="AU113" i="50"/>
  <c r="AG17" i="50"/>
  <c r="BL119" i="50"/>
  <c r="BK119" i="50"/>
  <c r="BJ119" i="50"/>
  <c r="AG124" i="50"/>
  <c r="BM124" i="50" s="1"/>
  <c r="BP29" i="50"/>
  <c r="BN28" i="50"/>
  <c r="AH19" i="50"/>
  <c r="AH49" i="50"/>
  <c r="AL49" i="50" s="1"/>
  <c r="X49" i="50" s="1"/>
  <c r="BC49" i="50" s="1"/>
  <c r="AJ49" i="50"/>
  <c r="BR89" i="50"/>
  <c r="BN43" i="50"/>
  <c r="AM102" i="50"/>
  <c r="AU28" i="50"/>
  <c r="BV119" i="50"/>
  <c r="AQ119" i="50"/>
  <c r="AH100" i="50"/>
  <c r="BS28" i="50"/>
  <c r="BD102" i="50"/>
  <c r="AG43" i="50"/>
  <c r="BM43" i="50" s="1"/>
  <c r="W53" i="50"/>
  <c r="BB43" i="50"/>
  <c r="AU61" i="50"/>
  <c r="D5" i="52"/>
  <c r="D6" i="52" s="1"/>
  <c r="BG43" i="50"/>
  <c r="BB109" i="50"/>
  <c r="BJ36" i="50"/>
  <c r="BR91" i="50"/>
  <c r="AM115" i="50"/>
  <c r="AM105" i="50"/>
  <c r="AG105" i="50"/>
  <c r="BM105" i="50" s="1"/>
  <c r="AL90" i="50"/>
  <c r="X90" i="50" s="1"/>
  <c r="BC90" i="50" s="1"/>
  <c r="W126" i="50"/>
  <c r="D4" i="4"/>
  <c r="U31" i="3" s="1"/>
  <c r="BK19" i="50"/>
  <c r="AM112" i="50"/>
  <c r="AG68" i="50"/>
  <c r="BM68" i="50" s="1"/>
  <c r="AM81" i="50"/>
  <c r="BD21" i="50"/>
  <c r="BD19" i="50"/>
  <c r="BV95" i="50"/>
  <c r="AG85" i="50"/>
  <c r="BM85" i="50" s="1"/>
  <c r="BO21" i="50"/>
  <c r="W48" i="50"/>
  <c r="W60" i="50"/>
  <c r="BJ21" i="50"/>
  <c r="BL65" i="50"/>
  <c r="BH65" i="50"/>
  <c r="BI65" i="50"/>
  <c r="BD65" i="50"/>
  <c r="BB65" i="50"/>
  <c r="BJ65" i="50"/>
  <c r="BK65" i="50"/>
  <c r="BQ65" i="50"/>
  <c r="AH65" i="50" s="1"/>
  <c r="AG60" i="50"/>
  <c r="BM60" i="50" s="1"/>
  <c r="AU60" i="50"/>
  <c r="BR60" i="50"/>
  <c r="BO56" i="50"/>
  <c r="AH56" i="50"/>
  <c r="AL56" i="50" s="1"/>
  <c r="X56" i="50" s="1"/>
  <c r="BC56" i="50" s="1"/>
  <c r="BH56" i="50"/>
  <c r="BN56" i="50"/>
  <c r="BK56" i="50"/>
  <c r="AM65" i="50"/>
  <c r="BL80" i="50"/>
  <c r="BG80" i="50"/>
  <c r="BH80" i="50"/>
  <c r="AI80" i="50"/>
  <c r="BD80" i="50"/>
  <c r="BN80" i="50"/>
  <c r="BF80" i="50"/>
  <c r="BO80" i="50"/>
  <c r="BL96" i="50"/>
  <c r="AI96" i="50"/>
  <c r="BP96" i="50"/>
  <c r="BJ96" i="50"/>
  <c r="BN96" i="50"/>
  <c r="BD96" i="50"/>
  <c r="BG96" i="50"/>
  <c r="BH96" i="50"/>
  <c r="BF60" i="50"/>
  <c r="BJ60" i="50"/>
  <c r="BD60" i="50"/>
  <c r="BP60" i="50"/>
  <c r="BO60" i="50"/>
  <c r="AM106" i="50"/>
  <c r="AG106" i="50"/>
  <c r="BM106" i="50" s="1"/>
  <c r="BP45" i="50"/>
  <c r="BB45" i="50"/>
  <c r="BG45" i="50"/>
  <c r="BJ45" i="50"/>
  <c r="BN45" i="50"/>
  <c r="BD45" i="50"/>
  <c r="BE45" i="50"/>
  <c r="BK45" i="50"/>
  <c r="BI45" i="50"/>
  <c r="BF45" i="50"/>
  <c r="AI45" i="50"/>
  <c r="BO45" i="50"/>
  <c r="BQ45" i="50"/>
  <c r="AJ45" i="50" s="1"/>
  <c r="AI57" i="50"/>
  <c r="BR18" i="50"/>
  <c r="BS18" i="50"/>
  <c r="AU18" i="50"/>
  <c r="AG65" i="50"/>
  <c r="BM65" i="50" s="1"/>
  <c r="BJ57" i="50"/>
  <c r="AX76" i="50"/>
  <c r="BA76" i="50"/>
  <c r="AP76" i="50"/>
  <c r="AZ76" i="50"/>
  <c r="BQ76" i="50" s="1"/>
  <c r="AH76" i="50" s="1"/>
  <c r="AO76" i="50"/>
  <c r="BU76" i="50"/>
  <c r="AK76" i="50"/>
  <c r="AY76" i="50"/>
  <c r="Q22" i="53"/>
  <c r="BL29" i="50"/>
  <c r="BM29" i="50"/>
  <c r="BF29" i="50"/>
  <c r="BE29" i="50"/>
  <c r="AM29" i="50"/>
  <c r="BK29" i="50"/>
  <c r="BD36" i="50"/>
  <c r="BP36" i="50"/>
  <c r="BL36" i="50"/>
  <c r="BK36" i="50"/>
  <c r="BH36" i="50"/>
  <c r="BR80" i="50"/>
  <c r="BS80" i="50"/>
  <c r="AG80" i="50"/>
  <c r="BM80" i="50" s="1"/>
  <c r="AU80" i="50"/>
  <c r="BV86" i="50"/>
  <c r="AQ86" i="50"/>
  <c r="BV18" i="50"/>
  <c r="AQ18" i="50"/>
  <c r="AL18" i="50" s="1"/>
  <c r="X18" i="50" s="1"/>
  <c r="AJ20" i="50"/>
  <c r="BH112" i="50"/>
  <c r="BI80" i="50"/>
  <c r="AJ120" i="50"/>
  <c r="BO29" i="50"/>
  <c r="BL60" i="50"/>
  <c r="BB36" i="50"/>
  <c r="AQ81" i="50"/>
  <c r="AU38" i="50"/>
  <c r="BQ57" i="50"/>
  <c r="AH57" i="50" s="1"/>
  <c r="BH45" i="50"/>
  <c r="Y31" i="1"/>
  <c r="X31" i="1"/>
  <c r="BL35" i="50"/>
  <c r="BJ35" i="50"/>
  <c r="BK35" i="50"/>
  <c r="BI35" i="50"/>
  <c r="BD35" i="50"/>
  <c r="AI35" i="50"/>
  <c r="AM35" i="50"/>
  <c r="BN35" i="50"/>
  <c r="BQ35" i="50"/>
  <c r="AH35" i="50" s="1"/>
  <c r="AL35" i="50" s="1"/>
  <c r="X35" i="50" s="1"/>
  <c r="BC35" i="50" s="1"/>
  <c r="BE35" i="50"/>
  <c r="BO35" i="50"/>
  <c r="BB35" i="50"/>
  <c r="BF35" i="50"/>
  <c r="BP35" i="50"/>
  <c r="BG35" i="50"/>
  <c r="BQ55" i="50"/>
  <c r="AJ55" i="50" s="1"/>
  <c r="BK55" i="50"/>
  <c r="BO55" i="50"/>
  <c r="BJ55" i="50"/>
  <c r="BN55" i="50"/>
  <c r="BP55" i="50"/>
  <c r="AI55" i="50"/>
  <c r="BR117" i="50"/>
  <c r="BS117" i="50"/>
  <c r="AG117" i="50"/>
  <c r="BM117" i="50" s="1"/>
  <c r="BD28" i="50"/>
  <c r="AM28" i="50"/>
  <c r="BG28" i="50"/>
  <c r="AI28" i="50"/>
  <c r="BQ58" i="50"/>
  <c r="AJ58" i="50" s="1"/>
  <c r="BK58" i="50"/>
  <c r="BN58" i="50"/>
  <c r="BP58" i="50"/>
  <c r="BF58" i="50"/>
  <c r="BL58" i="50"/>
  <c r="BG58" i="50"/>
  <c r="BI58" i="50"/>
  <c r="BB58" i="50"/>
  <c r="BH58" i="50"/>
  <c r="BE58" i="50"/>
  <c r="BK86" i="50"/>
  <c r="BO86" i="50"/>
  <c r="BB86" i="50"/>
  <c r="BP86" i="50"/>
  <c r="BI86" i="50"/>
  <c r="BQ86" i="50"/>
  <c r="AH86" i="50" s="1"/>
  <c r="BL86" i="50"/>
  <c r="AI31" i="50"/>
  <c r="BH31" i="50"/>
  <c r="BI31" i="50"/>
  <c r="BL31" i="50"/>
  <c r="BF31" i="50"/>
  <c r="BD31" i="50"/>
  <c r="BG31" i="50"/>
  <c r="BO31" i="50"/>
  <c r="AM31" i="50"/>
  <c r="BJ31" i="50"/>
  <c r="BN31" i="50"/>
  <c r="BI66" i="50"/>
  <c r="BO66" i="50"/>
  <c r="BE66" i="50"/>
  <c r="BP66" i="50"/>
  <c r="BG66" i="50"/>
  <c r="BF66" i="50"/>
  <c r="BJ66" i="50"/>
  <c r="BH66" i="50"/>
  <c r="AG77" i="50"/>
  <c r="BM77" i="50" s="1"/>
  <c r="BK80" i="50"/>
  <c r="BN29" i="50"/>
  <c r="AI36" i="50"/>
  <c r="AJ26" i="50"/>
  <c r="AI66" i="50"/>
  <c r="BD55" i="50"/>
  <c r="BV32" i="50"/>
  <c r="AM45" i="50"/>
  <c r="AX40" i="50"/>
  <c r="AP40" i="50"/>
  <c r="AK40" i="50"/>
  <c r="AZ40" i="50"/>
  <c r="BA40" i="50"/>
  <c r="BU40" i="50"/>
  <c r="AO40" i="50"/>
  <c r="AY40" i="50"/>
  <c r="V40" i="50"/>
  <c r="AB489" i="11"/>
  <c r="Z489" i="11"/>
  <c r="Y489" i="11"/>
  <c r="AM39" i="50"/>
  <c r="AG39" i="50"/>
  <c r="BM39" i="50" s="1"/>
  <c r="BS55" i="50"/>
  <c r="BR55" i="50"/>
  <c r="BN77" i="50"/>
  <c r="BD77" i="50"/>
  <c r="BI77" i="50"/>
  <c r="BJ77" i="50"/>
  <c r="BG77" i="50"/>
  <c r="BB77" i="50"/>
  <c r="AB483" i="11"/>
  <c r="Z483" i="11"/>
  <c r="BI81" i="50"/>
  <c r="BD81" i="50"/>
  <c r="BK81" i="50"/>
  <c r="BG81" i="50"/>
  <c r="BB81" i="50"/>
  <c r="BN81" i="50"/>
  <c r="BF81" i="50"/>
  <c r="BP81" i="50"/>
  <c r="BO81" i="50"/>
  <c r="BQ81" i="50"/>
  <c r="AJ81" i="50" s="1"/>
  <c r="BG105" i="50"/>
  <c r="BH105" i="50"/>
  <c r="BL105" i="50"/>
  <c r="BN105" i="50"/>
  <c r="BB105" i="50"/>
  <c r="BI105" i="50"/>
  <c r="BJ105" i="50"/>
  <c r="BR66" i="50"/>
  <c r="AG66" i="50"/>
  <c r="BM66" i="50" s="1"/>
  <c r="BS66" i="50"/>
  <c r="AG19" i="50"/>
  <c r="BM19" i="50" s="1"/>
  <c r="V17" i="53"/>
  <c r="AE17" i="53" s="1"/>
  <c r="AD17" i="53"/>
  <c r="BR53" i="50"/>
  <c r="AG53" i="50"/>
  <c r="BM53" i="50" s="1"/>
  <c r="BP57" i="50"/>
  <c r="BL57" i="50"/>
  <c r="BG57" i="50"/>
  <c r="BD57" i="50"/>
  <c r="BE57" i="50"/>
  <c r="BN65" i="50"/>
  <c r="BV19" i="50"/>
  <c r="AQ19" i="50"/>
  <c r="BQ60" i="50"/>
  <c r="AJ60" i="50" s="1"/>
  <c r="AQ38" i="50"/>
  <c r="BV38" i="50"/>
  <c r="BS57" i="50"/>
  <c r="AI56" i="50"/>
  <c r="BN57" i="50"/>
  <c r="BR57" i="50"/>
  <c r="BV44" i="50"/>
  <c r="AH113" i="50"/>
  <c r="BK57" i="50"/>
  <c r="BV99" i="50"/>
  <c r="X25" i="1"/>
  <c r="Y25" i="1"/>
  <c r="C340" i="11"/>
  <c r="D340" i="11"/>
  <c r="E340" i="11"/>
  <c r="B340" i="11"/>
  <c r="BS112" i="50"/>
  <c r="BR112" i="50"/>
  <c r="AG112" i="50"/>
  <c r="BM112" i="50" s="1"/>
  <c r="P24" i="53"/>
  <c r="BV83" i="50"/>
  <c r="BS77" i="50"/>
  <c r="BV96" i="50"/>
  <c r="AQ96" i="50"/>
  <c r="BK126" i="50"/>
  <c r="BD126" i="50"/>
  <c r="BH126" i="50"/>
  <c r="BL126" i="50"/>
  <c r="BJ126" i="50"/>
  <c r="BQ126" i="50"/>
  <c r="AJ126" i="50" s="1"/>
  <c r="BN126" i="50"/>
  <c r="BB126" i="50"/>
  <c r="BI126" i="50"/>
  <c r="AH117" i="50"/>
  <c r="AL117" i="50" s="1"/>
  <c r="X117" i="50" s="1"/>
  <c r="BC117" i="50" s="1"/>
  <c r="AM57" i="50"/>
  <c r="V76" i="50"/>
  <c r="AG38" i="50"/>
  <c r="BM38" i="50" s="1"/>
  <c r="BF28" i="50"/>
  <c r="BK96" i="50"/>
  <c r="AU53" i="50"/>
  <c r="BQ59" i="50"/>
  <c r="AJ59" i="50" s="1"/>
  <c r="AI59" i="50"/>
  <c r="BN59" i="50"/>
  <c r="BK59" i="50"/>
  <c r="BL28" i="50"/>
  <c r="BJ86" i="50"/>
  <c r="BF56" i="50"/>
  <c r="BE60" i="50"/>
  <c r="BP126" i="50"/>
  <c r="BV33" i="50"/>
  <c r="AQ33" i="50"/>
  <c r="AL33" i="50" s="1"/>
  <c r="X33" i="50" s="1"/>
  <c r="BC33" i="50" s="1"/>
  <c r="BE47" i="50"/>
  <c r="BL47" i="50"/>
  <c r="BI47" i="50"/>
  <c r="BD47" i="50"/>
  <c r="BG47" i="50"/>
  <c r="BN47" i="50"/>
  <c r="BO47" i="50"/>
  <c r="BH47" i="50"/>
  <c r="BJ47" i="50"/>
  <c r="BB47" i="50"/>
  <c r="AI47" i="50"/>
  <c r="BF47" i="50"/>
  <c r="BQ47" i="50"/>
  <c r="AH47" i="50" s="1"/>
  <c r="BK47" i="50"/>
  <c r="BP47" i="50"/>
  <c r="BS37" i="50"/>
  <c r="BS83" i="50"/>
  <c r="BR83" i="50"/>
  <c r="AU83" i="50"/>
  <c r="BS45" i="50"/>
  <c r="BR45" i="50"/>
  <c r="AU45" i="50"/>
  <c r="BV66" i="50"/>
  <c r="AQ66" i="50"/>
  <c r="AQ106" i="50"/>
  <c r="BV106" i="50"/>
  <c r="BJ80" i="50"/>
  <c r="BE65" i="50"/>
  <c r="BQ80" i="50"/>
  <c r="AH80" i="50" s="1"/>
  <c r="AL80" i="50" s="1"/>
  <c r="X80" i="50" s="1"/>
  <c r="BC80" i="50" s="1"/>
  <c r="AJ37" i="50"/>
  <c r="AH37" i="50"/>
  <c r="AL37" i="50" s="1"/>
  <c r="X37" i="50" s="1"/>
  <c r="BC37" i="50" s="1"/>
  <c r="BB57" i="50"/>
  <c r="BN112" i="50"/>
  <c r="BQ112" i="50"/>
  <c r="AH112" i="50" s="1"/>
  <c r="AL112" i="50" s="1"/>
  <c r="X112" i="50" s="1"/>
  <c r="BC112" i="50" s="1"/>
  <c r="BE112" i="50"/>
  <c r="BO112" i="50"/>
  <c r="AQ77" i="50"/>
  <c r="BV77" i="50"/>
  <c r="AG96" i="50"/>
  <c r="BM96" i="50" s="1"/>
  <c r="BS69" i="50"/>
  <c r="BR69" i="50"/>
  <c r="BR81" i="50"/>
  <c r="AG81" i="50"/>
  <c r="BM81" i="50" s="1"/>
  <c r="BF96" i="50"/>
  <c r="BJ67" i="50"/>
  <c r="BO67" i="50"/>
  <c r="BE67" i="50"/>
  <c r="BI67" i="50"/>
  <c r="BL67" i="50"/>
  <c r="BF67" i="50"/>
  <c r="BI96" i="50"/>
  <c r="BI57" i="50"/>
  <c r="BS68" i="50"/>
  <c r="AU68" i="50"/>
  <c r="P16" i="53"/>
  <c r="AG67" i="50"/>
  <c r="BM67" i="50" s="1"/>
  <c r="AM67" i="50"/>
  <c r="BG60" i="50"/>
  <c r="BH60" i="50"/>
  <c r="BO126" i="50"/>
  <c r="BN60" i="50"/>
  <c r="BP31" i="50"/>
  <c r="BI60" i="50"/>
  <c r="BS60" i="50"/>
  <c r="BH55" i="50"/>
  <c r="BO58" i="50"/>
  <c r="AK42" i="50"/>
  <c r="AZ42" i="50"/>
  <c r="BQ42" i="50" s="1"/>
  <c r="AJ42" i="50" s="1"/>
  <c r="BA42" i="50"/>
  <c r="AO42" i="50"/>
  <c r="AX42" i="50"/>
  <c r="AY42" i="50"/>
  <c r="BU42" i="50"/>
  <c r="AP42" i="50"/>
  <c r="V42" i="50"/>
  <c r="BI59" i="50"/>
  <c r="BS53" i="50"/>
  <c r="BG55" i="50"/>
  <c r="BI56" i="50"/>
  <c r="BI29" i="50"/>
  <c r="AI67" i="50"/>
  <c r="BK67" i="50"/>
  <c r="AQ78" i="50"/>
  <c r="AG32" i="50"/>
  <c r="BM32" i="50" s="1"/>
  <c r="O16" i="52"/>
  <c r="AU66" i="50"/>
  <c r="BE55" i="50"/>
  <c r="BH81" i="50"/>
  <c r="AI58" i="50"/>
  <c r="AG102" i="50"/>
  <c r="BM102" i="50" s="1"/>
  <c r="AI73" i="50"/>
  <c r="BN73" i="50"/>
  <c r="BE73" i="50"/>
  <c r="BB73" i="50"/>
  <c r="BF73" i="50"/>
  <c r="BK73" i="50"/>
  <c r="BH73" i="50"/>
  <c r="BG73" i="50"/>
  <c r="BI73" i="50"/>
  <c r="BP73" i="50"/>
  <c r="BD73" i="50"/>
  <c r="BO73" i="50"/>
  <c r="BJ73" i="50"/>
  <c r="BL73" i="50"/>
  <c r="BQ73" i="50"/>
  <c r="BD43" i="50"/>
  <c r="BP43" i="50"/>
  <c r="AI43" i="50"/>
  <c r="BJ43" i="50"/>
  <c r="BK43" i="50"/>
  <c r="BE43" i="50"/>
  <c r="BH43" i="50"/>
  <c r="BF24" i="50"/>
  <c r="BP24" i="50"/>
  <c r="BN24" i="50"/>
  <c r="AI24" i="50"/>
  <c r="BI24" i="50"/>
  <c r="BD24" i="50"/>
  <c r="BO24" i="50"/>
  <c r="BQ24" i="50"/>
  <c r="AH24" i="50" s="1"/>
  <c r="AL24" i="50" s="1"/>
  <c r="X24" i="50" s="1"/>
  <c r="BC24" i="50" s="1"/>
  <c r="BG24" i="50"/>
  <c r="BO65" i="50"/>
  <c r="BO96" i="50"/>
  <c r="BQ31" i="50"/>
  <c r="AH31" i="50" s="1"/>
  <c r="AL31" i="50" s="1"/>
  <c r="X31" i="50" s="1"/>
  <c r="BC31" i="50" s="1"/>
  <c r="AG69" i="50"/>
  <c r="BM69" i="50" s="1"/>
  <c r="BV59" i="50"/>
  <c r="AU32" i="50"/>
  <c r="BB67" i="50"/>
  <c r="BL55" i="50"/>
  <c r="BJ81" i="50"/>
  <c r="BD58" i="50"/>
  <c r="S28" i="1"/>
  <c r="R28" i="1" s="1"/>
  <c r="AQ85" i="50"/>
  <c r="BV85" i="50"/>
  <c r="AG37" i="50"/>
  <c r="BM37" i="50" s="1"/>
  <c r="BU54" i="50"/>
  <c r="AK54" i="50"/>
  <c r="AP54" i="50"/>
  <c r="AX54" i="50"/>
  <c r="AY54" i="50"/>
  <c r="AZ54" i="50"/>
  <c r="AI54" i="50" s="1"/>
  <c r="BA54" i="50"/>
  <c r="V54" i="50"/>
  <c r="AO54" i="50"/>
  <c r="S32" i="1"/>
  <c r="R32" i="1" s="1"/>
  <c r="AA631" i="11"/>
  <c r="AB631" i="11"/>
  <c r="Z631" i="11"/>
  <c r="M631" i="11"/>
  <c r="M486" i="11" s="1"/>
  <c r="Y631" i="11"/>
  <c r="N631" i="11"/>
  <c r="N486" i="11" s="1"/>
  <c r="BV57" i="50"/>
  <c r="AQ57" i="50"/>
  <c r="AJ90" i="50"/>
  <c r="BP65" i="50"/>
  <c r="AI65" i="50"/>
  <c r="BH57" i="50"/>
  <c r="BF65" i="50"/>
  <c r="AM47" i="50"/>
  <c r="BF57" i="50"/>
  <c r="AQ60" i="50"/>
  <c r="BV60" i="50"/>
  <c r="AQ64" i="50"/>
  <c r="BK60" i="50"/>
  <c r="BB60" i="50"/>
  <c r="BR36" i="50"/>
  <c r="BS36" i="50"/>
  <c r="AU36" i="50"/>
  <c r="AJ39" i="50"/>
  <c r="BG65" i="50"/>
  <c r="BV89" i="50"/>
  <c r="AQ89" i="50"/>
  <c r="BF36" i="50"/>
  <c r="AH62" i="50"/>
  <c r="AL62" i="50" s="1"/>
  <c r="X62" i="50" s="1"/>
  <c r="BC62" i="50" s="1"/>
  <c r="AJ62" i="50"/>
  <c r="AI60" i="50"/>
  <c r="BV48" i="50"/>
  <c r="AQ48" i="50"/>
  <c r="BB96" i="50"/>
  <c r="BG126" i="50"/>
  <c r="AG36" i="50"/>
  <c r="BM36" i="50" s="1"/>
  <c r="BF55" i="50"/>
  <c r="AQ21" i="50"/>
  <c r="BV21" i="50"/>
  <c r="BR68" i="50"/>
  <c r="AG57" i="50"/>
  <c r="BM57" i="50" s="1"/>
  <c r="BE126" i="50"/>
  <c r="AE18" i="53"/>
  <c r="Q18" i="53" s="1"/>
  <c r="BF59" i="50"/>
  <c r="AI29" i="50"/>
  <c r="AQ43" i="50"/>
  <c r="Y34" i="1"/>
  <c r="X34" i="1"/>
  <c r="AI102" i="50"/>
  <c r="BE102" i="50"/>
  <c r="BK102" i="50"/>
  <c r="BI102" i="50"/>
  <c r="BG102" i="50"/>
  <c r="BH102" i="50"/>
  <c r="BQ102" i="50"/>
  <c r="AJ102" i="50" s="1"/>
  <c r="BJ102" i="50"/>
  <c r="BP102" i="50"/>
  <c r="AQ53" i="50"/>
  <c r="BE56" i="50"/>
  <c r="BS81" i="50"/>
  <c r="BN86" i="50"/>
  <c r="BN67" i="50"/>
  <c r="BB112" i="50"/>
  <c r="BS21" i="50"/>
  <c r="BL24" i="50"/>
  <c r="BG56" i="50"/>
  <c r="AU55" i="50"/>
  <c r="BD59" i="50"/>
  <c r="BS32" i="50"/>
  <c r="AJ48" i="50"/>
  <c r="AH48" i="50"/>
  <c r="BL81" i="50"/>
  <c r="BR101" i="50"/>
  <c r="AU101" i="50"/>
  <c r="AG101" i="50"/>
  <c r="BM101" i="50" s="1"/>
  <c r="BS101" i="50"/>
  <c r="AG122" i="50"/>
  <c r="BM122" i="50" s="1"/>
  <c r="BS122" i="50"/>
  <c r="AQ45" i="50"/>
  <c r="BV45" i="50"/>
  <c r="AG21" i="50"/>
  <c r="BM21" i="50" s="1"/>
  <c r="BP85" i="50"/>
  <c r="BB85" i="50"/>
  <c r="BH85" i="50"/>
  <c r="BJ85" i="50"/>
  <c r="BI85" i="50"/>
  <c r="BL85" i="50"/>
  <c r="BF85" i="50"/>
  <c r="BK85" i="50"/>
  <c r="AM85" i="50"/>
  <c r="AI81" i="50"/>
  <c r="BL59" i="50"/>
  <c r="BH59" i="50"/>
  <c r="BD56" i="50"/>
  <c r="AQ113" i="50"/>
  <c r="BR21" i="50"/>
  <c r="BK24" i="50"/>
  <c r="AH111" i="50"/>
  <c r="AL111" i="50" s="1"/>
  <c r="X111" i="50" s="1"/>
  <c r="BC111" i="50" s="1"/>
  <c r="BL56" i="50"/>
  <c r="BP56" i="50"/>
  <c r="BE96" i="50"/>
  <c r="BG67" i="50"/>
  <c r="BI112" i="50"/>
  <c r="BP77" i="50"/>
  <c r="BJ24" i="50"/>
  <c r="BP80" i="50"/>
  <c r="BQ105" i="50"/>
  <c r="AH105" i="50" s="1"/>
  <c r="AL26" i="50"/>
  <c r="X26" i="50" s="1"/>
  <c r="BC26" i="50" s="1"/>
  <c r="BE31" i="50"/>
  <c r="BO102" i="50"/>
  <c r="BB56" i="50"/>
  <c r="BJ58" i="50"/>
  <c r="X30" i="1"/>
  <c r="Y30" i="1"/>
  <c r="Y29" i="1"/>
  <c r="X29" i="1"/>
  <c r="Y17" i="1"/>
  <c r="X17" i="1"/>
  <c r="BS59" i="50"/>
  <c r="BR59" i="50"/>
  <c r="AG59" i="50"/>
  <c r="BM59" i="50" s="1"/>
  <c r="BV47" i="50"/>
  <c r="AQ47" i="50"/>
  <c r="AL71" i="50"/>
  <c r="X71" i="50" s="1"/>
  <c r="BC71" i="50" s="1"/>
  <c r="AL114" i="50"/>
  <c r="X114" i="50" s="1"/>
  <c r="BC114" i="50" s="1"/>
  <c r="J14" i="7"/>
  <c r="M14" i="7"/>
  <c r="H14" i="7" s="1"/>
  <c r="BR98" i="50"/>
  <c r="BS98" i="50"/>
  <c r="BH53" i="50"/>
  <c r="BK53" i="50"/>
  <c r="BJ53" i="50"/>
  <c r="BD53" i="50"/>
  <c r="BB53" i="50"/>
  <c r="BO53" i="50"/>
  <c r="BI53" i="50"/>
  <c r="BL53" i="50"/>
  <c r="BG53" i="50"/>
  <c r="BF53" i="50"/>
  <c r="AI53" i="50"/>
  <c r="BE53" i="50"/>
  <c r="AI64" i="50"/>
  <c r="BK64" i="50"/>
  <c r="AH92" i="50"/>
  <c r="AL92" i="50" s="1"/>
  <c r="X92" i="50" s="1"/>
  <c r="BC92" i="50" s="1"/>
  <c r="AG48" i="50"/>
  <c r="BM48" i="50" s="1"/>
  <c r="AG126" i="50"/>
  <c r="BM126" i="50" s="1"/>
  <c r="AU126" i="50"/>
  <c r="J5" i="1"/>
  <c r="K4" i="1"/>
  <c r="BQ68" i="50"/>
  <c r="AJ68" i="50" s="1"/>
  <c r="BN68" i="50"/>
  <c r="BB68" i="50"/>
  <c r="W19" i="50"/>
  <c r="BL115" i="50"/>
  <c r="BI115" i="50"/>
  <c r="BP115" i="50"/>
  <c r="BF115" i="50"/>
  <c r="BD115" i="50"/>
  <c r="BK115" i="50"/>
  <c r="BE115" i="50"/>
  <c r="BJ115" i="50"/>
  <c r="BH115" i="50"/>
  <c r="BN115" i="50"/>
  <c r="BQ115" i="50"/>
  <c r="BG115" i="50"/>
  <c r="BO115" i="50"/>
  <c r="BB115" i="50"/>
  <c r="AM109" i="50"/>
  <c r="AM21" i="50"/>
  <c r="V23" i="53"/>
  <c r="AE23" i="53" s="1"/>
  <c r="AD23" i="53"/>
  <c r="AB490" i="11"/>
  <c r="Z490" i="11"/>
  <c r="BS108" i="50"/>
  <c r="BR108" i="50"/>
  <c r="AU58" i="50"/>
  <c r="BP75" i="50"/>
  <c r="BG75" i="50"/>
  <c r="BH109" i="50"/>
  <c r="BL109" i="50"/>
  <c r="BE109" i="50"/>
  <c r="BO109" i="50"/>
  <c r="BV67" i="50"/>
  <c r="AQ67" i="50"/>
  <c r="BP109" i="50"/>
  <c r="BI69" i="50"/>
  <c r="AG98" i="50"/>
  <c r="BM98" i="50" s="1"/>
  <c r="BN75" i="50"/>
  <c r="BO75" i="50"/>
  <c r="AQ100" i="50"/>
  <c r="BV100" i="50"/>
  <c r="BR113" i="50"/>
  <c r="BS113" i="50"/>
  <c r="W67" i="50"/>
  <c r="AL123" i="50"/>
  <c r="X123" i="50" s="1"/>
  <c r="BC123" i="50" s="1"/>
  <c r="BN109" i="50"/>
  <c r="BH21" i="50"/>
  <c r="AQ52" i="50"/>
  <c r="AL52" i="50" s="1"/>
  <c r="X52" i="50" s="1"/>
  <c r="BC52" i="50" s="1"/>
  <c r="AU98" i="50"/>
  <c r="AH106" i="50"/>
  <c r="BJ106" i="50"/>
  <c r="BJ75" i="50"/>
  <c r="AB500" i="11"/>
  <c r="AA500" i="11"/>
  <c r="N500" i="11"/>
  <c r="N485" i="11" s="1"/>
  <c r="Z500" i="11"/>
  <c r="AI19" i="50"/>
  <c r="BF19" i="50"/>
  <c r="BO19" i="50"/>
  <c r="BR67" i="50"/>
  <c r="BS67" i="50"/>
  <c r="BL75" i="50"/>
  <c r="M19" i="7"/>
  <c r="H19" i="7" s="1"/>
  <c r="J19" i="7"/>
  <c r="I19" i="7" s="1"/>
  <c r="BO44" i="50"/>
  <c r="BH44" i="50"/>
  <c r="BJ44" i="50"/>
  <c r="BL44" i="50"/>
  <c r="BD44" i="50"/>
  <c r="BK44" i="50"/>
  <c r="BI44" i="50"/>
  <c r="AI44" i="50"/>
  <c r="BE44" i="50"/>
  <c r="BQ44" i="50"/>
  <c r="BF44" i="50"/>
  <c r="BP44" i="50"/>
  <c r="BG44" i="50"/>
  <c r="BN44" i="50"/>
  <c r="BB44" i="50"/>
  <c r="Z635" i="11"/>
  <c r="AQ27" i="50"/>
  <c r="BV27" i="50"/>
  <c r="P17" i="53"/>
  <c r="W106" i="50"/>
  <c r="BI52" i="50"/>
  <c r="BG52" i="50"/>
  <c r="BH52" i="50"/>
  <c r="BN52" i="50"/>
  <c r="BB52" i="50"/>
  <c r="BK52" i="50"/>
  <c r="BO52" i="50"/>
  <c r="BE52" i="50"/>
  <c r="BP52" i="50"/>
  <c r="BD52" i="50"/>
  <c r="BF52" i="50"/>
  <c r="BL52" i="50"/>
  <c r="BJ52" i="50"/>
  <c r="AI52" i="50"/>
  <c r="BJ109" i="50"/>
  <c r="BM31" i="50"/>
  <c r="AG45" i="50"/>
  <c r="BM45" i="50" s="1"/>
  <c r="BD38" i="50"/>
  <c r="BH38" i="50"/>
  <c r="AQ118" i="50"/>
  <c r="BV118" i="50"/>
  <c r="AM58" i="50"/>
  <c r="BR58" i="50"/>
  <c r="BI21" i="50"/>
  <c r="BK69" i="50"/>
  <c r="BR49" i="50"/>
  <c r="BS49" i="50"/>
  <c r="BE106" i="50"/>
  <c r="BP106" i="50"/>
  <c r="BD106" i="50"/>
  <c r="BR75" i="50"/>
  <c r="AU75" i="50"/>
  <c r="BS75" i="50"/>
  <c r="AG75" i="50"/>
  <c r="BM75" i="50" s="1"/>
  <c r="AI69" i="50"/>
  <c r="BM35" i="50"/>
  <c r="AM69" i="50"/>
  <c r="BR73" i="50"/>
  <c r="AG73" i="50"/>
  <c r="BM73" i="50" s="1"/>
  <c r="AU73" i="50"/>
  <c r="BS73" i="50"/>
  <c r="V13" i="53"/>
  <c r="AK13" i="53" s="1"/>
  <c r="AK14" i="53" s="1"/>
  <c r="AK15" i="53" s="1"/>
  <c r="AK16" i="53" s="1"/>
  <c r="AK17" i="53" s="1"/>
  <c r="AD13" i="53"/>
  <c r="AE13" i="53"/>
  <c r="BB38" i="50"/>
  <c r="AI109" i="50"/>
  <c r="BF69" i="50"/>
  <c r="BG21" i="50"/>
  <c r="BN69" i="50"/>
  <c r="BP68" i="50"/>
  <c r="BH106" i="50"/>
  <c r="BM115" i="50"/>
  <c r="BQ64" i="50"/>
  <c r="AJ64" i="50" s="1"/>
  <c r="BO64" i="50"/>
  <c r="BG38" i="50"/>
  <c r="BF109" i="50"/>
  <c r="BL69" i="50"/>
  <c r="BI109" i="50"/>
  <c r="BP21" i="50"/>
  <c r="BI34" i="50"/>
  <c r="AG78" i="50"/>
  <c r="BM78" i="50" s="1"/>
  <c r="BS78" i="50"/>
  <c r="BL68" i="50"/>
  <c r="BO106" i="50"/>
  <c r="BG106" i="50"/>
  <c r="BE75" i="50"/>
  <c r="BV74" i="50"/>
  <c r="AQ74" i="50"/>
  <c r="AL74" i="50" s="1"/>
  <c r="X74" i="50" s="1"/>
  <c r="BC74" i="50" s="1"/>
  <c r="J9" i="48"/>
  <c r="BO119" i="50"/>
  <c r="BG119" i="50"/>
  <c r="BF119" i="50"/>
  <c r="BB119" i="50"/>
  <c r="BH119" i="50"/>
  <c r="BE95" i="50"/>
  <c r="BI95" i="50"/>
  <c r="BK95" i="50"/>
  <c r="BO95" i="50"/>
  <c r="BF95" i="50"/>
  <c r="BG95" i="50"/>
  <c r="BD95" i="50"/>
  <c r="BN95" i="50"/>
  <c r="BL95" i="50"/>
  <c r="BB95" i="50"/>
  <c r="BH95" i="50"/>
  <c r="BE27" i="50"/>
  <c r="BH27" i="50"/>
  <c r="BN27" i="50"/>
  <c r="BO27" i="50"/>
  <c r="BL27" i="50"/>
  <c r="BP27" i="50"/>
  <c r="BK27" i="50"/>
  <c r="BI27" i="50"/>
  <c r="BD27" i="50"/>
  <c r="BG27" i="50"/>
  <c r="BJ27" i="50"/>
  <c r="BF27" i="50"/>
  <c r="BB27" i="50"/>
  <c r="P22" i="53"/>
  <c r="AG52" i="50"/>
  <c r="BM52" i="50" s="1"/>
  <c r="W57" i="50"/>
  <c r="V19" i="53"/>
  <c r="AD19" i="53"/>
  <c r="AE19" i="53"/>
  <c r="AH116" i="50"/>
  <c r="AL116" i="50" s="1"/>
  <c r="X116" i="50" s="1"/>
  <c r="BC116" i="50" s="1"/>
  <c r="AJ84" i="50"/>
  <c r="J16" i="3"/>
  <c r="K16" i="3" s="1"/>
  <c r="AJ18" i="50"/>
  <c r="AJ46" i="50"/>
  <c r="AL61" i="50"/>
  <c r="X61" i="50" s="1"/>
  <c r="BC61" i="50" s="1"/>
  <c r="AL83" i="50"/>
  <c r="X83" i="50" s="1"/>
  <c r="BC83" i="50" s="1"/>
  <c r="AJ71" i="50"/>
  <c r="AL51" i="50"/>
  <c r="X51" i="50" s="1"/>
  <c r="BC51" i="50" s="1"/>
  <c r="AJ22" i="50"/>
  <c r="AH22" i="50"/>
  <c r="AL22" i="50" s="1"/>
  <c r="X22" i="50" s="1"/>
  <c r="BC22" i="50" s="1"/>
  <c r="AJ32" i="50"/>
  <c r="AH32" i="50"/>
  <c r="AL32" i="50" s="1"/>
  <c r="X32" i="50" s="1"/>
  <c r="BC32" i="50" s="1"/>
  <c r="AH63" i="50"/>
  <c r="AL63" i="50" s="1"/>
  <c r="X63" i="50" s="1"/>
  <c r="BC63" i="50" s="1"/>
  <c r="AJ63" i="50"/>
  <c r="AH89" i="50"/>
  <c r="AJ89" i="50"/>
  <c r="AL23" i="50"/>
  <c r="X23" i="50" s="1"/>
  <c r="BC23" i="50" s="1"/>
  <c r="AJ99" i="50"/>
  <c r="AH99" i="50"/>
  <c r="AL99" i="50" s="1"/>
  <c r="X99" i="50" s="1"/>
  <c r="BC99" i="50" s="1"/>
  <c r="AJ36" i="50"/>
  <c r="AH36" i="50"/>
  <c r="AL36" i="50" s="1"/>
  <c r="X36" i="50" s="1"/>
  <c r="BC36" i="50" s="1"/>
  <c r="AJ79" i="50"/>
  <c r="AH79" i="50"/>
  <c r="AL79" i="50" s="1"/>
  <c r="X79" i="50" s="1"/>
  <c r="BC79" i="50" s="1"/>
  <c r="AH94" i="50"/>
  <c r="AL94" i="50" s="1"/>
  <c r="X94" i="50" s="1"/>
  <c r="BC94" i="50" s="1"/>
  <c r="AJ61" i="50"/>
  <c r="AH30" i="50"/>
  <c r="AL30" i="50" s="1"/>
  <c r="X30" i="50" s="1"/>
  <c r="BC30" i="50" s="1"/>
  <c r="AJ30" i="50"/>
  <c r="AH121" i="50"/>
  <c r="AL121" i="50" s="1"/>
  <c r="X121" i="50" s="1"/>
  <c r="BC121" i="50" s="1"/>
  <c r="AJ23" i="50"/>
  <c r="AJ97" i="50"/>
  <c r="AH97" i="50"/>
  <c r="AL97" i="50" s="1"/>
  <c r="X97" i="50" s="1"/>
  <c r="BC97" i="50" s="1"/>
  <c r="AJ78" i="50"/>
  <c r="AH78" i="50"/>
  <c r="AJ82" i="50"/>
  <c r="AH82" i="50"/>
  <c r="AL82" i="50" s="1"/>
  <c r="X82" i="50" s="1"/>
  <c r="BC82" i="50" s="1"/>
  <c r="AH98" i="50"/>
  <c r="AL98" i="50" s="1"/>
  <c r="X98" i="50" s="1"/>
  <c r="BC98" i="50" s="1"/>
  <c r="AJ98" i="50"/>
  <c r="BC18" i="50" l="1"/>
  <c r="BB18" i="50"/>
  <c r="AL27" i="50"/>
  <c r="X27" i="50" s="1"/>
  <c r="BC27" i="50" s="1"/>
  <c r="AH21" i="50"/>
  <c r="AL86" i="50"/>
  <c r="X86" i="50" s="1"/>
  <c r="BC86" i="50" s="1"/>
  <c r="AL57" i="50"/>
  <c r="X57" i="50" s="1"/>
  <c r="BC57" i="50" s="1"/>
  <c r="D4" i="48"/>
  <c r="J9" i="3" s="1"/>
  <c r="BM17" i="50"/>
  <c r="BO17" i="50"/>
  <c r="BC17" i="50"/>
  <c r="BE17" i="50"/>
  <c r="S34" i="1"/>
  <c r="R34" i="1" s="1"/>
  <c r="AJ85" i="50"/>
  <c r="AH95" i="50"/>
  <c r="AL95" i="50" s="1"/>
  <c r="X95" i="50" s="1"/>
  <c r="BC95" i="50" s="1"/>
  <c r="AL38" i="50"/>
  <c r="X38" i="50" s="1"/>
  <c r="BC38" i="50" s="1"/>
  <c r="AL124" i="50"/>
  <c r="X124" i="50" s="1"/>
  <c r="BC124" i="50" s="1"/>
  <c r="AH66" i="50"/>
  <c r="AL66" i="50" s="1"/>
  <c r="X66" i="50" s="1"/>
  <c r="BC66" i="50" s="1"/>
  <c r="W76" i="50"/>
  <c r="AO132" i="50" a="1"/>
  <c r="AO132" i="50" s="1"/>
  <c r="R13" i="3" s="1"/>
  <c r="AJ31" i="50"/>
  <c r="V127" i="50"/>
  <c r="E5" i="50" s="1"/>
  <c r="G5" i="50" s="1"/>
  <c r="AL113" i="50"/>
  <c r="X113" i="50" s="1"/>
  <c r="BC113" i="50" s="1"/>
  <c r="H34" i="7"/>
  <c r="AL48" i="50"/>
  <c r="X48" i="50" s="1"/>
  <c r="BC48" i="50" s="1"/>
  <c r="W42" i="50"/>
  <c r="AL65" i="50"/>
  <c r="X65" i="50" s="1"/>
  <c r="BC65" i="50" s="1"/>
  <c r="AH67" i="50"/>
  <c r="AL67" i="50" s="1"/>
  <c r="X67" i="50" s="1"/>
  <c r="BC67" i="50" s="1"/>
  <c r="AH75" i="50"/>
  <c r="AL75" i="50" s="1"/>
  <c r="X75" i="50" s="1"/>
  <c r="BC75" i="50" s="1"/>
  <c r="AH53" i="50"/>
  <c r="AL53" i="50" s="1"/>
  <c r="X53" i="50" s="1"/>
  <c r="BC53" i="50" s="1"/>
  <c r="AH96" i="50"/>
  <c r="AL96" i="50" s="1"/>
  <c r="X96" i="50" s="1"/>
  <c r="BC96" i="50" s="1"/>
  <c r="AL118" i="50"/>
  <c r="X118" i="50" s="1"/>
  <c r="BC118" i="50" s="1"/>
  <c r="J12" i="3"/>
  <c r="K12" i="3" s="1"/>
  <c r="AJ34" i="50"/>
  <c r="AJ29" i="50"/>
  <c r="AJ119" i="50"/>
  <c r="AI42" i="50"/>
  <c r="AH58" i="50"/>
  <c r="AL58" i="50" s="1"/>
  <c r="X58" i="50" s="1"/>
  <c r="BC58" i="50" s="1"/>
  <c r="AH45" i="50"/>
  <c r="AL45" i="50" s="1"/>
  <c r="X45" i="50" s="1"/>
  <c r="BC45" i="50" s="1"/>
  <c r="AJ86" i="50"/>
  <c r="AJ24" i="50"/>
  <c r="S17" i="1"/>
  <c r="R17" i="1" s="1"/>
  <c r="J10" i="3"/>
  <c r="K10" i="3" s="1"/>
  <c r="AJ77" i="50"/>
  <c r="S29" i="1"/>
  <c r="R29" i="1" s="1"/>
  <c r="AL89" i="50"/>
  <c r="X89" i="50" s="1"/>
  <c r="BC89" i="50" s="1"/>
  <c r="AH69" i="50"/>
  <c r="AL69" i="50" s="1"/>
  <c r="X69" i="50" s="1"/>
  <c r="BC69" i="50" s="1"/>
  <c r="S30" i="1"/>
  <c r="R30" i="1" s="1"/>
  <c r="AL106" i="50"/>
  <c r="X106" i="50" s="1"/>
  <c r="BC106" i="50" s="1"/>
  <c r="AH81" i="50"/>
  <c r="AL81" i="50" s="1"/>
  <c r="X81" i="50" s="1"/>
  <c r="BC81" i="50" s="1"/>
  <c r="AL100" i="50"/>
  <c r="X100" i="50" s="1"/>
  <c r="BC100" i="50" s="1"/>
  <c r="W54" i="50"/>
  <c r="AL119" i="50"/>
  <c r="X119" i="50" s="1"/>
  <c r="BC119" i="50" s="1"/>
  <c r="AJ47" i="50"/>
  <c r="AJ76" i="50"/>
  <c r="AH55" i="50"/>
  <c r="AL55" i="50" s="1"/>
  <c r="X55" i="50" s="1"/>
  <c r="BC55" i="50" s="1"/>
  <c r="S31" i="1"/>
  <c r="R31" i="1" s="1"/>
  <c r="AL105" i="50"/>
  <c r="X105" i="50" s="1"/>
  <c r="BC105" i="50" s="1"/>
  <c r="AH28" i="50"/>
  <c r="AL28" i="50" s="1"/>
  <c r="X28" i="50" s="1"/>
  <c r="BC28" i="50" s="1"/>
  <c r="AL47" i="50"/>
  <c r="X47" i="50" s="1"/>
  <c r="BC47" i="50" s="1"/>
  <c r="AL43" i="50"/>
  <c r="X43" i="50" s="1"/>
  <c r="BC43" i="50" s="1"/>
  <c r="AL78" i="50"/>
  <c r="X78" i="50" s="1"/>
  <c r="BC78" i="50" s="1"/>
  <c r="AL19" i="50"/>
  <c r="X19" i="50" s="1"/>
  <c r="BC19" i="50" s="1"/>
  <c r="Q19" i="53"/>
  <c r="AJ112" i="50"/>
  <c r="AH42" i="50"/>
  <c r="AJ80" i="50"/>
  <c r="AJ35" i="50"/>
  <c r="AJ105" i="50"/>
  <c r="AM42" i="50"/>
  <c r="Q23" i="53"/>
  <c r="BV40" i="50"/>
  <c r="AQ40" i="50"/>
  <c r="AL85" i="50"/>
  <c r="X85" i="50" s="1"/>
  <c r="BC85" i="50" s="1"/>
  <c r="BD40" i="50"/>
  <c r="BP40" i="50"/>
  <c r="BH40" i="50"/>
  <c r="BI40" i="50"/>
  <c r="BF40" i="50"/>
  <c r="AI40" i="50"/>
  <c r="BB40" i="50"/>
  <c r="BE40" i="50"/>
  <c r="BQ40" i="50"/>
  <c r="AJ40" i="50" s="1"/>
  <c r="BN40" i="50"/>
  <c r="BO40" i="50"/>
  <c r="BK40" i="50"/>
  <c r="BL40" i="50"/>
  <c r="BG40" i="50"/>
  <c r="BJ40" i="50"/>
  <c r="AO131" i="50" a="1"/>
  <c r="AO131" i="50" s="1"/>
  <c r="R12" i="3" s="1"/>
  <c r="BV76" i="50"/>
  <c r="AQ76" i="50"/>
  <c r="AL76" i="50" s="1"/>
  <c r="X76" i="50" s="1"/>
  <c r="BC76" i="50" s="1"/>
  <c r="AH44" i="50"/>
  <c r="AL44" i="50" s="1"/>
  <c r="X44" i="50" s="1"/>
  <c r="BC44" i="50" s="1"/>
  <c r="AJ44" i="50"/>
  <c r="I14" i="7"/>
  <c r="J34" i="7"/>
  <c r="AH60" i="50"/>
  <c r="AL60" i="50" s="1"/>
  <c r="X60" i="50" s="1"/>
  <c r="BC60" i="50" s="1"/>
  <c r="AJ115" i="50"/>
  <c r="AH115" i="50"/>
  <c r="AL115" i="50" s="1"/>
  <c r="X115" i="50" s="1"/>
  <c r="BC115" i="50" s="1"/>
  <c r="AU76" i="50"/>
  <c r="BS76" i="50"/>
  <c r="BR76" i="50"/>
  <c r="AG76" i="50"/>
  <c r="BM76" i="50" s="1"/>
  <c r="AL77" i="50"/>
  <c r="X77" i="50" s="1"/>
  <c r="BC77" i="50" s="1"/>
  <c r="AJ65" i="50"/>
  <c r="AO134" i="50" a="1"/>
  <c r="AO134" i="50" s="1"/>
  <c r="R15" i="3" s="1"/>
  <c r="AM54" i="50"/>
  <c r="AJ57" i="50"/>
  <c r="Q17" i="53"/>
  <c r="AM76" i="50"/>
  <c r="AQ42" i="50"/>
  <c r="BV42" i="50"/>
  <c r="AL21" i="50"/>
  <c r="X21" i="50" s="1"/>
  <c r="BC21" i="50" s="1"/>
  <c r="AJ73" i="50"/>
  <c r="AH73" i="50"/>
  <c r="AL73" i="50" s="1"/>
  <c r="X73" i="50" s="1"/>
  <c r="BC73" i="50" s="1"/>
  <c r="AH126" i="50"/>
  <c r="AL126" i="50" s="1"/>
  <c r="X126" i="50" s="1"/>
  <c r="BC126" i="50" s="1"/>
  <c r="Q13" i="53"/>
  <c r="BF54" i="50"/>
  <c r="BL54" i="50"/>
  <c r="BO54" i="50"/>
  <c r="BG54" i="50"/>
  <c r="BN54" i="50"/>
  <c r="BI54" i="50"/>
  <c r="BB54" i="50"/>
  <c r="BP54" i="50"/>
  <c r="BH54" i="50"/>
  <c r="BD54" i="50"/>
  <c r="BE54" i="50"/>
  <c r="BK54" i="50"/>
  <c r="BJ54" i="50"/>
  <c r="AH102" i="50"/>
  <c r="AL102" i="50" s="1"/>
  <c r="X102" i="50" s="1"/>
  <c r="BC102" i="50" s="1"/>
  <c r="AH64" i="50"/>
  <c r="AL64" i="50" s="1"/>
  <c r="X64" i="50" s="1"/>
  <c r="BC64" i="50" s="1"/>
  <c r="AQ54" i="50"/>
  <c r="BV54" i="50"/>
  <c r="AH59" i="50"/>
  <c r="AL59" i="50" s="1"/>
  <c r="X59" i="50" s="1"/>
  <c r="BC59" i="50" s="1"/>
  <c r="W40" i="50"/>
  <c r="BS40" i="50"/>
  <c r="BR40" i="50"/>
  <c r="AG40" i="50"/>
  <c r="BM40" i="50" s="1"/>
  <c r="AU40" i="50"/>
  <c r="AM40" i="50"/>
  <c r="BD76" i="50"/>
  <c r="BH76" i="50"/>
  <c r="BP76" i="50"/>
  <c r="BO76" i="50"/>
  <c r="BK76" i="50"/>
  <c r="BN76" i="50"/>
  <c r="BB76" i="50"/>
  <c r="BF76" i="50"/>
  <c r="BG76" i="50"/>
  <c r="BI76" i="50"/>
  <c r="BE76" i="50"/>
  <c r="BJ76" i="50"/>
  <c r="BL76" i="50"/>
  <c r="AF128" i="50"/>
  <c r="AH68" i="50"/>
  <c r="AL68" i="50" s="1"/>
  <c r="X68" i="50" s="1"/>
  <c r="BC68" i="50" s="1"/>
  <c r="BR54" i="50"/>
  <c r="AU54" i="50"/>
  <c r="AG54" i="50"/>
  <c r="BM54" i="50" s="1"/>
  <c r="BS54" i="50"/>
  <c r="S25" i="1"/>
  <c r="AI76" i="50"/>
  <c r="U36" i="3"/>
  <c r="J14" i="3"/>
  <c r="K14" i="3" s="1"/>
  <c r="AK18" i="53"/>
  <c r="AK19" i="53" s="1"/>
  <c r="AK20" i="53" s="1"/>
  <c r="AK21" i="53" s="1"/>
  <c r="AK22" i="53" s="1"/>
  <c r="AK23" i="53" s="1"/>
  <c r="AK24" i="53" s="1"/>
  <c r="BR42" i="50"/>
  <c r="AG42" i="50"/>
  <c r="BM42" i="50" s="1"/>
  <c r="BS42" i="50"/>
  <c r="AU42" i="50"/>
  <c r="BG42" i="50"/>
  <c r="BI42" i="50"/>
  <c r="BH42" i="50"/>
  <c r="BP42" i="50"/>
  <c r="BJ42" i="50"/>
  <c r="BO42" i="50"/>
  <c r="BD42" i="50"/>
  <c r="BN42" i="50"/>
  <c r="BL42" i="50"/>
  <c r="BF42" i="50"/>
  <c r="BB42" i="50"/>
  <c r="BE42" i="50"/>
  <c r="BK42" i="50"/>
  <c r="AO133" i="50" a="1"/>
  <c r="AO133" i="50" s="1"/>
  <c r="R14" i="3" s="1"/>
  <c r="D4" i="7"/>
  <c r="AO130" i="50" a="1"/>
  <c r="AO130" i="50" s="1"/>
  <c r="BQ54" i="50"/>
  <c r="AJ54" i="50" s="1"/>
  <c r="U30" i="3" l="1"/>
  <c r="L5" i="50"/>
  <c r="AL42" i="50"/>
  <c r="X42" i="50" s="1"/>
  <c r="BC42" i="50" s="1"/>
  <c r="W127" i="50"/>
  <c r="E6" i="50" s="1"/>
  <c r="G6" i="50" s="1"/>
  <c r="F8" i="50"/>
  <c r="E10" i="50"/>
  <c r="E7" i="50"/>
  <c r="F10" i="50"/>
  <c r="F7" i="50"/>
  <c r="F11" i="50"/>
  <c r="F9" i="50"/>
  <c r="E9" i="50"/>
  <c r="I34" i="7"/>
  <c r="Q10" i="3" s="1"/>
  <c r="D5" i="7"/>
  <c r="D6" i="7" s="1"/>
  <c r="AH54" i="50"/>
  <c r="AL54" i="50" s="1"/>
  <c r="X54" i="50" s="1"/>
  <c r="BC54" i="50" s="1"/>
  <c r="R11" i="3"/>
  <c r="P42" i="3"/>
  <c r="AH40" i="50"/>
  <c r="AL40" i="50" s="1"/>
  <c r="X40" i="50" s="1"/>
  <c r="BC40" i="50" s="1"/>
  <c r="E11" i="50"/>
  <c r="R25" i="1"/>
  <c r="D4" i="1"/>
  <c r="G11" i="50" l="1"/>
  <c r="E8" i="50"/>
  <c r="G8" i="50" s="1"/>
  <c r="P12" i="3" s="1"/>
  <c r="G10" i="50"/>
  <c r="P14" i="3" s="1"/>
  <c r="G9" i="50"/>
  <c r="Q13" i="3" s="1"/>
  <c r="G7" i="50"/>
  <c r="Q11" i="3" s="1"/>
  <c r="J11" i="3"/>
  <c r="U33" i="3"/>
  <c r="Q9" i="3"/>
  <c r="X127" i="50"/>
  <c r="L4" i="50" s="1"/>
  <c r="Q15" i="3"/>
  <c r="P15" i="3"/>
  <c r="L6" i="50"/>
  <c r="J13" i="3"/>
  <c r="U34" i="3"/>
  <c r="Q12" i="3" l="1"/>
  <c r="Q14" i="3"/>
  <c r="P13" i="3"/>
  <c r="P11" i="3"/>
  <c r="O12" i="50"/>
  <c r="V51" i="3"/>
  <c r="U32" i="3"/>
  <c r="J17" i="3"/>
  <c r="C29" i="3"/>
  <c r="K11" i="3"/>
  <c r="P24" i="3"/>
  <c r="P23" i="3" l="1"/>
  <c r="K43" i="3"/>
  <c r="L43" i="3" s="1"/>
  <c r="M43" i="3" s="1"/>
  <c r="N43" i="3" s="1"/>
  <c r="K44" i="3" s="1"/>
  <c r="L44" i="3" s="1"/>
  <c r="M44" i="3" s="1"/>
  <c r="N44" i="3" s="1"/>
  <c r="K45" i="3" s="1"/>
  <c r="L45" i="3" s="1"/>
  <c r="M45" i="3" s="1"/>
  <c r="N45" i="3" s="1"/>
  <c r="K46" i="3" s="1"/>
  <c r="P57" i="3"/>
  <c r="L46" i="3" l="1"/>
  <c r="M46" i="3" s="1"/>
  <c r="N46" i="3" s="1"/>
  <c r="K47" i="3" s="1"/>
  <c r="L47" i="3" l="1"/>
  <c r="M47" i="3" s="1"/>
  <c r="N47" i="3" s="1"/>
  <c r="K48" i="3" s="1"/>
  <c r="L48" i="3" l="1"/>
  <c r="M48" i="3" s="1"/>
  <c r="N48" i="3" s="1"/>
  <c r="K49" i="3" s="1"/>
  <c r="L49" i="3" l="1"/>
  <c r="M49" i="3" s="1"/>
  <c r="N49" i="3" s="1"/>
  <c r="K50" i="3" s="1"/>
  <c r="L50" i="3" l="1"/>
  <c r="M50" i="3" s="1"/>
  <c r="N50" i="3" s="1"/>
  <c r="K51" i="3" s="1"/>
  <c r="L51" i="3" l="1"/>
  <c r="M51" i="3" s="1"/>
  <c r="N51" i="3" s="1"/>
  <c r="K52" i="3" s="1"/>
  <c r="L52" i="3" l="1"/>
  <c r="M52" i="3" s="1"/>
  <c r="N52" i="3" s="1"/>
  <c r="K53" i="3" s="1"/>
  <c r="L53" i="3" l="1"/>
  <c r="M53" i="3" s="1"/>
  <c r="N53" i="3" s="1"/>
  <c r="K54" i="3" s="1"/>
  <c r="L54" i="3" l="1"/>
  <c r="M54" i="3" s="1"/>
  <c r="N54" i="3" s="1"/>
  <c r="K55" i="3" s="1"/>
  <c r="L55" i="3" l="1"/>
  <c r="M55" i="3" s="1"/>
  <c r="N55" i="3" s="1"/>
  <c r="K56" i="3" s="1"/>
  <c r="L56" i="3" l="1"/>
  <c r="M56" i="3" s="1"/>
  <c r="N56" i="3" s="1"/>
  <c r="K57" i="3" s="1"/>
  <c r="L57" i="3" l="1"/>
  <c r="M57" i="3" s="1"/>
  <c r="N57" i="3" s="1"/>
  <c r="K58" i="3" s="1"/>
  <c r="L58" i="3" l="1"/>
  <c r="M58" i="3" s="1"/>
  <c r="N58" i="3" s="1"/>
  <c r="K59" i="3" s="1"/>
  <c r="L59" i="3" l="1"/>
  <c r="M59" i="3" s="1"/>
  <c r="N59" i="3" s="1"/>
  <c r="K60" i="3" s="1"/>
  <c r="L60" i="3" l="1"/>
  <c r="T1" i="3" s="1"/>
  <c r="T6" i="3" s="1"/>
  <c r="M60" i="3"/>
  <c r="N60" i="3" s="1"/>
  <c r="T3" i="3" s="1"/>
  <c r="R10" i="3" s="1"/>
  <c r="P10" i="3" s="1"/>
  <c r="R9" i="3" l="1"/>
  <c r="P9" i="3" s="1"/>
  <c r="J19" i="3" l="1"/>
  <c r="U29" i="3" s="1"/>
  <c r="J23" i="3" l="1"/>
  <c r="P25" i="3"/>
  <c r="I10" i="53" l="1"/>
  <c r="K17" i="3"/>
  <c r="B5" i="55"/>
  <c r="B5" i="4"/>
  <c r="M23" i="3"/>
  <c r="B5" i="48"/>
  <c r="B7" i="52"/>
  <c r="M24" i="3"/>
  <c r="B5" i="54"/>
  <c r="B5" i="51"/>
  <c r="M22" i="3"/>
  <c r="B5" i="1"/>
  <c r="B5" i="6"/>
  <c r="J22" i="3"/>
  <c r="E18" i="3" s="1"/>
  <c r="J25" i="3"/>
  <c r="K25" i="3" s="1"/>
  <c r="I8" i="50"/>
  <c r="K13" i="3"/>
  <c r="M25" i="3"/>
  <c r="K19" i="3"/>
  <c r="K9" i="3"/>
  <c r="B7" i="7"/>
  <c r="B41" i="46" l="1"/>
  <c r="B43" i="4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Philippe</author>
    <author xml:space="preserve"> xilinx</author>
    <author>TITAFKAA</author>
  </authors>
  <commentList>
    <comment ref="J7" authorId="0" shapeId="0" xr:uid="{00000000-0006-0000-0000-000001000000}">
      <text>
        <r>
          <rPr>
            <b/>
            <sz val="8"/>
            <color indexed="81"/>
            <rFont val="Tahoma"/>
            <family val="2"/>
          </rPr>
          <t xml:space="preserve">On-Chip Power
</t>
        </r>
        <r>
          <rPr>
            <sz val="8"/>
            <color indexed="81"/>
            <rFont val="Tahoma"/>
            <family val="2"/>
          </rPr>
          <t xml:space="preserve">Power dissipated on-chip from all applicable voltage sources.
</t>
        </r>
        <r>
          <rPr>
            <u/>
            <sz val="8"/>
            <color indexed="81"/>
            <rFont val="Tahoma"/>
            <family val="2"/>
          </rPr>
          <t>Note:</t>
        </r>
        <r>
          <rPr>
            <sz val="8"/>
            <color indexed="81"/>
            <rFont val="Tahoma"/>
            <family val="2"/>
          </rPr>
          <t xml:space="preserve"> click the button to jump directly onto the detailed sheet for this resource</t>
        </r>
      </text>
    </comment>
    <comment ref="O7" authorId="1" shapeId="0" xr:uid="{00000000-0006-0000-0000-000002000000}">
      <text>
        <r>
          <rPr>
            <sz val="8"/>
            <color indexed="81"/>
            <rFont val="Tahoma"/>
            <family val="2"/>
          </rPr>
          <t>Actual voltage for each source. Values are range checked and the orange background indicates the value is not within spec for the selected part.</t>
        </r>
      </text>
    </comment>
    <comment ref="G9" authorId="0" shapeId="0" xr:uid="{00000000-0006-0000-0000-000003000000}">
      <text>
        <r>
          <rPr>
            <b/>
            <sz val="8"/>
            <color indexed="81"/>
            <rFont val="Tahoma"/>
            <family val="2"/>
          </rPr>
          <t xml:space="preserve">Core Dynamic Power
</t>
        </r>
        <r>
          <rPr>
            <sz val="8"/>
            <color indexed="81"/>
            <rFont val="Tahoma"/>
            <family val="2"/>
          </rPr>
          <t>On-chip power consumed by each type of user logic. Includes user design power from all applicable voltage sources.</t>
        </r>
      </text>
    </comment>
    <comment ref="B11" authorId="1" shapeId="0" xr:uid="{00000000-0006-0000-0000-000004000000}">
      <text>
        <r>
          <rPr>
            <sz val="8"/>
            <color indexed="81"/>
            <rFont val="Tahoma"/>
            <family val="2"/>
          </rPr>
          <t>For some devices the speed grade has a significant impact on the quiescent current. Selection of the speed grade used will help in obtaining a better estimate.</t>
        </r>
      </text>
    </comment>
    <comment ref="B12" authorId="1" shapeId="0" xr:uid="{00000000-0006-0000-0000-000005000000}">
      <text>
        <r>
          <rPr>
            <sz val="8"/>
            <color indexed="81"/>
            <rFont val="Tahoma"/>
            <family val="2"/>
          </rPr>
          <t>Device supported junction temperature range:
   Commercial (0°C to +85°C)
   Industrial (-40°C to +100°C)
   Q-Grade (-40°C to +125°C)</t>
        </r>
      </text>
    </comment>
    <comment ref="B13" authorId="1" shapeId="0" xr:uid="{00000000-0006-0000-0000-000006000000}">
      <text>
        <r>
          <rPr>
            <sz val="8"/>
            <color indexed="81"/>
            <rFont val="Tahoma"/>
            <family val="2"/>
          </rPr>
          <t>Process accounts for manufacturing process variations that affect power dissipation.  “Typical” uses average power dissipation factors for your design.  “Maximum” uses the highest power dissipation factors. Voltage and Temperature are controlled independent of Process.</t>
        </r>
      </text>
    </comment>
    <comment ref="B14" authorId="1" shapeId="0" xr:uid="{00000000-0006-0000-0000-000007000000}">
      <text>
        <r>
          <rPr>
            <sz val="8"/>
            <color indexed="81"/>
            <rFont val="Tahoma"/>
            <family val="2"/>
          </rPr>
          <t>Devices can operate in one of three power modes. Active is the device in normal operation. Suspend retains the device configuration and operating state of the design while saving system power. Hibernate mode saves the most power, but requires the device to be reconfigured.</t>
        </r>
      </text>
    </comment>
    <comment ref="B15" authorId="1" shapeId="0" xr:uid="{00000000-0006-0000-0000-000008000000}">
      <text>
        <r>
          <rPr>
            <b/>
            <sz val="8"/>
            <color indexed="81"/>
            <rFont val="Tahoma"/>
            <family val="2"/>
          </rPr>
          <t>Advance</t>
        </r>
        <r>
          <rPr>
            <sz val="8"/>
            <color indexed="81"/>
            <rFont val="Tahoma"/>
            <family val="2"/>
          </rPr>
          <t xml:space="preserve">
These specifications are based on simulations only and are typically available soon after the device design specifications are frozen.
</t>
        </r>
        <r>
          <rPr>
            <b/>
            <sz val="8"/>
            <color indexed="81"/>
            <rFont val="Tahoma"/>
            <family val="2"/>
          </rPr>
          <t>Preliminary</t>
        </r>
        <r>
          <rPr>
            <sz val="8"/>
            <color indexed="81"/>
            <rFont val="Tahoma"/>
            <family val="2"/>
          </rPr>
          <t xml:space="preserve">
These specifications are based on complete ES (engineering sample) silicon characterization. Devices with this designation are intended to give a better indication of the expected performance of production silicon.
</t>
        </r>
        <r>
          <rPr>
            <b/>
            <sz val="8"/>
            <color indexed="81"/>
            <rFont val="Tahoma"/>
            <family val="2"/>
          </rPr>
          <t>Production</t>
        </r>
        <r>
          <rPr>
            <sz val="8"/>
            <color indexed="81"/>
            <rFont val="Tahoma"/>
            <family val="2"/>
          </rPr>
          <t xml:space="preserve">
These specifications are released after enough production silicon of a particular device family member has been characterized to provide full power correlation over numerous production lots.</t>
        </r>
      </text>
    </comment>
    <comment ref="G17" authorId="1" shapeId="0" xr:uid="{00000000-0006-0000-0000-000009000000}">
      <text>
        <r>
          <rPr>
            <b/>
            <sz val="8"/>
            <color indexed="81"/>
            <rFont val="Tahoma"/>
            <family val="2"/>
          </rPr>
          <t xml:space="preserve"> I/O:</t>
        </r>
        <r>
          <rPr>
            <sz val="8"/>
            <color indexed="81"/>
            <rFont val="Tahoma"/>
            <family val="2"/>
          </rPr>
          <t xml:space="preserve">
On-chip power consumed by the user I/O from all applicable voltage sources.</t>
        </r>
      </text>
    </comment>
    <comment ref="G18" authorId="1" shapeId="0" xr:uid="{00000000-0006-0000-0000-00000A000000}">
      <text>
        <r>
          <rPr>
            <b/>
            <sz val="8"/>
            <color indexed="81"/>
            <rFont val="Tahoma"/>
            <family val="2"/>
          </rPr>
          <t xml:space="preserve"> Transceiver</t>
        </r>
        <r>
          <rPr>
            <sz val="8"/>
            <color indexed="81"/>
            <rFont val="Tahoma"/>
            <family val="2"/>
          </rPr>
          <t xml:space="preserve">
On-chip power consumed by the MGTs from all applicable voltage sources.</t>
        </r>
      </text>
    </comment>
    <comment ref="B19" authorId="1" shapeId="0" xr:uid="{00000000-0006-0000-0000-00000B000000}">
      <text>
        <r>
          <rPr>
            <sz val="8"/>
            <color indexed="81"/>
            <rFont val="Tahoma"/>
            <family val="2"/>
          </rPr>
          <t>User specified ambient temperature (°C) of the surrounding air in which the device is expected to operate.</t>
        </r>
      </text>
    </comment>
    <comment ref="G19" authorId="0" shapeId="0" xr:uid="{00000000-0006-0000-0000-00000C000000}">
      <text>
        <r>
          <rPr>
            <b/>
            <sz val="8"/>
            <color indexed="81"/>
            <rFont val="Tahoma"/>
            <family val="2"/>
          </rPr>
          <t xml:space="preserve">Device Static
</t>
        </r>
        <r>
          <rPr>
            <sz val="8"/>
            <color indexed="81"/>
            <rFont val="Tahoma"/>
            <family val="2"/>
          </rPr>
          <t xml:space="preserve">Transistor Leakage Power dissipated on-chip from all voltage sources when the device is powered and not configured. The value is device dependent and varies with process, voltage and junction temperature.
</t>
        </r>
        <r>
          <rPr>
            <u/>
            <sz val="8"/>
            <color indexed="81"/>
            <rFont val="Tahoma"/>
            <family val="2"/>
          </rPr>
          <t>Note:</t>
        </r>
        <r>
          <rPr>
            <sz val="8"/>
            <color indexed="81"/>
            <rFont val="Tahoma"/>
            <family val="2"/>
          </rPr>
          <t xml:space="preserve">
* Independent of user logic configuration. 
* Other static currents are dependent on device configuration (I/O terminations,…) and are reported in the appropriate block totals above
Sometimes referred to as </t>
        </r>
        <r>
          <rPr>
            <b/>
            <sz val="8"/>
            <color indexed="81"/>
            <rFont val="Tahoma"/>
            <family val="2"/>
          </rPr>
          <t>Leakage</t>
        </r>
      </text>
    </comment>
    <comment ref="B20" authorId="1" shapeId="0" xr:uid="{00000000-0006-0000-0000-00000D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User and entering a value, to account for conditions not covered by the available choices or where more extensive thermal modeling has been done.
The background is light blue when the user value is used.</t>
        </r>
      </text>
    </comment>
    <comment ref="B21" authorId="1" shapeId="0" xr:uid="{00000000-0006-0000-0000-00000E000000}">
      <text>
        <r>
          <rPr>
            <sz val="8"/>
            <color indexed="81"/>
            <rFont val="Tahoma"/>
            <family val="2"/>
          </rPr>
          <t>Airflow (linear-feet per minute) lowers the thermal resistance and thus junction temperature.</t>
        </r>
      </text>
    </comment>
    <comment ref="B22" authorId="1" shapeId="0" xr:uid="{00000000-0006-0000-0000-00000F000000}">
      <text>
        <r>
          <rPr>
            <sz val="8"/>
            <color indexed="81"/>
            <rFont val="Tahoma"/>
            <family val="2"/>
          </rPr>
          <t>Heat sink selection from standard profiles with thermal resistance from simulation using compact thermal models for each package type. Select custom to enter user simulation results.</t>
        </r>
      </text>
    </comment>
    <comment ref="G22" authorId="1" shapeId="0" xr:uid="{00000000-0006-0000-0000-000010000000}">
      <text>
        <r>
          <rPr>
            <sz val="8"/>
            <color indexed="81"/>
            <rFont val="Tahoma"/>
            <family val="2"/>
          </rPr>
          <t>Estimated junction temperature.
The  background is orange when the estimated junction temperature exceeds the maximum value for the selected grade.
Estimates are calculated up to the absolute maximum temperature after which point 125+ is shown in red and the power and thermal estimates are no longer valid.
The background is light blue when the user value is used.</t>
        </r>
      </text>
    </comment>
    <comment ref="B23" authorId="1" shapeId="0" xr:uid="{00000000-0006-0000-0000-000011000000}">
      <text>
        <r>
          <rPr>
            <sz val="8"/>
            <color indexed="81"/>
            <rFont val="Tahoma"/>
            <family val="2"/>
          </rPr>
          <t>User specified heatsink to ambient thermal resistance.
When “Heat Sink” cell is set to custom, user can enter a specific value for their design otherwise the tool calculates the value and displays it in grey text .</t>
        </r>
      </text>
    </comment>
    <comment ref="G23" authorId="0" shapeId="0" xr:uid="{00000000-0006-0000-0000-000012000000}">
      <text>
        <r>
          <rPr>
            <b/>
            <sz val="8"/>
            <color indexed="81"/>
            <rFont val="Tahoma"/>
            <family val="2"/>
          </rPr>
          <t xml:space="preserve">Total On-Chip Power = Static + Design Dynamic 
</t>
        </r>
        <r>
          <rPr>
            <sz val="8"/>
            <color indexed="81"/>
            <rFont val="Tahoma"/>
            <family val="2"/>
          </rPr>
          <t xml:space="preserve">Also referred to as "Thermal power". Includes power dissipated on-chip from any supply source
</t>
        </r>
        <r>
          <rPr>
            <b/>
            <sz val="8"/>
            <color indexed="81"/>
            <rFont val="Tahoma"/>
            <family val="2"/>
          </rPr>
          <t xml:space="preserve">
---------------  Terminology  ---------------
Static = Device Static </t>
        </r>
        <r>
          <rPr>
            <sz val="8"/>
            <color indexed="81"/>
            <rFont val="Tahoma"/>
            <family val="2"/>
          </rPr>
          <t xml:space="preserve">+ </t>
        </r>
        <r>
          <rPr>
            <b/>
            <sz val="8"/>
            <color indexed="81"/>
            <rFont val="Tahoma"/>
            <family val="2"/>
          </rPr>
          <t xml:space="preserve">Design Static
</t>
        </r>
        <r>
          <rPr>
            <sz val="8"/>
            <color indexed="81"/>
            <rFont val="Tahoma"/>
            <family val="2"/>
          </rPr>
          <t xml:space="preserve">    |
    +---&gt; </t>
        </r>
        <r>
          <rPr>
            <b/>
            <sz val="8"/>
            <color indexed="81"/>
            <rFont val="Tahoma"/>
            <family val="2"/>
          </rPr>
          <t xml:space="preserve">Device Static
</t>
        </r>
        <r>
          <rPr>
            <sz val="8"/>
            <color indexed="81"/>
            <rFont val="Tahoma"/>
            <family val="2"/>
          </rPr>
          <t xml:space="preserve">    |         Transistor Leakage Power when 
    |          the device is powered and not configured
    |
    +---&gt; </t>
        </r>
        <r>
          <rPr>
            <b/>
            <sz val="8"/>
            <color indexed="81"/>
            <rFont val="Tahoma"/>
            <family val="2"/>
          </rPr>
          <t xml:space="preserve">Design Static
</t>
        </r>
        <r>
          <rPr>
            <sz val="8"/>
            <color indexed="81"/>
            <rFont val="Tahoma"/>
            <family val="2"/>
          </rPr>
          <t xml:space="preserve">               Power when the device is configured and 
               there is no switching activity. Includes
               static power in I/O DCI terminations.
</t>
        </r>
        <r>
          <rPr>
            <b/>
            <sz val="8"/>
            <color indexed="81"/>
            <rFont val="Tahoma"/>
            <family val="2"/>
          </rPr>
          <t xml:space="preserve">Design Dynamic
</t>
        </r>
        <r>
          <rPr>
            <sz val="8"/>
            <color indexed="81"/>
            <rFont val="Tahoma"/>
            <family val="2"/>
          </rPr>
          <t xml:space="preserve">Average power from user logic utilization and switching activity
</t>
        </r>
      </text>
    </comment>
    <comment ref="G25" authorId="0" shapeId="0" xr:uid="{00000000-0006-0000-0000-000013000000}">
      <text>
        <r>
          <rPr>
            <b/>
            <sz val="8"/>
            <color indexed="81"/>
            <rFont val="Tahoma"/>
            <family val="2"/>
          </rPr>
          <t>Thermal Margin</t>
        </r>
        <r>
          <rPr>
            <sz val="8"/>
            <color indexed="81"/>
            <rFont val="Tahoma"/>
            <family val="2"/>
          </rPr>
          <t xml:space="preserve">
Termperature and power margin to or in excess of the maximum accepted range for this device Grade.
Thermal margin is negative when estimated junction temperature exceeds the maximum specified value. In this case, use this information to decide how best to address the excess power consumed on-chip</t>
        </r>
      </text>
    </comment>
    <comment ref="B26" authorId="1" shapeId="0" xr:uid="{00000000-0006-0000-0000-000014000000}">
      <text>
        <r>
          <rPr>
            <b/>
            <sz val="8"/>
            <color indexed="81"/>
            <rFont val="Tahoma"/>
            <family val="2"/>
          </rPr>
          <t>Balanced (default)</t>
        </r>
        <r>
          <rPr>
            <sz val="8"/>
            <color indexed="81"/>
            <rFont val="Tahoma"/>
            <family val="2"/>
          </rPr>
          <t xml:space="preserve">
Design implemented without any power optimization settings.
</t>
        </r>
        <r>
          <rPr>
            <b/>
            <sz val="8"/>
            <color indexed="81"/>
            <rFont val="Tahoma"/>
            <family val="2"/>
          </rPr>
          <t>Performance</t>
        </r>
        <r>
          <rPr>
            <sz val="8"/>
            <color indexed="81"/>
            <rFont val="Tahoma"/>
            <family val="2"/>
          </rPr>
          <t xml:space="preserve">
Design implemented for performance and may increase power some.
</t>
        </r>
        <r>
          <rPr>
            <b/>
            <sz val="8"/>
            <color indexed="81"/>
            <rFont val="Tahoma"/>
            <family val="2"/>
          </rPr>
          <t>Power</t>
        </r>
        <r>
          <rPr>
            <sz val="8"/>
            <color indexed="81"/>
            <rFont val="Tahoma"/>
            <family val="2"/>
          </rPr>
          <t xml:space="preserve">
Design implemented with power optimization and average improvement results expected.
</t>
        </r>
        <r>
          <rPr>
            <b/>
            <sz val="8"/>
            <color indexed="81"/>
            <rFont val="Tahoma"/>
            <family val="2"/>
          </rPr>
          <t xml:space="preserve">Area
</t>
        </r>
        <r>
          <rPr>
            <sz val="8"/>
            <color indexed="81"/>
            <rFont val="Tahoma"/>
            <family val="2"/>
          </rPr>
          <t xml:space="preserve">Design implemented with area optimization and this may improve power.
</t>
        </r>
        <r>
          <rPr>
            <b/>
            <sz val="8"/>
            <color indexed="81"/>
            <rFont val="Tahoma"/>
            <family val="2"/>
          </rPr>
          <t xml:space="preserve">
Runtime</t>
        </r>
        <r>
          <rPr>
            <sz val="8"/>
            <color indexed="81"/>
            <rFont val="Tahoma"/>
            <family val="2"/>
          </rPr>
          <t xml:space="preserve">
Design implemented for fast runtime which may increase power.</t>
        </r>
      </text>
    </comment>
    <comment ref="G26" authorId="1" shapeId="0" xr:uid="{00000000-0006-0000-0000-000015000000}">
      <text>
        <r>
          <rPr>
            <sz val="8"/>
            <color indexed="81"/>
            <rFont val="Tahoma"/>
            <family val="2"/>
          </rPr>
          <t>Effective thermal resistance. User selected package, airflow, heatsink and board characteristics are used with characterization and simulation to calculate.
The user may enter a custom effective ThetaJA, by selecting the User option and entering a value,  to account for conditions not covered by the available choices or where more extensive thermal modeling has been done.
The background is light blue when the user value is used.</t>
        </r>
      </text>
    </comment>
    <comment ref="B33" authorId="2" shapeId="0" xr:uid="{00000000-0006-0000-0000-000016000000}">
      <text>
        <r>
          <rPr>
            <sz val="8"/>
            <color indexed="81"/>
            <rFont val="Tahoma"/>
            <family val="2"/>
          </rPr>
          <t xml:space="preserve">This area is for the user to enter any comments about the design, operating conditions, assumptions or anything of relevance.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TITAFKAA</author>
    <author>frosty</author>
    <author xml:space="preserve"> xilinx</author>
  </authors>
  <commentList>
    <comment ref="D4" authorId="0" shapeId="0" xr:uid="{00000000-0006-0000-0100-000001000000}">
      <text>
        <r>
          <rPr>
            <sz val="8"/>
            <color indexed="81"/>
            <rFont val="Tahoma"/>
            <family val="2"/>
          </rPr>
          <t>The total clock tree power consumed from the Vccint power supply, including both DC and operating power.</t>
        </r>
      </text>
    </comment>
    <comment ref="H4" authorId="0" shapeId="0" xr:uid="{00000000-0006-0000-0100-000002000000}">
      <text>
        <r>
          <rPr>
            <sz val="8"/>
            <color indexed="81"/>
            <rFont val="Tahoma"/>
            <family val="2"/>
          </rPr>
          <t>Utilization of the available global clock buffers.</t>
        </r>
      </text>
    </comment>
    <comment ref="B8" authorId="1" shapeId="0" xr:uid="{00000000-0006-0000-0100-000003000000}">
      <text>
        <r>
          <rPr>
            <sz val="8"/>
            <color indexed="81"/>
            <rFont val="Tahoma"/>
            <family val="2"/>
          </rPr>
          <t>The name of this clock.</t>
        </r>
      </text>
    </comment>
    <comment ref="E8" authorId="1" shapeId="0" xr:uid="{00000000-0006-0000-0100-000004000000}">
      <text>
        <r>
          <rPr>
            <sz val="8"/>
            <color indexed="81"/>
            <rFont val="Tahoma"/>
            <family val="2"/>
          </rPr>
          <t>The frequency of this clock (MHz).</t>
        </r>
      </text>
    </comment>
    <comment ref="F8" authorId="1" shapeId="0" xr:uid="{00000000-0006-0000-0100-000005000000}">
      <text>
        <r>
          <rPr>
            <sz val="8"/>
            <color indexed="81"/>
            <rFont val="Tahoma"/>
            <family val="2"/>
          </rPr>
          <t>The type of this clock (Global, Other).</t>
        </r>
      </text>
    </comment>
    <comment ref="G8" authorId="1" shapeId="0" xr:uid="{00000000-0006-0000-0100-000006000000}">
      <text>
        <r>
          <rPr>
            <sz val="8"/>
            <color indexed="81"/>
            <rFont val="Tahoma"/>
            <family val="2"/>
          </rPr>
          <t>The number of elements clocked.</t>
        </r>
      </text>
    </comment>
    <comment ref="H8" authorId="2" shapeId="0" xr:uid="{00000000-0006-0000-0100-000007000000}">
      <text>
        <r>
          <rPr>
            <sz val="8"/>
            <color indexed="81"/>
            <rFont val="Tahoma"/>
            <family val="2"/>
          </rPr>
          <t>The % of the time the clock is enabled at the clock buffer.</t>
        </r>
      </text>
    </comment>
    <comment ref="I8" authorId="2" shapeId="0" xr:uid="{00000000-0006-0000-0100-000008000000}">
      <text>
        <r>
          <rPr>
            <sz val="8"/>
            <color indexed="81"/>
            <rFont val="Tahoma"/>
            <family val="2"/>
          </rPr>
          <t>The average % of the time the clock is enabled for the FFs in this clock domain.
The calculation is 100% - (%_FFs_with_CE * %enabled). For example if half the FFs have a CE and it is low half of the time then 100% - (50% * 50%) = 75%.</t>
        </r>
      </text>
    </comment>
    <comment ref="J8" authorId="0" shapeId="0" xr:uid="{00000000-0006-0000-0100-000009000000}">
      <text>
        <r>
          <rPr>
            <sz val="8"/>
            <color indexed="81"/>
            <rFont val="Tahoma"/>
            <family val="2"/>
          </rPr>
          <t>The power consumed from the Vccint power supply.  This includes both DC and operating power.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5" authorId="0" shapeId="0" xr:uid="{00000000-0006-0000-0200-000001000000}">
      <text>
        <r>
          <rPr>
            <sz val="8"/>
            <color indexed="81"/>
            <rFont val="Tahoma"/>
            <family val="2"/>
          </rPr>
          <t>Utilization of the total LUTs available.  This includes the Count of LUTs, Shift Registers, and Distributed RAMS.</t>
        </r>
      </text>
    </comment>
    <comment ref="I7" authorId="0" shapeId="0" xr:uid="{00000000-0006-0000-0200-000002000000}">
      <text>
        <r>
          <rPr>
            <sz val="8"/>
            <color indexed="81"/>
            <rFont val="Tahoma"/>
            <family val="2"/>
          </rPr>
          <t>Utilization of the synchronous LUTs available.</t>
        </r>
      </text>
    </comment>
    <comment ref="B10" authorId="0" shapeId="0" xr:uid="{00000000-0006-0000-0200-000003000000}">
      <text>
        <r>
          <rPr>
            <sz val="8"/>
            <color indexed="81"/>
            <rFont val="Tahoma"/>
            <family val="2"/>
          </rPr>
          <t>The name of this module.</t>
        </r>
      </text>
    </comment>
    <comment ref="E10" authorId="0" shapeId="0" xr:uid="{00000000-0006-0000-0200-000004000000}">
      <text>
        <r>
          <rPr>
            <sz val="8"/>
            <color indexed="81"/>
            <rFont val="Tahoma"/>
            <family val="2"/>
          </rPr>
          <t>The frequency of the clock used for this module (MHz).</t>
        </r>
      </text>
    </comment>
    <comment ref="I10" authorId="0" shapeId="0" xr:uid="{00000000-0006-0000-0200-000005000000}">
      <text>
        <r>
          <rPr>
            <sz val="8"/>
            <color indexed="81"/>
            <rFont val="Tahoma"/>
            <family val="2"/>
          </rPr>
          <t>The number of Slice FFs in this module (not including FFs in the I/Os).</t>
        </r>
      </text>
    </comment>
    <comment ref="J10" authorId="0" shapeId="0" xr:uid="{00000000-0006-0000-0200-000006000000}">
      <text>
        <r>
          <rPr>
            <sz val="8"/>
            <color indexed="81"/>
            <rFont val="Tahoma"/>
            <family val="2"/>
          </rPr>
          <t>The average toggle rate (transitions per clock cycle) of the signals in this module.
Asynchronous logic with high glitch rates may have effective toggle rates that exceed 100%.</t>
        </r>
      </text>
    </comment>
    <comment ref="K10" authorId="0" shapeId="0" xr:uid="{00000000-0006-0000-0200-000007000000}">
      <text>
        <r>
          <rPr>
            <sz val="8"/>
            <color indexed="81"/>
            <rFont val="Tahoma"/>
            <family val="2"/>
          </rPr>
          <t>The average fanout of the signals in this module. This value is used in the estimation of interconnect resource utilization and may be imported from the map report.</t>
        </r>
      </text>
    </comment>
    <comment ref="L10" authorId="1" shapeId="0" xr:uid="{00000000-0006-0000-0200-000008000000}">
      <text>
        <r>
          <rPr>
            <sz val="8"/>
            <color indexed="81"/>
            <rFont val="Tahoma"/>
            <family val="2"/>
          </rPr>
          <t>Average % of clock cycles the Select RAMs in this module are being written to.</t>
        </r>
      </text>
    </comment>
    <comment ref="M10" authorId="0" shapeId="0" xr:uid="{00000000-0006-0000-0200-000009000000}">
      <text>
        <r>
          <rPr>
            <sz val="8"/>
            <color indexed="81"/>
            <rFont val="Tahoma"/>
            <family val="2"/>
          </rPr>
          <t>Million transitions per second, incuding both rising and falling edges, for the signals in this module.
Signal rate (Mtr/s) = Frequency (MHz) * Toggle rate (%).</t>
        </r>
      </text>
    </comment>
    <comment ref="N10" authorId="1" shapeId="0" xr:uid="{00000000-0006-0000-0200-00000A000000}">
      <text>
        <r>
          <rPr>
            <sz val="8"/>
            <color indexed="81"/>
            <rFont val="Tahoma"/>
            <family val="2"/>
          </rPr>
          <t>The power consumed from the Vccint power supply.</t>
        </r>
      </text>
    </comment>
    <comment ref="F11" authorId="0" shapeId="0" xr:uid="{00000000-0006-0000-0200-00000B000000}">
      <text>
        <r>
          <rPr>
            <sz val="8"/>
            <color indexed="81"/>
            <rFont val="Tahoma"/>
            <family val="2"/>
          </rPr>
          <t>The number of LUTs used for logic in this module.</t>
        </r>
      </text>
    </comment>
    <comment ref="G11" authorId="0" shapeId="0" xr:uid="{00000000-0006-0000-0200-00000C000000}">
      <text>
        <r>
          <rPr>
            <sz val="8"/>
            <color indexed="81"/>
            <rFont val="Tahoma"/>
            <family val="2"/>
          </rPr>
          <t>The number of LUTs configured as shift registers in this module.</t>
        </r>
      </text>
    </comment>
    <comment ref="H11" authorId="0" shapeId="0" xr:uid="{00000000-0006-0000-0200-00000D000000}">
      <text>
        <r>
          <rPr>
            <sz val="8"/>
            <color indexed="81"/>
            <rFont val="Tahoma"/>
            <family val="2"/>
          </rPr>
          <t>The number of LUTs configured as Select RAM in this module. Note that dual-port, quad-port, simple-dual port along with the 128 and 256 bit configurations require 2 to 4 LUTs for implementation. See the users guide for exact LUT numbers for each distributed RAM configuration.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300-000001000000}">
      <text>
        <r>
          <rPr>
            <sz val="8"/>
            <color indexed="81"/>
            <rFont val="Tahoma"/>
            <family val="2"/>
          </rPr>
          <t xml:space="preserve">Supply current required for the operation of the I/Os defined in this sheet.
Does not include the device leakage currents, which are shown in the Summary sheet supply table.
</t>
        </r>
      </text>
    </comment>
    <comment ref="B14" authorId="1" shapeId="0" xr:uid="{00000000-0006-0000-0300-000002000000}">
      <text>
        <r>
          <rPr>
            <sz val="8"/>
            <color indexed="81"/>
            <rFont val="Tahoma"/>
            <family val="2"/>
          </rPr>
          <t>The name of this I/O, bus or module.</t>
        </r>
      </text>
    </comment>
    <comment ref="T14" authorId="1" shapeId="0" xr:uid="{00000000-0006-0000-0300-000003000000}">
      <text>
        <r>
          <rPr>
            <sz val="8"/>
            <color indexed="81"/>
            <rFont val="Tahoma"/>
            <family val="2"/>
          </rPr>
          <t>The board and other external capacitance driven by the outputs in this module.</t>
        </r>
      </text>
    </comment>
    <comment ref="U14" authorId="1" shapeId="0" xr:uid="{00000000-0006-0000-0300-000004000000}">
      <text>
        <r>
          <rPr>
            <sz val="8"/>
            <color indexed="81"/>
            <rFont val="Tahoma"/>
            <family val="2"/>
          </rPr>
          <t>Million transitions per second, including both rising and falling edges, for the signals in this module.
Signal rate (Mtr/s) = Frequency (MHz) * Toggle rate (%).</t>
        </r>
      </text>
    </comment>
    <comment ref="E15" authorId="1" shapeId="0" xr:uid="{00000000-0006-0000-0300-000005000000}">
      <text>
        <r>
          <rPr>
            <sz val="8"/>
            <color indexed="81"/>
            <rFont val="Tahoma"/>
            <family val="2"/>
          </rPr>
          <t>The I/O standard used in this module.
If the cell background color is orange then the standard is not supported for the device.
The Open Drain I2C and SMBUS standards are noted with 3.3V* to reflect the assumed voltage used in calculation and reporting.</t>
        </r>
      </text>
    </comment>
    <comment ref="H15" authorId="1" shapeId="0" xr:uid="{00000000-0006-0000-0300-000006000000}">
      <text>
        <r>
          <rPr>
            <sz val="8"/>
            <color indexed="81"/>
            <rFont val="Tahoma"/>
            <family val="2"/>
          </rPr>
          <t>The number of input pins or differential pairs used in this module. Enter the number of P/N pairs for differential standards</t>
        </r>
      </text>
    </comment>
    <comment ref="I15" authorId="1" shapeId="0" xr:uid="{00000000-0006-0000-0300-000007000000}">
      <text>
        <r>
          <rPr>
            <sz val="8"/>
            <color indexed="81"/>
            <rFont val="Tahoma"/>
            <family val="2"/>
          </rPr>
          <t>The number of output pins or differential pairs in this module. Enter the number of P/N pairs for differential standards.</t>
        </r>
      </text>
    </comment>
    <comment ref="J15" authorId="1" shapeId="0" xr:uid="{00000000-0006-0000-0300-000008000000}">
      <text>
        <r>
          <rPr>
            <sz val="8"/>
            <color indexed="81"/>
            <rFont val="Tahoma"/>
            <family val="2"/>
          </rPr>
          <t>The number of bidirectional pins or differential pairs in this module. Enter the number of P/N pairs for differential standards</t>
        </r>
      </text>
    </comment>
    <comment ref="K15" authorId="0" shapeId="0" xr:uid="{00000000-0006-0000-0300-000009000000}">
      <text>
        <r>
          <rPr>
            <sz val="8"/>
            <color indexed="81"/>
            <rFont val="Tahoma"/>
            <family val="2"/>
          </rPr>
          <t xml:space="preserve">Is the ISERDES/ILOGIC or OSERDES/OLOGIC used for the I/Os in this module?
</t>
        </r>
      </text>
    </comment>
    <comment ref="L15" authorId="1" shapeId="0" xr:uid="{00000000-0006-0000-0300-00000A000000}">
      <text>
        <r>
          <rPr>
            <sz val="8"/>
            <color indexed="81"/>
            <rFont val="Tahoma"/>
            <family val="2"/>
          </rPr>
          <t xml:space="preserve">IODELAY use where Off indicates no IODELAY, On indicates DELAY is used.
</t>
        </r>
      </text>
    </comment>
    <comment ref="M15" authorId="0" shapeId="0" xr:uid="{00000000-0006-0000-0300-00000B000000}">
      <text>
        <r>
          <rPr>
            <sz val="8"/>
            <color indexed="81"/>
            <rFont val="Tahoma"/>
            <family val="2"/>
          </rPr>
          <t xml:space="preserve">On-chip termination scheme setting for the inputs.
</t>
        </r>
      </text>
    </comment>
    <comment ref="N15" authorId="0" shapeId="0" xr:uid="{00000000-0006-0000-0300-00000C000000}">
      <text>
        <r>
          <rPr>
            <sz val="8"/>
            <color indexed="81"/>
            <rFont val="Tahoma"/>
            <family val="2"/>
          </rPr>
          <t xml:space="preserve">On-chip termination scheme setting for the outputs.
</t>
        </r>
      </text>
    </comment>
    <comment ref="O15" authorId="0" shapeId="0" xr:uid="{00000000-0006-0000-0300-00000D000000}">
      <text>
        <r>
          <rPr>
            <sz val="8"/>
            <color indexed="81"/>
            <rFont val="Tahoma"/>
            <family val="2"/>
          </rPr>
          <t xml:space="preserve">When the device is in active mode I/O calculations are based on steady state, internal and load toggling, without pullups.
In suspend mode the default is for all outputs to be tristated. They may also be set to pullup, pulldown, keeper or drive last value.
</t>
        </r>
      </text>
    </comment>
    <comment ref="P15" authorId="1" shapeId="0" xr:uid="{00000000-0006-0000-0300-00000E000000}">
      <text>
        <r>
          <rPr>
            <sz val="8"/>
            <color indexed="81"/>
            <rFont val="Tahoma"/>
            <family val="2"/>
          </rPr>
          <t>The frequency of the clock used for this module (MHz).</t>
        </r>
      </text>
    </comment>
    <comment ref="Q15" authorId="1" shapeId="0" xr:uid="{00000000-0006-0000-0300-00000F000000}">
      <text>
        <r>
          <rPr>
            <sz val="8"/>
            <color indexed="81"/>
            <rFont val="Tahoma"/>
            <family val="2"/>
          </rPr>
          <t>The toggle rate of the I/Os in this module. A toggle rate of 20% means that 1/5th of the I/O signals toggle each clock cycle.</t>
        </r>
      </text>
    </comment>
    <comment ref="R15" authorId="1" shapeId="0" xr:uid="{00000000-0006-0000-0300-000010000000}">
      <text>
        <r>
          <rPr>
            <sz val="8"/>
            <color indexed="81"/>
            <rFont val="Tahoma"/>
            <family val="2"/>
          </rPr>
          <t>The data rate (single or double) for the I/Os in this module.</t>
        </r>
      </text>
    </comment>
    <comment ref="S15" authorId="1" shapeId="0" xr:uid="{00000000-0006-0000-0300-000011000000}">
      <text>
        <r>
          <rPr>
            <sz val="8"/>
            <color indexed="81"/>
            <rFont val="Tahoma"/>
            <family val="2"/>
          </rPr>
          <t>The percentage of time that the outputs are enabled in this module.</t>
        </r>
      </text>
    </comment>
    <comment ref="V15" authorId="1" shapeId="0" xr:uid="{00000000-0006-0000-0300-000012000000}">
      <text>
        <r>
          <rPr>
            <sz val="8"/>
            <color indexed="81"/>
            <rFont val="Tahoma"/>
            <family val="2"/>
          </rPr>
          <t>The power consumed on-chip from the Vccint power supply. This includes interconnect and logic within the I/O.</t>
        </r>
      </text>
    </comment>
    <comment ref="W15" authorId="1" shapeId="0" xr:uid="{00000000-0006-0000-0300-000013000000}">
      <text>
        <r>
          <rPr>
            <sz val="8"/>
            <color indexed="81"/>
            <rFont val="Tahoma"/>
            <family val="2"/>
          </rPr>
          <t>The power consumed on-chip from the Vccaux power supply.</t>
        </r>
      </text>
    </comment>
    <comment ref="X15" authorId="1" shapeId="0" xr:uid="{00000000-0006-0000-0300-000014000000}">
      <text>
        <r>
          <rPr>
            <sz val="8"/>
            <color indexed="81"/>
            <rFont val="Tahoma"/>
            <family val="2"/>
          </rPr>
          <t>The portion of Vcco power dissipated as heat on-chip.</t>
        </r>
      </text>
    </comment>
    <comment ref="AA16" authorId="1" shapeId="0" xr:uid="{00000000-0006-0000-0300-000015000000}">
      <text>
        <r>
          <rPr>
            <sz val="8"/>
            <color indexed="81"/>
            <rFont val="Tahoma"/>
            <family val="2"/>
          </rPr>
          <t>External termination topology used for the FPGA output.</t>
        </r>
      </text>
    </comment>
    <comment ref="AB16" authorId="1" shapeId="0" xr:uid="{00000000-0006-0000-0300-000016000000}">
      <text>
        <r>
          <rPr>
            <sz val="8"/>
            <color indexed="81"/>
            <rFont val="Tahoma"/>
            <family val="2"/>
          </rPr>
          <t>Parallel or differential termination resistor value in ohms.</t>
        </r>
      </text>
    </comment>
    <comment ref="AC16" authorId="1" shapeId="0" xr:uid="{00000000-0006-0000-0300-000017000000}">
      <text>
        <r>
          <rPr>
            <sz val="8"/>
            <color indexed="81"/>
            <rFont val="Tahoma"/>
            <family val="2"/>
          </rPr>
          <t>Series resistor value in ohms.</t>
        </r>
      </text>
    </comment>
    <comment ref="F127" authorId="1" shapeId="0" xr:uid="{00000000-0006-0000-0300-000018000000}">
      <text>
        <r>
          <rPr>
            <sz val="8"/>
            <color indexed="81"/>
            <rFont val="Tahoma"/>
            <family val="2"/>
          </rPr>
          <t>Number of package pins used. Differential I/O use 2 package pins for each.</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TITAFKAA</author>
    <author>Xilinx</author>
    <author xml:space="preserve"> xilinx</author>
    <author>frosty</author>
  </authors>
  <commentList>
    <comment ref="D4" authorId="0" shapeId="0" xr:uid="{00000000-0006-0000-0400-000001000000}">
      <text>
        <r>
          <rPr>
            <sz val="8"/>
            <color indexed="81"/>
            <rFont val="Tahoma"/>
            <family val="2"/>
          </rPr>
          <t>The total BRAM power consumed from the Vccint power supply.</t>
        </r>
        <r>
          <rPr>
            <sz val="8"/>
            <color indexed="81"/>
            <rFont val="Tahoma"/>
            <family val="2"/>
          </rPr>
          <t xml:space="preserve">
</t>
        </r>
      </text>
    </comment>
    <comment ref="J4" authorId="0" shapeId="0" xr:uid="{00000000-0006-0000-0400-000002000000}">
      <text>
        <r>
          <rPr>
            <sz val="8"/>
            <color indexed="81"/>
            <rFont val="Tahoma"/>
            <family val="2"/>
          </rPr>
          <t>Utilization of the available RAMB9 blocks.
Cell background turns orange if overmapped for the selected device.</t>
        </r>
      </text>
    </comment>
    <comment ref="J5" authorId="1" shapeId="0" xr:uid="{00000000-0006-0000-0400-000003000000}">
      <text>
        <r>
          <rPr>
            <sz val="8"/>
            <color indexed="81"/>
            <rFont val="Tahoma"/>
            <family val="2"/>
          </rPr>
          <t>Utilization of the available RAMB18 blocks.
Cell background turns orange if overmapped for the selected device.</t>
        </r>
      </text>
    </comment>
    <comment ref="B8" authorId="2" shapeId="0" xr:uid="{00000000-0006-0000-0400-000004000000}">
      <text>
        <r>
          <rPr>
            <sz val="8"/>
            <color indexed="81"/>
            <rFont val="Tahoma"/>
            <family val="2"/>
          </rPr>
          <t>The name of this module.</t>
        </r>
      </text>
    </comment>
    <comment ref="E8" authorId="2" shapeId="0" xr:uid="{00000000-0006-0000-0400-000005000000}">
      <text>
        <r>
          <rPr>
            <sz val="8"/>
            <color indexed="81"/>
            <rFont val="Tahoma"/>
            <family val="2"/>
          </rPr>
          <t>The number of BRAM blocks in this module.</t>
        </r>
      </text>
    </comment>
    <comment ref="F8" authorId="2" shapeId="0" xr:uid="{00000000-0006-0000-0400-000006000000}">
      <text>
        <r>
          <rPr>
            <sz val="8"/>
            <color indexed="81"/>
            <rFont val="Tahoma"/>
            <family val="2"/>
          </rPr>
          <t>The RAMB configuration mode.</t>
        </r>
      </text>
    </comment>
    <comment ref="G8" authorId="3" shapeId="0" xr:uid="{00000000-0006-0000-0400-000007000000}">
      <text>
        <r>
          <rPr>
            <sz val="8"/>
            <color indexed="81"/>
            <rFont val="Tahoma"/>
            <family val="2"/>
          </rPr>
          <t xml:space="preserve">The average toggle rate of the data signals. A toggle rate of 50% means that half of the data signals toggle each clock cycle.
</t>
        </r>
      </text>
    </comment>
    <comment ref="H8" authorId="2" shapeId="0" xr:uid="{00000000-0006-0000-0400-000008000000}">
      <text>
        <r>
          <rPr>
            <sz val="8"/>
            <color indexed="81"/>
            <rFont val="Tahoma"/>
            <family val="2"/>
          </rPr>
          <t>The frequency of the clock used for PortA in this module (MHz).</t>
        </r>
      </text>
    </comment>
    <comment ref="I8" authorId="2" shapeId="0" xr:uid="{00000000-0006-0000-0400-000009000000}">
      <text>
        <r>
          <rPr>
            <sz val="8"/>
            <color indexed="81"/>
            <rFont val="Tahoma"/>
            <family val="2"/>
          </rPr>
          <t>The average % of the time that PortA is enabled.</t>
        </r>
      </text>
    </comment>
    <comment ref="J8" authorId="2" shapeId="0" xr:uid="{00000000-0006-0000-0400-00000A000000}">
      <text>
        <r>
          <rPr>
            <sz val="8"/>
            <color indexed="81"/>
            <rFont val="Tahoma"/>
            <family val="2"/>
          </rPr>
          <t>The average bit width of the BRAM blocks in this module.</t>
        </r>
      </text>
    </comment>
    <comment ref="K8" authorId="2" shapeId="0" xr:uid="{00000000-0006-0000-0400-00000B000000}">
      <text>
        <r>
          <rPr>
            <sz val="8"/>
            <color indexed="81"/>
            <rFont val="Tahoma"/>
            <family val="2"/>
          </rPr>
          <t>The BRAM write mode (WRITE_FIRST, READ_FIRST, NO_CHANGE).</t>
        </r>
      </text>
    </comment>
    <comment ref="L8" authorId="2" shapeId="0" xr:uid="{00000000-0006-0000-0400-00000C000000}">
      <text>
        <r>
          <rPr>
            <sz val="8"/>
            <color indexed="81"/>
            <rFont val="Tahoma"/>
            <family val="2"/>
          </rPr>
          <t>The average % of the clock cycles that PortA is being written to.</t>
        </r>
      </text>
    </comment>
    <comment ref="M8" authorId="2" shapeId="0" xr:uid="{00000000-0006-0000-0400-00000D000000}">
      <text>
        <r>
          <rPr>
            <sz val="8"/>
            <color indexed="81"/>
            <rFont val="Tahoma"/>
            <family val="2"/>
          </rPr>
          <t>The frequency of the clock used for PortB in this module (MHz).</t>
        </r>
      </text>
    </comment>
    <comment ref="N8" authorId="2" shapeId="0" xr:uid="{00000000-0006-0000-0400-00000E000000}">
      <text>
        <r>
          <rPr>
            <sz val="8"/>
            <color indexed="81"/>
            <rFont val="Tahoma"/>
            <family val="2"/>
          </rPr>
          <t>The average % of the time that PortB is enabled.</t>
        </r>
      </text>
    </comment>
    <comment ref="O8" authorId="2" shapeId="0" xr:uid="{00000000-0006-0000-0400-00000F000000}">
      <text>
        <r>
          <rPr>
            <sz val="8"/>
            <color indexed="81"/>
            <rFont val="Tahoma"/>
            <family val="2"/>
          </rPr>
          <t>The bit width of the BRAM blocks in this module.</t>
        </r>
      </text>
    </comment>
    <comment ref="P8" authorId="2" shapeId="0" xr:uid="{00000000-0006-0000-0400-000010000000}">
      <text>
        <r>
          <rPr>
            <sz val="8"/>
            <color indexed="81"/>
            <rFont val="Tahoma"/>
            <family val="2"/>
          </rPr>
          <t>The BRAM write mode (WRITE_FIRST, READ_FIRST, NO_CHANGE).</t>
        </r>
      </text>
    </comment>
    <comment ref="Q8" authorId="2" shapeId="0" xr:uid="{00000000-0006-0000-0400-000011000000}">
      <text>
        <r>
          <rPr>
            <sz val="8"/>
            <color indexed="81"/>
            <rFont val="Tahoma"/>
            <family val="2"/>
          </rPr>
          <t>The average % of the clock cycles that PortB is being written to.</t>
        </r>
      </text>
    </comment>
    <comment ref="R8" authorId="2" shapeId="0" xr:uid="{00000000-0006-0000-0400-000012000000}">
      <text>
        <r>
          <rPr>
            <sz val="8"/>
            <color indexed="81"/>
            <rFont val="Tahoma"/>
            <family val="2"/>
          </rPr>
          <t>Million transitions per second, including both rising and falling edges, for the signals in this module.
Signal rate (Mtr/s) = Frequency (MHz) * Toggle rate (%).</t>
        </r>
      </text>
    </comment>
    <comment ref="S8" authorId="0" shapeId="0" xr:uid="{00000000-0006-0000-0400-000013000000}">
      <text>
        <r>
          <rPr>
            <sz val="8"/>
            <color indexed="81"/>
            <rFont val="Tahoma"/>
            <family val="2"/>
          </rPr>
          <t>The power consumed from the Vccint power supply.</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500-000001000000}">
      <text>
        <r>
          <rPr>
            <sz val="8"/>
            <color indexed="81"/>
            <rFont val="Tahoma"/>
            <family val="2"/>
          </rPr>
          <t>The total DSP power consumed from the Vccint power supply.</t>
        </r>
        <r>
          <rPr>
            <sz val="8"/>
            <color indexed="81"/>
            <rFont val="Tahoma"/>
            <family val="2"/>
          </rPr>
          <t xml:space="preserve">
</t>
        </r>
      </text>
    </comment>
    <comment ref="H4" authorId="1" shapeId="0" xr:uid="{00000000-0006-0000-0500-000002000000}">
      <text>
        <r>
          <rPr>
            <sz val="8"/>
            <color indexed="81"/>
            <rFont val="Tahoma"/>
            <family val="2"/>
          </rPr>
          <t xml:space="preserve">Utilization of the available DSP48s.
</t>
        </r>
      </text>
    </comment>
    <comment ref="J4" authorId="1" shapeId="0" xr:uid="{00000000-0006-0000-0500-000003000000}">
      <text>
        <r>
          <rPr>
            <sz val="8"/>
            <color indexed="81"/>
            <rFont val="Tahoma"/>
            <family val="2"/>
          </rPr>
          <t xml:space="preserve">Utilization of the available DSP48s.
</t>
        </r>
      </text>
    </comment>
    <comment ref="B7" authorId="1" shapeId="0" xr:uid="{00000000-0006-0000-0500-000004000000}">
      <text>
        <r>
          <rPr>
            <sz val="8"/>
            <color indexed="81"/>
            <rFont val="Tahoma"/>
            <family val="2"/>
          </rPr>
          <t>The name of this module.</t>
        </r>
      </text>
    </comment>
    <comment ref="E7" authorId="1" shapeId="0" xr:uid="{00000000-0006-0000-0500-000005000000}">
      <text>
        <r>
          <rPr>
            <sz val="8"/>
            <color indexed="81"/>
            <rFont val="Tahoma"/>
            <family val="2"/>
          </rPr>
          <t>The number of DSP slices in this module.</t>
        </r>
      </text>
    </comment>
    <comment ref="F7" authorId="1" shapeId="0" xr:uid="{00000000-0006-0000-0500-000006000000}">
      <text>
        <r>
          <rPr>
            <sz val="8"/>
            <color indexed="81"/>
            <rFont val="Tahoma"/>
            <family val="2"/>
          </rPr>
          <t>The frequency of the clock used for this module (MHz).</t>
        </r>
      </text>
    </comment>
    <comment ref="G7" authorId="1" shapeId="0" xr:uid="{00000000-0006-0000-0500-000007000000}">
      <text>
        <r>
          <rPr>
            <sz val="8"/>
            <color indexed="81"/>
            <rFont val="Tahoma"/>
            <family val="2"/>
          </rPr>
          <t>The average toggle rate (transitions per clock cycle) of the outputs of the DSP slices.
Asynchronous multipliers may have effective toggle rates that exceed 100%.</t>
        </r>
      </text>
    </comment>
    <comment ref="H7" authorId="1" shapeId="0" xr:uid="{00000000-0006-0000-0500-000008000000}">
      <text>
        <r>
          <rPr>
            <sz val="8"/>
            <color indexed="81"/>
            <rFont val="Tahoma"/>
            <family val="2"/>
          </rPr>
          <t>Is the Pre-Adder used on the DSP48A slices?</t>
        </r>
      </text>
    </comment>
    <comment ref="I7" authorId="1" shapeId="0" xr:uid="{00000000-0006-0000-0500-000009000000}">
      <text>
        <r>
          <rPr>
            <sz val="8"/>
            <color indexed="81"/>
            <rFont val="Tahoma"/>
            <family val="2"/>
          </rPr>
          <t>The average toggle rate (transitions per clock cycle) of the outputs of the DSP slices.
Asynchronous multipliers may have effective toggle rates that exceed 100%.</t>
        </r>
      </text>
    </comment>
    <comment ref="J7" authorId="1" shapeId="0" xr:uid="{00000000-0006-0000-0500-00000A000000}">
      <text>
        <r>
          <rPr>
            <sz val="8"/>
            <color indexed="81"/>
            <rFont val="Tahoma"/>
            <family val="2"/>
          </rPr>
          <t>Is the MREG used on the DSP48A1 slices?</t>
        </r>
      </text>
    </comment>
    <comment ref="K7" authorId="0" shapeId="0" xr:uid="{00000000-0006-0000-0500-00000B000000}">
      <text>
        <r>
          <rPr>
            <sz val="8"/>
            <color indexed="81"/>
            <rFont val="Tahoma"/>
            <family val="2"/>
          </rPr>
          <t>Is the MULT used on the DSP48A1 slices?</t>
        </r>
      </text>
    </comment>
    <comment ref="L7" authorId="1" shapeId="0" xr:uid="{00000000-0006-0000-0500-00000C000000}">
      <text>
        <r>
          <rPr>
            <sz val="8"/>
            <color indexed="81"/>
            <rFont val="Tahoma"/>
            <family val="2"/>
          </rPr>
          <t>Is the Pre-Adder used on the DSP48A1 slices?</t>
        </r>
      </text>
    </comment>
    <comment ref="M7" authorId="1" shapeId="0" xr:uid="{00000000-0006-0000-0500-00000D000000}">
      <text>
        <r>
          <rPr>
            <sz val="8"/>
            <color indexed="81"/>
            <rFont val="Tahoma"/>
            <family val="2"/>
          </rPr>
          <t>Is the Post-Adder used on the DSP48A1 slices?</t>
        </r>
      </text>
    </comment>
    <comment ref="N7" authorId="1" shapeId="0" xr:uid="{00000000-0006-0000-0500-00000E000000}">
      <text>
        <r>
          <rPr>
            <sz val="8"/>
            <color indexed="81"/>
            <rFont val="Tahoma"/>
            <family val="2"/>
          </rPr>
          <t>Million transitions per second, incuding both rising and falling edges, for the signals in this module.
Signal rate (Mtr/s) = Frequency (MHz) * Toggle rate (%).</t>
        </r>
      </text>
    </comment>
    <comment ref="O7" authorId="0" shapeId="0" xr:uid="{00000000-0006-0000-0500-00000F000000}">
      <text>
        <r>
          <rPr>
            <sz val="8"/>
            <color indexed="81"/>
            <rFont val="Tahoma"/>
            <family val="2"/>
          </rPr>
          <t>The power consumed from the Vccint power supply.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600-000001000000}">
      <text>
        <r>
          <rPr>
            <sz val="8"/>
            <color indexed="81"/>
            <rFont val="Tahoma"/>
            <family val="2"/>
          </rPr>
          <t>The total Multiplier power consumed from the Vccint power supply.</t>
        </r>
      </text>
    </comment>
    <comment ref="H4" authorId="1" shapeId="0" xr:uid="{00000000-0006-0000-0600-000002000000}">
      <text>
        <r>
          <rPr>
            <sz val="8"/>
            <color indexed="81"/>
            <rFont val="Tahoma"/>
            <family val="2"/>
          </rPr>
          <t>Utilization of the available multipliers.</t>
        </r>
      </text>
    </comment>
    <comment ref="B7" authorId="1" shapeId="0" xr:uid="{00000000-0006-0000-0600-000003000000}">
      <text>
        <r>
          <rPr>
            <sz val="8"/>
            <color indexed="81"/>
            <rFont val="Tahoma"/>
            <family val="2"/>
          </rPr>
          <t>The name of this module.</t>
        </r>
      </text>
    </comment>
    <comment ref="E7" authorId="1" shapeId="0" xr:uid="{00000000-0006-0000-0600-000004000000}">
      <text>
        <r>
          <rPr>
            <sz val="8"/>
            <color indexed="81"/>
            <rFont val="Tahoma"/>
            <family val="2"/>
          </rPr>
          <t>The number of multipliers in this module.</t>
        </r>
      </text>
    </comment>
    <comment ref="F7" authorId="1" shapeId="0" xr:uid="{00000000-0006-0000-0600-000005000000}">
      <text>
        <r>
          <rPr>
            <sz val="8"/>
            <color indexed="81"/>
            <rFont val="Tahoma"/>
            <family val="2"/>
          </rPr>
          <t>The frequency of the clock used for this module (MHz).</t>
        </r>
      </text>
    </comment>
    <comment ref="G7" authorId="1" shapeId="0" xr:uid="{00000000-0006-0000-0600-000006000000}">
      <text>
        <r>
          <rPr>
            <sz val="8"/>
            <color indexed="81"/>
            <rFont val="Tahoma"/>
            <family val="2"/>
          </rPr>
          <t>The average toggle rate of the outputs of the multipliers.</t>
        </r>
      </text>
    </comment>
    <comment ref="H7" authorId="0" shapeId="0" xr:uid="{00000000-0006-0000-0600-000007000000}">
      <text>
        <r>
          <rPr>
            <sz val="8"/>
            <color indexed="81"/>
            <rFont val="Tahoma"/>
            <family val="2"/>
          </rPr>
          <t>The power consumed from the Vccint power supply.</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I4" authorId="0" shapeId="0" xr:uid="{00000000-0006-0000-0700-000001000000}">
      <text>
        <r>
          <rPr>
            <sz val="8"/>
            <color indexed="81"/>
            <rFont val="Tahoma"/>
            <family val="2"/>
          </rPr>
          <t>Utilization of the available DCMs.</t>
        </r>
      </text>
    </comment>
    <comment ref="D6" authorId="1" shapeId="0" xr:uid="{00000000-0006-0000-0700-000002000000}">
      <text>
        <r>
          <rPr>
            <sz val="8"/>
            <color indexed="81"/>
            <rFont val="Tahoma"/>
            <family val="2"/>
          </rPr>
          <t>The total DCM power consumed from the Vccint and Vccaux power supplies.  This includes DC and operating power.</t>
        </r>
      </text>
    </comment>
    <comment ref="B9" authorId="0" shapeId="0" xr:uid="{00000000-0006-0000-0700-000003000000}">
      <text>
        <r>
          <rPr>
            <sz val="8"/>
            <color indexed="81"/>
            <rFont val="Tahoma"/>
            <family val="2"/>
          </rPr>
          <t>The name of this DCM.</t>
        </r>
      </text>
    </comment>
    <comment ref="E9" authorId="0" shapeId="0" xr:uid="{00000000-0006-0000-0700-000004000000}">
      <text>
        <r>
          <rPr>
            <sz val="8"/>
            <color indexed="81"/>
            <rFont val="Tahoma"/>
            <family val="2"/>
          </rPr>
          <t>The frequency of the clock used for this DCM (MHz).</t>
        </r>
      </text>
    </comment>
    <comment ref="F9" authorId="0" shapeId="0" xr:uid="{00000000-0006-0000-0700-000005000000}">
      <text>
        <r>
          <rPr>
            <sz val="8"/>
            <color indexed="81"/>
            <rFont val="Tahoma"/>
            <family val="2"/>
          </rPr>
          <t xml:space="preserve">The frequency mode setting for this DCM (High, Low). </t>
        </r>
      </text>
    </comment>
    <comment ref="G9" authorId="1" shapeId="0" xr:uid="{00000000-0006-0000-0700-000006000000}">
      <text>
        <r>
          <rPr>
            <sz val="8"/>
            <color indexed="81"/>
            <rFont val="Tahoma"/>
            <family val="2"/>
          </rPr>
          <t>The functional mode of the DCM  (DLL, DFS or DCM_CLKGEN).  
Use DLL if using the DCM_SP with FEEDBACK=1X or 2X.  Use DFS when using the DCM_SP with FEEDBACK=NONE (no phase alignment).  Use DCM_CLKGEN if using the DCM_CLKGEN component.</t>
        </r>
      </text>
    </comment>
    <comment ref="H9" authorId="1" shapeId="0" xr:uid="{00000000-0006-0000-0700-000007000000}">
      <text>
        <r>
          <rPr>
            <sz val="8"/>
            <color indexed="81"/>
            <rFont val="Tahoma"/>
            <family val="2"/>
          </rPr>
          <t>The power consumed from the Vccint power supply.</t>
        </r>
      </text>
    </comment>
    <comment ref="I9" authorId="1" shapeId="0" xr:uid="{00000000-0006-0000-0700-000008000000}">
      <text>
        <r>
          <rPr>
            <sz val="8"/>
            <color indexed="81"/>
            <rFont val="Tahoma"/>
            <family val="2"/>
          </rPr>
          <t>The power consumed from the Vccaux power supply.</t>
        </r>
        <r>
          <rPr>
            <sz val="8"/>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xml:space="preserve"> xilinx</author>
    <author>TITAFKAA</author>
  </authors>
  <commentList>
    <comment ref="H4" authorId="0" shapeId="0" xr:uid="{00000000-0006-0000-0800-000001000000}">
      <text>
        <r>
          <rPr>
            <sz val="8"/>
            <color indexed="81"/>
            <rFont val="Tahoma"/>
            <family val="2"/>
          </rPr>
          <t>Utilization of the available PLLs. N/A means that no PLLs are available in the selected part.</t>
        </r>
      </text>
    </comment>
    <comment ref="D6" authorId="1" shapeId="0" xr:uid="{00000000-0006-0000-0800-000002000000}">
      <text>
        <r>
          <rPr>
            <sz val="8"/>
            <color indexed="81"/>
            <rFont val="Tahoma"/>
            <family val="2"/>
          </rPr>
          <t>The total PLL power consumed from the Vccint and Vccaux power supplies.  This includes DC and operating power.</t>
        </r>
      </text>
    </comment>
    <comment ref="B9" authorId="0" shapeId="0" xr:uid="{00000000-0006-0000-0800-000003000000}">
      <text>
        <r>
          <rPr>
            <sz val="8"/>
            <color indexed="81"/>
            <rFont val="Tahoma"/>
            <family val="2"/>
          </rPr>
          <t>The name of this PLL.</t>
        </r>
      </text>
    </comment>
    <comment ref="E9" authorId="0" shapeId="0" xr:uid="{00000000-0006-0000-0800-000004000000}">
      <text>
        <r>
          <rPr>
            <sz val="8"/>
            <color indexed="81"/>
            <rFont val="Tahoma"/>
            <family val="2"/>
          </rPr>
          <t>The frequency of the input clock used for this PLL (MHz).</t>
        </r>
      </text>
    </comment>
    <comment ref="F9" authorId="0" shapeId="0" xr:uid="{00000000-0006-0000-0800-000005000000}">
      <text>
        <r>
          <rPr>
            <sz val="8"/>
            <color indexed="81"/>
            <rFont val="Tahoma"/>
            <family val="2"/>
          </rPr>
          <t>The divide counter value [1-52].</t>
        </r>
      </text>
    </comment>
    <comment ref="G9" authorId="0" shapeId="0" xr:uid="{00000000-0006-0000-0800-000006000000}">
      <text>
        <r>
          <rPr>
            <sz val="8"/>
            <color indexed="81"/>
            <rFont val="Tahoma"/>
            <family val="2"/>
          </rPr>
          <t>The multiply counter value [1-64].</t>
        </r>
      </text>
    </comment>
    <comment ref="H9" authorId="0" shapeId="0" xr:uid="{00000000-0006-0000-0800-000007000000}">
      <text>
        <r>
          <rPr>
            <sz val="8"/>
            <color indexed="81"/>
            <rFont val="Tahoma"/>
            <family val="2"/>
          </rPr>
          <t>The Clock 0 output divide value [off, 1-128].</t>
        </r>
      </text>
    </comment>
    <comment ref="I9" authorId="0" shapeId="0" xr:uid="{00000000-0006-0000-0800-000008000000}">
      <text>
        <r>
          <rPr>
            <sz val="8"/>
            <color indexed="81"/>
            <rFont val="Tahoma"/>
            <family val="2"/>
          </rPr>
          <t>The Clock 1 output divide value [off, 1-128].</t>
        </r>
      </text>
    </comment>
    <comment ref="J9" authorId="0" shapeId="0" xr:uid="{00000000-0006-0000-0800-000009000000}">
      <text>
        <r>
          <rPr>
            <sz val="8"/>
            <color indexed="81"/>
            <rFont val="Tahoma"/>
            <family val="2"/>
          </rPr>
          <t>The Clock 2 output divide value [off, 1-128].</t>
        </r>
      </text>
    </comment>
    <comment ref="K9" authorId="0" shapeId="0" xr:uid="{00000000-0006-0000-0800-00000A000000}">
      <text>
        <r>
          <rPr>
            <sz val="8"/>
            <color indexed="81"/>
            <rFont val="Tahoma"/>
            <family val="2"/>
          </rPr>
          <t>The Clock 3 output divide value [off, 1-128].</t>
        </r>
      </text>
    </comment>
    <comment ref="L9" authorId="0" shapeId="0" xr:uid="{00000000-0006-0000-0800-00000B000000}">
      <text>
        <r>
          <rPr>
            <sz val="8"/>
            <color indexed="81"/>
            <rFont val="Tahoma"/>
            <family val="2"/>
          </rPr>
          <t>The Clock 4 output divide value [off, 1-128].</t>
        </r>
      </text>
    </comment>
    <comment ref="M9" authorId="0" shapeId="0" xr:uid="{00000000-0006-0000-0800-00000C000000}">
      <text>
        <r>
          <rPr>
            <sz val="8"/>
            <color indexed="81"/>
            <rFont val="Tahoma"/>
            <family val="2"/>
          </rPr>
          <t>The Clock 5 output divide value [off, 1-128].</t>
        </r>
      </text>
    </comment>
    <comment ref="N9" authorId="1" shapeId="0" xr:uid="{00000000-0006-0000-0800-00000D000000}">
      <text>
        <r>
          <rPr>
            <sz val="8"/>
            <color indexed="81"/>
            <rFont val="Tahoma"/>
            <family val="2"/>
          </rPr>
          <t>The power consumed from the Vccint power supply.</t>
        </r>
      </text>
    </comment>
    <comment ref="O9" authorId="1" shapeId="0" xr:uid="{00000000-0006-0000-0800-00000E000000}">
      <text>
        <r>
          <rPr>
            <sz val="8"/>
            <color indexed="81"/>
            <rFont val="Tahoma"/>
            <family val="2"/>
          </rPr>
          <t xml:space="preserve">The power consumed from the Vccaux power supply.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B3" authorId="0" shapeId="0" xr:uid="{00000000-0006-0000-0900-000001000000}">
      <text>
        <r>
          <rPr>
            <sz val="8"/>
            <color indexed="81"/>
            <rFont val="Tahoma"/>
            <family val="2"/>
          </rPr>
          <t xml:space="preserve">Supply current required for the operation of the GTPA1s defined in this sheet.
Does not include the device leakage currents, which are shown in the Summary sheet supply table.
</t>
        </r>
      </text>
    </comment>
    <comment ref="L3" authorId="0" shapeId="0" xr:uid="{00000000-0006-0000-0900-000002000000}">
      <text>
        <r>
          <rPr>
            <sz val="8"/>
            <color indexed="81"/>
            <rFont val="Tahoma"/>
            <family val="2"/>
          </rPr>
          <t>The total GTP_DUAL power consumed from all voltage supplies.  This does not include quiescent power from any unused GTP_DUALs that are not grounded.</t>
        </r>
      </text>
    </comment>
    <comment ref="R4" authorId="1" shapeId="0" xr:uid="{00000000-0006-0000-0900-000003000000}">
      <text>
        <r>
          <rPr>
            <sz val="8"/>
            <color indexed="81"/>
            <rFont val="Tahoma"/>
            <family val="2"/>
          </rPr>
          <t>Utilization of the available GTPA1_DUALs. N/A means that no GTPA1_DUALs are available in the selected device.</t>
        </r>
      </text>
    </comment>
    <comment ref="O6" authorId="1" shapeId="0" xr:uid="{00000000-0006-0000-0900-000004000000}">
      <text>
        <r>
          <rPr>
            <sz val="8"/>
            <color indexed="81"/>
            <rFont val="Tahoma"/>
            <family val="2"/>
          </rPr>
          <t>Unused GTPA1_DUALs, may be  grounded to save quiescent  power. See the User Guide for specific considerations.</t>
        </r>
      </text>
    </comment>
    <comment ref="B12" authorId="1" shapeId="0" xr:uid="{00000000-0006-0000-0900-000005000000}">
      <text>
        <r>
          <rPr>
            <sz val="8"/>
            <color indexed="81"/>
            <rFont val="Tahoma"/>
            <family val="2"/>
          </rPr>
          <t>The name of this module.  
To specify a GTPA1_DUAL with different settings for each channel, enter each channel on a separate row using the same base name suffixed with "_0" and "_1". For example "GTP_0" and "GTP_1".</t>
        </r>
      </text>
    </comment>
    <comment ref="E12" authorId="1" shapeId="0" xr:uid="{00000000-0006-0000-0900-000006000000}">
      <text>
        <r>
          <rPr>
            <sz val="8"/>
            <color indexed="81"/>
            <rFont val="Tahoma"/>
            <family val="2"/>
          </rPr>
          <t>The number of GTPA1 transceivers in this module. Note there are two GTPA1 transceivers per GTPA1_DUAL.
A red border around the cells of two adjacent rows indicates the two GTPA1s are inferred to be in the same GTPA1_DUAL.</t>
        </r>
      </text>
    </comment>
    <comment ref="F12" authorId="1" shapeId="0" xr:uid="{00000000-0006-0000-0900-000007000000}">
      <text>
        <r>
          <rPr>
            <sz val="8"/>
            <color indexed="81"/>
            <rFont val="Tahoma"/>
            <family val="2"/>
          </rPr>
          <t>The operational mode (Transmitter, Receiver, Transceiver) for the GTPA1 transceiver.</t>
        </r>
      </text>
    </comment>
    <comment ref="G12" authorId="1" shapeId="0" xr:uid="{00000000-0006-0000-0900-000008000000}">
      <text>
        <r>
          <rPr>
            <sz val="8"/>
            <color indexed="81"/>
            <rFont val="Tahoma"/>
            <family val="2"/>
          </rPr>
          <t>Is the PLL shared by the GTPA1s in the GTPA1_DUAL?
PLL sharing requires the RX and TX data rates be integer multiples of each other.</t>
        </r>
      </text>
    </comment>
    <comment ref="H12" authorId="0" shapeId="0" xr:uid="{00000000-0006-0000-0900-000009000000}">
      <text>
        <r>
          <rPr>
            <sz val="8"/>
            <color indexed="81"/>
            <rFont val="Tahoma"/>
            <family val="2"/>
          </rPr>
          <t xml:space="preserve">PLL output clock frequency (GHz).   
</t>
        </r>
      </text>
    </comment>
    <comment ref="I12" authorId="0" shapeId="0" xr:uid="{00000000-0006-0000-0900-00000A000000}">
      <text>
        <r>
          <rPr>
            <sz val="8"/>
            <color indexed="81"/>
            <rFont val="Tahoma"/>
            <family val="2"/>
          </rPr>
          <t>RX clock divide factor.</t>
        </r>
      </text>
    </comment>
    <comment ref="J12" authorId="0" shapeId="0" xr:uid="{00000000-0006-0000-0900-00000B000000}">
      <text>
        <r>
          <rPr>
            <sz val="8"/>
            <color indexed="81"/>
            <rFont val="Tahoma"/>
            <family val="2"/>
          </rPr>
          <t>TX clock divide factor.</t>
        </r>
      </text>
    </comment>
    <comment ref="K12" authorId="1" shapeId="0" xr:uid="{00000000-0006-0000-0900-00000C000000}">
      <text>
        <r>
          <rPr>
            <sz val="8"/>
            <color indexed="81"/>
            <rFont val="Tahoma"/>
            <family val="2"/>
          </rPr>
          <t>RX data rate for the tranceivers in this module (Gb/s).  The VCO frequency and RX divide factor are used to calculate this rate.
If the cell background is orange the calculated rate exceeds the maximum for the selected part.</t>
        </r>
      </text>
    </comment>
    <comment ref="L12" authorId="1" shapeId="0" xr:uid="{00000000-0006-0000-0900-00000D000000}">
      <text>
        <r>
          <rPr>
            <sz val="8"/>
            <color indexed="81"/>
            <rFont val="Tahoma"/>
            <family val="2"/>
          </rPr>
          <t>TX data rate for the transceivers in this module (Gb/s).  The VCO frequency and TX divide factor are used to calculate this rate.
If the cell background is orange the calculated rate exceeds  the maximum for the selected part.</t>
        </r>
      </text>
    </comment>
    <comment ref="M12" authorId="1" shapeId="0" xr:uid="{00000000-0006-0000-0900-00000E000000}">
      <text>
        <r>
          <rPr>
            <sz val="8"/>
            <color indexed="81"/>
            <rFont val="Tahoma"/>
            <family val="2"/>
          </rPr>
          <t xml:space="preserve">Data path width can be 8, 10, 16, 20, 32, or 40 bits.
</t>
        </r>
      </text>
    </comment>
    <comment ref="N12" authorId="1" shapeId="0" xr:uid="{00000000-0006-0000-0900-00000F000000}">
      <text>
        <r>
          <rPr>
            <sz val="8"/>
            <color indexed="81"/>
            <rFont val="Tahoma"/>
            <family val="2"/>
          </rPr>
          <t>The amplitude of the TX driver’s differential swing in mV.</t>
        </r>
        <r>
          <rPr>
            <sz val="8"/>
            <color indexed="81"/>
            <rFont val="Tahoma"/>
            <family val="2"/>
          </rPr>
          <t xml:space="preserve">
</t>
        </r>
      </text>
    </comment>
    <comment ref="O12" authorId="0" shapeId="0" xr:uid="{00000000-0006-0000-0900-000010000000}">
      <text>
        <r>
          <rPr>
            <sz val="8"/>
            <color indexed="81"/>
            <rFont val="Tahoma"/>
            <family val="2"/>
          </rPr>
          <t>The power consumed from the Vccint power supply.</t>
        </r>
        <r>
          <rPr>
            <sz val="8"/>
            <color indexed="81"/>
            <rFont val="Tahoma"/>
            <family val="2"/>
          </rPr>
          <t xml:space="preserve">
</t>
        </r>
      </text>
    </comment>
    <comment ref="P12" authorId="0" shapeId="0" xr:uid="{00000000-0006-0000-0900-000011000000}">
      <text>
        <r>
          <rPr>
            <sz val="8"/>
            <color indexed="81"/>
            <rFont val="Tahoma"/>
            <family val="2"/>
          </rPr>
          <t>The power consumed from the MGTAVcc power supply.</t>
        </r>
      </text>
    </comment>
    <comment ref="Q12" authorId="0" shapeId="0" xr:uid="{00000000-0006-0000-0900-000012000000}">
      <text>
        <r>
          <rPr>
            <sz val="8"/>
            <color indexed="81"/>
            <rFont val="Tahoma"/>
            <family val="2"/>
          </rPr>
          <t>The power consumed from the MGTAVccpll power supply.</t>
        </r>
      </text>
    </comment>
    <comment ref="R12" authorId="0" shapeId="0" xr:uid="{00000000-0006-0000-0900-000013000000}">
      <text>
        <r>
          <rPr>
            <sz val="8"/>
            <color indexed="81"/>
            <rFont val="Tahoma"/>
            <family val="2"/>
          </rPr>
          <t>The power consumed from the MGTAVtttx power supply.</t>
        </r>
      </text>
    </comment>
    <comment ref="S12" authorId="0" shapeId="0" xr:uid="{00000000-0006-0000-0900-000014000000}">
      <text>
        <r>
          <rPr>
            <sz val="8"/>
            <color indexed="81"/>
            <rFont val="Tahoma"/>
            <family val="2"/>
          </rPr>
          <t>The power consumed from both MGTAVttrx and MGTAvttrxc power supplies.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A00-000001000000}">
      <text>
        <r>
          <rPr>
            <sz val="8"/>
            <color indexed="81"/>
            <rFont val="Tahoma"/>
            <family val="2"/>
          </rPr>
          <t>The total PCI Express power consumed from the Vccint power supply.</t>
        </r>
      </text>
    </comment>
    <comment ref="H4" authorId="1" shapeId="0" xr:uid="{00000000-0006-0000-0A00-000002000000}">
      <text>
        <r>
          <rPr>
            <sz val="8"/>
            <color indexed="81"/>
            <rFont val="Tahoma"/>
            <family val="2"/>
          </rPr>
          <t>Utilization of the available PCIEs. N/A means that no PCI Express blocks are available in the selected part.</t>
        </r>
      </text>
    </comment>
    <comment ref="B7" authorId="1" shapeId="0" xr:uid="{00000000-0006-0000-0A00-000003000000}">
      <text>
        <r>
          <rPr>
            <sz val="8"/>
            <color indexed="81"/>
            <rFont val="Tahoma"/>
            <family val="2"/>
          </rPr>
          <t>The name of this PCI Express Block.</t>
        </r>
      </text>
    </comment>
    <comment ref="E7" authorId="1" shapeId="0" xr:uid="{00000000-0006-0000-0A00-000004000000}">
      <text>
        <r>
          <rPr>
            <sz val="8"/>
            <color indexed="81"/>
            <rFont val="Tahoma"/>
            <family val="2"/>
          </rPr>
          <t>The frequency of the core clock (MHz).</t>
        </r>
      </text>
    </comment>
    <comment ref="F7" authorId="0" shapeId="0" xr:uid="{00000000-0006-0000-0A00-000005000000}">
      <text>
        <r>
          <rPr>
            <sz val="8"/>
            <color indexed="81"/>
            <rFont val="Tahoma"/>
            <family val="2"/>
          </rPr>
          <t>The power consumed from the Vccint power supply.</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TITAFKAA</author>
    <author xml:space="preserve"> xilinx</author>
  </authors>
  <commentList>
    <comment ref="D4" authorId="0" shapeId="0" xr:uid="{00000000-0006-0000-0B00-000001000000}">
      <text>
        <r>
          <rPr>
            <sz val="8"/>
            <color indexed="81"/>
            <rFont val="Tahoma"/>
            <family val="2"/>
          </rPr>
          <t>The total MCB power consumed from the Vccint power supply.</t>
        </r>
      </text>
    </comment>
    <comment ref="H4" authorId="1" shapeId="0" xr:uid="{00000000-0006-0000-0B00-000002000000}">
      <text>
        <r>
          <rPr>
            <sz val="8"/>
            <color indexed="81"/>
            <rFont val="Tahoma"/>
            <family val="2"/>
          </rPr>
          <t>Utilization of the available MCBs.</t>
        </r>
      </text>
    </comment>
    <comment ref="B7" authorId="1" shapeId="0" xr:uid="{00000000-0006-0000-0B00-000003000000}">
      <text>
        <r>
          <rPr>
            <sz val="8"/>
            <color indexed="81"/>
            <rFont val="Tahoma"/>
            <family val="2"/>
          </rPr>
          <t>The name of this MCB.</t>
        </r>
      </text>
    </comment>
    <comment ref="E7" authorId="1" shapeId="0" xr:uid="{00000000-0006-0000-0B00-000004000000}">
      <text>
        <r>
          <rPr>
            <sz val="8"/>
            <color indexed="81"/>
            <rFont val="Tahoma"/>
            <family val="2"/>
          </rPr>
          <t>The frequency of the system clock used in this MCB (MHz). A 400MHz clock is used to achieve an 800Mb/s data rate.
Note that the input clock to the MCB is system_2x, which is then divided by 2 internally.</t>
        </r>
      </text>
    </comment>
    <comment ref="F7" authorId="0" shapeId="0" xr:uid="{00000000-0006-0000-0B00-000005000000}">
      <text>
        <r>
          <rPr>
            <sz val="8"/>
            <color indexed="81"/>
            <rFont val="Tahoma"/>
            <family val="2"/>
          </rPr>
          <t>The power consumed from the Vccint power supply.</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TITAFKAA</author>
  </authors>
  <commentList>
    <comment ref="AG477" authorId="0" shapeId="0" xr:uid="{00000000-0006-0000-0C00-000001000000}">
      <text>
        <r>
          <rPr>
            <sz val="8"/>
            <color indexed="81"/>
            <rFont val="Tahoma"/>
            <family val="2"/>
          </rPr>
          <t xml:space="preserve">0 = no, 1 = yes, 2= differential
</t>
        </r>
      </text>
    </comment>
  </commentList>
</comments>
</file>

<file path=xl/sharedStrings.xml><?xml version="1.0" encoding="utf-8"?>
<sst xmlns="http://schemas.openxmlformats.org/spreadsheetml/2006/main" count="6302" uniqueCount="1364">
  <si>
    <t xml:space="preserve">Copyright © 1994-2012 Xilinx, Inc. All Rights Reserved </t>
  </si>
  <si>
    <t>CLB_Test1</t>
  </si>
  <si>
    <t>CLB_Test2</t>
  </si>
  <si>
    <t>CLB_Test3</t>
  </si>
  <si>
    <t>CLB_Test4</t>
  </si>
  <si>
    <t>CLB_Test5</t>
  </si>
  <si>
    <t>CLB_Test6</t>
  </si>
  <si>
    <t>BRAM_Test1</t>
  </si>
  <si>
    <t>BRAM_Test2</t>
  </si>
  <si>
    <t>BRAM_Test3</t>
  </si>
  <si>
    <t>BRAM_Test4</t>
  </si>
  <si>
    <t>DCM_Test1</t>
  </si>
  <si>
    <t>DCM_Test2</t>
  </si>
  <si>
    <t>Clock</t>
  </si>
  <si>
    <t>Width</t>
  </si>
  <si>
    <t>Write Rate</t>
  </si>
  <si>
    <t>Voltage</t>
  </si>
  <si>
    <t>Power (W)</t>
  </si>
  <si>
    <t>Source</t>
  </si>
  <si>
    <t>Clock (MHz)</t>
  </si>
  <si>
    <t>Toggle Rate</t>
  </si>
  <si>
    <t>Vcco33</t>
  </si>
  <si>
    <t>Vcco25</t>
  </si>
  <si>
    <t>Vcco18</t>
  </si>
  <si>
    <t>Vcco15</t>
  </si>
  <si>
    <t>Vcco12</t>
  </si>
  <si>
    <t>Output Enable</t>
  </si>
  <si>
    <t>Data Rate</t>
  </si>
  <si>
    <t>SDR</t>
  </si>
  <si>
    <t>I/O Standard</t>
  </si>
  <si>
    <t>Input Pins</t>
  </si>
  <si>
    <t>Output Pins</t>
  </si>
  <si>
    <t>LUTs</t>
  </si>
  <si>
    <t>FFs</t>
  </si>
  <si>
    <t>Output Load (pF)</t>
  </si>
  <si>
    <t>BRAMs</t>
  </si>
  <si>
    <t>Low</t>
  </si>
  <si>
    <t>High</t>
  </si>
  <si>
    <t>Medium</t>
  </si>
  <si>
    <t>PPC</t>
  </si>
  <si>
    <t>DCM Power</t>
  </si>
  <si>
    <t>Name</t>
  </si>
  <si>
    <t>Block RAM Power</t>
  </si>
  <si>
    <r>
      <t>V</t>
    </r>
    <r>
      <rPr>
        <vertAlign val="subscript"/>
        <sz val="12"/>
        <color indexed="9"/>
        <rFont val="Arial"/>
        <family val="2"/>
      </rPr>
      <t>CCINT</t>
    </r>
    <r>
      <rPr>
        <sz val="12"/>
        <color indexed="9"/>
        <rFont val="Arial"/>
        <family val="2"/>
      </rPr>
      <t xml:space="preserve"> (W)</t>
    </r>
  </si>
  <si>
    <r>
      <t>V</t>
    </r>
    <r>
      <rPr>
        <vertAlign val="subscript"/>
        <sz val="12"/>
        <color indexed="9"/>
        <rFont val="Arial"/>
        <family val="2"/>
      </rPr>
      <t>CCAUX</t>
    </r>
    <r>
      <rPr>
        <sz val="12"/>
        <color indexed="9"/>
        <rFont val="Arial"/>
        <family val="2"/>
      </rPr>
      <t xml:space="preserve"> (W)</t>
    </r>
  </si>
  <si>
    <t>Enable Rate</t>
  </si>
  <si>
    <t>Read</t>
  </si>
  <si>
    <t>Write</t>
  </si>
  <si>
    <t>nominal</t>
  </si>
  <si>
    <t>min</t>
  </si>
  <si>
    <t>max</t>
  </si>
  <si>
    <t>Vccint</t>
  </si>
  <si>
    <t>Vccaux</t>
  </si>
  <si>
    <t>Iccq</t>
  </si>
  <si>
    <t>Iccauxq</t>
  </si>
  <si>
    <t>Iccoq</t>
  </si>
  <si>
    <t>LUT</t>
  </si>
  <si>
    <t>FF</t>
  </si>
  <si>
    <t>BRAM</t>
  </si>
  <si>
    <t>DCM</t>
  </si>
  <si>
    <t>GT</t>
  </si>
  <si>
    <t>DSP</t>
  </si>
  <si>
    <t>EMAC</t>
  </si>
  <si>
    <t>Packages</t>
  </si>
  <si>
    <t>JA</t>
  </si>
  <si>
    <t>JB</t>
  </si>
  <si>
    <t>JC</t>
  </si>
  <si>
    <t>JA (250)</t>
  </si>
  <si>
    <t>JA (500)</t>
  </si>
  <si>
    <t>JA (750)</t>
  </si>
  <si>
    <t>I/Os</t>
  </si>
  <si>
    <t>Banks</t>
  </si>
  <si>
    <t>BRAMCLK</t>
  </si>
  <si>
    <t>Bit Width</t>
  </si>
  <si>
    <t>CLBCLK</t>
  </si>
  <si>
    <t>CLB</t>
  </si>
  <si>
    <r>
      <t>clock</t>
    </r>
    <r>
      <rPr>
        <sz val="10"/>
        <rFont val="Arial"/>
        <family val="2"/>
      </rPr>
      <t xml:space="preserve"> * </t>
    </r>
    <r>
      <rPr>
        <b/>
        <sz val="10"/>
        <rFont val="Arial"/>
        <family val="2"/>
      </rPr>
      <t>toggle_rate</t>
    </r>
    <r>
      <rPr>
        <sz val="10"/>
        <rFont val="Arial"/>
        <family val="2"/>
      </rPr>
      <t xml:space="preserve"> * ( LUTs</t>
    </r>
    <r>
      <rPr>
        <b/>
        <sz val="10"/>
        <rFont val="Arial"/>
        <family val="2"/>
      </rPr>
      <t xml:space="preserve"> </t>
    </r>
    <r>
      <rPr>
        <sz val="10"/>
        <rFont val="Arial"/>
        <family val="2"/>
      </rPr>
      <t>* lut</t>
    </r>
    <r>
      <rPr>
        <i/>
        <sz val="10"/>
        <rFont val="Arial"/>
        <family val="2"/>
      </rPr>
      <t>_routing + SRs * sr_routing + RAM * ram_routing</t>
    </r>
    <r>
      <rPr>
        <sz val="10"/>
        <rFont val="Arial"/>
        <family val="2"/>
      </rPr>
      <t xml:space="preserve">) </t>
    </r>
  </si>
  <si>
    <t>Fanout</t>
  </si>
  <si>
    <t>SR</t>
  </si>
  <si>
    <t>RAM</t>
  </si>
  <si>
    <t>PACKAGES</t>
  </si>
  <si>
    <t>PARTS</t>
  </si>
  <si>
    <t>VOLTAGES</t>
  </si>
  <si>
    <t>Pins</t>
  </si>
  <si>
    <t>ThetaJA</t>
  </si>
  <si>
    <t>ThetaJB</t>
  </si>
  <si>
    <t>ThetaJC</t>
  </si>
  <si>
    <t>JA250</t>
  </si>
  <si>
    <t>JA500</t>
  </si>
  <si>
    <t>JA750</t>
  </si>
  <si>
    <r>
      <t xml:space="preserve">vccint * BRAMS * (PortA_clock * ((read_rate * </t>
    </r>
    <r>
      <rPr>
        <i/>
        <sz val="10"/>
        <rFont val="Arial"/>
        <family val="2"/>
      </rPr>
      <t>bit_mA</t>
    </r>
    <r>
      <rPr>
        <b/>
        <sz val="10"/>
        <rFont val="Arial"/>
        <family val="2"/>
      </rPr>
      <t xml:space="preserve">) + (write_rate * </t>
    </r>
    <r>
      <rPr>
        <i/>
        <sz val="10"/>
        <rFont val="Arial"/>
        <family val="2"/>
      </rPr>
      <t>bit_mA</t>
    </r>
    <r>
      <rPr>
        <b/>
        <sz val="10"/>
        <rFont val="Arial"/>
        <family val="2"/>
      </rPr>
      <t xml:space="preserve">)) + PortB_clock * ((read_rate * </t>
    </r>
    <r>
      <rPr>
        <i/>
        <sz val="10"/>
        <rFont val="Arial"/>
        <family val="2"/>
      </rPr>
      <t>bit_mA</t>
    </r>
    <r>
      <rPr>
        <b/>
        <sz val="10"/>
        <rFont val="Arial"/>
        <family val="2"/>
      </rPr>
      <t xml:space="preserve">) + (write_rate * </t>
    </r>
    <r>
      <rPr>
        <i/>
        <sz val="10"/>
        <rFont val="Arial"/>
        <family val="2"/>
      </rPr>
      <t>bit_mA)</t>
    </r>
    <r>
      <rPr>
        <b/>
        <sz val="10"/>
        <rFont val="Arial"/>
        <family val="2"/>
      </rPr>
      <t>))</t>
    </r>
  </si>
  <si>
    <r>
      <t xml:space="preserve">clock </t>
    </r>
    <r>
      <rPr>
        <sz val="10"/>
        <rFont val="Arial"/>
        <family val="2"/>
      </rPr>
      <t xml:space="preserve">* ( </t>
    </r>
    <r>
      <rPr>
        <b/>
        <i/>
        <sz val="10"/>
        <rFont val="Arial"/>
        <family val="2"/>
      </rPr>
      <t>FFs + SRLUTs + RAMLUTs</t>
    </r>
    <r>
      <rPr>
        <b/>
        <sz val="10"/>
        <rFont val="Arial"/>
        <family val="2"/>
      </rPr>
      <t xml:space="preserve"> </t>
    </r>
    <r>
      <rPr>
        <sz val="10"/>
        <rFont val="Arial"/>
        <family val="2"/>
      </rPr>
      <t xml:space="preserve">) * 1/2 * </t>
    </r>
    <r>
      <rPr>
        <i/>
        <sz val="10"/>
        <rFont val="Arial"/>
        <family val="2"/>
      </rPr>
      <t>clock_mA</t>
    </r>
  </si>
  <si>
    <r>
      <t>vccint * BRAMS</t>
    </r>
    <r>
      <rPr>
        <sz val="10"/>
        <rFont val="Arial"/>
        <family val="2"/>
      </rPr>
      <t xml:space="preserve"> * (</t>
    </r>
    <r>
      <rPr>
        <b/>
        <sz val="10"/>
        <rFont val="Arial"/>
        <family val="2"/>
      </rPr>
      <t>PortA_clock</t>
    </r>
    <r>
      <rPr>
        <sz val="10"/>
        <rFont val="Arial"/>
        <family val="2"/>
      </rPr>
      <t xml:space="preserve">  * {1,0} + P</t>
    </r>
    <r>
      <rPr>
        <b/>
        <sz val="10"/>
        <rFont val="Arial"/>
        <family val="2"/>
      </rPr>
      <t>ortB_clock</t>
    </r>
    <r>
      <rPr>
        <sz val="10"/>
        <rFont val="Arial"/>
        <family val="2"/>
      </rPr>
      <t xml:space="preserve"> * {1,0}) * </t>
    </r>
    <r>
      <rPr>
        <i/>
        <sz val="10"/>
        <rFont val="Arial"/>
        <family val="2"/>
      </rPr>
      <t>clock_mA</t>
    </r>
    <r>
      <rPr>
        <sz val="10"/>
        <rFont val="Arial"/>
        <family val="2"/>
      </rPr>
      <t xml:space="preserve"> </t>
    </r>
  </si>
  <si>
    <t>Package</t>
  </si>
  <si>
    <t>Grade</t>
  </si>
  <si>
    <t>Process</t>
  </si>
  <si>
    <t>IO_STANDARD</t>
  </si>
  <si>
    <t>DIFFAMP</t>
  </si>
  <si>
    <t>DCI</t>
  </si>
  <si>
    <t>Index</t>
  </si>
  <si>
    <t>Each test section consists of a named range with parameters and expected results.</t>
  </si>
  <si>
    <t>SREGs</t>
  </si>
  <si>
    <t>SelRAMs</t>
  </si>
  <si>
    <t>Toggle</t>
  </si>
  <si>
    <t>Vccauxq</t>
  </si>
  <si>
    <t>Mode</t>
  </si>
  <si>
    <t>Vccuaxq</t>
  </si>
  <si>
    <t>Num</t>
  </si>
  <si>
    <t>Enable</t>
  </si>
  <si>
    <t>IO Tests</t>
  </si>
  <si>
    <t>Input</t>
  </si>
  <si>
    <t>Output</t>
  </si>
  <si>
    <t>Bidir</t>
  </si>
  <si>
    <t>Load</t>
  </si>
  <si>
    <t>Rate</t>
  </si>
  <si>
    <t>Vcco</t>
  </si>
  <si>
    <t>DDR</t>
  </si>
  <si>
    <t>BRAM_Test5</t>
  </si>
  <si>
    <t>Commercial</t>
  </si>
  <si>
    <t>Industrial</t>
  </si>
  <si>
    <t>Typical</t>
  </si>
  <si>
    <t>Maximum</t>
  </si>
  <si>
    <t>Stepping</t>
  </si>
  <si>
    <t>Stepping - 1</t>
  </si>
  <si>
    <t>Stepping - 2</t>
  </si>
  <si>
    <t>Bidir Pins</t>
  </si>
  <si>
    <t>Fclk</t>
  </si>
  <si>
    <t>Typ2</t>
  </si>
  <si>
    <t>Typ1</t>
  </si>
  <si>
    <t>Typ3</t>
  </si>
  <si>
    <t>PCI33 3mA</t>
  </si>
  <si>
    <t>PCI66 3mA</t>
  </si>
  <si>
    <t>PCIX</t>
  </si>
  <si>
    <t>SSTL2 Class I</t>
  </si>
  <si>
    <t>HSTL Class I</t>
  </si>
  <si>
    <t>HSTL Class III 1.8V</t>
  </si>
  <si>
    <t>HSTL Class I 1.8V</t>
  </si>
  <si>
    <t>LVDS 2.5V (pair)</t>
  </si>
  <si>
    <t>Comments</t>
  </si>
  <si>
    <t>Count</t>
  </si>
  <si>
    <t>Utilization</t>
  </si>
  <si>
    <t>Total</t>
  </si>
  <si>
    <t>LVTTL 2mA (Fast)</t>
  </si>
  <si>
    <t>LVTTL 4mA (Fast)</t>
  </si>
  <si>
    <t>LVTTL 6mA (Fast)</t>
  </si>
  <si>
    <t>LVTTL 8mA (Fast)</t>
  </si>
  <si>
    <t>LVTTL 12mA (Fast)</t>
  </si>
  <si>
    <t>LVTTL 16mA (Fast)</t>
  </si>
  <si>
    <t>LVTTL 24mA (Fast)</t>
  </si>
  <si>
    <t>LVCMOS 1.5V 2mA (Fast)</t>
  </si>
  <si>
    <t>LVCMOS 1.5V 4mA (Fast)</t>
  </si>
  <si>
    <t>LVCMOS 1.5V 6mA (Fast)</t>
  </si>
  <si>
    <t>LVCMOS 1.5V 8mA (Fast)</t>
  </si>
  <si>
    <t>LVCMOS 1.5V 12mA (Fast)</t>
  </si>
  <si>
    <t>LVCMOS 1.8V 2mA (Fast)</t>
  </si>
  <si>
    <t>LVCMOS 1.8V 4mA (Fast)</t>
  </si>
  <si>
    <t>LVCMOS 1.8V 6mA (Fast)</t>
  </si>
  <si>
    <t>LVCMOS 1.8V 8mA (Fast)</t>
  </si>
  <si>
    <t>LVCMOS 1.8V 12mA (Fast)</t>
  </si>
  <si>
    <t>LVCMOS 1.8V 16mA (Fast)</t>
  </si>
  <si>
    <t>LVCMOS 2.5V 2mA (Fast)</t>
  </si>
  <si>
    <t>LVCMOS 2.5V 4mA (Fast)</t>
  </si>
  <si>
    <t>LVCMOS 2.5V 6mA (Fast)</t>
  </si>
  <si>
    <t>LVCMOS 2.5V 8mA (Fast)</t>
  </si>
  <si>
    <t>LVCMOS 2.5V 12mA (Fast)</t>
  </si>
  <si>
    <t>LVCMOS 2.5V 16mA (Fast)</t>
  </si>
  <si>
    <t>LVCMOS 2.5V 24mA (Fast)</t>
  </si>
  <si>
    <t>LVCMOS 3.3V 2mA (Fast)</t>
  </si>
  <si>
    <t>LVCMOS 3.3V 4mA (Fast)</t>
  </si>
  <si>
    <t>LVCMOS 3.3V 6mA (Fast)</t>
  </si>
  <si>
    <t>LVCMOS 3.3V 8mA (Fast)</t>
  </si>
  <si>
    <t>LVCMOS 3.3V 12mA (Fast)</t>
  </si>
  <si>
    <t>LVCMOS 3.3V 16mA (Fast)</t>
  </si>
  <si>
    <t>LVCMOS 3.3V 24mA (Fast)</t>
  </si>
  <si>
    <t>LVTTL 2mA (Slow)</t>
  </si>
  <si>
    <t>LVTTL 4mA (Slow)</t>
  </si>
  <si>
    <t>LVTTL 6mA (Slow)</t>
  </si>
  <si>
    <t>LVTTL 8mA (Slow)</t>
  </si>
  <si>
    <t>LVTTL 12mA (Slow)</t>
  </si>
  <si>
    <t>LVTTL 16mA (Slow)</t>
  </si>
  <si>
    <t>LVTTL 24mA (Slow)</t>
  </si>
  <si>
    <t>LVCMOS 1.5V 2mA (Slow)</t>
  </si>
  <si>
    <t>LVCMOS 1.5V 4mA (Slow)</t>
  </si>
  <si>
    <t>LVCMOS 1.5V 6mA (Slow)</t>
  </si>
  <si>
    <t>LVCMOS 1.5V 8mA (Slow)</t>
  </si>
  <si>
    <t>LVCMOS 1.5V 12mA (Slow)</t>
  </si>
  <si>
    <t>LVCMOS 1.8V 2mA (Slow)</t>
  </si>
  <si>
    <t>LVCMOS 1.8V 4mA (Slow)</t>
  </si>
  <si>
    <t>LVCMOS 1.8V 6mA (Slow)</t>
  </si>
  <si>
    <t>LVCMOS 1.8V 8mA (Slow)</t>
  </si>
  <si>
    <t>LVCMOS 1.8V 12mA (Slow)</t>
  </si>
  <si>
    <t>LVCMOS 1.8V 16mA (Slow)</t>
  </si>
  <si>
    <t>LVCMOS 2.5V 2mA (Slow)</t>
  </si>
  <si>
    <t>LVCMOS 2.5V 4mA (Slow)</t>
  </si>
  <si>
    <t>LVCMOS 2.5V 6mA (Slow)</t>
  </si>
  <si>
    <t>LVCMOS 2.5V 8mA (Slow)</t>
  </si>
  <si>
    <t>LVCMOS 2.5V 12mA (Slow)</t>
  </si>
  <si>
    <t>LVCMOS 2.5V 16mA (Slow)</t>
  </si>
  <si>
    <t>LVCMOS 2.5V 24mA (Slow)</t>
  </si>
  <si>
    <t>LVCMOS 3.3V 2mA (Slow)</t>
  </si>
  <si>
    <t>LVCMOS 3.3V 4mA (Slow)</t>
  </si>
  <si>
    <t>LVCMOS 3.3V 6mA (Slow)</t>
  </si>
  <si>
    <t>LVCMOS 3.3V 8mA (Slow)</t>
  </si>
  <si>
    <t>LVCMOS 3.3V 12mA (Slow)</t>
  </si>
  <si>
    <t>LVCMOS 3.3V 16mA (Slow)</t>
  </si>
  <si>
    <t>LVCMOS 3.3V 24mA (Slow)</t>
  </si>
  <si>
    <t>RSDS 2.5V (pair)</t>
  </si>
  <si>
    <t>Vcco mA</t>
  </si>
  <si>
    <t>IO</t>
  </si>
  <si>
    <t>Date</t>
  </si>
  <si>
    <t>Version</t>
  </si>
  <si>
    <t>Notes</t>
  </si>
  <si>
    <t>BLVDS (pair)</t>
  </si>
  <si>
    <t>LVPECL (pair)</t>
  </si>
  <si>
    <t>SSTL Class I 1.8V</t>
  </si>
  <si>
    <t>Device</t>
  </si>
  <si>
    <t>Logic Power</t>
  </si>
  <si>
    <t>Shift Registers</t>
  </si>
  <si>
    <t>Average Fanout</t>
  </si>
  <si>
    <t>PLL</t>
  </si>
  <si>
    <t>PCIE</t>
  </si>
  <si>
    <t>I (mA)</t>
  </si>
  <si>
    <t>I/F (mA/MHz)</t>
  </si>
  <si>
    <t>Regulator static current</t>
  </si>
  <si>
    <t>TQ144</t>
  </si>
  <si>
    <t>FT256</t>
  </si>
  <si>
    <t>FG320</t>
  </si>
  <si>
    <t>FG400</t>
  </si>
  <si>
    <t>FG484</t>
  </si>
  <si>
    <t>Vccaux_dynamic_HF</t>
  </si>
  <si>
    <t>Vccaux_dynamic_LF</t>
  </si>
  <si>
    <t>Vccint_dynamic_LF</t>
  </si>
  <si>
    <t>Vccint_dynamic_HF</t>
  </si>
  <si>
    <r>
      <t>vccint * clock * enable_rate *</t>
    </r>
    <r>
      <rPr>
        <sz val="10"/>
        <rFont val="Arial"/>
        <family val="2"/>
      </rPr>
      <t xml:space="preserve"> mult</t>
    </r>
    <r>
      <rPr>
        <i/>
        <sz val="10"/>
        <rFont val="Arial"/>
        <family val="2"/>
      </rPr>
      <t>_mA_MHz</t>
    </r>
    <r>
      <rPr>
        <sz val="10"/>
        <rFont val="Arial"/>
        <family val="2"/>
      </rPr>
      <t xml:space="preserve"> * </t>
    </r>
    <r>
      <rPr>
        <b/>
        <sz val="10"/>
        <rFont val="Arial"/>
        <family val="2"/>
      </rPr>
      <t>number_of_mults</t>
    </r>
  </si>
  <si>
    <t>Multiplier Power</t>
  </si>
  <si>
    <t>Multipliers</t>
  </si>
  <si>
    <t>Temperature Tracking</t>
  </si>
  <si>
    <t>I/O Power</t>
  </si>
  <si>
    <t>Type</t>
  </si>
  <si>
    <t>Internal</t>
  </si>
  <si>
    <t>Iccaux</t>
  </si>
  <si>
    <t>MAP Name</t>
  </si>
  <si>
    <t>BLVDS_25</t>
  </si>
  <si>
    <t>HSTL_I_18</t>
  </si>
  <si>
    <t>HSTL_III_18</t>
  </si>
  <si>
    <t>LVCMOS15_2_SLOW</t>
  </si>
  <si>
    <t>LVCMOS15_2_FAST</t>
  </si>
  <si>
    <t>LVCMOS15_4_SLOW</t>
  </si>
  <si>
    <t>LVCMOS15_4_FAST</t>
  </si>
  <si>
    <t>LVCMOS15_6_SLOW</t>
  </si>
  <si>
    <t>LVCMOS15_6_FAST</t>
  </si>
  <si>
    <t>LVCMOS15_8_SLOW</t>
  </si>
  <si>
    <t>LVCMOS15_8_FAST</t>
  </si>
  <si>
    <t>LVCMOS15_12_SLOW</t>
  </si>
  <si>
    <t>LVCMOS15_12_FAST</t>
  </si>
  <si>
    <t>LVCMOS18_2_SLOW</t>
  </si>
  <si>
    <t>LVCMOS18_2_FAST</t>
  </si>
  <si>
    <t>LVCMOS18_4_SLOW</t>
  </si>
  <si>
    <t>LVCMOS18_4_FAST</t>
  </si>
  <si>
    <t>LVCMOS18_6_SLOW</t>
  </si>
  <si>
    <t>LVCMOS18_6_FAST</t>
  </si>
  <si>
    <t>LVCMOS18_8_SLOW</t>
  </si>
  <si>
    <t>LVCMOS18_8_FAST</t>
  </si>
  <si>
    <t>LVCMOS18_12_SLOW</t>
  </si>
  <si>
    <t>LVCMOS18_12_FAST</t>
  </si>
  <si>
    <t>LVCMOS18_16_SLOW</t>
  </si>
  <si>
    <t>LVCMOS18_16_FAST</t>
  </si>
  <si>
    <t>LVCMOS25_2_SLOW</t>
  </si>
  <si>
    <t>LVCMOS25_2_FAST</t>
  </si>
  <si>
    <t>LVCMOS25_4_SLOW</t>
  </si>
  <si>
    <t>LVCMOS25_4_FAST</t>
  </si>
  <si>
    <t>LVCMOS25_6_SLOW</t>
  </si>
  <si>
    <t>LVCMOS25_6_FAST</t>
  </si>
  <si>
    <t>LVCMOS25_8_SLOW</t>
  </si>
  <si>
    <t>LVCMOS25_8_FAST</t>
  </si>
  <si>
    <t>LVCMOS25_12_SLOW</t>
  </si>
  <si>
    <t>LVCMOS25_12_FAST</t>
  </si>
  <si>
    <t>LVCMOS25_16_SLOW</t>
  </si>
  <si>
    <t>LVCMOS25_16_FAST</t>
  </si>
  <si>
    <t>LVCMOS25_24_SLOW</t>
  </si>
  <si>
    <t>LVCMOS25_24_FAST</t>
  </si>
  <si>
    <t>LVCMOS33_2_SLOW</t>
  </si>
  <si>
    <t>LVCMOS33_2_FAST</t>
  </si>
  <si>
    <t>LVCMOS33_4_SLOW</t>
  </si>
  <si>
    <t>LVCMOS33_4_FAST</t>
  </si>
  <si>
    <t>LVCMOS33_6_SLOW</t>
  </si>
  <si>
    <t>LVCMOS33_6_FAST</t>
  </si>
  <si>
    <t>LVCMOS33_8_SLOW</t>
  </si>
  <si>
    <t>LVCMOS33_8_FAST</t>
  </si>
  <si>
    <t>LVCMOS33_12_SLOW</t>
  </si>
  <si>
    <t>LVCMOS33_12_FAST</t>
  </si>
  <si>
    <t>LVCMOS33_16_SLOW</t>
  </si>
  <si>
    <t>LVCMOS33_16_FAST</t>
  </si>
  <si>
    <t>LVCMOS33_24_SLOW</t>
  </si>
  <si>
    <t>LVCMOS33_24_FAST</t>
  </si>
  <si>
    <t>LVDS_25</t>
  </si>
  <si>
    <t>LVPECL_25</t>
  </si>
  <si>
    <t>LVTTL_2_SLOW</t>
  </si>
  <si>
    <t>LVTTL_2_FAST</t>
  </si>
  <si>
    <t>LVTTL_4_SLOW</t>
  </si>
  <si>
    <t>LVTTL_4_FAST</t>
  </si>
  <si>
    <t>LVTTL_6_SLOW</t>
  </si>
  <si>
    <t>LVTTL_6_FAST</t>
  </si>
  <si>
    <t>LVTTL_8_SLOW</t>
  </si>
  <si>
    <t>LVTTL_8_FAST</t>
  </si>
  <si>
    <t>LVTTL_12_SLOW</t>
  </si>
  <si>
    <t>LVTTL_12_FAST</t>
  </si>
  <si>
    <t>LVTTL_16_SLOW</t>
  </si>
  <si>
    <t>LVTTL_16_FAST</t>
  </si>
  <si>
    <t>LVTTL_24_SLOW</t>
  </si>
  <si>
    <t>LVTTL_24_FAST</t>
  </si>
  <si>
    <t>PCI33_3</t>
  </si>
  <si>
    <t>PCI66_3</t>
  </si>
  <si>
    <t>RSDS_25</t>
  </si>
  <si>
    <t>SSTL2_I</t>
  </si>
  <si>
    <t>Port B</t>
  </si>
  <si>
    <t>Port A</t>
  </si>
  <si>
    <t>LOGIC</t>
  </si>
  <si>
    <t>MULT</t>
  </si>
  <si>
    <t>SSTL18_I</t>
  </si>
  <si>
    <t>Comm</t>
  </si>
  <si>
    <t>FG676</t>
  </si>
  <si>
    <t>XC3S50A</t>
  </si>
  <si>
    <t>XC3S200A</t>
  </si>
  <si>
    <t>XC3S400A</t>
  </si>
  <si>
    <t>XC3S700A</t>
  </si>
  <si>
    <t>XC3S1400A</t>
  </si>
  <si>
    <t>XC3S50A:TQ144</t>
  </si>
  <si>
    <t>XC3S50A:FT256</t>
  </si>
  <si>
    <t>XC3S200A:FT256</t>
  </si>
  <si>
    <t>XC3S200A:FG320</t>
  </si>
  <si>
    <t>XC3S400A:FG320</t>
  </si>
  <si>
    <t>XC3S400A:FG400</t>
  </si>
  <si>
    <t>XC3S400A:FT256</t>
  </si>
  <si>
    <t>XC3S700A:FG400</t>
  </si>
  <si>
    <t>XC3S700A:FG484</t>
  </si>
  <si>
    <t>XC3S1400A:FG484</t>
  </si>
  <si>
    <t>XC3S1400A:FG676</t>
  </si>
  <si>
    <t>XC3S1800A:FG676</t>
  </si>
  <si>
    <t>XC3S1800A:FG900</t>
  </si>
  <si>
    <t>LVCMOS 1.2V 2mA (Slow)</t>
  </si>
  <si>
    <t>LVCMOS 1.2V 2mA (Fast)</t>
  </si>
  <si>
    <t>LVCMOS12_2_SLOW</t>
  </si>
  <si>
    <t>LVCMOS12_2_FAST</t>
  </si>
  <si>
    <t>MULT_Test1</t>
  </si>
  <si>
    <t>MULT_Test2</t>
  </si>
  <si>
    <t>MULT_Test3</t>
  </si>
  <si>
    <t>HSTL_I</t>
  </si>
  <si>
    <t>HSTL Class III</t>
  </si>
  <si>
    <t>HSTL_III</t>
  </si>
  <si>
    <t>HSTL Class II 1.8V</t>
  </si>
  <si>
    <t>HSTL_II_18</t>
  </si>
  <si>
    <t>LVCMOS 1.2V 4mA (Slow)</t>
  </si>
  <si>
    <t>LVCMOS 1.2V 4mA (Fast)</t>
  </si>
  <si>
    <t>LVCMOS 1.2V 6mA (Slow)</t>
  </si>
  <si>
    <t>LVCMOS 1.2V 6mA (Fast)</t>
  </si>
  <si>
    <t>LVCMOS12_4_SLOW</t>
  </si>
  <si>
    <t>LVCMOS12_4_FAST</t>
  </si>
  <si>
    <t>LVCMOS12_6_SLOW</t>
  </si>
  <si>
    <t>LVCMOS12_6_FAST</t>
  </si>
  <si>
    <t>PPDS 2.5V (pair)</t>
  </si>
  <si>
    <t>PPDS 3.3V (pair)</t>
  </si>
  <si>
    <t>RSDS_33</t>
  </si>
  <si>
    <t>PPDS_25</t>
  </si>
  <si>
    <t>PPDS_33</t>
  </si>
  <si>
    <t>TMDS_33</t>
  </si>
  <si>
    <t>SSTL Class II 1.8V</t>
  </si>
  <si>
    <t>SSTL2 Class II</t>
  </si>
  <si>
    <t>SSTL2_II</t>
  </si>
  <si>
    <t>SSTL3 Class I</t>
  </si>
  <si>
    <t>SSTL3 Class II</t>
  </si>
  <si>
    <t>SSTL3_I</t>
  </si>
  <si>
    <t>SSTL3_II</t>
  </si>
  <si>
    <t>TMDS 3.3V (pair)</t>
  </si>
  <si>
    <t>Mini LVDS 2.5V (pair)</t>
  </si>
  <si>
    <t>MINI_LVDS_25</t>
  </si>
  <si>
    <t>MINI_LVDS_33</t>
  </si>
  <si>
    <t>LVDS_33</t>
  </si>
  <si>
    <t>Suspend</t>
  </si>
  <si>
    <t>Hibernate</t>
  </si>
  <si>
    <t>Power Mode</t>
  </si>
  <si>
    <t>Suspend Mode</t>
  </si>
  <si>
    <t>Active</t>
  </si>
  <si>
    <t>Max</t>
  </si>
  <si>
    <t>XC3S50AN</t>
  </si>
  <si>
    <t>XC3S200AN</t>
  </si>
  <si>
    <t>XC3S400AN</t>
  </si>
  <si>
    <t>XC3S700AN</t>
  </si>
  <si>
    <t>XC3S1400AN</t>
  </si>
  <si>
    <t>XC3S50AN:TQ144</t>
  </si>
  <si>
    <t>XC3S200AN:FT256</t>
  </si>
  <si>
    <t>XC3S400AN:FG400</t>
  </si>
  <si>
    <t>XC3S700AN:FG484</t>
  </si>
  <si>
    <t>XC3S1400AN:FG676</t>
  </si>
  <si>
    <t>- "AN" parts added</t>
  </si>
  <si>
    <t>9.1.02</t>
  </si>
  <si>
    <t>3state</t>
  </si>
  <si>
    <t>Pullup</t>
  </si>
  <si>
    <t>Pulldown</t>
  </si>
  <si>
    <t>Keeper</t>
  </si>
  <si>
    <t>Drivelast</t>
  </si>
  <si>
    <t>LVDS 3.3V (pair)</t>
  </si>
  <si>
    <t>9.1.03</t>
  </si>
  <si>
    <t>Mini LVDS 3.3V (pair)</t>
  </si>
  <si>
    <t>RSDS 3.3V (pair)</t>
  </si>
  <si>
    <t>Iccintq</t>
  </si>
  <si>
    <t>PVT Tests</t>
  </si>
  <si>
    <t>Clock Tree Power</t>
  </si>
  <si>
    <t>Global Utilization</t>
  </si>
  <si>
    <t>Frequency (MHz)</t>
  </si>
  <si>
    <t>Global</t>
  </si>
  <si>
    <t>BUFG</t>
  </si>
  <si>
    <t>HROW</t>
  </si>
  <si>
    <t>LEAF</t>
  </si>
  <si>
    <t>Local</t>
  </si>
  <si>
    <t>CLOCK</t>
  </si>
  <si>
    <t>mA</t>
  </si>
  <si>
    <t>mA/MHz</t>
  </si>
  <si>
    <t>mA/MHZ</t>
  </si>
  <si>
    <t>OMUX</t>
  </si>
  <si>
    <t>DBL</t>
  </si>
  <si>
    <t>HEX</t>
  </si>
  <si>
    <t>PortA</t>
  </si>
  <si>
    <t>PortB</t>
  </si>
  <si>
    <t>Routing</t>
  </si>
  <si>
    <t>BRAM_Test6</t>
  </si>
  <si>
    <t>BRAM_Test7</t>
  </si>
  <si>
    <t>BRAM_Test8</t>
  </si>
  <si>
    <t>VQ100</t>
  </si>
  <si>
    <t>XC3S50A:VQ100</t>
  </si>
  <si>
    <t>XC3S200A:VQ100</t>
  </si>
  <si>
    <t>XC3S700A:FT256</t>
  </si>
  <si>
    <t>XC3S1400A:FT256</t>
  </si>
  <si>
    <t>9.2.04</t>
  </si>
  <si>
    <t>slice_2_10k</t>
  </si>
  <si>
    <t>slice_2_20k</t>
  </si>
  <si>
    <t>slice_3_10k</t>
  </si>
  <si>
    <t>slice_3_20k</t>
  </si>
  <si>
    <t>slice_4_10k</t>
  </si>
  <si>
    <t>slice_4_20k</t>
  </si>
  <si>
    <t>LUTs/FFs</t>
  </si>
  <si>
    <t>LUT Design Tests</t>
  </si>
  <si>
    <t>Clock (W)</t>
  </si>
  <si>
    <t>Logic (W)</t>
  </si>
  <si>
    <t>Iccint mA</t>
  </si>
  <si>
    <t>Vccint W</t>
  </si>
  <si>
    <t>BRAM Design Tests</t>
  </si>
  <si>
    <t>top_16bit_S3A-DP</t>
  </si>
  <si>
    <t>BRAM Design Clock</t>
  </si>
  <si>
    <t>BRAM Design Logic</t>
  </si>
  <si>
    <t>SRAMs</t>
  </si>
  <si>
    <t>Measure (mA)</t>
  </si>
  <si>
    <t>Total Iccint (mA)</t>
  </si>
  <si>
    <t>BRAMs Vccint</t>
  </si>
  <si>
    <t>% Diff</t>
  </si>
  <si>
    <t>Actual mA</t>
  </si>
  <si>
    <t>This sheet is intentionally blank and provided for the user to perform any calculations or add documentation.</t>
  </si>
  <si>
    <t>Optimization</t>
  </si>
  <si>
    <t>None</t>
  </si>
  <si>
    <t>1400A XPE Typ</t>
  </si>
  <si>
    <t>1400A XPE Max</t>
  </si>
  <si>
    <t>TTTT_0</t>
  </si>
  <si>
    <t>FFFF</t>
  </si>
  <si>
    <t>dci_bank_input_current</t>
  </si>
  <si>
    <t>Static Output Current</t>
  </si>
  <si>
    <t>Static Input Current</t>
  </si>
  <si>
    <t>Static Power</t>
  </si>
  <si>
    <t>Output on-chip static power</t>
  </si>
  <si>
    <t>Input on-chip static power</t>
  </si>
  <si>
    <t>Bank mA</t>
  </si>
  <si>
    <t>Voh</t>
  </si>
  <si>
    <t>Vol</t>
  </si>
  <si>
    <t>mW</t>
  </si>
  <si>
    <t>DIFF_HSTL_I_18</t>
  </si>
  <si>
    <t>DIFF_HSTL_II_18</t>
  </si>
  <si>
    <t>DIFF_HSTL_III_18</t>
  </si>
  <si>
    <t>DIFF_SSTL18_I</t>
  </si>
  <si>
    <t>DIFF_SSTL18_II</t>
  </si>
  <si>
    <t>DIFF_SSTL2_I</t>
  </si>
  <si>
    <t>DIFF_SSTL2_II</t>
  </si>
  <si>
    <t>DIFF_SSTL3_I</t>
  </si>
  <si>
    <t>DIFF_SSTL3_II</t>
  </si>
  <si>
    <t>LVPECL 2.5V (pair)</t>
  </si>
  <si>
    <t>LVPECL 3.3V (pair)</t>
  </si>
  <si>
    <t>LVPECL_33</t>
  </si>
  <si>
    <t>MINI LVDS 2.5V (pair)</t>
  </si>
  <si>
    <t>MINI LVDS 3.3V (pair)</t>
  </si>
  <si>
    <t>SSTL18_II</t>
  </si>
  <si>
    <t>Diff HSTL Class I 1.8V (pair)</t>
  </si>
  <si>
    <t>Diff HSTL Class II 1.8V (pair)</t>
  </si>
  <si>
    <t>Diff HSTL Class III 1.8V (pair)</t>
  </si>
  <si>
    <t>Diff SSTL Class I 1.8V (pair)</t>
  </si>
  <si>
    <t>Diff SSTL Class II 1.8V (pair)</t>
  </si>
  <si>
    <t>Diff SSTL2 Class I (pair)</t>
  </si>
  <si>
    <t>Diff SSTL2 Class II (pair)</t>
  </si>
  <si>
    <t>Diff SSTL3 Class I (pair)</t>
  </si>
  <si>
    <t>Diff SSTL3 Class II (pair)</t>
  </si>
  <si>
    <t>PCI33 3V</t>
  </si>
  <si>
    <t>PCI66 3V</t>
  </si>
  <si>
    <t>XC3SD1800A</t>
  </si>
  <si>
    <t>CS484</t>
  </si>
  <si>
    <t>XC3SD3400A</t>
  </si>
  <si>
    <t>XC3SD1800A-LP</t>
  </si>
  <si>
    <t>XC3SD3400A-LP</t>
  </si>
  <si>
    <t>XC3SD1800A:CS484</t>
  </si>
  <si>
    <t>XC3SD1800A:FG676</t>
  </si>
  <si>
    <t>XC3SD3400A:CS484</t>
  </si>
  <si>
    <t>XC3SD3400A:FG676</t>
  </si>
  <si>
    <r>
      <t>vccint * clock * toggle_rate *</t>
    </r>
    <r>
      <rPr>
        <sz val="10"/>
        <rFont val="Arial"/>
        <family val="2"/>
      </rPr>
      <t xml:space="preserve"> DSP</t>
    </r>
    <r>
      <rPr>
        <i/>
        <sz val="10"/>
        <rFont val="Arial"/>
        <family val="2"/>
      </rPr>
      <t>_mA_MHz</t>
    </r>
    <r>
      <rPr>
        <sz val="10"/>
        <rFont val="Arial"/>
        <family val="2"/>
      </rPr>
      <t xml:space="preserve"> * </t>
    </r>
    <r>
      <rPr>
        <b/>
        <sz val="10"/>
        <rFont val="Arial"/>
        <family val="2"/>
      </rPr>
      <t>number_of_DSPs</t>
    </r>
  </si>
  <si>
    <t>DSP_mA_MHz</t>
  </si>
  <si>
    <t>DSP Slices</t>
  </si>
  <si>
    <t>Pre-Adder Used?</t>
  </si>
  <si>
    <t>No</t>
  </si>
  <si>
    <t>IO DELAY</t>
  </si>
  <si>
    <t>Off</t>
  </si>
  <si>
    <t>DEL_int</t>
  </si>
  <si>
    <t>Normal</t>
  </si>
  <si>
    <t>High Perf</t>
  </si>
  <si>
    <t>ma/MHz</t>
  </si>
  <si>
    <t>CTRL mA</t>
  </si>
  <si>
    <t>Voh-Vol</t>
  </si>
  <si>
    <t>3.3V</t>
  </si>
  <si>
    <t>2.5V</t>
  </si>
  <si>
    <t>1.8V</t>
  </si>
  <si>
    <t>1.5V</t>
  </si>
  <si>
    <t>1.2V</t>
  </si>
  <si>
    <t>Quiescent Current</t>
  </si>
  <si>
    <t>SING</t>
  </si>
  <si>
    <t>QUAD</t>
  </si>
  <si>
    <t>SRLUT</t>
  </si>
  <si>
    <t>SRAM</t>
  </si>
  <si>
    <t>Usage</t>
  </si>
  <si>
    <t>Fanout  - S3a/dsp</t>
  </si>
  <si>
    <t>Stan</t>
  </si>
  <si>
    <t>RAMB18</t>
  </si>
  <si>
    <t>Modes</t>
  </si>
  <si>
    <t>RAMB16</t>
  </si>
  <si>
    <t>RAMB9</t>
  </si>
  <si>
    <t>PortA Col</t>
  </si>
  <si>
    <t>PortB Col</t>
  </si>
  <si>
    <t>Write Mode</t>
  </si>
  <si>
    <t>WRITE_FIRST</t>
  </si>
  <si>
    <t>S3A/N/DSP</t>
  </si>
  <si>
    <t>RAMB16READ_FIRST</t>
  </si>
  <si>
    <t>RAMB16WRITE_FIRST</t>
  </si>
  <si>
    <t>RAMB16NO_CHANGE</t>
  </si>
  <si>
    <t>RAMB9READ_FIRST</t>
  </si>
  <si>
    <t>RAMB9WRITE_FIRST</t>
  </si>
  <si>
    <t>RAMB9NO_CHANGE</t>
  </si>
  <si>
    <t>RAMB18READ_FIRST</t>
  </si>
  <si>
    <t>RAMB18WRITE_FIRST</t>
  </si>
  <si>
    <t>RAMB18NO_CHANGE</t>
  </si>
  <si>
    <t>Fanout - Stan</t>
  </si>
  <si>
    <t>S3a-DSP</t>
  </si>
  <si>
    <t>Col Index</t>
  </si>
  <si>
    <t>Data Row Offset</t>
  </si>
  <si>
    <t>GTP</t>
  </si>
  <si>
    <t>PCIe</t>
  </si>
  <si>
    <t>MCB</t>
  </si>
  <si>
    <t>11.1 Beta-1</t>
  </si>
  <si>
    <t>Spartan-6</t>
  </si>
  <si>
    <t>Spartan-3A/N/DSP</t>
  </si>
  <si>
    <t>PLL Power</t>
  </si>
  <si>
    <t>off</t>
  </si>
  <si>
    <t>Divide Counter</t>
  </si>
  <si>
    <t>Multiply Counter</t>
  </si>
  <si>
    <t>Clock 0 Divide</t>
  </si>
  <si>
    <t>Clock 1 Divide</t>
  </si>
  <si>
    <t>Clock 2 Divide</t>
  </si>
  <si>
    <t>Clock 3 Divide</t>
  </si>
  <si>
    <t>Clock 4 Divide</t>
  </si>
  <si>
    <t>Clock 5 Divide</t>
  </si>
  <si>
    <t>PLL_AUX_MA</t>
  </si>
  <si>
    <t>PLL_MA</t>
  </si>
  <si>
    <t>D_PLL_AUX</t>
  </si>
  <si>
    <t>D_PLL</t>
  </si>
  <si>
    <t>Operational Mode</t>
  </si>
  <si>
    <t>TX O/P</t>
  </si>
  <si>
    <t>Transceiver</t>
  </si>
  <si>
    <t>VCO MIN</t>
  </si>
  <si>
    <t>VCO MAX</t>
  </si>
  <si>
    <t>Grounded</t>
  </si>
  <si>
    <t>AVCCPLLQ</t>
  </si>
  <si>
    <t>AVTTTXQ</t>
  </si>
  <si>
    <t>AVTTRXQ</t>
  </si>
  <si>
    <t>MGTAVtttx</t>
  </si>
  <si>
    <t>MGTAVttrx</t>
  </si>
  <si>
    <t>MGTAVttrxc</t>
  </si>
  <si>
    <t>Typ (DC) mA</t>
  </si>
  <si>
    <t>Max (DC)</t>
  </si>
  <si>
    <t>Typ mA/MHZ</t>
  </si>
  <si>
    <t>Max mA/MHZ</t>
  </si>
  <si>
    <r>
      <t xml:space="preserve">vccint_n * vccint * ((PCIE_clock * </t>
    </r>
    <r>
      <rPr>
        <i/>
        <sz val="10"/>
        <rFont val="Arial"/>
        <family val="2"/>
      </rPr>
      <t>PCIE_mA_MHz</t>
    </r>
    <r>
      <rPr>
        <b/>
        <sz val="10"/>
        <rFont val="Arial"/>
        <family val="2"/>
      </rPr>
      <t>) + (User_clock * User</t>
    </r>
    <r>
      <rPr>
        <i/>
        <sz val="10"/>
        <rFont val="Arial"/>
        <family val="2"/>
      </rPr>
      <t>_mA_MHz</t>
    </r>
    <r>
      <rPr>
        <b/>
        <sz val="10"/>
        <rFont val="Arial"/>
        <family val="2"/>
      </rPr>
      <t>) + (PCIE_clock * (num_lanes * Lane</t>
    </r>
    <r>
      <rPr>
        <i/>
        <sz val="10"/>
        <rFont val="Arial"/>
        <family val="2"/>
      </rPr>
      <t>_mA_MHz</t>
    </r>
    <r>
      <rPr>
        <b/>
        <i/>
        <sz val="10"/>
        <rFont val="Arial"/>
        <family val="2"/>
      </rPr>
      <t>))</t>
    </r>
  </si>
  <si>
    <t>Core_mA_MHz</t>
  </si>
  <si>
    <t>User_mA_MHz</t>
  </si>
  <si>
    <t>Lane_mA_MHz</t>
  </si>
  <si>
    <t>PCI Express Power</t>
  </si>
  <si>
    <t>AVccpll</t>
  </si>
  <si>
    <t>AVtttx</t>
  </si>
  <si>
    <t>AVttrx</t>
  </si>
  <si>
    <t>AVcctx</t>
  </si>
  <si>
    <t>AVccrx</t>
  </si>
  <si>
    <t>AVCCQ</t>
  </si>
  <si>
    <t>c1</t>
  </si>
  <si>
    <t>c2</t>
  </si>
  <si>
    <t>Typ</t>
  </si>
  <si>
    <t>XC6SLX4</t>
  </si>
  <si>
    <t>XC6SLX9</t>
  </si>
  <si>
    <t>XC6SLX16</t>
  </si>
  <si>
    <t>XC6SLX25</t>
  </si>
  <si>
    <t>XC6SLX45</t>
  </si>
  <si>
    <t>XC6SLX150</t>
  </si>
  <si>
    <t>XC6SLX25T</t>
  </si>
  <si>
    <t>XC6SLX45T</t>
  </si>
  <si>
    <t>XC6SLX150T</t>
  </si>
  <si>
    <t>TQG144</t>
  </si>
  <si>
    <t>CSG225</t>
  </si>
  <si>
    <t>CSG324</t>
  </si>
  <si>
    <t>FTG256</t>
  </si>
  <si>
    <t>FGG484</t>
  </si>
  <si>
    <t>FGG676</t>
  </si>
  <si>
    <t>XC6SLX4:TQG144</t>
  </si>
  <si>
    <t>XC6SLX4:CSG225</t>
  </si>
  <si>
    <t>XC6SLX9:TQG144</t>
  </si>
  <si>
    <t>XC6SLX9:CSG225</t>
  </si>
  <si>
    <t>XC6SLX9:CSG324</t>
  </si>
  <si>
    <t>XC6SLX16:CSG225</t>
  </si>
  <si>
    <t>XC6SLX16:FTG256</t>
  </si>
  <si>
    <t>XC6SLX16:CSG324</t>
  </si>
  <si>
    <t>XC6SLX25:FTG256</t>
  </si>
  <si>
    <t>XC6SLX25:CSG324</t>
  </si>
  <si>
    <t>XC6SLX25:FGG484</t>
  </si>
  <si>
    <t>XC6SLX45:FGG484</t>
  </si>
  <si>
    <t>XC6SLX45:FGG676</t>
  </si>
  <si>
    <t>XC6SLX150:FGG484</t>
  </si>
  <si>
    <t>XC6SLX150:FGG676</t>
  </si>
  <si>
    <t>XC6SLX25T:CSG324</t>
  </si>
  <si>
    <t>XC6SLX25T:FGG484</t>
  </si>
  <si>
    <t>XC6SLX45T:CSG324</t>
  </si>
  <si>
    <t>XC6SLX45T:FGG484</t>
  </si>
  <si>
    <t>XC6SLX150T:FGG484</t>
  </si>
  <si>
    <t>XC6SLX150T:FGG676</t>
  </si>
  <si>
    <t>XC6SLX100</t>
  </si>
  <si>
    <t>XC6SLX100T</t>
  </si>
  <si>
    <t>XC6SLX100:FGG484</t>
  </si>
  <si>
    <t>XC6SLX100:FGG676</t>
  </si>
  <si>
    <t>XC6SLX100T:FGG484</t>
  </si>
  <si>
    <t>XC6SLX100T:FGG676</t>
  </si>
  <si>
    <t>CLKROWS</t>
  </si>
  <si>
    <t>CLKCOLS</t>
  </si>
  <si>
    <t>Input Termination</t>
  </si>
  <si>
    <t>Output Termination</t>
  </si>
  <si>
    <t>SERDES</t>
  </si>
  <si>
    <t>IODELAY - Spartan-6</t>
  </si>
  <si>
    <t>IODELAY - Spartan-3A</t>
  </si>
  <si>
    <t>ILOGIC/SERDES</t>
  </si>
  <si>
    <t>OLOGIC/SERDES</t>
  </si>
  <si>
    <t>OLOGIC/SERDES - DDR3</t>
  </si>
  <si>
    <t>LVDS Bias</t>
  </si>
  <si>
    <t>IO Clock</t>
  </si>
  <si>
    <t>Static Output current</t>
  </si>
  <si>
    <t>Static Input current</t>
  </si>
  <si>
    <t>Static Output Current (TUNED)</t>
  </si>
  <si>
    <t>Static Output Current (25)</t>
  </si>
  <si>
    <t>Static Output Current (50)</t>
  </si>
  <si>
    <t>Static Input Current (75)</t>
  </si>
  <si>
    <t>Static Input Current (TUNED)</t>
  </si>
  <si>
    <t>Static Input Current (25)</t>
  </si>
  <si>
    <t>Static Input Current (50)</t>
  </si>
  <si>
    <t>Static Power (TUNED)</t>
  </si>
  <si>
    <t>Static Power (25)</t>
  </si>
  <si>
    <t>Static Power (50)</t>
  </si>
  <si>
    <t>Static Power (75)</t>
  </si>
  <si>
    <t>Output on-chip static Power(TUNED)</t>
  </si>
  <si>
    <t>Output on-chip static Power(25)</t>
  </si>
  <si>
    <t>Output on-chip static Power(50)</t>
  </si>
  <si>
    <t>Output on-chip static Power(75)</t>
  </si>
  <si>
    <t>Diff SSTL Class II 1.5V (pair)</t>
  </si>
  <si>
    <t>DIFF_SSTL15_II</t>
  </si>
  <si>
    <t>Untuned_Split_25</t>
  </si>
  <si>
    <t>Tuned_Split</t>
  </si>
  <si>
    <t>Untuned_Split_50</t>
  </si>
  <si>
    <t>Untuned_Split_75</t>
  </si>
  <si>
    <t>MULT/DSP</t>
  </si>
  <si>
    <t>Speed Grade</t>
  </si>
  <si>
    <t>Speed</t>
  </si>
  <si>
    <t>Untuned_25</t>
  </si>
  <si>
    <t>Untuned_50</t>
  </si>
  <si>
    <t>Untuned_75</t>
  </si>
  <si>
    <t>Spartan-6 Designs</t>
  </si>
  <si>
    <t>m_dve</t>
  </si>
  <si>
    <t>Logic</t>
  </si>
  <si>
    <t>Cisco_CRC</t>
  </si>
  <si>
    <t>correlator</t>
  </si>
  <si>
    <t>xbar</t>
  </si>
  <si>
    <t>ecc_module</t>
  </si>
  <si>
    <t>fmr</t>
  </si>
  <si>
    <t>fpga_hm_32x</t>
  </si>
  <si>
    <t>gearbox</t>
  </si>
  <si>
    <t>cfft_4096</t>
  </si>
  <si>
    <t>cam_match</t>
  </si>
  <si>
    <t>blowfish</t>
  </si>
  <si>
    <t>lwft_dsp</t>
  </si>
  <si>
    <t>i8051_all</t>
  </si>
  <si>
    <t>50 MHz</t>
  </si>
  <si>
    <t>100 MHz</t>
  </si>
  <si>
    <t>Iccint (mA) @ freq</t>
  </si>
  <si>
    <t>Measured Iccint (mA) @ freq</t>
  </si>
  <si>
    <t>Avg. Fan</t>
  </si>
  <si>
    <t xml:space="preserve">Enable </t>
  </si>
  <si>
    <t>DSPs</t>
  </si>
  <si>
    <t>Clock Power (W) @ freq (MHz)</t>
  </si>
  <si>
    <t>Logic Power (W) @ freq (MHz)</t>
  </si>
  <si>
    <t>Spartan-6 Designs BRAM</t>
  </si>
  <si>
    <t>Spartan-6 Designs DSP</t>
  </si>
  <si>
    <t>BRAM Power (W) @ freq (MHz)</t>
  </si>
  <si>
    <t>DSP Power (W) @ freq (MHz)</t>
  </si>
  <si>
    <t>BRAM Power (W)</t>
  </si>
  <si>
    <t>Error (%)</t>
  </si>
  <si>
    <t>OCT_ON</t>
  </si>
  <si>
    <t>HROWs Used</t>
  </si>
  <si>
    <t>Leafs Used</t>
  </si>
  <si>
    <t>Local fanout</t>
  </si>
  <si>
    <t>NET CAP</t>
  </si>
  <si>
    <t>IO Power (W)</t>
  </si>
  <si>
    <t>barrel_shifter</t>
  </si>
  <si>
    <t>DCM - Spartan-6</t>
  </si>
  <si>
    <t>Vccaux_dynamic_HF_FX</t>
  </si>
  <si>
    <t>Vccaux_dynamic_LF_FX</t>
  </si>
  <si>
    <t>Vccint_dynamic_HF_FX</t>
  </si>
  <si>
    <t>Vccint_dynamic_LF_FX</t>
  </si>
  <si>
    <t>Vccintq</t>
  </si>
  <si>
    <t>Vccintq FX</t>
  </si>
  <si>
    <t>Vccauxq FX</t>
  </si>
  <si>
    <t xml:space="preserve"> Iccintq</t>
  </si>
  <si>
    <t>static</t>
  </si>
  <si>
    <t>Row Offset</t>
  </si>
  <si>
    <t>Vccaux dynamic</t>
  </si>
  <si>
    <t>Vddint dynamic, input</t>
  </si>
  <si>
    <t>Vddint dynamic, output path</t>
  </si>
  <si>
    <t>11.1 Beta-2</t>
  </si>
  <si>
    <t>vccaux static</t>
  </si>
  <si>
    <t>XPA Iccint (mA) @ freq</t>
  </si>
  <si>
    <t>Error - XPE vs XPA (%)</t>
  </si>
  <si>
    <t>Vccint quiescent</t>
  </si>
  <si>
    <t>Iccintq Typical</t>
  </si>
  <si>
    <t>Iccintq Maximum</t>
  </si>
  <si>
    <t>Iccauxq Typical</t>
  </si>
  <si>
    <t>Iccauxq Maximum</t>
  </si>
  <si>
    <t>Temp Factors</t>
  </si>
  <si>
    <t>iccintq temp</t>
  </si>
  <si>
    <t>iccintq</t>
  </si>
  <si>
    <t>iccauxq temp</t>
  </si>
  <si>
    <t>iccauxq</t>
  </si>
  <si>
    <t xml:space="preserve">iccaux no leak </t>
  </si>
  <si>
    <t xml:space="preserve">iccint no leak </t>
  </si>
  <si>
    <t>MCB Power</t>
  </si>
  <si>
    <t>SSTL Class II 1.5V</t>
  </si>
  <si>
    <t>SSTL15_II</t>
  </si>
  <si>
    <t>HSTL Class II</t>
  </si>
  <si>
    <t>HSTL_II</t>
  </si>
  <si>
    <t>actual</t>
  </si>
  <si>
    <t>estimate</t>
  </si>
  <si>
    <t>LX4</t>
  </si>
  <si>
    <t>LX9</t>
  </si>
  <si>
    <t>SLX16</t>
  </si>
  <si>
    <t>LX25</t>
  </si>
  <si>
    <t>LX45</t>
  </si>
  <si>
    <t>LX100</t>
  </si>
  <si>
    <t>LX150</t>
  </si>
  <si>
    <t>LX16</t>
  </si>
  <si>
    <t>S6 Iccq vs temperature</t>
  </si>
  <si>
    <t>IO LOGIC SERDES</t>
  </si>
  <si>
    <t>PLL Sharing</t>
  </si>
  <si>
    <t>Yes</t>
  </si>
  <si>
    <t>TX  O/P (mV)</t>
  </si>
  <si>
    <t>RX Data Rate (Gb/s)</t>
  </si>
  <si>
    <t>TX Data Rate (Gb/s)</t>
  </si>
  <si>
    <t>USERCLK TX</t>
  </si>
  <si>
    <t>USERCLK  RX</t>
  </si>
  <si>
    <t>RX PLL mA</t>
  </si>
  <si>
    <t>TX PLL mA</t>
  </si>
  <si>
    <t>TX_PLL_NonShared</t>
  </si>
  <si>
    <t>RX_PLL_Shared</t>
  </si>
  <si>
    <t>RX_PLL_NonShared</t>
  </si>
  <si>
    <t>VCO RX GHz</t>
  </si>
  <si>
    <t>VCO TX GHz</t>
  </si>
  <si>
    <t>Is PLL Sharing Enabled</t>
  </si>
  <si>
    <t>Characterization</t>
  </si>
  <si>
    <t>ISE</t>
  </si>
  <si>
    <t>Family</t>
  </si>
  <si>
    <t>Spartan-3A</t>
  </si>
  <si>
    <t>XC6SLX4L</t>
  </si>
  <si>
    <t>XC6SLX9L</t>
  </si>
  <si>
    <t>XC6SLX16L</t>
  </si>
  <si>
    <t>XC6SLX25L</t>
  </si>
  <si>
    <t>XC6SLX45L</t>
  </si>
  <si>
    <t>XC6SLX100L</t>
  </si>
  <si>
    <t>XC6SLX150L</t>
  </si>
  <si>
    <t>DUAL count</t>
  </si>
  <si>
    <t>Can be in shared dual?</t>
  </si>
  <si>
    <t>RX Vcc mA</t>
  </si>
  <si>
    <t>TX Vcc mA</t>
  </si>
  <si>
    <t>TX_PLL_Shared</t>
  </si>
  <si>
    <t>MGTAVcc, RX</t>
  </si>
  <si>
    <t>MGTAVcc, TX</t>
  </si>
  <si>
    <t>Base name</t>
  </si>
  <si>
    <t>Base name matches below?</t>
  </si>
  <si>
    <t>Shared dual with row above or below?</t>
  </si>
  <si>
    <t>pll</t>
  </si>
  <si>
    <t>vcc</t>
  </si>
  <si>
    <t>Extended Spartan®-3A, Spartan®-6</t>
  </si>
  <si>
    <t>Spartan-6 Lower Power</t>
  </si>
  <si>
    <t>DIFF_MOBILE_DDR</t>
  </si>
  <si>
    <t>LVCMOS 1.2V 8mA (Slow)</t>
  </si>
  <si>
    <t>LVCMOS12_8_SLOW</t>
  </si>
  <si>
    <t>LVCMOS 1.2V 8mA (Fast)</t>
  </si>
  <si>
    <t>LVCMOS12_8_FAST</t>
  </si>
  <si>
    <t>LVCMOS 1.2V 12mA (Slow)</t>
  </si>
  <si>
    <t>LVCMOS12_12_SLOW</t>
  </si>
  <si>
    <t>LVCMOS 1.2V 12mA (Fast)</t>
  </si>
  <si>
    <t>LVCMOS12_12_FAST</t>
  </si>
  <si>
    <t>LVCMOS 1.2V JEDEC 2mA (Slow)</t>
  </si>
  <si>
    <t>LVCMOS12_JEDEC_2_SLOW</t>
  </si>
  <si>
    <t>LVCMOS 1.2V JEDEC 2mA (Fast)</t>
  </si>
  <si>
    <t>LVCMOS12_JEDEC_2_FAST</t>
  </si>
  <si>
    <t>LVCMOS 1.2V JEDEC 4mA (Slow)</t>
  </si>
  <si>
    <t>LVCMOS12_JEDEC_4_SLOW</t>
  </si>
  <si>
    <t>LVCMOS 1.2V JEDEC 4mA (Fast)</t>
  </si>
  <si>
    <t>LVCMOS12_JEDEC_4_FAST</t>
  </si>
  <si>
    <t>LVCMOS 1.2V JEDEC 6mA (Slow)</t>
  </si>
  <si>
    <t>LVCMOS12_JEDEC_6_SLOW</t>
  </si>
  <si>
    <t>LVCMOS 1.2V JEDEC 6mA (Fast)</t>
  </si>
  <si>
    <t>LVCMOS12_JEDEC_6_FAST</t>
  </si>
  <si>
    <t>LVCMOS 1.2V JEDEC 8mA (Slow)</t>
  </si>
  <si>
    <t>LVCMOS12_JEDEC_8_SLOW</t>
  </si>
  <si>
    <t>LVCMOS12_JEDEC_8_FAST</t>
  </si>
  <si>
    <t>LVCMOS 1.2V JEDEC 12mA (Slow)</t>
  </si>
  <si>
    <t>LVCMOS12_JEDEC_12_SLOW</t>
  </si>
  <si>
    <t>LVCMOS12_JEDEC_12_FAST</t>
  </si>
  <si>
    <t>LVCMOS 1.5V 16mA (Slow)</t>
  </si>
  <si>
    <t>LVCMOS 1.5V 16mA (Fast)</t>
  </si>
  <si>
    <t>LVCMOS 1.5V JEDEC 2mA (Slow)</t>
  </si>
  <si>
    <t>LVCMOS15_JEDEC_2_SLOW</t>
  </si>
  <si>
    <t>LVCMOS 1.5V JEDEC 2mA (Fast)</t>
  </si>
  <si>
    <t>LVCMOS15_JEDEC_2_FAST</t>
  </si>
  <si>
    <t>LVCMOS 1.5V JEDEC 4mA (Slow)</t>
  </si>
  <si>
    <t>LVCMOS15_JEDEC_4_SLOW</t>
  </si>
  <si>
    <t>LVCMOS 1.5V JEDEC 4mA (Fast)</t>
  </si>
  <si>
    <t>LVCMOS15_JEDEC_4_FAST</t>
  </si>
  <si>
    <t>LVCMOS 1.5V JEDEC 6mA (Slow)</t>
  </si>
  <si>
    <t>LVCMOS15_JEDEC_6_SLOW</t>
  </si>
  <si>
    <t>LVCMOS 1.5VJEDEC  6mA (Fast)</t>
  </si>
  <si>
    <t>LVCMOS15_JEDEC_6_FAST</t>
  </si>
  <si>
    <t>LVCMOS 1.5V JEDEC 8mA (Slow)</t>
  </si>
  <si>
    <t>LVCMOS15_JEDEC_8_SLOW</t>
  </si>
  <si>
    <t>LVCMOS 1.5V JEDEC 8mA (Fast)</t>
  </si>
  <si>
    <t>LVCMOS15_JEDEC_8_FAST</t>
  </si>
  <si>
    <t>LVCMOS 1.5V JEDEC 12mA (Slow)</t>
  </si>
  <si>
    <t>LVCMOS15_JEDEC_12_SLOW</t>
  </si>
  <si>
    <t>LVCMOS 1.5V JEDEC 12mA (Fast)</t>
  </si>
  <si>
    <t>LVCMOS15_JEDEC_12_FAST</t>
  </si>
  <si>
    <t>LVCMOS 1.5V JEDEC 16mA (Slow)</t>
  </si>
  <si>
    <t>LVCMOS 1.5V JEDEC 16mA (Fast)</t>
  </si>
  <si>
    <t>LVCMOS 1.8V 24mA (Slow)</t>
  </si>
  <si>
    <t>LVCMOS18_24_SLOW</t>
  </si>
  <si>
    <t>LVCMOS 1.8V 24mA (Fast)</t>
  </si>
  <si>
    <t>LVCMOS18_24_FAST</t>
  </si>
  <si>
    <t>LVCMOS 1.8V JEDEC 2mA (Slow)</t>
  </si>
  <si>
    <t>LVCMOS18_JEDEC_2_SLOW</t>
  </si>
  <si>
    <t>LVCMOS 1.8V JEDEC 2mA (Fast)</t>
  </si>
  <si>
    <t>LVCMOS18_JEDEC_2_FAST</t>
  </si>
  <si>
    <t>LVCMOS 1.8V JEDEC 4mA (Slow)</t>
  </si>
  <si>
    <t>LVCMOS18_JEDEC_4_SLOW</t>
  </si>
  <si>
    <t>LVCMOS 1.8V JEDEC 4mA (Fast)</t>
  </si>
  <si>
    <t>LVCMOS18_JEDEC_4_FAST</t>
  </si>
  <si>
    <t>LVCMOS 1.8V JEDEC 6mA (Slow)</t>
  </si>
  <si>
    <t>LVCMOS18_JEDEC_6_SLOW</t>
  </si>
  <si>
    <t>LVCMOS 1.8V JEDEC 6mA (Fast)</t>
  </si>
  <si>
    <t>LVCMOS18_JEDEC_6_FAST</t>
  </si>
  <si>
    <t>LVCMOS 1.8V JEDEC 8mA (Slow)</t>
  </si>
  <si>
    <t>LVCMOS18_JEDEC_8_SLOW</t>
  </si>
  <si>
    <t>LVCMOS 1.8V JEDEC 8mA (Fast)</t>
  </si>
  <si>
    <t>LVCMOS18_JEDEC_8_FAST</t>
  </si>
  <si>
    <t>LVCMOS 1.8V JEDEC 12mA (Slow)</t>
  </si>
  <si>
    <t>LVCMOS18_JEDEC_12_SLOW</t>
  </si>
  <si>
    <t>LVCMOS 1.8V JEDEC 12mA (Fast)</t>
  </si>
  <si>
    <t>LVCMOS18_JEDEC_12_FAST</t>
  </si>
  <si>
    <t>LVCMOS 1.8V JEDEC 16mA (Slow)</t>
  </si>
  <si>
    <t>LVCMOS18_JEDEC_16_SLOW</t>
  </si>
  <si>
    <t>LVCMOS 1.8V JEDEC 16mA (Fast)</t>
  </si>
  <si>
    <t>LVCMOS18_JEDEC_16_FAST</t>
  </si>
  <si>
    <t>LVCMOS 1.8V JEDEC 24mA (Slow)</t>
  </si>
  <si>
    <t>LVCMOS18_JEDEC_24_SLOW</t>
  </si>
  <si>
    <t>LVCMOS 1.8V JEDEC 24mA (Fast)</t>
  </si>
  <si>
    <t>LVCMOS18_JEDEC_24_FAST</t>
  </si>
  <si>
    <t>I2C</t>
  </si>
  <si>
    <t>SMBUS</t>
  </si>
  <si>
    <t>SDIO</t>
  </si>
  <si>
    <t>MOBILE_DDR</t>
  </si>
  <si>
    <t>Diff Mobile DDR (pair)</t>
  </si>
  <si>
    <t>DISPLAY_PORT</t>
  </si>
  <si>
    <t>LVCMOS 1.2V JEDEC  8mA (Fast)</t>
  </si>
  <si>
    <t>LVCMOS 1.2V JEDEC  12mA (Fast)</t>
  </si>
  <si>
    <t>LVCMOS15_16_SLOW</t>
  </si>
  <si>
    <t>LVCMOS15_16_FAST</t>
  </si>
  <si>
    <t>LVCMOS15_JEDEC_16_SLOW</t>
  </si>
  <si>
    <t>LVCMOS15_JEDEC_16_FAST</t>
  </si>
  <si>
    <t>Mobile DDR</t>
  </si>
  <si>
    <t>XC6SLX9:FTG256</t>
  </si>
  <si>
    <t>XC6SLX45:CSG324</t>
  </si>
  <si>
    <t>XC6SLX4L:TQG144</t>
  </si>
  <si>
    <t>XC6SLX4L:CSG225</t>
  </si>
  <si>
    <t>XC6SLX9L:FTG256</t>
  </si>
  <si>
    <t>XC6SLX9L:TQG144</t>
  </si>
  <si>
    <t>XC6SLX9L:CSG225</t>
  </si>
  <si>
    <t>XC6SLX9L:CSG324</t>
  </si>
  <si>
    <t>XC6SLX16L:CSG225</t>
  </si>
  <si>
    <t>XC6SLX16L:FTG256</t>
  </si>
  <si>
    <t>XC6SLX16L:CSG324</t>
  </si>
  <si>
    <t>XC6SLX25L:FTG256</t>
  </si>
  <si>
    <t>XC6SLX25L:CSG324</t>
  </si>
  <si>
    <t>XC6SLX25L:FGG484</t>
  </si>
  <si>
    <t>XC6SLX45L:CSG324</t>
  </si>
  <si>
    <t>XC6SLX45L:FGG484</t>
  </si>
  <si>
    <t>XC6SLX45L:FGG676</t>
  </si>
  <si>
    <t>XC6SLX100L:FGG484</t>
  </si>
  <si>
    <t>XC6SLX100L:FGG676</t>
  </si>
  <si>
    <t>XC6SLX150L:FGG484</t>
  </si>
  <si>
    <t>XC6SLX150L:FGG676</t>
  </si>
  <si>
    <t>XC6SLX75</t>
  </si>
  <si>
    <t>XC6SLX75T</t>
  </si>
  <si>
    <t>XC6SLX75L</t>
  </si>
  <si>
    <t>XC6SLX75T:FGG484</t>
  </si>
  <si>
    <t>XC6SLX75T:FGG676</t>
  </si>
  <si>
    <t>XC6SLX75:FGG484</t>
  </si>
  <si>
    <t>XC6SLX75:FGG676</t>
  </si>
  <si>
    <t>XC6SLX75L:FGG484</t>
  </si>
  <si>
    <t>XC6SLX75L:FGG676</t>
  </si>
  <si>
    <t>FANOUT Row Offset</t>
  </si>
  <si>
    <t>Routing current (mA)</t>
  </si>
  <si>
    <t>Ma/MHz</t>
  </si>
  <si>
    <t>s6</t>
  </si>
  <si>
    <t>s3a</t>
  </si>
  <si>
    <t>AF - mA/MHz</t>
  </si>
  <si>
    <t>AF - Ma</t>
  </si>
  <si>
    <t>Routing(AF) formula</t>
  </si>
  <si>
    <t>Vccintq scale factor</t>
  </si>
  <si>
    <t>Diff HSTL Class I</t>
  </si>
  <si>
    <t>DIFF_HSTL_I</t>
  </si>
  <si>
    <t>DIFF_HSTL_II</t>
  </si>
  <si>
    <t>DIFF_HSTL_III</t>
  </si>
  <si>
    <t>Icco mA</t>
  </si>
  <si>
    <t>S6 IO tests</t>
  </si>
  <si>
    <t>VCCINT Power (W)</t>
  </si>
  <si>
    <t>VCCAUX Power (W)</t>
  </si>
  <si>
    <t>VCCO On-chip Thermal Power (W)</t>
  </si>
  <si>
    <t>VCCO Supply Current (A)</t>
  </si>
  <si>
    <t>Old VCCINT Power (W)</t>
  </si>
  <si>
    <t>Old VCCAUX Power (W)</t>
  </si>
  <si>
    <t>Old VCCO On-chip Thermal Power (W)</t>
  </si>
  <si>
    <t>Old VCCO Supply Current (A)</t>
  </si>
  <si>
    <t>0 MHz</t>
  </si>
  <si>
    <t>1 MHz</t>
  </si>
  <si>
    <t>ERROR</t>
  </si>
  <si>
    <t>On</t>
  </si>
  <si>
    <t>Difference Vccint</t>
  </si>
  <si>
    <t>Diff Vccaux</t>
  </si>
  <si>
    <t>Diff on-chip power</t>
  </si>
  <si>
    <t>Vcco current</t>
  </si>
  <si>
    <t>freq mode</t>
  </si>
  <si>
    <t>DLL</t>
  </si>
  <si>
    <t>DFS</t>
  </si>
  <si>
    <t>Freq Mode</t>
  </si>
  <si>
    <t>Post-Add Used?</t>
  </si>
  <si>
    <t>MREG Used?</t>
  </si>
  <si>
    <t>MULT Used?</t>
  </si>
  <si>
    <t>Pre-Add Used?</t>
  </si>
  <si>
    <t>DSP48A1 (S6)</t>
  </si>
  <si>
    <t>Pre-Adder mA/MHz</t>
  </si>
  <si>
    <t>Post-Add mA/MHz</t>
  </si>
  <si>
    <t>Mult mA/MHz</t>
  </si>
  <si>
    <t>Mult+Post mA/MHz</t>
  </si>
  <si>
    <t>S3A (mA)</t>
  </si>
  <si>
    <t>S6 (mA)</t>
  </si>
  <si>
    <t>RX Divide Factor</t>
  </si>
  <si>
    <t>TX Divide Factor</t>
  </si>
  <si>
    <t>VCO (GHz)</t>
  </si>
  <si>
    <t>Data Path</t>
  </si>
  <si>
    <t>Display Port (pair)</t>
  </si>
  <si>
    <t>Diff HSTL Class I (pair)</t>
  </si>
  <si>
    <t>Diff HSTL Class II (pair)</t>
  </si>
  <si>
    <t>Diff HSTL Class III (pair)</t>
  </si>
  <si>
    <t>- Updated layout of summary sheet</t>
  </si>
  <si>
    <t>- Early characterization data for Spartan-6, improved models, Lower Power parts, CR fixes</t>
  </si>
  <si>
    <t xml:space="preserve">- Early clock characterization data for Spartan-6 </t>
  </si>
  <si>
    <t>- Refined I/O model</t>
  </si>
  <si>
    <t>- Included "DSP" parts, added "XC6S" parts</t>
  </si>
  <si>
    <t>- Refined clock, fabric, BRAM and I/O models from expanded characterization design suite</t>
  </si>
  <si>
    <t>- Final Iccq and Iccauxq characterization from production silicon</t>
  </si>
  <si>
    <t>- Added clock sheet and updated with latest char data</t>
  </si>
  <si>
    <t>- Updated with latest Iccq data</t>
  </si>
  <si>
    <t>- Fixed issues with I/O calculation and the various power modes</t>
  </si>
  <si>
    <t>- Updated characterization data</t>
  </si>
  <si>
    <t>- Early characterization data</t>
  </si>
  <si>
    <t>- Static current characterization for normal, standby and suspend modes</t>
  </si>
  <si>
    <t>XPA values = * numgts/2</t>
  </si>
  <si>
    <t>25t</t>
  </si>
  <si>
    <t>45t</t>
  </si>
  <si>
    <t>75t,100t,150t</t>
  </si>
  <si>
    <t>tx</t>
  </si>
  <si>
    <t>rx</t>
  </si>
  <si>
    <t>oldiccq</t>
  </si>
  <si>
    <t>newrealiccq</t>
  </si>
  <si>
    <t>GTP Iccq (per-DUAL)</t>
  </si>
  <si>
    <t>DCM_CLKGEN</t>
  </si>
  <si>
    <t>Clock Buffer Enable</t>
  </si>
  <si>
    <t>Slice Clock Enable</t>
  </si>
  <si>
    <t>- Characterization data, improved models, CR fixes</t>
  </si>
  <si>
    <t>Production for Spartan-3A, Advance for Spartan-6</t>
  </si>
  <si>
    <t>Production</t>
  </si>
  <si>
    <t>Preliminary</t>
  </si>
  <si>
    <t>Advance</t>
  </si>
  <si>
    <t>XC6SLX45:CSG484</t>
  </si>
  <si>
    <t>CSG484</t>
  </si>
  <si>
    <t>XC6SLX75:CSG484</t>
  </si>
  <si>
    <t>XC6SLX100:CSG484</t>
  </si>
  <si>
    <t>XC6SLX150:CSG484</t>
  </si>
  <si>
    <t>XC6SLX150:FGG900</t>
  </si>
  <si>
    <t>FGG900</t>
  </si>
  <si>
    <t>XC6SLX45T:CSG484</t>
  </si>
  <si>
    <t>XC6SLX100T:FGG900</t>
  </si>
  <si>
    <t>XC6SLX150T:FGG900</t>
  </si>
  <si>
    <t>XC6SLX45L:CSG484</t>
  </si>
  <si>
    <t>XC6SLX75L:CSG484</t>
  </si>
  <si>
    <t>XC6SLX100L:CSG484</t>
  </si>
  <si>
    <t>XC6SLX150L:CSG484</t>
  </si>
  <si>
    <t>XC6SLX150L:FGG900</t>
  </si>
  <si>
    <t>Spartan-6 GTPA1 Tests</t>
  </si>
  <si>
    <t>Channels</t>
  </si>
  <si>
    <t>PLL Share</t>
  </si>
  <si>
    <t>VCO</t>
  </si>
  <si>
    <t>RX Divide</t>
  </si>
  <si>
    <t>TX Divide</t>
  </si>
  <si>
    <t>TX/OP</t>
  </si>
  <si>
    <t>Avcc</t>
  </si>
  <si>
    <t>Avccpll</t>
  </si>
  <si>
    <t>Avtttx</t>
  </si>
  <si>
    <t>Avttrx</t>
  </si>
  <si>
    <t>Transmitter</t>
  </si>
  <si>
    <t>Receiver</t>
  </si>
  <si>
    <t>GTPA1_Test1</t>
  </si>
  <si>
    <t>GTPA1_Test2</t>
  </si>
  <si>
    <t>GTPA1_Test3</t>
  </si>
  <si>
    <t>GTPA1_Test4</t>
  </si>
  <si>
    <t>GTPA1_Test5</t>
  </si>
  <si>
    <t>GTPA1_Test6</t>
  </si>
  <si>
    <t>GTPA1_Test7</t>
  </si>
  <si>
    <t>GTPA1_Test8</t>
  </si>
  <si>
    <t>GTPA1_Test9</t>
  </si>
  <si>
    <t>GTPA1_Test10</t>
  </si>
  <si>
    <t>GTPA1_Test11</t>
  </si>
  <si>
    <t>Heat Sink</t>
  </si>
  <si>
    <t>Heatsink</t>
  </si>
  <si>
    <t>Toggle Factor</t>
  </si>
  <si>
    <t>CPG196</t>
  </si>
  <si>
    <t>FGG320</t>
  </si>
  <si>
    <t>Air</t>
  </si>
  <si>
    <t>ThetaJX</t>
  </si>
  <si>
    <t>ETJA</t>
  </si>
  <si>
    <t>ThetaSA</t>
  </si>
  <si>
    <t>FG900</t>
  </si>
  <si>
    <t>FGG400</t>
  </si>
  <si>
    <t>Board Index</t>
  </si>
  <si>
    <t>Sink Index</t>
  </si>
  <si>
    <t>Size mm2</t>
  </si>
  <si>
    <t>Pkg size</t>
  </si>
  <si>
    <t>ThetaCS</t>
  </si>
  <si>
    <t>Heatsinks</t>
  </si>
  <si>
    <t>Height</t>
  </si>
  <si>
    <t>10 mm</t>
  </si>
  <si>
    <t>23mm</t>
  </si>
  <si>
    <t>27mm</t>
  </si>
  <si>
    <t>Custom</t>
  </si>
  <si>
    <t>Airflow</t>
  </si>
  <si>
    <t>Differential</t>
  </si>
  <si>
    <t>XC6SLX100T:CSG484</t>
  </si>
  <si>
    <t>XC6SLX75T:CSG484</t>
  </si>
  <si>
    <t>XC6SLX4:CPG196</t>
  </si>
  <si>
    <t>XC6SLX16:CPG196</t>
  </si>
  <si>
    <t>XC6SLX9:CPG196</t>
  </si>
  <si>
    <t>XC6SLX150T:CSG484</t>
  </si>
  <si>
    <t>XC6SLX16L:CPG196</t>
  </si>
  <si>
    <t>XC6SLX4L:CPG196</t>
  </si>
  <si>
    <t>XC6SLX9L:CPG196</t>
  </si>
  <si>
    <t>- GTP characterization data, heatsink support, new packages, improved models, CR fixes</t>
  </si>
  <si>
    <r>
      <t>MGTAV</t>
    </r>
    <r>
      <rPr>
        <vertAlign val="subscript"/>
        <sz val="10"/>
        <color indexed="9"/>
        <rFont val="Arial"/>
        <family val="2"/>
      </rPr>
      <t>TTRX</t>
    </r>
    <r>
      <rPr>
        <sz val="10"/>
        <color indexed="9"/>
        <rFont val="Arial"/>
        <family val="2"/>
      </rPr>
      <t xml:space="preserve"> Power (W)</t>
    </r>
  </si>
  <si>
    <r>
      <t>MGTAV</t>
    </r>
    <r>
      <rPr>
        <vertAlign val="subscript"/>
        <sz val="10"/>
        <color indexed="9"/>
        <rFont val="Arial"/>
        <family val="2"/>
      </rPr>
      <t>TTTX</t>
    </r>
    <r>
      <rPr>
        <sz val="10"/>
        <color indexed="9"/>
        <rFont val="Arial"/>
        <family val="2"/>
      </rPr>
      <t xml:space="preserve"> Power (W)</t>
    </r>
  </si>
  <si>
    <r>
      <t>MGTAV</t>
    </r>
    <r>
      <rPr>
        <vertAlign val="subscript"/>
        <sz val="10"/>
        <color indexed="9"/>
        <rFont val="Arial"/>
        <family val="2"/>
      </rPr>
      <t>CCPLL</t>
    </r>
    <r>
      <rPr>
        <sz val="10"/>
        <color indexed="9"/>
        <rFont val="Arial"/>
        <family val="2"/>
      </rPr>
      <t xml:space="preserve"> Power (W)</t>
    </r>
  </si>
  <si>
    <r>
      <t>MGTAV</t>
    </r>
    <r>
      <rPr>
        <vertAlign val="subscript"/>
        <sz val="10"/>
        <color indexed="9"/>
        <rFont val="Arial"/>
        <family val="2"/>
      </rPr>
      <t>CC</t>
    </r>
    <r>
      <rPr>
        <sz val="10"/>
        <color indexed="9"/>
        <rFont val="Arial"/>
        <family val="2"/>
      </rPr>
      <t xml:space="preserve"> Power (W)</t>
    </r>
  </si>
  <si>
    <r>
      <t>V</t>
    </r>
    <r>
      <rPr>
        <vertAlign val="subscript"/>
        <sz val="10"/>
        <color indexed="9"/>
        <rFont val="Arial"/>
        <family val="2"/>
      </rPr>
      <t>CCINT</t>
    </r>
    <r>
      <rPr>
        <sz val="10"/>
        <color indexed="9"/>
        <rFont val="Arial"/>
        <family val="2"/>
      </rPr>
      <t xml:space="preserve"> Power (W)</t>
    </r>
  </si>
  <si>
    <t>19mm</t>
  </si>
  <si>
    <t>21mm</t>
  </si>
  <si>
    <t>31mm</t>
  </si>
  <si>
    <t>Power Up</t>
  </si>
  <si>
    <t>Extended Spartan-3A: All devices "Production"</t>
  </si>
  <si>
    <t>TML 3.3V (pair)</t>
  </si>
  <si>
    <t>TML_33</t>
  </si>
  <si>
    <t>AR #34465</t>
  </si>
  <si>
    <t>Reference Clock (MHz)</t>
  </si>
  <si>
    <t>System Clock (MHz)</t>
  </si>
  <si>
    <t>GTPA1_DUAL Power</t>
  </si>
  <si>
    <t>Unused GTPA1_DUALs</t>
  </si>
  <si>
    <t>GTPA1 Channels</t>
  </si>
  <si>
    <t>Spartan-6: "Production" for XC6SLX16 and XC6SLX45, "Advance" for all other members</t>
  </si>
  <si>
    <t>Power</t>
  </si>
  <si>
    <r>
      <t>V</t>
    </r>
    <r>
      <rPr>
        <vertAlign val="subscript"/>
        <sz val="11"/>
        <color indexed="9"/>
        <rFont val="Arial"/>
        <family val="2"/>
      </rPr>
      <t>CCINT</t>
    </r>
  </si>
  <si>
    <t>-</t>
  </si>
  <si>
    <t>Other</t>
  </si>
  <si>
    <t xml:space="preserve"> FFs</t>
  </si>
  <si>
    <t xml:space="preserve"> LUTs</t>
  </si>
  <si>
    <t xml:space="preserve">      Combinatorial</t>
  </si>
  <si>
    <t xml:space="preserve">      Shift Registers</t>
  </si>
  <si>
    <t xml:space="preserve">      Distributed RAMs</t>
  </si>
  <si>
    <t>LUTs as</t>
  </si>
  <si>
    <t xml:space="preserve">  RAMB18</t>
  </si>
  <si>
    <t>DSP48</t>
  </si>
  <si>
    <t xml:space="preserve">Total   </t>
  </si>
  <si>
    <t>Supply Current</t>
  </si>
  <si>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</si>
  <si>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</si>
  <si>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</si>
  <si>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</si>
  <si>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PMA</t>
  </si>
  <si>
    <t>PCS</t>
  </si>
  <si>
    <t>GTPA1_DUAL</t>
  </si>
  <si>
    <r>
      <t>V</t>
    </r>
    <r>
      <rPr>
        <vertAlign val="subscript"/>
        <sz val="12"/>
        <color indexed="22"/>
        <rFont val="Arial"/>
        <family val="2"/>
      </rPr>
      <t>CCAUXQ</t>
    </r>
    <r>
      <rPr>
        <sz val="12"/>
        <color indexed="22"/>
        <rFont val="Arial"/>
        <family val="2"/>
      </rPr>
      <t xml:space="preserve"> (W)</t>
    </r>
  </si>
  <si>
    <t>Distributed RAMs</t>
  </si>
  <si>
    <t>On-Chip</t>
  </si>
  <si>
    <t>Off-Chip</t>
  </si>
  <si>
    <t xml:space="preserve">  Power (on-chip)</t>
  </si>
  <si>
    <t>Buffer</t>
  </si>
  <si>
    <t xml:space="preserve">   Power (off-chip)</t>
  </si>
  <si>
    <t xml:space="preserve">   I/O Count</t>
  </si>
  <si>
    <t xml:space="preserve">   I/O Utilization</t>
  </si>
  <si>
    <t>I/O Settings</t>
  </si>
  <si>
    <t>Term. Type</t>
  </si>
  <si>
    <t>R/RDIFF</t>
  </si>
  <si>
    <t>RS</t>
  </si>
  <si>
    <t>Activity</t>
  </si>
  <si>
    <t>On Chip Power (W)</t>
  </si>
  <si>
    <t>Off Chip</t>
  </si>
  <si>
    <r>
      <t>V</t>
    </r>
    <r>
      <rPr>
        <vertAlign val="subscript"/>
        <sz val="12"/>
        <color indexed="9"/>
        <rFont val="Arial"/>
        <family val="2"/>
      </rPr>
      <t>CCO</t>
    </r>
    <r>
      <rPr>
        <sz val="12"/>
        <color indexed="9"/>
        <rFont val="Arial"/>
        <family val="2"/>
      </rPr>
      <t xml:space="preserve"> (W)</t>
    </r>
  </si>
  <si>
    <t>all rails</t>
  </si>
  <si>
    <r>
      <t>V</t>
    </r>
    <r>
      <rPr>
        <vertAlign val="subscript"/>
        <sz val="12"/>
        <color indexed="9"/>
        <rFont val="Arial"/>
        <family val="2"/>
      </rPr>
      <t>CCINT</t>
    </r>
  </si>
  <si>
    <r>
      <t>V</t>
    </r>
    <r>
      <rPr>
        <vertAlign val="subscript"/>
        <sz val="12"/>
        <color indexed="9"/>
        <rFont val="Arial"/>
        <family val="2"/>
      </rPr>
      <t>CCAUX</t>
    </r>
  </si>
  <si>
    <r>
      <t>V</t>
    </r>
    <r>
      <rPr>
        <vertAlign val="subscript"/>
        <sz val="12"/>
        <color indexed="9"/>
        <rFont val="Arial"/>
        <family val="2"/>
      </rPr>
      <t>CCO</t>
    </r>
  </si>
  <si>
    <t>Summary</t>
  </si>
  <si>
    <t>Off-Chip was Dynamic Current</t>
  </si>
  <si>
    <t>On-Chip Thermal Current (was Power)</t>
  </si>
  <si>
    <t>InTerm</t>
  </si>
  <si>
    <t>OutTerm</t>
  </si>
  <si>
    <t>R_equiv</t>
  </si>
  <si>
    <t>Pon-chip</t>
  </si>
  <si>
    <t>Poff-chip</t>
  </si>
  <si>
    <t>Parallel</t>
  </si>
  <si>
    <t>Series</t>
  </si>
  <si>
    <t>Series-Parallel</t>
  </si>
  <si>
    <t>DDR3</t>
  </si>
  <si>
    <t>N/A</t>
  </si>
  <si>
    <t>Input term current</t>
  </si>
  <si>
    <t>Output term on-chip static power</t>
  </si>
  <si>
    <t>Vtt</t>
  </si>
  <si>
    <t>On-chip term power</t>
  </si>
  <si>
    <t>Output  Term current</t>
  </si>
  <si>
    <t>Junction Temperature</t>
  </si>
  <si>
    <t>Ambient Temp</t>
  </si>
  <si>
    <t>Effective ΘJA</t>
  </si>
  <si>
    <t xml:space="preserve">   ΘSA</t>
  </si>
  <si>
    <t xml:space="preserve">     Environment</t>
  </si>
  <si>
    <t xml:space="preserve">    Settings</t>
  </si>
  <si>
    <t xml:space="preserve">    On-Chip Power</t>
  </si>
  <si>
    <t>Resource</t>
  </si>
  <si>
    <t>(Jump to sheet)</t>
  </si>
  <si>
    <t>(W)</t>
  </si>
  <si>
    <t>(%)</t>
  </si>
  <si>
    <t>Core Dynamic</t>
  </si>
  <si>
    <t>I/O</t>
  </si>
  <si>
    <t>Device Static</t>
  </si>
  <si>
    <t xml:space="preserve">  Power Supply</t>
  </si>
  <si>
    <t>(V)</t>
  </si>
  <si>
    <t>(A)</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</si>
  <si>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</si>
  <si>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</si>
  <si>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t>
    </r>
    <r>
      <rPr>
        <sz val="10"/>
        <color indexed="9"/>
        <rFont val="Arial"/>
        <family val="2"/>
      </rPr>
      <t xml:space="preserve"> 2.5</t>
    </r>
  </si>
  <si>
    <r>
      <t>V</t>
    </r>
    <r>
      <rPr>
        <vertAlign val="subscript"/>
        <sz val="10"/>
        <color indexed="9"/>
        <rFont val="Arial"/>
        <family val="2"/>
      </rPr>
      <t>CCO</t>
    </r>
    <r>
      <rPr>
        <sz val="10"/>
        <color indexed="9"/>
        <rFont val="Arial"/>
        <family val="2"/>
      </rPr>
      <t xml:space="preserve"> 1.8</t>
    </r>
  </si>
  <si>
    <r>
      <t>V</t>
    </r>
    <r>
      <rPr>
        <vertAlign val="subscript"/>
        <sz val="10"/>
        <color indexed="9"/>
        <rFont val="Arial"/>
        <family val="2"/>
      </rPr>
      <t>CCO</t>
    </r>
    <r>
      <rPr>
        <sz val="10"/>
        <color indexed="9"/>
        <rFont val="Arial"/>
        <family val="2"/>
      </rPr>
      <t xml:space="preserve"> 1.5</t>
    </r>
  </si>
  <si>
    <r>
      <t>V</t>
    </r>
    <r>
      <rPr>
        <vertAlign val="subscript"/>
        <sz val="10"/>
        <color indexed="9"/>
        <rFont val="Arial"/>
        <family val="2"/>
      </rPr>
      <t>CCO</t>
    </r>
    <r>
      <rPr>
        <sz val="10"/>
        <color indexed="9"/>
        <rFont val="Arial"/>
        <family val="2"/>
      </rPr>
      <t xml:space="preserve"> 1.2</t>
    </r>
  </si>
  <si>
    <t>Total On-Chip Power</t>
  </si>
  <si>
    <t>Max Ambient</t>
  </si>
  <si>
    <t xml:space="preserve">   Thermal Margin              </t>
  </si>
  <si>
    <t xml:space="preserve">   Effective ΘJA</t>
  </si>
  <si>
    <t>Messages</t>
  </si>
  <si>
    <t>Transceiver……</t>
  </si>
  <si>
    <t>I/O………………</t>
  </si>
  <si>
    <t>Core Dynamic..</t>
  </si>
  <si>
    <t>Device Static…..</t>
  </si>
  <si>
    <t xml:space="preserve">       Power supplied to off-chip devices…</t>
  </si>
  <si>
    <t>File Support Request (WebCase)</t>
  </si>
  <si>
    <t>Whitepaper - 7 Steps for Worst Case Power Estimation</t>
  </si>
  <si>
    <t>Legend</t>
  </si>
  <si>
    <t>Project</t>
  </si>
  <si>
    <r>
      <t>V</t>
    </r>
    <r>
      <rPr>
        <vertAlign val="subscript"/>
        <sz val="10"/>
        <color indexed="9"/>
        <rFont val="Arial"/>
        <family val="2"/>
      </rPr>
      <t>CCO</t>
    </r>
    <r>
      <rPr>
        <sz val="10"/>
        <color indexed="9"/>
        <rFont val="Arial"/>
        <family val="2"/>
      </rPr>
      <t xml:space="preserve"> 3.3</t>
    </r>
  </si>
  <si>
    <t>Balanced</t>
  </si>
  <si>
    <t>On-chip Vcco Active</t>
  </si>
  <si>
    <t>On-chip Vcco Suspend</t>
  </si>
  <si>
    <t>Non-intaux leakage</t>
  </si>
  <si>
    <r>
      <t>V</t>
    </r>
    <r>
      <rPr>
        <vertAlign val="subscript"/>
        <sz val="10"/>
        <color indexed="9"/>
        <rFont val="Arial"/>
        <family val="2"/>
      </rPr>
      <t>CCINT</t>
    </r>
  </si>
  <si>
    <r>
      <t>V</t>
    </r>
    <r>
      <rPr>
        <vertAlign val="subscript"/>
        <sz val="10"/>
        <color indexed="9"/>
        <rFont val="Arial"/>
        <family val="2"/>
      </rPr>
      <t>CCAUX</t>
    </r>
  </si>
  <si>
    <r>
      <t>V</t>
    </r>
    <r>
      <rPr>
        <vertAlign val="subscript"/>
        <sz val="10"/>
        <color indexed="9"/>
        <rFont val="Arial"/>
        <family val="2"/>
      </rPr>
      <t>CCO33</t>
    </r>
  </si>
  <si>
    <r>
      <t>V</t>
    </r>
    <r>
      <rPr>
        <vertAlign val="subscript"/>
        <sz val="10"/>
        <color indexed="9"/>
        <rFont val="Arial"/>
        <family val="2"/>
      </rPr>
      <t>CCO25</t>
    </r>
  </si>
  <si>
    <r>
      <t>V</t>
    </r>
    <r>
      <rPr>
        <vertAlign val="subscript"/>
        <sz val="10"/>
        <color indexed="9"/>
        <rFont val="Arial"/>
        <family val="2"/>
      </rPr>
      <t>CCO18</t>
    </r>
  </si>
  <si>
    <r>
      <t>V</t>
    </r>
    <r>
      <rPr>
        <vertAlign val="subscript"/>
        <sz val="10"/>
        <color indexed="9"/>
        <rFont val="Arial"/>
        <family val="2"/>
      </rPr>
      <t>CCO15</t>
    </r>
  </si>
  <si>
    <r>
      <t>V</t>
    </r>
    <r>
      <rPr>
        <vertAlign val="subscript"/>
        <sz val="10"/>
        <color indexed="9"/>
        <rFont val="Arial"/>
        <family val="2"/>
      </rPr>
      <t>CCO12</t>
    </r>
  </si>
  <si>
    <r>
      <t>MGTAV</t>
    </r>
    <r>
      <rPr>
        <vertAlign val="subscript"/>
        <sz val="10"/>
        <color indexed="9"/>
        <rFont val="Arial"/>
        <family val="2"/>
      </rPr>
      <t>CC</t>
    </r>
  </si>
  <si>
    <r>
      <t>MGTAV</t>
    </r>
    <r>
      <rPr>
        <vertAlign val="subscript"/>
        <sz val="10"/>
        <color indexed="9"/>
        <rFont val="Arial"/>
        <family val="2"/>
      </rPr>
      <t>CCPLL</t>
    </r>
  </si>
  <si>
    <r>
      <t>MGTAV</t>
    </r>
    <r>
      <rPr>
        <vertAlign val="subscript"/>
        <sz val="10"/>
        <color indexed="9"/>
        <rFont val="Arial"/>
        <family val="2"/>
      </rPr>
      <t>TTTX</t>
    </r>
  </si>
  <si>
    <r>
      <t>MGTAV</t>
    </r>
    <r>
      <rPr>
        <vertAlign val="subscript"/>
        <sz val="10"/>
        <color indexed="9"/>
        <rFont val="Arial"/>
        <family val="2"/>
      </rPr>
      <t>TTRX</t>
    </r>
  </si>
  <si>
    <t xml:space="preserve">Spartan-6: "Production" for XC6SLX16, XC6SLX45/T, XC6SLX75/T, XC6SLX150/T, "Advance" for all other members </t>
  </si>
  <si>
    <t>New GUI</t>
  </si>
  <si>
    <t>External Termination</t>
  </si>
  <si>
    <t>Single Ended</t>
  </si>
  <si>
    <t>series</t>
  </si>
  <si>
    <t>parallel (Vtt)</t>
  </si>
  <si>
    <t>series-parallel (Vtt)</t>
  </si>
  <si>
    <t>Notes:</t>
  </si>
  <si>
    <t>* Pseudo-differential terminations are not supported in this version</t>
  </si>
  <si>
    <t>* More details on I/O terminations are available in the device family "SelectIO Resources User Guide"...:</t>
  </si>
  <si>
    <t>Spartan-6 (UG381.pdf)</t>
  </si>
  <si>
    <t>Spartan-3A (UG331.pdf)</t>
  </si>
  <si>
    <t>* On-chip terminations are shown for completeness. External board termination settings columns do not affect on-chip termination power calculations.</t>
  </si>
  <si>
    <t>GTP User Guide</t>
  </si>
  <si>
    <t>External Board Termination Topologies</t>
  </si>
  <si>
    <t>XA6SLX4</t>
  </si>
  <si>
    <t>XA6SLX9</t>
  </si>
  <si>
    <t>XA6SLX16</t>
  </si>
  <si>
    <t>XA6SLX25</t>
  </si>
  <si>
    <t>XA6SLX45</t>
  </si>
  <si>
    <t>XA6SLX75</t>
  </si>
  <si>
    <t>XA6SLX25T</t>
  </si>
  <si>
    <t>XA6SLX45T</t>
  </si>
  <si>
    <t>XA6SLX75T</t>
  </si>
  <si>
    <t>XA6SLX4:CSG225</t>
  </si>
  <si>
    <t>XA6SLX9:CSG225</t>
  </si>
  <si>
    <t>XA6SLX9:CSG324</t>
  </si>
  <si>
    <t>XA6SLX16:CSG225</t>
  </si>
  <si>
    <t>XA6SLX16:FTG256</t>
  </si>
  <si>
    <t>XA6SLX16:CSG324</t>
  </si>
  <si>
    <t>XA6SLX9:FTG256</t>
  </si>
  <si>
    <t>XA6SLX25:FTG256</t>
  </si>
  <si>
    <t>XA6SLX25:CSG324</t>
  </si>
  <si>
    <t>XA6SLX25:FGG484</t>
  </si>
  <si>
    <t>XA6SLX45:CSG324</t>
  </si>
  <si>
    <t>XA6SLX45:FGG484</t>
  </si>
  <si>
    <t>XA6SLX75:FGG484</t>
  </si>
  <si>
    <t>XA6SLX25T:CSG324</t>
  </si>
  <si>
    <t>XA6SLX25T:FGG484</t>
  </si>
  <si>
    <t>XA6SLX45T:CSG324</t>
  </si>
  <si>
    <t>XA6SLX45T:FGG484</t>
  </si>
  <si>
    <t>XA6SLX75T:FGG484</t>
  </si>
  <si>
    <t>Spartan-6 Automotive</t>
  </si>
  <si>
    <t>Commercial -2</t>
  </si>
  <si>
    <t>Industrial -2</t>
  </si>
  <si>
    <t>12.1.1</t>
  </si>
  <si>
    <t>CR fixes</t>
  </si>
  <si>
    <t xml:space="preserve">Spartan-6: "Production" for XC6SLX16, XC6SLX45/T, "Advance" for all other members </t>
  </si>
  <si>
    <t>Max (S6 -2 max)</t>
  </si>
  <si>
    <t>Max (S6 non-2)</t>
  </si>
  <si>
    <t>Added Spartan-6 Automotive parts, CR fixes</t>
  </si>
  <si>
    <t>MCBs</t>
  </si>
  <si>
    <t>Iccaux Q-grade factor -2</t>
  </si>
  <si>
    <t>Iccint Q-grade factor -2</t>
  </si>
  <si>
    <t>Leakage</t>
  </si>
  <si>
    <t>Vccaux scale factor</t>
  </si>
  <si>
    <t xml:space="preserve">Spartan-6: "Production", "Advance" for -1L and Q-Grade </t>
  </si>
  <si>
    <t>Internal Width</t>
  </si>
  <si>
    <t>Spartan-6 SCD</t>
  </si>
  <si>
    <t>12.3.1</t>
  </si>
  <si>
    <t>Process improvements</t>
  </si>
  <si>
    <t>Temp Grade</t>
  </si>
  <si>
    <t>PLL/DCM</t>
  </si>
  <si>
    <t>Package Pins</t>
  </si>
  <si>
    <t>Iccauxq_d</t>
  </si>
  <si>
    <t>SCD</t>
  </si>
  <si>
    <t>GTPs</t>
  </si>
  <si>
    <t>OC term allowed</t>
  </si>
  <si>
    <t>XC3S50AN:FT256</t>
  </si>
  <si>
    <t>XC3S400AN:FT256</t>
  </si>
  <si>
    <t>XC3S1400AN:FG484</t>
  </si>
  <si>
    <t xml:space="preserve">Spartan-6: "Production", "Preliminary" for -1L, "Advance" for Q-Grade </t>
  </si>
  <si>
    <t>-3</t>
  </si>
  <si>
    <t>-2</t>
  </si>
  <si>
    <t>Support for XQ parts</t>
  </si>
  <si>
    <t>XA6SLX100T:FGG484</t>
  </si>
  <si>
    <t>XA6SLX100:FGG484</t>
  </si>
  <si>
    <t/>
  </si>
  <si>
    <t>Junction</t>
  </si>
  <si>
    <t>Signal Rate (Mtr/s)</t>
  </si>
  <si>
    <t>XQ6SLX75</t>
  </si>
  <si>
    <t>XQ6SLX150</t>
  </si>
  <si>
    <t>XQ6SLX75T</t>
  </si>
  <si>
    <t>XQ6SLX150T</t>
  </si>
  <si>
    <t>XQ6SLX75:FGG484</t>
  </si>
  <si>
    <t>XQ6SLX75:CSG484</t>
  </si>
  <si>
    <t>XQ6SLX150:FGG484</t>
  </si>
  <si>
    <t>XQ6SLX150:CSG484</t>
  </si>
  <si>
    <t>XQ6SLX75T:CSG484</t>
  </si>
  <si>
    <t>XQ6SLX75T:FGG484</t>
  </si>
  <si>
    <t>XQ6SLX75T:FGG676</t>
  </si>
  <si>
    <t>XQ6SLX150T:CSG484</t>
  </si>
  <si>
    <t>XQ6SLX150T:FGG484</t>
  </si>
  <si>
    <t>XQ6SLX150T:FGG676</t>
  </si>
  <si>
    <t>Spartan-6 Defense</t>
  </si>
  <si>
    <t>GTP Leakage</t>
  </si>
  <si>
    <t>Max Aux</t>
  </si>
  <si>
    <t>Max Int</t>
  </si>
  <si>
    <t>I2C 3.3V*</t>
  </si>
  <si>
    <t>SMBus 3.3V*</t>
  </si>
  <si>
    <t xml:space="preserve">        -</t>
  </si>
  <si>
    <t>Spartan-6: "Production", "Preliminary" for Automotive</t>
  </si>
  <si>
    <t>Spartan-6: "Production"</t>
  </si>
  <si>
    <t>XA6SLX100</t>
  </si>
  <si>
    <t>Production  29-Aug-2011</t>
  </si>
  <si>
    <t>Added XA6SLX100, production numbers for Q-Grade</t>
  </si>
  <si>
    <t>QFactInt</t>
  </si>
  <si>
    <t>QFactAux</t>
  </si>
  <si>
    <t>XQ6SLX75:FG484</t>
  </si>
  <si>
    <t>XQ6SLX75:CS484</t>
  </si>
  <si>
    <t>XQ6SLX150:FG484</t>
  </si>
  <si>
    <t>XQ6SLX150:CS484</t>
  </si>
  <si>
    <t>XQ6SLX75T:CS484</t>
  </si>
  <si>
    <t>XQ6SLX75T:FG484</t>
  </si>
  <si>
    <t>XQ6SLX75T:FG676</t>
  </si>
  <si>
    <t>XQ6SLX150T:CS484</t>
  </si>
  <si>
    <t>XQ6SLX150T:FG484</t>
  </si>
  <si>
    <t>XQ6SLX150T:FG676</t>
  </si>
  <si>
    <t>XQ6SLX75L:FG484</t>
  </si>
  <si>
    <t>XQ6SLX75L:CS484</t>
  </si>
  <si>
    <t>XQ6SLX150L:FG484</t>
  </si>
  <si>
    <t>XQ6SLX150L:CS484</t>
  </si>
  <si>
    <t>XQ6SLX75L:FGG484</t>
  </si>
  <si>
    <t>XQ6SLX75L:CSG484</t>
  </si>
  <si>
    <t>XQ6SLX150L:FGG484</t>
  </si>
  <si>
    <t>XQ6SLX150L:CSG484</t>
  </si>
  <si>
    <t>XQ6SLX75L</t>
  </si>
  <si>
    <t>XQ6SLX150L</t>
  </si>
  <si>
    <t>XILINX Power Advantage (check for updates)</t>
  </si>
  <si>
    <t>CRs</t>
  </si>
  <si>
    <t>Xilinx Power Estimator User Guide</t>
  </si>
  <si>
    <t>Spartan-6: "Production" (Added CSG484 package to the LX45 and LX75 XA devices)</t>
  </si>
  <si>
    <t>Low Profile</t>
  </si>
  <si>
    <t>-3N</t>
  </si>
  <si>
    <t>Clock interne</t>
  </si>
  <si>
    <t>dcm1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</si>
</sst>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
    <numFmt numFmtId="165" formatCode="0.000"/>
    <numFmt numFmtId="166" formatCode="0.0000"/>
    <numFmt numFmtId="167" formatCode="0.0"/>
    <numFmt numFmtId="168" formatCode="0.00000"/>
    <numFmt numFmtId="169" formatCode="0.000000"/>
    <numFmt numFmtId="170" formatCode="[$-409]d\-mmm\-yyyy;@"/>
    <numFmt numFmtId="171" formatCode="#0.000\W"/>
    <numFmt numFmtId="172" formatCode="#0.000\A"/>
    <numFmt numFmtId="173" formatCode="0.000\V"/>
    <numFmt numFmtId="174" formatCode="0.0&quot; °C&quot;"/>
    <numFmt numFmtId="175" formatCode="0\ &quot;LFM&quot;"/>
    <numFmt numFmtId="176" formatCode="0.0&quot; °C/W&quot;"/>
    <numFmt numFmtId="177" formatCode="0.000\ \W"/>
    <numFmt numFmtId="178" formatCode="0.0&quot;°C&quot;"/>
    <numFmt numFmtId="179" formatCode="0.0\W"/>
  </numFmts>
  <fonts count="104" x14ac:knownFonts="1">
    <font>
      <sz val="10"/>
      <name val="Arial"/>
    </font>
    <font>
      <sz val="10"/>
      <name val="Arial"/>
    </font>
    <font>
      <sz val="8"/>
      <name val="Arial"/>
      <family val="2"/>
    </font>
    <font>
      <sz val="8"/>
      <color indexed="81"/>
      <name val="Tahoma"/>
      <family val="2"/>
    </font>
    <font>
      <sz val="12"/>
      <color indexed="9"/>
      <name val="Arial"/>
      <family val="2"/>
    </font>
    <font>
      <vertAlign val="subscript"/>
      <sz val="12"/>
      <color indexed="9"/>
      <name val="Arial"/>
      <family val="2"/>
    </font>
    <font>
      <u/>
      <sz val="10"/>
      <color indexed="12"/>
      <name val="Arial"/>
      <family val="2"/>
    </font>
    <font>
      <b/>
      <sz val="10"/>
      <name val="Arial"/>
      <family val="2"/>
    </font>
    <font>
      <b/>
      <sz val="14"/>
      <color indexed="9"/>
      <name val="Arial"/>
      <family val="2"/>
    </font>
    <font>
      <b/>
      <u/>
      <sz val="11"/>
      <color indexed="12"/>
      <name val="Arial"/>
      <family val="2"/>
    </font>
    <font>
      <sz val="10"/>
      <name val="Arial"/>
      <family val="2"/>
    </font>
    <font>
      <b/>
      <sz val="10"/>
      <name val="Arial"/>
      <family val="2"/>
    </font>
    <font>
      <i/>
      <sz val="10"/>
      <name val="Arial"/>
      <family val="2"/>
    </font>
    <font>
      <b/>
      <i/>
      <sz val="10"/>
      <name val="Arial"/>
      <family val="2"/>
    </font>
    <font>
      <sz val="10"/>
      <color indexed="23"/>
      <name val="Arial"/>
      <family val="2"/>
    </font>
    <font>
      <sz val="10"/>
      <name val="Arial"/>
      <family val="2"/>
    </font>
    <font>
      <sz val="10"/>
      <name val="Arial"/>
      <family val="2"/>
    </font>
    <font>
      <sz val="10"/>
      <color indexed="9"/>
      <name val="Arial"/>
      <family val="2"/>
    </font>
    <font>
      <sz val="10"/>
      <color indexed="55"/>
      <name val="Arial"/>
      <family val="2"/>
    </font>
    <font>
      <b/>
      <sz val="8"/>
      <color indexed="81"/>
      <name val="Tahoma"/>
      <family val="2"/>
    </font>
    <font>
      <sz val="14"/>
      <name val="Arial"/>
      <family val="2"/>
    </font>
    <font>
      <b/>
      <sz val="14"/>
      <name val="Arial"/>
      <family val="2"/>
    </font>
    <font>
      <vertAlign val="subscript"/>
      <sz val="10"/>
      <color indexed="9"/>
      <name val="Arial"/>
      <family val="2"/>
    </font>
    <font>
      <sz val="11"/>
      <color indexed="9"/>
      <name val="Arial"/>
      <family val="2"/>
    </font>
    <font>
      <sz val="9"/>
      <name val="Arial"/>
      <family val="2"/>
    </font>
    <font>
      <b/>
      <sz val="9"/>
      <name val="Arial"/>
      <family val="2"/>
    </font>
    <font>
      <sz val="12"/>
      <color indexed="9"/>
      <name val="Arial"/>
      <family val="2"/>
    </font>
    <font>
      <sz val="14"/>
      <color indexed="9"/>
      <name val="Arial"/>
      <family val="2"/>
    </font>
    <font>
      <sz val="14"/>
      <color indexed="9"/>
      <name val="Arial"/>
      <family val="2"/>
    </font>
    <font>
      <sz val="11"/>
      <name val="Arial"/>
      <family val="2"/>
    </font>
    <font>
      <sz val="11"/>
      <color indexed="9"/>
      <name val="Arial"/>
      <family val="2"/>
    </font>
    <font>
      <sz val="10"/>
      <color indexed="9"/>
      <name val="Arial"/>
      <family val="2"/>
    </font>
    <font>
      <b/>
      <sz val="12"/>
      <color indexed="9"/>
      <name val="Arial"/>
      <family val="2"/>
    </font>
    <font>
      <vertAlign val="subscript"/>
      <sz val="11"/>
      <color indexed="9"/>
      <name val="Arial"/>
      <family val="2"/>
    </font>
    <font>
      <b/>
      <sz val="11"/>
      <name val="Arial"/>
      <family val="2"/>
    </font>
    <font>
      <sz val="11"/>
      <name val="Arial"/>
      <family val="2"/>
    </font>
    <font>
      <b/>
      <sz val="11"/>
      <color indexed="9"/>
      <name val="Arial"/>
      <family val="2"/>
    </font>
    <font>
      <b/>
      <sz val="14"/>
      <color indexed="9"/>
      <name val="Arial"/>
      <family val="2"/>
    </font>
    <font>
      <b/>
      <sz val="18"/>
      <color indexed="9"/>
      <name val="Arial"/>
      <family val="2"/>
    </font>
    <font>
      <sz val="18"/>
      <name val="Arial"/>
      <family val="2"/>
    </font>
    <font>
      <sz val="12"/>
      <color indexed="22"/>
      <name val="Arial"/>
      <family val="2"/>
    </font>
    <font>
      <vertAlign val="subscript"/>
      <sz val="12"/>
      <color indexed="22"/>
      <name val="Arial"/>
      <family val="2"/>
    </font>
    <font>
      <sz val="9"/>
      <color indexed="9"/>
      <name val="Arial"/>
      <family val="2"/>
    </font>
    <font>
      <sz val="11"/>
      <color indexed="9"/>
      <name val="Arial"/>
      <family val="2"/>
    </font>
    <font>
      <sz val="10"/>
      <name val="Arial"/>
      <family val="2"/>
    </font>
    <font>
      <sz val="10"/>
      <name val="Arial"/>
      <family val="2"/>
    </font>
    <font>
      <sz val="10"/>
      <name val="Arial"/>
      <family val="2"/>
    </font>
    <font>
      <b/>
      <sz val="14"/>
      <color indexed="22"/>
      <name val="Arial"/>
      <family val="2"/>
    </font>
    <font>
      <sz val="10"/>
      <color indexed="22"/>
      <name val="Arial"/>
      <family val="2"/>
    </font>
    <font>
      <b/>
      <sz val="12"/>
      <color indexed="22"/>
      <name val="Arial"/>
      <family val="2"/>
    </font>
    <font>
      <sz val="11"/>
      <color indexed="22"/>
      <name val="Arial"/>
      <family val="2"/>
    </font>
    <font>
      <sz val="12"/>
      <color indexed="22"/>
      <name val="Arial"/>
      <family val="2"/>
    </font>
    <font>
      <b/>
      <sz val="10"/>
      <color indexed="22"/>
      <name val="Arial"/>
      <family val="2"/>
    </font>
    <font>
      <b/>
      <sz val="18"/>
      <color indexed="22"/>
      <name val="Arial"/>
      <family val="2"/>
    </font>
    <font>
      <sz val="10"/>
      <color indexed="23"/>
      <name val="Arial"/>
      <family val="2"/>
    </font>
    <font>
      <sz val="10"/>
      <color indexed="8"/>
      <name val="Arial"/>
      <family val="2"/>
    </font>
    <font>
      <b/>
      <sz val="18"/>
      <color indexed="9"/>
      <name val="Arial"/>
      <family val="2"/>
    </font>
    <font>
      <sz val="11"/>
      <color indexed="9"/>
      <name val="Arial"/>
      <family val="2"/>
    </font>
    <font>
      <sz val="10"/>
      <color indexed="22"/>
      <name val="Arial"/>
      <family val="2"/>
    </font>
    <font>
      <sz val="11"/>
      <color indexed="9"/>
      <name val="Arial"/>
      <family val="2"/>
    </font>
    <font>
      <sz val="14"/>
      <color indexed="22"/>
      <name val="Arial"/>
      <family val="2"/>
    </font>
    <font>
      <u/>
      <sz val="10"/>
      <color indexed="22"/>
      <name val="Arial"/>
      <family val="2"/>
    </font>
    <font>
      <sz val="14"/>
      <color indexed="9"/>
      <name val="Arial"/>
      <family val="2"/>
    </font>
    <font>
      <b/>
      <i/>
      <sz val="14"/>
      <name val="Arial"/>
      <family val="2"/>
    </font>
    <font>
      <sz val="8"/>
      <color indexed="9"/>
      <name val="Arial"/>
      <family val="2"/>
    </font>
    <font>
      <u/>
      <sz val="8"/>
      <color indexed="81"/>
      <name val="Tahoma"/>
      <family val="2"/>
    </font>
    <font>
      <sz val="12"/>
      <name val="Arial"/>
      <family val="2"/>
    </font>
    <font>
      <sz val="10"/>
      <color indexed="9"/>
      <name val="Arial"/>
      <family val="2"/>
    </font>
    <font>
      <sz val="9"/>
      <color indexed="9"/>
      <name val="Arial"/>
      <family val="2"/>
    </font>
    <font>
      <b/>
      <sz val="14"/>
      <color indexed="60"/>
      <name val="Arial"/>
      <family val="2"/>
    </font>
    <font>
      <b/>
      <sz val="12"/>
      <color indexed="9"/>
      <name val="Arial"/>
      <family val="2"/>
    </font>
    <font>
      <b/>
      <sz val="12"/>
      <name val="Arial"/>
      <family val="2"/>
    </font>
    <font>
      <b/>
      <sz val="12"/>
      <name val="Arial"/>
      <family val="2"/>
    </font>
    <font>
      <b/>
      <sz val="11"/>
      <name val="Arial"/>
      <family val="2"/>
    </font>
    <font>
      <sz val="11"/>
      <name val="Arial"/>
      <family val="2"/>
    </font>
    <font>
      <sz val="10"/>
      <color indexed="10"/>
      <name val="Arial"/>
      <family val="2"/>
    </font>
    <font>
      <u/>
      <sz val="10"/>
      <color indexed="9"/>
      <name val="Arial"/>
      <family val="2"/>
    </font>
    <font>
      <sz val="8"/>
      <name val="Arial"/>
      <family val="2"/>
    </font>
    <font>
      <sz val="8"/>
      <color indexed="22"/>
      <name val="Arial"/>
      <family val="2"/>
    </font>
    <font>
      <sz val="8"/>
      <color indexed="55"/>
      <name val="Arial"/>
      <family val="2"/>
    </font>
    <font>
      <sz val="12"/>
      <color indexed="9"/>
      <name val="Arial"/>
      <family val="2"/>
    </font>
    <font>
      <sz val="14"/>
      <color indexed="22"/>
      <name val="Arial"/>
      <family val="2"/>
    </font>
    <font>
      <sz val="11"/>
      <color indexed="22"/>
      <name val="Arial"/>
      <family val="2"/>
    </font>
    <font>
      <sz val="12"/>
      <color indexed="22"/>
      <name val="Arial"/>
      <family val="2"/>
    </font>
    <font>
      <b/>
      <sz val="14"/>
      <color indexed="22"/>
      <name val="Arial"/>
      <family val="2"/>
    </font>
    <font>
      <sz val="10"/>
      <name val="Arial"/>
      <family val="2"/>
    </font>
    <font>
      <b/>
      <i/>
      <sz val="8"/>
      <name val="Arial"/>
      <family val="2"/>
    </font>
    <font>
      <sz val="10"/>
      <name val="Arial"/>
      <family val="2"/>
    </font>
    <font>
      <sz val="10"/>
      <name val="Arial"/>
      <family val="2"/>
    </font>
    <font>
      <sz val="10"/>
      <color indexed="9"/>
      <name val="Arial"/>
      <family val="2"/>
    </font>
    <font>
      <sz val="10"/>
      <color indexed="22"/>
      <name val="Arial"/>
      <family val="2"/>
    </font>
    <font>
      <b/>
      <sz val="10"/>
      <color indexed="22"/>
      <name val="Arial"/>
      <family val="2"/>
    </font>
    <font>
      <b/>
      <u/>
      <sz val="11"/>
      <color indexed="22"/>
      <name val="Arial"/>
      <family val="2"/>
    </font>
    <font>
      <sz val="12"/>
      <color indexed="22"/>
      <name val="Arial"/>
      <family val="2"/>
    </font>
    <font>
      <b/>
      <sz val="12"/>
      <color indexed="22"/>
      <name val="Arial"/>
      <family val="2"/>
    </font>
    <font>
      <sz val="9"/>
      <color indexed="22"/>
      <name val="Arial"/>
      <family val="2"/>
    </font>
    <font>
      <sz val="11"/>
      <color indexed="22"/>
      <name val="Arial"/>
      <family val="2"/>
    </font>
    <font>
      <sz val="10"/>
      <name val="Arial"/>
      <family val="2"/>
    </font>
    <font>
      <sz val="10"/>
      <color indexed="22"/>
      <name val="Arial"/>
      <family val="2"/>
    </font>
    <font>
      <sz val="10"/>
      <color indexed="9"/>
      <name val="Arial"/>
      <family val="2"/>
    </font>
    <font>
      <sz val="9"/>
      <color indexed="22"/>
      <name val="Arial"/>
      <family val="2"/>
    </font>
    <font>
      <sz val="12"/>
      <color indexed="22"/>
      <name val="Arial"/>
      <family val="2"/>
    </font>
    <font>
      <sz val="10"/>
      <color indexed="55"/>
      <name val="Arial"/>
      <family val="2"/>
    </font>
    <font>
      <sz val="10"/>
      <color indexed="23"/>
      <name val="Arial"/>
      <family val="2"/>
    </font>
  </fonts>
  <fills count="14">
    <fill>
      <patternFill patternType="none"/>
    </fill>
    <fill>
      <patternFill patternType="gray125"/>
    </fill>
    <fill>
      <patternFill patternType="solid">
        <fgColor indexed="55"/>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13"/>
        <bgColor indexed="64"/>
      </patternFill>
    </fill>
    <fill>
      <patternFill patternType="solid">
        <fgColor indexed="41"/>
        <bgColor indexed="64"/>
      </patternFill>
    </fill>
    <fill>
      <patternFill patternType="solid">
        <fgColor indexed="47"/>
        <bgColor indexed="64"/>
      </patternFill>
    </fill>
    <fill>
      <patternFill patternType="solid">
        <fgColor indexed="22"/>
        <bgColor indexed="64"/>
      </patternFill>
    </fill>
    <fill>
      <patternFill patternType="solid">
        <fgColor indexed="42"/>
        <bgColor indexed="64"/>
      </patternFill>
    </fill>
    <fill>
      <patternFill patternType="solid">
        <fgColor indexed="50"/>
        <bgColor indexed="64"/>
      </patternFill>
    </fill>
    <fill>
      <patternFill patternType="solid">
        <fgColor indexed="51"/>
        <bgColor indexed="64"/>
      </patternFill>
    </fill>
    <fill>
      <patternFill patternType="solid">
        <fgColor indexed="23"/>
        <bgColor indexed="8"/>
      </patternFill>
    </fill>
  </fills>
  <borders count="260">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style="thin">
        <color indexed="22"/>
      </right>
      <top style="thin">
        <color indexed="2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22"/>
      </right>
      <top style="thin">
        <color indexed="64"/>
      </top>
      <bottom style="thin">
        <color indexed="22"/>
      </bottom>
      <diagonal/>
    </border>
    <border>
      <left style="thin">
        <color indexed="22"/>
      </left>
      <right/>
      <top style="thin">
        <color indexed="64"/>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diagonal/>
    </border>
    <border>
      <left style="thin">
        <color indexed="22"/>
      </left>
      <right/>
      <top style="thin">
        <color indexed="22"/>
      </top>
      <bottom/>
      <diagonal/>
    </border>
    <border>
      <left style="thin">
        <color indexed="22"/>
      </left>
      <right/>
      <top/>
      <bottom/>
      <diagonal/>
    </border>
    <border>
      <left style="medium">
        <color indexed="23"/>
      </left>
      <right style="thin">
        <color indexed="22"/>
      </right>
      <top style="thin">
        <color indexed="22"/>
      </top>
      <bottom style="medium">
        <color indexed="23"/>
      </bottom>
      <diagonal/>
    </border>
    <border>
      <left/>
      <right style="medium">
        <color indexed="23"/>
      </right>
      <top/>
      <bottom style="medium">
        <color indexed="23"/>
      </bottom>
      <diagonal/>
    </border>
    <border>
      <left style="thin">
        <color indexed="22"/>
      </left>
      <right style="thin">
        <color indexed="23"/>
      </right>
      <top style="thin">
        <color indexed="22"/>
      </top>
      <bottom/>
      <diagonal/>
    </border>
    <border>
      <left style="thin">
        <color indexed="22"/>
      </left>
      <right style="thin">
        <color indexed="23"/>
      </right>
      <top/>
      <bottom style="medium">
        <color indexed="23"/>
      </bottom>
      <diagonal/>
    </border>
    <border>
      <left/>
      <right/>
      <top/>
      <bottom style="medium">
        <color indexed="23"/>
      </bottom>
      <diagonal/>
    </border>
    <border>
      <left style="thin">
        <color indexed="22"/>
      </left>
      <right style="thin">
        <color indexed="23"/>
      </right>
      <top style="thin">
        <color indexed="22"/>
      </top>
      <bottom style="medium">
        <color indexed="23"/>
      </bottom>
      <diagonal/>
    </border>
    <border>
      <left/>
      <right style="medium">
        <color indexed="23"/>
      </right>
      <top/>
      <bottom/>
      <diagonal/>
    </border>
    <border>
      <left/>
      <right style="medium">
        <color indexed="23"/>
      </right>
      <top/>
      <bottom style="thin">
        <color indexed="55"/>
      </bottom>
      <diagonal/>
    </border>
    <border>
      <left/>
      <right style="medium">
        <color indexed="23"/>
      </right>
      <top style="thin">
        <color indexed="55"/>
      </top>
      <bottom style="medium">
        <color indexed="55"/>
      </bottom>
      <diagonal/>
    </border>
    <border>
      <left style="thin">
        <color indexed="55"/>
      </left>
      <right style="medium">
        <color indexed="23"/>
      </right>
      <top style="thin">
        <color indexed="55"/>
      </top>
      <bottom style="thin">
        <color indexed="55"/>
      </bottom>
      <diagonal/>
    </border>
    <border>
      <left/>
      <right style="thin">
        <color indexed="55"/>
      </right>
      <top/>
      <bottom style="medium">
        <color indexed="23"/>
      </bottom>
      <diagonal/>
    </border>
    <border>
      <left style="thin">
        <color indexed="55"/>
      </left>
      <right style="medium">
        <color indexed="23"/>
      </right>
      <top style="medium">
        <color indexed="23"/>
      </top>
      <bottom style="thin">
        <color indexed="55"/>
      </bottom>
      <diagonal/>
    </border>
    <border>
      <left style="thin">
        <color indexed="22"/>
      </left>
      <right style="medium">
        <color indexed="23"/>
      </right>
      <top style="thin">
        <color indexed="22"/>
      </top>
      <bottom/>
      <diagonal/>
    </border>
    <border>
      <left style="medium">
        <color indexed="23"/>
      </left>
      <right style="thin">
        <color indexed="22"/>
      </right>
      <top style="thin">
        <color indexed="22"/>
      </top>
      <bottom style="thin">
        <color indexed="22"/>
      </bottom>
      <diagonal/>
    </border>
    <border>
      <left/>
      <right style="medium">
        <color indexed="23"/>
      </right>
      <top style="thin">
        <color indexed="23"/>
      </top>
      <bottom style="thin">
        <color indexed="23"/>
      </bottom>
      <diagonal/>
    </border>
    <border>
      <left/>
      <right style="medium">
        <color indexed="23"/>
      </right>
      <top style="thin">
        <color indexed="23"/>
      </top>
      <bottom style="medium">
        <color indexed="23"/>
      </bottom>
      <diagonal/>
    </border>
    <border>
      <left style="medium">
        <color indexed="23"/>
      </left>
      <right/>
      <top/>
      <bottom/>
      <diagonal/>
    </border>
    <border>
      <left/>
      <right style="thin">
        <color indexed="23"/>
      </right>
      <top style="thin">
        <color indexed="22"/>
      </top>
      <bottom style="medium">
        <color indexed="23"/>
      </bottom>
      <diagonal/>
    </border>
    <border>
      <left/>
      <right style="medium">
        <color indexed="23"/>
      </right>
      <top style="medium">
        <color indexed="23"/>
      </top>
      <bottom style="medium">
        <color indexed="23"/>
      </bottom>
      <diagonal/>
    </border>
    <border>
      <left style="medium">
        <color indexed="23"/>
      </left>
      <right style="thin">
        <color indexed="22"/>
      </right>
      <top style="medium">
        <color indexed="23"/>
      </top>
      <bottom style="thin">
        <color indexed="22"/>
      </bottom>
      <diagonal/>
    </border>
    <border>
      <left/>
      <right/>
      <top style="medium">
        <color indexed="23"/>
      </top>
      <bottom/>
      <diagonal/>
    </border>
    <border>
      <left style="thin">
        <color indexed="23"/>
      </left>
      <right style="thin">
        <color indexed="23"/>
      </right>
      <top style="medium">
        <color indexed="23"/>
      </top>
      <bottom style="thin">
        <color indexed="23"/>
      </bottom>
      <diagonal/>
    </border>
    <border>
      <left style="thin">
        <color indexed="23"/>
      </left>
      <right style="thin">
        <color indexed="23"/>
      </right>
      <top style="thin">
        <color indexed="23"/>
      </top>
      <bottom style="medium">
        <color indexed="23"/>
      </bottom>
      <diagonal/>
    </border>
    <border>
      <left style="thin">
        <color indexed="55"/>
      </left>
      <right style="medium">
        <color indexed="23"/>
      </right>
      <top style="medium">
        <color indexed="23"/>
      </top>
      <bottom/>
      <diagonal/>
    </border>
    <border>
      <left style="thin">
        <color indexed="55"/>
      </left>
      <right style="medium">
        <color indexed="23"/>
      </right>
      <top/>
      <bottom style="medium">
        <color indexed="23"/>
      </bottom>
      <diagonal/>
    </border>
    <border>
      <left style="thin">
        <color indexed="55"/>
      </left>
      <right style="medium">
        <color indexed="23"/>
      </right>
      <top style="thin">
        <color indexed="55"/>
      </top>
      <bottom style="medium">
        <color indexed="23"/>
      </bottom>
      <diagonal/>
    </border>
    <border>
      <left style="thin">
        <color indexed="55"/>
      </left>
      <right style="thin">
        <color indexed="55"/>
      </right>
      <top style="medium">
        <color indexed="23"/>
      </top>
      <bottom style="thin">
        <color indexed="55"/>
      </bottom>
      <diagonal/>
    </border>
    <border>
      <left style="thin">
        <color indexed="55"/>
      </left>
      <right style="thin">
        <color indexed="55"/>
      </right>
      <top style="thin">
        <color indexed="55"/>
      </top>
      <bottom style="thin">
        <color indexed="55"/>
      </bottom>
      <diagonal/>
    </border>
    <border>
      <left style="thin">
        <color indexed="55"/>
      </left>
      <right style="thin">
        <color indexed="55"/>
      </right>
      <top style="thin">
        <color indexed="55"/>
      </top>
      <bottom style="medium">
        <color indexed="23"/>
      </bottom>
      <diagonal/>
    </border>
    <border>
      <left style="thin">
        <color indexed="23"/>
      </left>
      <right style="medium">
        <color indexed="23"/>
      </right>
      <top style="medium">
        <color indexed="23"/>
      </top>
      <bottom style="thin">
        <color indexed="23"/>
      </bottom>
      <diagonal/>
    </border>
    <border>
      <left style="thin">
        <color indexed="23"/>
      </left>
      <right style="medium">
        <color indexed="23"/>
      </right>
      <top style="thin">
        <color indexed="23"/>
      </top>
      <bottom style="thin">
        <color indexed="23"/>
      </bottom>
      <diagonal/>
    </border>
    <border>
      <left style="thin">
        <color indexed="23"/>
      </left>
      <right style="medium">
        <color indexed="23"/>
      </right>
      <top style="thin">
        <color indexed="23"/>
      </top>
      <bottom style="medium">
        <color indexed="23"/>
      </bottom>
      <diagonal/>
    </border>
    <border>
      <left style="thin">
        <color indexed="22"/>
      </left>
      <right style="thin">
        <color indexed="23"/>
      </right>
      <top style="thin">
        <color indexed="23"/>
      </top>
      <bottom style="medium">
        <color indexed="23"/>
      </bottom>
      <diagonal/>
    </border>
    <border>
      <left style="thin">
        <color indexed="55"/>
      </left>
      <right/>
      <top style="medium">
        <color indexed="23"/>
      </top>
      <bottom style="thin">
        <color indexed="55"/>
      </bottom>
      <diagonal/>
    </border>
    <border>
      <left style="thin">
        <color indexed="55"/>
      </left>
      <right/>
      <top style="thin">
        <color indexed="55"/>
      </top>
      <bottom style="thin">
        <color indexed="55"/>
      </bottom>
      <diagonal/>
    </border>
    <border>
      <left style="thin">
        <color indexed="55"/>
      </left>
      <right/>
      <top style="thin">
        <color indexed="55"/>
      </top>
      <bottom style="medium">
        <color indexed="23"/>
      </bottom>
      <diagonal/>
    </border>
    <border>
      <left style="thin">
        <color indexed="22"/>
      </left>
      <right style="medium">
        <color indexed="23"/>
      </right>
      <top style="thin">
        <color indexed="22"/>
      </top>
      <bottom style="thin">
        <color indexed="22"/>
      </bottom>
      <diagonal/>
    </border>
    <border>
      <left style="thin">
        <color indexed="22"/>
      </left>
      <right style="medium">
        <color indexed="23"/>
      </right>
      <top style="thin">
        <color indexed="22"/>
      </top>
      <bottom style="thin">
        <color indexed="23"/>
      </bottom>
      <diagonal/>
    </border>
    <border>
      <left style="thin">
        <color indexed="22"/>
      </left>
      <right style="medium">
        <color indexed="23"/>
      </right>
      <top style="thin">
        <color indexed="23"/>
      </top>
      <bottom style="thin">
        <color indexed="23"/>
      </bottom>
      <diagonal/>
    </border>
    <border>
      <left style="thin">
        <color indexed="22"/>
      </left>
      <right style="thin">
        <color indexed="22"/>
      </right>
      <top style="thin">
        <color indexed="22"/>
      </top>
      <bottom style="medium">
        <color indexed="23"/>
      </bottom>
      <diagonal/>
    </border>
    <border>
      <left style="thin">
        <color indexed="22"/>
      </left>
      <right style="medium">
        <color indexed="23"/>
      </right>
      <top style="thin">
        <color indexed="23"/>
      </top>
      <bottom style="medium">
        <color indexed="23"/>
      </bottom>
      <diagonal/>
    </border>
    <border>
      <left style="thin">
        <color indexed="55"/>
      </left>
      <right style="medium">
        <color indexed="23"/>
      </right>
      <top/>
      <bottom style="thin">
        <color indexed="55"/>
      </bottom>
      <diagonal/>
    </border>
    <border>
      <left/>
      <right style="medium">
        <color indexed="23"/>
      </right>
      <top/>
      <bottom style="thin">
        <color indexed="23"/>
      </bottom>
      <diagonal/>
    </border>
    <border>
      <left style="thin">
        <color indexed="55"/>
      </left>
      <right style="thin">
        <color indexed="55"/>
      </right>
      <top/>
      <bottom/>
      <diagonal/>
    </border>
    <border>
      <left style="medium">
        <color indexed="23"/>
      </left>
      <right style="thin">
        <color indexed="23"/>
      </right>
      <top style="medium">
        <color indexed="23"/>
      </top>
      <bottom style="medium">
        <color indexed="23"/>
      </bottom>
      <diagonal/>
    </border>
    <border>
      <left style="thin">
        <color indexed="23"/>
      </left>
      <right style="thin">
        <color indexed="23"/>
      </right>
      <top style="medium">
        <color indexed="23"/>
      </top>
      <bottom style="medium">
        <color indexed="23"/>
      </bottom>
      <diagonal/>
    </border>
    <border>
      <left style="thin">
        <color indexed="23"/>
      </left>
      <right style="medium">
        <color indexed="23"/>
      </right>
      <top style="medium">
        <color indexed="23"/>
      </top>
      <bottom style="medium">
        <color indexed="23"/>
      </bottom>
      <diagonal/>
    </border>
    <border>
      <left style="medium">
        <color indexed="23"/>
      </left>
      <right/>
      <top style="medium">
        <color indexed="23"/>
      </top>
      <bottom/>
      <diagonal/>
    </border>
    <border>
      <left style="medium">
        <color indexed="23"/>
      </left>
      <right/>
      <top/>
      <bottom style="medium">
        <color indexed="23"/>
      </bottom>
      <diagonal/>
    </border>
    <border>
      <left/>
      <right style="medium">
        <color indexed="23"/>
      </right>
      <top style="medium">
        <color indexed="23"/>
      </top>
      <bottom/>
      <diagonal/>
    </border>
    <border>
      <left style="medium">
        <color indexed="55"/>
      </left>
      <right style="thin">
        <color indexed="55"/>
      </right>
      <top/>
      <bottom/>
      <diagonal/>
    </border>
    <border>
      <left style="medium">
        <color indexed="55"/>
      </left>
      <right/>
      <top/>
      <bottom style="thin">
        <color indexed="55"/>
      </bottom>
      <diagonal/>
    </border>
    <border>
      <left style="thin">
        <color indexed="55"/>
      </left>
      <right style="thin">
        <color indexed="55"/>
      </right>
      <top/>
      <bottom style="thin">
        <color indexed="55"/>
      </bottom>
      <diagonal/>
    </border>
    <border>
      <left style="thin">
        <color indexed="55"/>
      </left>
      <right style="thin">
        <color indexed="55"/>
      </right>
      <top/>
      <bottom style="medium">
        <color indexed="23"/>
      </bottom>
      <diagonal/>
    </border>
    <border>
      <left style="medium">
        <color indexed="23"/>
      </left>
      <right/>
      <top style="thin">
        <color indexed="22"/>
      </top>
      <bottom style="thin">
        <color indexed="22"/>
      </bottom>
      <diagonal/>
    </border>
    <border>
      <left style="medium">
        <color indexed="23"/>
      </left>
      <right/>
      <top style="thin">
        <color indexed="22"/>
      </top>
      <bottom/>
      <diagonal/>
    </border>
    <border>
      <left style="thin">
        <color indexed="23"/>
      </left>
      <right style="medium">
        <color indexed="23"/>
      </right>
      <top/>
      <bottom style="thin">
        <color indexed="22"/>
      </bottom>
      <diagonal/>
    </border>
    <border>
      <left style="thin">
        <color indexed="64"/>
      </left>
      <right style="medium">
        <color indexed="23"/>
      </right>
      <top style="thin">
        <color indexed="64"/>
      </top>
      <bottom style="thin">
        <color indexed="64"/>
      </bottom>
      <diagonal/>
    </border>
    <border>
      <left style="medium">
        <color indexed="23"/>
      </left>
      <right/>
      <top/>
      <bottom style="thin">
        <color indexed="22"/>
      </bottom>
      <diagonal/>
    </border>
    <border>
      <left/>
      <right/>
      <top/>
      <bottom style="thin">
        <color indexed="55"/>
      </bottom>
      <diagonal/>
    </border>
    <border>
      <left/>
      <right style="thin">
        <color indexed="22"/>
      </right>
      <top/>
      <bottom style="thin">
        <color indexed="55"/>
      </bottom>
      <diagonal/>
    </border>
    <border>
      <left style="medium">
        <color indexed="23"/>
      </left>
      <right/>
      <top style="medium">
        <color indexed="22"/>
      </top>
      <bottom style="medium">
        <color indexed="22"/>
      </bottom>
      <diagonal/>
    </border>
    <border>
      <left style="medium">
        <color indexed="23"/>
      </left>
      <right style="thin">
        <color indexed="55"/>
      </right>
      <top style="medium">
        <color indexed="22"/>
      </top>
      <bottom/>
      <diagonal/>
    </border>
    <border>
      <left/>
      <right style="thin">
        <color indexed="22"/>
      </right>
      <top style="medium">
        <color indexed="23"/>
      </top>
      <bottom/>
      <diagonal/>
    </border>
    <border>
      <left/>
      <right style="thin">
        <color indexed="22"/>
      </right>
      <top/>
      <bottom/>
      <diagonal/>
    </border>
    <border>
      <left/>
      <right style="thin">
        <color indexed="23"/>
      </right>
      <top style="thin">
        <color indexed="23"/>
      </top>
      <bottom style="thin">
        <color indexed="23"/>
      </bottom>
      <diagonal/>
    </border>
    <border>
      <left style="thin">
        <color indexed="23"/>
      </left>
      <right/>
      <top style="thin">
        <color indexed="23"/>
      </top>
      <bottom style="thin">
        <color indexed="23"/>
      </bottom>
      <diagonal/>
    </border>
    <border>
      <left style="thin">
        <color indexed="22"/>
      </left>
      <right style="medium">
        <color indexed="23"/>
      </right>
      <top style="thin">
        <color indexed="22"/>
      </top>
      <bottom style="medium">
        <color indexed="23"/>
      </bottom>
      <diagonal/>
    </border>
    <border>
      <left/>
      <right/>
      <top/>
      <bottom style="thin">
        <color indexed="22"/>
      </bottom>
      <diagonal/>
    </border>
    <border>
      <left/>
      <right style="medium">
        <color indexed="55"/>
      </right>
      <top style="medium">
        <color indexed="23"/>
      </top>
      <bottom/>
      <diagonal/>
    </border>
    <border>
      <left/>
      <right style="medium">
        <color indexed="55"/>
      </right>
      <top/>
      <bottom/>
      <diagonal/>
    </border>
    <border>
      <left/>
      <right style="medium">
        <color indexed="55"/>
      </right>
      <top/>
      <bottom style="medium">
        <color indexed="23"/>
      </bottom>
      <diagonal/>
    </border>
    <border>
      <left style="thin">
        <color indexed="22"/>
      </left>
      <right style="thin">
        <color indexed="22"/>
      </right>
      <top style="medium">
        <color indexed="23"/>
      </top>
      <bottom style="thin">
        <color indexed="22"/>
      </bottom>
      <diagonal/>
    </border>
    <border>
      <left style="thin">
        <color indexed="22"/>
      </left>
      <right style="thin">
        <color indexed="55"/>
      </right>
      <top style="thin">
        <color indexed="22"/>
      </top>
      <bottom style="thin">
        <color indexed="55"/>
      </bottom>
      <diagonal/>
    </border>
    <border>
      <left style="thin">
        <color indexed="55"/>
      </left>
      <right style="thin">
        <color indexed="22"/>
      </right>
      <top style="thin">
        <color indexed="22"/>
      </top>
      <bottom style="thin">
        <color indexed="55"/>
      </bottom>
      <diagonal/>
    </border>
    <border>
      <left style="thin">
        <color indexed="22"/>
      </left>
      <right style="thin">
        <color indexed="55"/>
      </right>
      <top style="thin">
        <color indexed="55"/>
      </top>
      <bottom style="thin">
        <color indexed="55"/>
      </bottom>
      <diagonal/>
    </border>
    <border>
      <left style="thin">
        <color indexed="55"/>
      </left>
      <right style="thin">
        <color indexed="22"/>
      </right>
      <top style="thin">
        <color indexed="55"/>
      </top>
      <bottom style="thin">
        <color indexed="55"/>
      </bottom>
      <diagonal/>
    </border>
    <border>
      <left style="thin">
        <color indexed="22"/>
      </left>
      <right style="thin">
        <color indexed="55"/>
      </right>
      <top style="thin">
        <color indexed="55"/>
      </top>
      <bottom style="medium">
        <color indexed="23"/>
      </bottom>
      <diagonal/>
    </border>
    <border>
      <left style="thin">
        <color indexed="55"/>
      </left>
      <right style="thin">
        <color indexed="22"/>
      </right>
      <top style="thin">
        <color indexed="55"/>
      </top>
      <bottom style="medium">
        <color indexed="23"/>
      </bottom>
      <diagonal/>
    </border>
    <border>
      <left style="medium">
        <color indexed="23"/>
      </left>
      <right/>
      <top style="medium">
        <color indexed="22"/>
      </top>
      <bottom style="medium">
        <color indexed="23"/>
      </bottom>
      <diagonal/>
    </border>
    <border>
      <left/>
      <right style="medium">
        <color indexed="23"/>
      </right>
      <top style="thin">
        <color indexed="22"/>
      </top>
      <bottom/>
      <diagonal/>
    </border>
    <border>
      <left/>
      <right style="thin">
        <color indexed="55"/>
      </right>
      <top/>
      <bottom style="thin">
        <color indexed="55"/>
      </bottom>
      <diagonal/>
    </border>
    <border>
      <left/>
      <right style="thin">
        <color indexed="55"/>
      </right>
      <top style="thin">
        <color indexed="55"/>
      </top>
      <bottom/>
      <diagonal/>
    </border>
    <border>
      <left style="thin">
        <color indexed="55"/>
      </left>
      <right style="medium">
        <color indexed="23"/>
      </right>
      <top style="thin">
        <color indexed="55"/>
      </top>
      <bottom/>
      <diagonal/>
    </border>
    <border>
      <left/>
      <right style="thin">
        <color indexed="23"/>
      </right>
      <top/>
      <bottom style="thin">
        <color indexed="23"/>
      </bottom>
      <diagonal/>
    </border>
    <border>
      <left style="thin">
        <color indexed="23"/>
      </left>
      <right style="medium">
        <color indexed="23"/>
      </right>
      <top/>
      <bottom style="thin">
        <color indexed="23"/>
      </bottom>
      <diagonal/>
    </border>
    <border>
      <left/>
      <right style="thin">
        <color indexed="23"/>
      </right>
      <top style="thin">
        <color indexed="23"/>
      </top>
      <bottom style="medium">
        <color indexed="23"/>
      </bottom>
      <diagonal/>
    </border>
    <border>
      <left/>
      <right style="medium">
        <color indexed="23"/>
      </right>
      <top style="thin">
        <color indexed="22"/>
      </top>
      <bottom style="medium">
        <color indexed="23"/>
      </bottom>
      <diagonal/>
    </border>
    <border>
      <left style="thin">
        <color indexed="22"/>
      </left>
      <right style="thin">
        <color indexed="22"/>
      </right>
      <top style="medium">
        <color indexed="23"/>
      </top>
      <bottom/>
      <diagonal/>
    </border>
    <border>
      <left style="thin">
        <color indexed="22"/>
      </left>
      <right style="medium">
        <color indexed="23"/>
      </right>
      <top style="medium">
        <color indexed="23"/>
      </top>
      <bottom/>
      <diagonal/>
    </border>
    <border>
      <left style="thin">
        <color indexed="22"/>
      </left>
      <right style="thin">
        <color indexed="22"/>
      </right>
      <top style="thin">
        <color indexed="55"/>
      </top>
      <bottom style="medium">
        <color indexed="23"/>
      </bottom>
      <diagonal/>
    </border>
    <border>
      <left style="thin">
        <color indexed="22"/>
      </left>
      <right style="thin">
        <color indexed="22"/>
      </right>
      <top/>
      <bottom style="medium">
        <color indexed="23"/>
      </bottom>
      <diagonal/>
    </border>
    <border>
      <left style="thin">
        <color indexed="22"/>
      </left>
      <right style="medium">
        <color indexed="23"/>
      </right>
      <top style="thin">
        <color indexed="55"/>
      </top>
      <bottom style="medium">
        <color indexed="23"/>
      </bottom>
      <diagonal/>
    </border>
    <border>
      <left style="thin">
        <color indexed="22"/>
      </left>
      <right/>
      <top/>
      <bottom style="medium">
        <color indexed="23"/>
      </bottom>
      <diagonal/>
    </border>
    <border>
      <left style="medium">
        <color indexed="22"/>
      </left>
      <right style="thin">
        <color indexed="22"/>
      </right>
      <top/>
      <bottom style="medium">
        <color indexed="23"/>
      </bottom>
      <diagonal/>
    </border>
    <border>
      <left style="thin">
        <color indexed="22"/>
      </left>
      <right style="thin">
        <color indexed="22"/>
      </right>
      <top style="medium">
        <color indexed="23"/>
      </top>
      <bottom style="medium">
        <color indexed="23"/>
      </bottom>
      <diagonal/>
    </border>
    <border>
      <left style="thin">
        <color indexed="22"/>
      </left>
      <right style="medium">
        <color indexed="23"/>
      </right>
      <top style="medium">
        <color indexed="23"/>
      </top>
      <bottom style="medium">
        <color indexed="23"/>
      </bottom>
      <diagonal/>
    </border>
    <border>
      <left style="medium">
        <color indexed="23"/>
      </left>
      <right style="thin">
        <color indexed="22"/>
      </right>
      <top/>
      <bottom style="medium">
        <color indexed="23"/>
      </bottom>
      <diagonal/>
    </border>
    <border>
      <left/>
      <right/>
      <top style="thin">
        <color indexed="9"/>
      </top>
      <bottom style="thin">
        <color indexed="9"/>
      </bottom>
      <diagonal/>
    </border>
    <border>
      <left/>
      <right style="medium">
        <color indexed="23"/>
      </right>
      <top style="thin">
        <color indexed="9"/>
      </top>
      <bottom style="thin">
        <color indexed="9"/>
      </bottom>
      <diagonal/>
    </border>
    <border>
      <left style="medium">
        <color indexed="48"/>
      </left>
      <right/>
      <top/>
      <bottom style="medium">
        <color indexed="23"/>
      </bottom>
      <diagonal/>
    </border>
    <border>
      <left/>
      <right style="medium">
        <color indexed="48"/>
      </right>
      <top/>
      <bottom style="medium">
        <color indexed="23"/>
      </bottom>
      <diagonal/>
    </border>
    <border>
      <left style="medium">
        <color indexed="48"/>
      </left>
      <right style="thin">
        <color indexed="22"/>
      </right>
      <top style="medium">
        <color indexed="23"/>
      </top>
      <bottom style="thin">
        <color indexed="22"/>
      </bottom>
      <diagonal/>
    </border>
    <border>
      <left/>
      <right style="medium">
        <color indexed="48"/>
      </right>
      <top/>
      <bottom/>
      <diagonal/>
    </border>
    <border>
      <left style="medium">
        <color indexed="48"/>
      </left>
      <right style="thin">
        <color indexed="22"/>
      </right>
      <top style="thin">
        <color indexed="22"/>
      </top>
      <bottom style="thin">
        <color indexed="22"/>
      </bottom>
      <diagonal/>
    </border>
    <border>
      <left style="medium">
        <color indexed="48"/>
      </left>
      <right style="thin">
        <color indexed="22"/>
      </right>
      <top style="thin">
        <color indexed="22"/>
      </top>
      <bottom style="medium">
        <color indexed="48"/>
      </bottom>
      <diagonal/>
    </border>
    <border>
      <left/>
      <right/>
      <top/>
      <bottom style="medium">
        <color indexed="48"/>
      </bottom>
      <diagonal/>
    </border>
    <border>
      <left style="thin">
        <color indexed="22"/>
      </left>
      <right style="thin">
        <color indexed="22"/>
      </right>
      <top style="thin">
        <color indexed="22"/>
      </top>
      <bottom style="medium">
        <color indexed="48"/>
      </bottom>
      <diagonal/>
    </border>
    <border>
      <left/>
      <right style="medium">
        <color indexed="48"/>
      </right>
      <top/>
      <bottom style="medium">
        <color indexed="48"/>
      </bottom>
      <diagonal/>
    </border>
    <border>
      <left style="thin">
        <color indexed="55"/>
      </left>
      <right style="medium">
        <color indexed="48"/>
      </right>
      <top style="thin">
        <color indexed="55"/>
      </top>
      <bottom/>
      <diagonal/>
    </border>
    <border>
      <left style="thin">
        <color indexed="55"/>
      </left>
      <right style="medium">
        <color indexed="48"/>
      </right>
      <top/>
      <bottom style="thin">
        <color indexed="55"/>
      </bottom>
      <diagonal/>
    </border>
    <border>
      <left/>
      <right/>
      <top style="thin">
        <color indexed="22"/>
      </top>
      <bottom style="thin">
        <color indexed="22"/>
      </bottom>
      <diagonal/>
    </border>
    <border>
      <left/>
      <right/>
      <top style="thin">
        <color indexed="22"/>
      </top>
      <bottom/>
      <diagonal/>
    </border>
    <border>
      <left/>
      <right style="thin">
        <color indexed="22"/>
      </right>
      <top/>
      <bottom style="thin">
        <color indexed="22"/>
      </bottom>
      <diagonal/>
    </border>
    <border>
      <left style="thin">
        <color indexed="22"/>
      </left>
      <right/>
      <top/>
      <bottom style="thin">
        <color indexed="22"/>
      </bottom>
      <diagonal/>
    </border>
    <border>
      <left style="thin">
        <color indexed="55"/>
      </left>
      <right style="medium">
        <color indexed="48"/>
      </right>
      <top style="thin">
        <color indexed="55"/>
      </top>
      <bottom style="thin">
        <color indexed="55"/>
      </bottom>
      <diagonal/>
    </border>
    <border>
      <left style="thin">
        <color indexed="55"/>
      </left>
      <right style="medium">
        <color indexed="48"/>
      </right>
      <top style="thin">
        <color indexed="55"/>
      </top>
      <bottom style="medium">
        <color indexed="23"/>
      </bottom>
      <diagonal/>
    </border>
    <border>
      <left/>
      <right style="medium">
        <color indexed="23"/>
      </right>
      <top style="medium">
        <color indexed="23"/>
      </top>
      <bottom style="thin">
        <color indexed="55"/>
      </bottom>
      <diagonal/>
    </border>
    <border>
      <left/>
      <right style="medium">
        <color indexed="23"/>
      </right>
      <top style="thin">
        <color indexed="55"/>
      </top>
      <bottom style="thin">
        <color indexed="55"/>
      </bottom>
      <diagonal/>
    </border>
    <border>
      <left/>
      <right style="medium">
        <color indexed="23"/>
      </right>
      <top style="thin">
        <color indexed="55"/>
      </top>
      <bottom style="medium">
        <color indexed="23"/>
      </bottom>
      <diagonal/>
    </border>
    <border>
      <left style="thin">
        <color indexed="55"/>
      </left>
      <right style="thin">
        <color indexed="55"/>
      </right>
      <top style="thin">
        <color indexed="64"/>
      </top>
      <bottom style="thin">
        <color indexed="55"/>
      </bottom>
      <diagonal/>
    </border>
    <border>
      <left style="thin">
        <color indexed="55"/>
      </left>
      <right style="thin">
        <color indexed="55"/>
      </right>
      <top style="thin">
        <color indexed="55"/>
      </top>
      <bottom/>
      <diagonal/>
    </border>
    <border>
      <left style="thin">
        <color indexed="55"/>
      </left>
      <right/>
      <top style="thin">
        <color indexed="55"/>
      </top>
      <bottom/>
      <diagonal/>
    </border>
    <border>
      <left style="thin">
        <color indexed="64"/>
      </left>
      <right style="thin">
        <color indexed="55"/>
      </right>
      <top style="thin">
        <color indexed="55"/>
      </top>
      <bottom style="thin">
        <color indexed="55"/>
      </bottom>
      <diagonal/>
    </border>
    <border>
      <left style="thin">
        <color indexed="64"/>
      </left>
      <right style="thin">
        <color indexed="55"/>
      </right>
      <top style="thin">
        <color indexed="55"/>
      </top>
      <bottom/>
      <diagonal/>
    </border>
    <border>
      <left style="thin">
        <color indexed="55"/>
      </left>
      <right style="thin">
        <color indexed="64"/>
      </right>
      <top style="thin">
        <color indexed="55"/>
      </top>
      <bottom style="thin">
        <color indexed="55"/>
      </bottom>
      <diagonal/>
    </border>
    <border>
      <left style="thin">
        <color indexed="55"/>
      </left>
      <right style="thin">
        <color indexed="64"/>
      </right>
      <top style="thin">
        <color indexed="55"/>
      </top>
      <bottom/>
      <diagonal/>
    </border>
    <border>
      <left/>
      <right style="thin">
        <color indexed="55"/>
      </right>
      <top style="thin">
        <color indexed="55"/>
      </top>
      <bottom style="thin">
        <color indexed="55"/>
      </bottom>
      <diagonal/>
    </border>
    <border>
      <left style="thin">
        <color indexed="22"/>
      </left>
      <right/>
      <top style="thin">
        <color indexed="22"/>
      </top>
      <bottom style="medium">
        <color indexed="23"/>
      </bottom>
      <diagonal/>
    </border>
    <border>
      <left/>
      <right/>
      <top style="thin">
        <color indexed="22"/>
      </top>
      <bottom style="medium">
        <color indexed="23"/>
      </bottom>
      <diagonal/>
    </border>
    <border>
      <left style="thin">
        <color indexed="23"/>
      </left>
      <right style="thin">
        <color indexed="23"/>
      </right>
      <top/>
      <bottom style="thin">
        <color indexed="23"/>
      </bottom>
      <diagonal/>
    </border>
    <border>
      <left style="thin">
        <color indexed="22"/>
      </left>
      <right/>
      <top style="medium">
        <color indexed="23"/>
      </top>
      <bottom/>
      <diagonal/>
    </border>
    <border>
      <left style="thin">
        <color indexed="22"/>
      </left>
      <right style="thin">
        <color indexed="22"/>
      </right>
      <top/>
      <bottom/>
      <diagonal/>
    </border>
    <border>
      <left/>
      <right style="thin">
        <color indexed="55"/>
      </right>
      <top style="thin">
        <color indexed="55"/>
      </top>
      <bottom style="medium">
        <color indexed="23"/>
      </bottom>
      <diagonal/>
    </border>
    <border>
      <left style="thin">
        <color indexed="23"/>
      </left>
      <right/>
      <top style="medium">
        <color indexed="23"/>
      </top>
      <bottom/>
      <diagonal/>
    </border>
    <border>
      <left/>
      <right style="thin">
        <color indexed="23"/>
      </right>
      <top style="medium">
        <color indexed="23"/>
      </top>
      <bottom/>
      <diagonal/>
    </border>
    <border>
      <left style="thin">
        <color indexed="23"/>
      </left>
      <right/>
      <top/>
      <bottom style="thin">
        <color indexed="55"/>
      </bottom>
      <diagonal/>
    </border>
    <border>
      <left/>
      <right style="thin">
        <color indexed="23"/>
      </right>
      <top/>
      <bottom style="thin">
        <color indexed="55"/>
      </bottom>
      <diagonal/>
    </border>
    <border>
      <left style="thin">
        <color indexed="55"/>
      </left>
      <right/>
      <top/>
      <bottom style="thin">
        <color indexed="55"/>
      </bottom>
      <diagonal/>
    </border>
    <border>
      <left style="thin">
        <color indexed="64"/>
      </left>
      <right style="thin">
        <color indexed="55"/>
      </right>
      <top/>
      <bottom style="thin">
        <color indexed="55"/>
      </bottom>
      <diagonal/>
    </border>
    <border>
      <left style="thin">
        <color indexed="55"/>
      </left>
      <right style="thin">
        <color indexed="64"/>
      </right>
      <top/>
      <bottom style="thin">
        <color indexed="55"/>
      </bottom>
      <diagonal/>
    </border>
    <border>
      <left/>
      <right style="thin">
        <color indexed="55"/>
      </right>
      <top style="thin">
        <color indexed="64"/>
      </top>
      <bottom/>
      <diagonal/>
    </border>
    <border>
      <left style="thin">
        <color indexed="55"/>
      </left>
      <right/>
      <top style="thin">
        <color indexed="64"/>
      </top>
      <bottom/>
      <diagonal/>
    </border>
    <border>
      <left style="thin">
        <color indexed="64"/>
      </left>
      <right style="thin">
        <color indexed="55"/>
      </right>
      <top style="thin">
        <color indexed="64"/>
      </top>
      <bottom/>
      <diagonal/>
    </border>
    <border>
      <left style="thin">
        <color indexed="55"/>
      </left>
      <right style="thin">
        <color indexed="64"/>
      </right>
      <top style="thin">
        <color indexed="64"/>
      </top>
      <bottom/>
      <diagonal/>
    </border>
    <border>
      <left style="thin">
        <color indexed="55"/>
      </left>
      <right style="thin">
        <color indexed="55"/>
      </right>
      <top style="thin">
        <color indexed="64"/>
      </top>
      <bottom/>
      <diagonal/>
    </border>
    <border>
      <left style="thin">
        <color indexed="22"/>
      </left>
      <right style="thin">
        <color indexed="22"/>
      </right>
      <top/>
      <bottom style="thin">
        <color indexed="22"/>
      </bottom>
      <diagonal/>
    </border>
    <border>
      <left style="thin">
        <color indexed="22"/>
      </left>
      <right/>
      <top style="thin">
        <color indexed="64"/>
      </top>
      <bottom/>
      <diagonal/>
    </border>
    <border>
      <left style="thin">
        <color indexed="22"/>
      </left>
      <right style="thin">
        <color indexed="22"/>
      </right>
      <top style="thin">
        <color indexed="64"/>
      </top>
      <bottom/>
      <diagonal/>
    </border>
    <border>
      <left style="medium">
        <color indexed="23"/>
      </left>
      <right/>
      <top style="thin">
        <color indexed="22"/>
      </top>
      <bottom style="medium">
        <color indexed="23"/>
      </bottom>
      <diagonal/>
    </border>
    <border>
      <left/>
      <right/>
      <top style="medium">
        <color indexed="55"/>
      </top>
      <bottom style="medium">
        <color indexed="23"/>
      </bottom>
      <diagonal/>
    </border>
    <border>
      <left style="medium">
        <color indexed="23"/>
      </left>
      <right/>
      <top style="medium">
        <color indexed="23"/>
      </top>
      <bottom style="thin">
        <color indexed="22"/>
      </bottom>
      <diagonal/>
    </border>
    <border>
      <left/>
      <right style="thin">
        <color indexed="22"/>
      </right>
      <top style="medium">
        <color indexed="23"/>
      </top>
      <bottom style="thin">
        <color indexed="22"/>
      </bottom>
      <diagonal/>
    </border>
    <border>
      <left style="medium">
        <color indexed="23"/>
      </left>
      <right style="thin">
        <color indexed="55"/>
      </right>
      <top style="thin">
        <color indexed="22"/>
      </top>
      <bottom/>
      <diagonal/>
    </border>
    <border>
      <left style="medium">
        <color indexed="23"/>
      </left>
      <right style="thin">
        <color indexed="55"/>
      </right>
      <top/>
      <bottom/>
      <diagonal/>
    </border>
    <border>
      <left style="thin">
        <color indexed="22"/>
      </left>
      <right/>
      <top style="medium">
        <color indexed="23"/>
      </top>
      <bottom style="medium">
        <color indexed="23"/>
      </bottom>
      <diagonal/>
    </border>
    <border>
      <left/>
      <right/>
      <top style="medium">
        <color indexed="23"/>
      </top>
      <bottom style="medium">
        <color indexed="23"/>
      </bottom>
      <diagonal/>
    </border>
    <border>
      <left style="thin">
        <color indexed="22"/>
      </left>
      <right style="medium">
        <color indexed="23"/>
      </right>
      <top style="medium">
        <color indexed="23"/>
      </top>
      <bottom style="thin">
        <color indexed="22"/>
      </bottom>
      <diagonal/>
    </border>
    <border>
      <left/>
      <right/>
      <top style="thin">
        <color indexed="23"/>
      </top>
      <bottom style="thin">
        <color indexed="23"/>
      </bottom>
      <diagonal/>
    </border>
    <border>
      <left style="thin">
        <color indexed="23"/>
      </left>
      <right/>
      <top style="thin">
        <color indexed="22"/>
      </top>
      <bottom style="thin">
        <color indexed="23"/>
      </bottom>
      <diagonal/>
    </border>
    <border>
      <left/>
      <right/>
      <top style="thin">
        <color indexed="22"/>
      </top>
      <bottom style="thin">
        <color indexed="23"/>
      </bottom>
      <diagonal/>
    </border>
    <border>
      <left/>
      <right style="thin">
        <color indexed="22"/>
      </right>
      <top style="thin">
        <color indexed="22"/>
      </top>
      <bottom style="thin">
        <color indexed="23"/>
      </bottom>
      <diagonal/>
    </border>
    <border>
      <left style="thin">
        <color indexed="22"/>
      </left>
      <right/>
      <top style="thin">
        <color indexed="64"/>
      </top>
      <bottom style="thin">
        <color indexed="64"/>
      </bottom>
      <diagonal/>
    </border>
    <border>
      <left style="thin">
        <color indexed="23"/>
      </left>
      <right/>
      <top style="thin">
        <color indexed="22"/>
      </top>
      <bottom/>
      <diagonal/>
    </border>
    <border>
      <left style="thin">
        <color indexed="23"/>
      </left>
      <right/>
      <top/>
      <bottom style="thin">
        <color indexed="22"/>
      </bottom>
      <diagonal/>
    </border>
    <border>
      <left style="thin">
        <color indexed="23"/>
      </left>
      <right/>
      <top style="thin">
        <color indexed="23"/>
      </top>
      <bottom/>
      <diagonal/>
    </border>
    <border>
      <left/>
      <right/>
      <top style="thin">
        <color indexed="23"/>
      </top>
      <bottom style="thin">
        <color indexed="22"/>
      </bottom>
      <diagonal/>
    </border>
    <border>
      <left style="thin">
        <color indexed="22"/>
      </left>
      <right/>
      <top/>
      <bottom style="thin">
        <color indexed="23"/>
      </bottom>
      <diagonal/>
    </border>
    <border>
      <left/>
      <right style="thin">
        <color indexed="23"/>
      </right>
      <top/>
      <bottom/>
      <diagonal/>
    </border>
    <border>
      <left/>
      <right/>
      <top/>
      <bottom style="thin">
        <color indexed="23"/>
      </bottom>
      <diagonal/>
    </border>
    <border>
      <left style="thin">
        <color indexed="23"/>
      </left>
      <right/>
      <top style="thin">
        <color indexed="22"/>
      </top>
      <bottom style="thin">
        <color indexed="22"/>
      </bottom>
      <diagonal/>
    </border>
    <border>
      <left style="medium">
        <color indexed="23"/>
      </left>
      <right style="thin">
        <color indexed="22"/>
      </right>
      <top style="medium">
        <color indexed="23"/>
      </top>
      <bottom/>
      <diagonal/>
    </border>
    <border>
      <left/>
      <right/>
      <top style="medium">
        <color indexed="23"/>
      </top>
      <bottom style="thin">
        <color indexed="22"/>
      </bottom>
      <diagonal/>
    </border>
    <border>
      <left/>
      <right style="medium">
        <color indexed="23"/>
      </right>
      <top style="medium">
        <color indexed="23"/>
      </top>
      <bottom style="thin">
        <color indexed="22"/>
      </bottom>
      <diagonal/>
    </border>
    <border>
      <left style="medium">
        <color indexed="23"/>
      </left>
      <right/>
      <top style="medium">
        <color indexed="23"/>
      </top>
      <bottom style="medium">
        <color indexed="23"/>
      </bottom>
      <diagonal/>
    </border>
    <border>
      <left/>
      <right style="thin">
        <color indexed="23"/>
      </right>
      <top style="thin">
        <color indexed="22"/>
      </top>
      <bottom/>
      <diagonal/>
    </border>
    <border>
      <left/>
      <right style="thin">
        <color indexed="23"/>
      </right>
      <top/>
      <bottom style="medium">
        <color indexed="23"/>
      </bottom>
      <diagonal/>
    </border>
    <border>
      <left style="thin">
        <color indexed="22"/>
      </left>
      <right/>
      <top style="thin">
        <color indexed="55"/>
      </top>
      <bottom/>
      <diagonal/>
    </border>
    <border>
      <left/>
      <right/>
      <top style="thin">
        <color indexed="55"/>
      </top>
      <bottom/>
      <diagonal/>
    </border>
    <border>
      <left/>
      <right style="thin">
        <color indexed="55"/>
      </right>
      <top/>
      <bottom/>
      <diagonal/>
    </border>
    <border>
      <left style="thin">
        <color indexed="22"/>
      </left>
      <right/>
      <top/>
      <bottom style="medium">
        <color indexed="48"/>
      </bottom>
      <diagonal/>
    </border>
    <border>
      <left/>
      <right style="thin">
        <color indexed="55"/>
      </right>
      <top/>
      <bottom style="medium">
        <color indexed="48"/>
      </bottom>
      <diagonal/>
    </border>
    <border>
      <left style="thin">
        <color indexed="23"/>
      </left>
      <right/>
      <top/>
      <bottom/>
      <diagonal/>
    </border>
    <border>
      <left style="medium">
        <color indexed="48"/>
      </left>
      <right/>
      <top/>
      <bottom/>
      <diagonal/>
    </border>
    <border>
      <left style="medium">
        <color indexed="48"/>
      </left>
      <right/>
      <top/>
      <bottom style="medium">
        <color indexed="48"/>
      </bottom>
      <diagonal/>
    </border>
    <border>
      <left style="medium">
        <color indexed="48"/>
      </left>
      <right/>
      <top style="medium">
        <color indexed="48"/>
      </top>
      <bottom/>
      <diagonal/>
    </border>
    <border>
      <left/>
      <right/>
      <top style="medium">
        <color indexed="48"/>
      </top>
      <bottom/>
      <diagonal/>
    </border>
    <border>
      <left/>
      <right style="medium">
        <color indexed="48"/>
      </right>
      <top style="medium">
        <color indexed="48"/>
      </top>
      <bottom/>
      <diagonal/>
    </border>
    <border>
      <left/>
      <right style="medium">
        <color indexed="48"/>
      </right>
      <top style="thin">
        <color indexed="22"/>
      </top>
      <bottom style="thin">
        <color indexed="22"/>
      </bottom>
      <diagonal/>
    </border>
    <border>
      <left style="medium">
        <color indexed="48"/>
      </left>
      <right/>
      <top style="medium">
        <color indexed="48"/>
      </top>
      <bottom style="thin">
        <color indexed="55"/>
      </bottom>
      <diagonal/>
    </border>
    <border>
      <left/>
      <right/>
      <top style="medium">
        <color indexed="48"/>
      </top>
      <bottom style="thin">
        <color indexed="55"/>
      </bottom>
      <diagonal/>
    </border>
    <border>
      <left/>
      <right style="medium">
        <color indexed="48"/>
      </right>
      <top style="medium">
        <color indexed="48"/>
      </top>
      <bottom style="thin">
        <color indexed="55"/>
      </bottom>
      <diagonal/>
    </border>
    <border>
      <left style="medium">
        <color indexed="48"/>
      </left>
      <right/>
      <top style="thin">
        <color indexed="55"/>
      </top>
      <bottom style="thin">
        <color indexed="55"/>
      </bottom>
      <diagonal/>
    </border>
    <border>
      <left style="medium">
        <color indexed="55"/>
      </left>
      <right/>
      <top style="medium">
        <color indexed="23"/>
      </top>
      <bottom style="thin">
        <color indexed="55"/>
      </bottom>
      <diagonal/>
    </border>
    <border>
      <left/>
      <right/>
      <top style="medium">
        <color indexed="23"/>
      </top>
      <bottom style="thin">
        <color indexed="55"/>
      </bottom>
      <diagonal/>
    </border>
    <border>
      <left/>
      <right style="medium">
        <color indexed="48"/>
      </right>
      <top style="medium">
        <color indexed="23"/>
      </top>
      <bottom style="thin">
        <color indexed="55"/>
      </bottom>
      <diagonal/>
    </border>
    <border>
      <left style="medium">
        <color indexed="55"/>
      </left>
      <right style="medium">
        <color indexed="55"/>
      </right>
      <top style="medium">
        <color indexed="23"/>
      </top>
      <bottom/>
      <diagonal/>
    </border>
    <border>
      <left style="medium">
        <color indexed="55"/>
      </left>
      <right style="medium">
        <color indexed="55"/>
      </right>
      <top/>
      <bottom/>
      <diagonal/>
    </border>
    <border>
      <left/>
      <right/>
      <top style="thin">
        <color indexed="55"/>
      </top>
      <bottom style="thin">
        <color indexed="55"/>
      </bottom>
      <diagonal/>
    </border>
    <border>
      <left/>
      <right style="medium">
        <color indexed="48"/>
      </right>
      <top style="thin">
        <color indexed="55"/>
      </top>
      <bottom style="thin">
        <color indexed="55"/>
      </bottom>
      <diagonal/>
    </border>
    <border>
      <left style="medium">
        <color indexed="55"/>
      </left>
      <right style="thin">
        <color indexed="55"/>
      </right>
      <top style="medium">
        <color indexed="23"/>
      </top>
      <bottom style="thin">
        <color indexed="55"/>
      </bottom>
      <diagonal/>
    </border>
    <border>
      <left style="thin">
        <color indexed="55"/>
      </left>
      <right style="medium">
        <color indexed="55"/>
      </right>
      <top style="medium">
        <color indexed="23"/>
      </top>
      <bottom style="thin">
        <color indexed="55"/>
      </bottom>
      <diagonal/>
    </border>
    <border>
      <left style="thin">
        <color indexed="55"/>
      </left>
      <right style="medium">
        <color indexed="55"/>
      </right>
      <top style="thin">
        <color indexed="55"/>
      </top>
      <bottom style="thin">
        <color indexed="55"/>
      </bottom>
      <diagonal/>
    </border>
    <border>
      <left style="thin">
        <color indexed="55"/>
      </left>
      <right style="medium">
        <color indexed="55"/>
      </right>
      <top style="thin">
        <color indexed="55"/>
      </top>
      <bottom style="medium">
        <color indexed="23"/>
      </bottom>
      <diagonal/>
    </border>
    <border>
      <left style="medium">
        <color indexed="55"/>
      </left>
      <right style="thin">
        <color indexed="55"/>
      </right>
      <top style="thin">
        <color indexed="55"/>
      </top>
      <bottom style="thin">
        <color indexed="55"/>
      </bottom>
      <diagonal/>
    </border>
    <border>
      <left style="medium">
        <color indexed="55"/>
      </left>
      <right style="thin">
        <color indexed="55"/>
      </right>
      <top style="thin">
        <color indexed="55"/>
      </top>
      <bottom style="medium">
        <color indexed="23"/>
      </bottom>
      <diagonal/>
    </border>
    <border>
      <left/>
      <right style="thin">
        <color indexed="55"/>
      </right>
      <top style="thin">
        <color indexed="22"/>
      </top>
      <bottom/>
      <diagonal/>
    </border>
    <border>
      <left/>
      <right style="medium">
        <color indexed="23"/>
      </right>
      <top/>
      <bottom style="thin">
        <color indexed="22"/>
      </bottom>
      <diagonal/>
    </border>
    <border>
      <left style="medium">
        <color indexed="55"/>
      </left>
      <right/>
      <top/>
      <bottom/>
      <diagonal/>
    </border>
    <border>
      <left style="medium">
        <color indexed="55"/>
      </left>
      <right style="medium">
        <color indexed="55"/>
      </right>
      <top style="thin">
        <color indexed="55"/>
      </top>
      <bottom/>
      <diagonal/>
    </border>
    <border>
      <left style="medium">
        <color indexed="55"/>
      </left>
      <right style="medium">
        <color indexed="55"/>
      </right>
      <top/>
      <bottom style="thin">
        <color indexed="55"/>
      </bottom>
      <diagonal/>
    </border>
    <border>
      <left style="medium">
        <color indexed="23"/>
      </left>
      <right style="thin">
        <color indexed="55"/>
      </right>
      <top/>
      <bottom style="thin">
        <color indexed="55"/>
      </bottom>
      <diagonal/>
    </border>
    <border>
      <left style="medium">
        <color indexed="23"/>
      </left>
      <right style="thin">
        <color indexed="55"/>
      </right>
      <top style="thin">
        <color indexed="55"/>
      </top>
      <bottom style="thin">
        <color indexed="55"/>
      </bottom>
      <diagonal/>
    </border>
    <border>
      <left style="medium">
        <color indexed="23"/>
      </left>
      <right style="thin">
        <color indexed="55"/>
      </right>
      <top style="thin">
        <color indexed="55"/>
      </top>
      <bottom style="medium">
        <color indexed="23"/>
      </bottom>
      <diagonal/>
    </border>
    <border>
      <left style="medium">
        <color indexed="23"/>
      </left>
      <right/>
      <top style="thin">
        <color indexed="22"/>
      </top>
      <bottom style="thin">
        <color indexed="55"/>
      </bottom>
      <diagonal/>
    </border>
    <border>
      <left/>
      <right style="thin">
        <color indexed="22"/>
      </right>
      <top style="thin">
        <color indexed="22"/>
      </top>
      <bottom style="thin">
        <color indexed="55"/>
      </bottom>
      <diagonal/>
    </border>
    <border>
      <left style="medium">
        <color indexed="23"/>
      </left>
      <right/>
      <top style="thin">
        <color indexed="55"/>
      </top>
      <bottom style="medium">
        <color indexed="23"/>
      </bottom>
      <diagonal/>
    </border>
    <border>
      <left/>
      <right style="thin">
        <color indexed="22"/>
      </right>
      <top style="thin">
        <color indexed="55"/>
      </top>
      <bottom style="medium">
        <color indexed="23"/>
      </bottom>
      <diagonal/>
    </border>
    <border>
      <left style="medium">
        <color indexed="22"/>
      </left>
      <right style="thin">
        <color indexed="55"/>
      </right>
      <top style="medium">
        <color indexed="23"/>
      </top>
      <bottom style="thin">
        <color indexed="22"/>
      </bottom>
      <diagonal/>
    </border>
    <border>
      <left style="thin">
        <color indexed="55"/>
      </left>
      <right style="thin">
        <color indexed="55"/>
      </right>
      <top style="medium">
        <color indexed="23"/>
      </top>
      <bottom style="thin">
        <color indexed="22"/>
      </bottom>
      <diagonal/>
    </border>
    <border>
      <left style="thin">
        <color indexed="55"/>
      </left>
      <right style="medium">
        <color indexed="23"/>
      </right>
      <top style="medium">
        <color indexed="23"/>
      </top>
      <bottom style="thin">
        <color indexed="22"/>
      </bottom>
      <diagonal/>
    </border>
    <border>
      <left style="medium">
        <color indexed="23"/>
      </left>
      <right style="thin">
        <color indexed="55"/>
      </right>
      <top style="medium">
        <color indexed="23"/>
      </top>
      <bottom style="thin">
        <color indexed="22"/>
      </bottom>
      <diagonal/>
    </border>
    <border>
      <left style="thin">
        <color indexed="55"/>
      </left>
      <right/>
      <top style="medium">
        <color indexed="23"/>
      </top>
      <bottom style="thin">
        <color indexed="22"/>
      </bottom>
      <diagonal/>
    </border>
    <border>
      <left style="medium">
        <color indexed="23"/>
      </left>
      <right style="thin">
        <color indexed="22"/>
      </right>
      <top style="thin">
        <color indexed="55"/>
      </top>
      <bottom style="medium">
        <color indexed="23"/>
      </bottom>
      <diagonal/>
    </border>
    <border>
      <left style="medium">
        <color indexed="23"/>
      </left>
      <right style="thin">
        <color indexed="22"/>
      </right>
      <top style="medium">
        <color indexed="23"/>
      </top>
      <bottom style="medium">
        <color indexed="23"/>
      </bottom>
      <diagonal/>
    </border>
    <border>
      <left/>
      <right style="thin">
        <color indexed="22"/>
      </right>
      <top/>
      <bottom style="medium">
        <color indexed="23"/>
      </bottom>
      <diagonal/>
    </border>
    <border>
      <left style="thin">
        <color indexed="22"/>
      </left>
      <right/>
      <top style="thin">
        <color indexed="22"/>
      </top>
      <bottom style="thin">
        <color indexed="23"/>
      </bottom>
      <diagonal/>
    </border>
    <border>
      <left/>
      <right style="medium">
        <color indexed="23"/>
      </right>
      <top style="thin">
        <color indexed="22"/>
      </top>
      <bottom style="thin">
        <color indexed="23"/>
      </bottom>
      <diagonal/>
    </border>
    <border>
      <left style="thin">
        <color indexed="22"/>
      </left>
      <right/>
      <top style="thin">
        <color indexed="23"/>
      </top>
      <bottom style="thin">
        <color indexed="23"/>
      </bottom>
      <diagonal/>
    </border>
    <border>
      <left style="thin">
        <color indexed="23"/>
      </left>
      <right style="medium">
        <color indexed="23"/>
      </right>
      <top style="medium">
        <color indexed="23"/>
      </top>
      <bottom/>
      <diagonal/>
    </border>
    <border>
      <left style="medium">
        <color indexed="23"/>
      </left>
      <right style="thin">
        <color indexed="23"/>
      </right>
      <top style="thin">
        <color indexed="22"/>
      </top>
      <bottom style="medium">
        <color indexed="23"/>
      </bottom>
      <diagonal/>
    </border>
    <border>
      <left style="thin">
        <color indexed="23"/>
      </left>
      <right style="medium">
        <color indexed="23"/>
      </right>
      <top style="thin">
        <color indexed="22"/>
      </top>
      <bottom style="medium">
        <color indexed="23"/>
      </bottom>
      <diagonal/>
    </border>
    <border>
      <left style="medium">
        <color indexed="23"/>
      </left>
      <right style="thin">
        <color indexed="23"/>
      </right>
      <top style="medium">
        <color indexed="23"/>
      </top>
      <bottom style="thin">
        <color indexed="22"/>
      </bottom>
      <diagonal/>
    </border>
    <border>
      <left style="thin">
        <color indexed="23"/>
      </left>
      <right style="thin">
        <color indexed="22"/>
      </right>
      <top style="medium">
        <color indexed="23"/>
      </top>
      <bottom style="thin">
        <color indexed="22"/>
      </bottom>
      <diagonal/>
    </border>
    <border>
      <left style="thin">
        <color indexed="22"/>
      </left>
      <right/>
      <top style="thin">
        <color indexed="23"/>
      </top>
      <bottom style="medium">
        <color indexed="23"/>
      </bottom>
      <diagonal/>
    </border>
    <border>
      <left style="medium">
        <color indexed="23"/>
      </left>
      <right style="thin">
        <color indexed="22"/>
      </right>
      <top style="thin">
        <color indexed="22"/>
      </top>
      <bottom/>
      <diagonal/>
    </border>
    <border>
      <left/>
      <right style="thin">
        <color indexed="55"/>
      </right>
      <top style="thin">
        <color indexed="22"/>
      </top>
      <bottom style="medium">
        <color indexed="23"/>
      </bottom>
      <diagonal/>
    </border>
  </borders>
  <cellStyleXfs count="4">
    <xf numFmtId="0" fontId="0" fillId="0" borderId="0"/>
    <xf numFmtId="0" fontId="85" fillId="0" borderId="0"/>
    <xf numFmtId="0" fontId="10" fillId="0" borderId="0"/>
    <xf numFmtId="0" fontId="6" fillId="0" borderId="0" applyNumberFormat="0" applyFill="0" applyBorder="0" applyAlignment="0" applyProtection="0">
      <alignment vertical="top"/>
      <protection locked="0"/>
    </xf>
  </cellStyleXfs>
  <cellXfs count="946">
    <xf numFmtId="0" fontId="0" fillId="0" borderId="0" xfId="0"/>
    <xf numFmtId="0" fontId="0" fillId="0" borderId="0" xfId="1" applyFont="1" applyAlignment="1">
      <alignment wrapText="1"/>
    </xf>
    <xf numFmtId="9" fontId="0" fillId="0" borderId="0" xfId="1" applyNumberFormat="1" applyFont="1"/>
    <xf numFmtId="0" fontId="0" fillId="0" borderId="0" xfId="1" applyFont="1" applyAlignment="1">
      <alignment horizontal="center"/>
    </xf>
    <xf numFmtId="10" fontId="0" fillId="0" borderId="0" xfId="1" applyNumberFormat="1" applyFont="1"/>
    <xf numFmtId="0" fontId="0" fillId="2" borderId="0" xfId="1" applyFont="1" applyFill="1"/>
    <xf numFmtId="0" fontId="10" fillId="0" borderId="0" xfId="1" applyFont="1"/>
    <xf numFmtId="0" fontId="11" fillId="0" borderId="0" xfId="1" applyFont="1"/>
    <xf numFmtId="0" fontId="7" fillId="0" borderId="0" xfId="1" applyFont="1"/>
    <xf numFmtId="0" fontId="11" fillId="0" borderId="0" xfId="1" applyFont="1" applyAlignment="1">
      <alignment horizontal="center"/>
    </xf>
    <xf numFmtId="0" fontId="0" fillId="0" borderId="0" xfId="1" applyFont="1" applyProtection="1">
      <protection locked="0"/>
    </xf>
    <xf numFmtId="167" fontId="0" fillId="0" borderId="0" xfId="1" applyNumberFormat="1" applyFont="1" applyProtection="1">
      <protection locked="0"/>
    </xf>
    <xf numFmtId="1" fontId="0" fillId="0" borderId="0" xfId="1" applyNumberFormat="1" applyFont="1" applyProtection="1">
      <protection locked="0"/>
    </xf>
    <xf numFmtId="164" fontId="0" fillId="0" borderId="0" xfId="1" applyNumberFormat="1" applyFont="1" applyProtection="1">
      <protection locked="0"/>
    </xf>
    <xf numFmtId="0" fontId="0" fillId="0" borderId="0" xfId="1" applyFont="1" applyAlignment="1" applyProtection="1">
      <alignment horizontal="center"/>
      <protection locked="0"/>
    </xf>
    <xf numFmtId="0" fontId="10" fillId="0" borderId="0" xfId="1" applyFont="1" applyAlignment="1">
      <alignment horizontal="center"/>
    </xf>
    <xf numFmtId="10" fontId="0" fillId="0" borderId="0" xfId="1" applyNumberFormat="1" applyFont="1" applyAlignment="1">
      <alignment horizontal="center"/>
    </xf>
    <xf numFmtId="9" fontId="0" fillId="0" borderId="0" xfId="1" applyNumberFormat="1" applyFont="1" applyAlignment="1">
      <alignment horizontal="center"/>
    </xf>
    <xf numFmtId="0" fontId="0" fillId="0" borderId="0" xfId="1" applyFont="1" applyAlignment="1">
      <alignment horizontal="left"/>
    </xf>
    <xf numFmtId="0" fontId="10" fillId="0" borderId="0" xfId="1" applyFont="1" applyAlignment="1">
      <alignment horizontal="left"/>
    </xf>
    <xf numFmtId="0" fontId="7" fillId="0" borderId="0" xfId="1" applyFont="1" applyAlignment="1">
      <alignment horizontal="center" vertical="center" wrapText="1"/>
    </xf>
    <xf numFmtId="0" fontId="0" fillId="2" borderId="0" xfId="1" applyFont="1" applyFill="1" applyProtection="1">
      <protection hidden="1"/>
    </xf>
    <xf numFmtId="0" fontId="11" fillId="0" borderId="0" xfId="1" applyFont="1" applyAlignment="1">
      <alignment horizontal="center" wrapText="1"/>
    </xf>
    <xf numFmtId="0" fontId="0" fillId="3" borderId="0" xfId="1" applyFont="1" applyFill="1"/>
    <xf numFmtId="0" fontId="0" fillId="0" borderId="0" xfId="1" applyFont="1" applyProtection="1">
      <protection locked="0" hidden="1"/>
    </xf>
    <xf numFmtId="0" fontId="21" fillId="4" borderId="0" xfId="1" applyFont="1" applyFill="1" applyAlignment="1">
      <alignment horizontal="center" vertical="center"/>
    </xf>
    <xf numFmtId="0" fontId="17" fillId="2" borderId="0" xfId="1" applyFont="1" applyFill="1" applyAlignment="1" applyProtection="1">
      <alignment wrapText="1"/>
      <protection hidden="1"/>
    </xf>
    <xf numFmtId="0" fontId="0" fillId="0" borderId="0" xfId="1" applyFont="1"/>
    <xf numFmtId="14" fontId="0" fillId="0" borderId="0" xfId="1" applyNumberFormat="1" applyFont="1"/>
    <xf numFmtId="0" fontId="0" fillId="0" borderId="3" xfId="1" applyFont="1" applyBorder="1" applyAlignment="1">
      <alignment horizontal="center"/>
    </xf>
    <xf numFmtId="0" fontId="7" fillId="0" borderId="0" xfId="1" applyFont="1" applyAlignment="1">
      <alignment horizontal="center"/>
    </xf>
    <xf numFmtId="0" fontId="1" fillId="0" borderId="0" xfId="1" applyFont="1"/>
    <xf numFmtId="0" fontId="1" fillId="4" borderId="0" xfId="1" applyFont="1" applyFill="1" applyProtection="1">
      <protection hidden="1"/>
    </xf>
    <xf numFmtId="49" fontId="0" fillId="0" borderId="0" xfId="1" quotePrefix="1" applyNumberFormat="1" applyFont="1" applyAlignment="1">
      <alignment horizontal="left"/>
    </xf>
    <xf numFmtId="49" fontId="0" fillId="0" borderId="0" xfId="1" applyNumberFormat="1" applyFont="1" applyAlignment="1">
      <alignment horizontal="left"/>
    </xf>
    <xf numFmtId="168" fontId="10" fillId="0" borderId="0" xfId="1" applyNumberFormat="1" applyFont="1" applyAlignment="1" applyProtection="1">
      <alignment vertical="center" wrapText="1"/>
      <protection hidden="1"/>
    </xf>
    <xf numFmtId="0" fontId="0" fillId="0" borderId="0" xfId="1" quotePrefix="1" applyFont="1" applyAlignment="1">
      <alignment horizontal="left"/>
    </xf>
    <xf numFmtId="0" fontId="0" fillId="0" borderId="4" xfId="1" applyFont="1" applyBorder="1"/>
    <xf numFmtId="0" fontId="0" fillId="0" borderId="3" xfId="1" applyFont="1" applyBorder="1"/>
    <xf numFmtId="0" fontId="0" fillId="0" borderId="5" xfId="1" applyFont="1" applyBorder="1"/>
    <xf numFmtId="0" fontId="0" fillId="0" borderId="6" xfId="1" applyFont="1" applyBorder="1"/>
    <xf numFmtId="0" fontId="0" fillId="0" borderId="7" xfId="1" applyFont="1" applyBorder="1"/>
    <xf numFmtId="0" fontId="0" fillId="0" borderId="8" xfId="1" applyFont="1" applyBorder="1"/>
    <xf numFmtId="0" fontId="0" fillId="0" borderId="9" xfId="1" applyFont="1" applyBorder="1"/>
    <xf numFmtId="0" fontId="0" fillId="0" borderId="10" xfId="1" applyFont="1" applyBorder="1"/>
    <xf numFmtId="165" fontId="0" fillId="0" borderId="0" xfId="1" applyNumberFormat="1" applyFont="1"/>
    <xf numFmtId="169" fontId="0" fillId="0" borderId="0" xfId="1" applyNumberFormat="1" applyFont="1"/>
    <xf numFmtId="0" fontId="7" fillId="0" borderId="0" xfId="1" applyFont="1" applyAlignment="1">
      <alignment horizontal="center" wrapText="1"/>
    </xf>
    <xf numFmtId="164" fontId="0" fillId="0" borderId="0" xfId="1" applyNumberFormat="1" applyFont="1" applyAlignment="1">
      <alignment horizontal="center"/>
    </xf>
    <xf numFmtId="164" fontId="0" fillId="0" borderId="0" xfId="1" applyNumberFormat="1" applyFont="1"/>
    <xf numFmtId="164" fontId="10" fillId="0" borderId="0" xfId="1" applyNumberFormat="1" applyFont="1"/>
    <xf numFmtId="9" fontId="10" fillId="0" borderId="0" xfId="1" applyNumberFormat="1" applyFont="1"/>
    <xf numFmtId="0" fontId="10" fillId="0" borderId="0" xfId="1" applyFont="1" applyAlignment="1" applyProtection="1">
      <alignment vertical="center" wrapText="1"/>
      <protection hidden="1"/>
    </xf>
    <xf numFmtId="0" fontId="10" fillId="0" borderId="0" xfId="1" applyFont="1" applyAlignment="1">
      <alignment wrapText="1"/>
    </xf>
    <xf numFmtId="0" fontId="10" fillId="0" borderId="0" xfId="1" applyFont="1" applyAlignment="1" applyProtection="1">
      <alignment vertical="center"/>
      <protection hidden="1"/>
    </xf>
    <xf numFmtId="0" fontId="11" fillId="5" borderId="0" xfId="1" applyFont="1" applyFill="1" applyAlignment="1">
      <alignment horizontal="center" wrapText="1"/>
    </xf>
    <xf numFmtId="0" fontId="11" fillId="6" borderId="0" xfId="1" applyFont="1" applyFill="1" applyAlignment="1">
      <alignment wrapText="1"/>
    </xf>
    <xf numFmtId="0" fontId="10" fillId="7" borderId="11" xfId="1" applyFont="1" applyFill="1" applyBorder="1"/>
    <xf numFmtId="0" fontId="11" fillId="0" borderId="0" xfId="1" applyFont="1" applyAlignment="1">
      <alignment horizontal="left"/>
    </xf>
    <xf numFmtId="169" fontId="10" fillId="0" borderId="0" xfId="1" applyNumberFormat="1" applyFont="1"/>
    <xf numFmtId="0" fontId="0" fillId="7" borderId="11" xfId="1" applyFont="1" applyFill="1" applyBorder="1"/>
    <xf numFmtId="0" fontId="11" fillId="0" borderId="11" xfId="1" applyFont="1" applyBorder="1" applyAlignment="1">
      <alignment horizontal="center"/>
    </xf>
    <xf numFmtId="49" fontId="0" fillId="0" borderId="0" xfId="1" applyNumberFormat="1" applyFont="1"/>
    <xf numFmtId="0" fontId="0" fillId="0" borderId="0" xfId="1" applyFont="1" applyAlignment="1" applyProtection="1">
      <alignment horizontal="right"/>
      <protection locked="0"/>
    </xf>
    <xf numFmtId="0" fontId="18" fillId="0" borderId="0" xfId="1" applyFont="1"/>
    <xf numFmtId="0" fontId="10" fillId="0" borderId="0" xfId="1" applyFont="1" applyAlignment="1">
      <alignment horizontal="right"/>
    </xf>
    <xf numFmtId="0" fontId="25" fillId="0" borderId="0" xfId="1" applyFont="1"/>
    <xf numFmtId="0" fontId="25" fillId="0" borderId="0" xfId="1" applyFont="1" applyAlignment="1">
      <alignment horizontal="left"/>
    </xf>
    <xf numFmtId="0" fontId="0" fillId="4" borderId="12" xfId="1" applyFont="1" applyFill="1" applyBorder="1"/>
    <xf numFmtId="0" fontId="0" fillId="6" borderId="0" xfId="1" applyFont="1" applyFill="1" applyAlignment="1">
      <alignment horizontal="center" vertical="center" wrapText="1"/>
    </xf>
    <xf numFmtId="0" fontId="10" fillId="0" borderId="13" xfId="1" applyFont="1" applyBorder="1"/>
    <xf numFmtId="0" fontId="10" fillId="0" borderId="14" xfId="1" applyFont="1" applyBorder="1"/>
    <xf numFmtId="0" fontId="10" fillId="0" borderId="15" xfId="1" applyFont="1" applyBorder="1"/>
    <xf numFmtId="0" fontId="11" fillId="0" borderId="8" xfId="1" applyFont="1" applyBorder="1" applyAlignment="1">
      <alignment horizontal="center" wrapText="1"/>
    </xf>
    <xf numFmtId="0" fontId="7" fillId="0" borderId="9" xfId="1" applyFont="1" applyBorder="1" applyAlignment="1">
      <alignment horizontal="center" wrapText="1"/>
    </xf>
    <xf numFmtId="0" fontId="11" fillId="0" borderId="10" xfId="1" applyFont="1" applyBorder="1" applyAlignment="1">
      <alignment horizontal="center" wrapText="1"/>
    </xf>
    <xf numFmtId="0" fontId="7" fillId="0" borderId="4" xfId="1" applyFont="1" applyBorder="1" applyAlignment="1">
      <alignment horizontal="center"/>
    </xf>
    <xf numFmtId="0" fontId="7" fillId="0" borderId="3" xfId="1" applyFont="1" applyBorder="1" applyAlignment="1">
      <alignment horizontal="center"/>
    </xf>
    <xf numFmtId="0" fontId="7" fillId="0" borderId="5" xfId="1" applyFont="1" applyBorder="1" applyAlignment="1">
      <alignment horizontal="center"/>
    </xf>
    <xf numFmtId="0" fontId="1" fillId="0" borderId="0" xfId="1" applyFont="1" applyAlignment="1">
      <alignment horizontal="center"/>
    </xf>
    <xf numFmtId="0" fontId="10" fillId="7" borderId="16" xfId="1" applyFont="1" applyFill="1" applyBorder="1"/>
    <xf numFmtId="0" fontId="10" fillId="7" borderId="17" xfId="1" applyFont="1" applyFill="1" applyBorder="1"/>
    <xf numFmtId="0" fontId="10" fillId="7" borderId="18" xfId="1" applyFont="1" applyFill="1" applyBorder="1"/>
    <xf numFmtId="0" fontId="10" fillId="7" borderId="19" xfId="1" applyFont="1" applyFill="1" applyBorder="1"/>
    <xf numFmtId="0" fontId="10" fillId="7" borderId="20" xfId="1" applyFont="1" applyFill="1" applyBorder="1"/>
    <xf numFmtId="0" fontId="10" fillId="7" borderId="21" xfId="1" applyFont="1" applyFill="1" applyBorder="1"/>
    <xf numFmtId="0" fontId="0" fillId="5" borderId="16" xfId="1" applyFont="1" applyFill="1" applyBorder="1"/>
    <xf numFmtId="0" fontId="0" fillId="5" borderId="17" xfId="1" applyFont="1" applyFill="1" applyBorder="1"/>
    <xf numFmtId="0" fontId="11" fillId="0" borderId="11" xfId="1" applyFont="1" applyBorder="1"/>
    <xf numFmtId="0" fontId="11" fillId="0" borderId="13" xfId="1" applyFont="1" applyBorder="1"/>
    <xf numFmtId="0" fontId="11" fillId="0" borderId="14" xfId="1" applyFont="1" applyBorder="1"/>
    <xf numFmtId="164" fontId="11" fillId="0" borderId="14" xfId="1" applyNumberFormat="1" applyFont="1" applyBorder="1"/>
    <xf numFmtId="0" fontId="11" fillId="0" borderId="15" xfId="1" applyFont="1" applyBorder="1"/>
    <xf numFmtId="164" fontId="0" fillId="0" borderId="6" xfId="1" applyNumberFormat="1" applyFont="1" applyBorder="1"/>
    <xf numFmtId="0" fontId="10" fillId="8" borderId="16" xfId="1" applyFont="1" applyFill="1" applyBorder="1"/>
    <xf numFmtId="0" fontId="10" fillId="8" borderId="17" xfId="1" applyFont="1" applyFill="1" applyBorder="1"/>
    <xf numFmtId="0" fontId="10" fillId="8" borderId="18" xfId="1" applyFont="1" applyFill="1" applyBorder="1"/>
    <xf numFmtId="0" fontId="10" fillId="8" borderId="19" xfId="1" applyFont="1" applyFill="1" applyBorder="1"/>
    <xf numFmtId="0" fontId="10" fillId="8" borderId="20" xfId="1" applyFont="1" applyFill="1" applyBorder="1"/>
    <xf numFmtId="0" fontId="10" fillId="8" borderId="21" xfId="1" applyFont="1" applyFill="1" applyBorder="1"/>
    <xf numFmtId="0" fontId="10" fillId="8" borderId="22" xfId="1" applyFont="1" applyFill="1" applyBorder="1"/>
    <xf numFmtId="0" fontId="0" fillId="5" borderId="0" xfId="1" applyFont="1" applyFill="1"/>
    <xf numFmtId="0" fontId="10" fillId="0" borderId="4" xfId="1" applyFont="1" applyBorder="1"/>
    <xf numFmtId="0" fontId="10" fillId="0" borderId="5" xfId="1" applyFont="1" applyBorder="1"/>
    <xf numFmtId="0" fontId="0" fillId="9" borderId="11" xfId="1" applyFont="1" applyFill="1" applyBorder="1" applyAlignment="1">
      <alignment horizontal="center" vertical="center" wrapText="1"/>
    </xf>
    <xf numFmtId="0" fontId="11" fillId="0" borderId="8" xfId="1" applyFont="1" applyBorder="1"/>
    <xf numFmtId="0" fontId="11" fillId="0" borderId="9" xfId="1" applyFont="1" applyBorder="1"/>
    <xf numFmtId="0" fontId="11" fillId="0" borderId="10" xfId="1" applyFont="1" applyBorder="1" applyAlignment="1">
      <alignment horizontal="center"/>
    </xf>
    <xf numFmtId="0" fontId="11" fillId="10" borderId="11" xfId="1" applyFont="1" applyFill="1" applyBorder="1"/>
    <xf numFmtId="0" fontId="11" fillId="8" borderId="11" xfId="1" applyFont="1" applyFill="1" applyBorder="1"/>
    <xf numFmtId="0" fontId="0" fillId="10" borderId="11" xfId="1" applyFont="1" applyFill="1" applyBorder="1"/>
    <xf numFmtId="0" fontId="1" fillId="10" borderId="11" xfId="1" applyFont="1" applyFill="1" applyBorder="1"/>
    <xf numFmtId="0" fontId="0" fillId="8" borderId="11" xfId="1" applyFont="1" applyFill="1" applyBorder="1"/>
    <xf numFmtId="2" fontId="0" fillId="0" borderId="0" xfId="1" applyNumberFormat="1" applyFont="1" applyProtection="1">
      <protection locked="0"/>
    </xf>
    <xf numFmtId="170" fontId="0" fillId="0" borderId="0" xfId="1" applyNumberFormat="1" applyFont="1" applyAlignment="1">
      <alignment horizontal="center"/>
    </xf>
    <xf numFmtId="9" fontId="10" fillId="0" borderId="0" xfId="1" applyNumberFormat="1" applyFont="1" applyProtection="1">
      <protection locked="0"/>
    </xf>
    <xf numFmtId="0" fontId="30" fillId="3" borderId="23" xfId="1" applyFont="1" applyFill="1" applyBorder="1" applyAlignment="1" applyProtection="1">
      <alignment horizontal="center" vertical="center"/>
      <protection hidden="1"/>
    </xf>
    <xf numFmtId="171" fontId="34" fillId="11" borderId="24" xfId="1" applyNumberFormat="1" applyFont="1" applyFill="1" applyBorder="1" applyAlignment="1" applyProtection="1">
      <alignment horizontal="center" vertical="center"/>
      <protection hidden="1"/>
    </xf>
    <xf numFmtId="1" fontId="35" fillId="11" borderId="25" xfId="1" applyNumberFormat="1" applyFont="1" applyFill="1" applyBorder="1" applyAlignment="1" applyProtection="1">
      <alignment horizontal="center" vertical="center"/>
      <protection hidden="1"/>
    </xf>
    <xf numFmtId="1" fontId="35" fillId="11" borderId="26" xfId="1" applyNumberFormat="1" applyFont="1" applyFill="1" applyBorder="1" applyAlignment="1" applyProtection="1">
      <alignment horizontal="center" vertical="center"/>
      <protection hidden="1"/>
    </xf>
    <xf numFmtId="167" fontId="15" fillId="0" borderId="27" xfId="1" applyNumberFormat="1" applyFont="1" applyBorder="1" applyProtection="1">
      <protection locked="0"/>
    </xf>
    <xf numFmtId="0" fontId="15" fillId="0" borderId="27" xfId="1" applyFont="1" applyBorder="1" applyProtection="1">
      <protection locked="0"/>
    </xf>
    <xf numFmtId="9" fontId="10" fillId="0" borderId="27" xfId="1" applyNumberFormat="1" applyFont="1" applyBorder="1" applyProtection="1">
      <protection locked="0"/>
    </xf>
    <xf numFmtId="0" fontId="8" fillId="9" borderId="0" xfId="1" applyFont="1" applyFill="1" applyAlignment="1" applyProtection="1">
      <alignment horizontal="center" vertical="center"/>
      <protection hidden="1"/>
    </xf>
    <xf numFmtId="0" fontId="15" fillId="9" borderId="0" xfId="1" applyFont="1" applyFill="1"/>
    <xf numFmtId="0" fontId="0" fillId="9" borderId="0" xfId="1" applyFont="1" applyFill="1"/>
    <xf numFmtId="0" fontId="47" fillId="9" borderId="0" xfId="1" applyFont="1" applyFill="1" applyAlignment="1" applyProtection="1">
      <alignment horizontal="center" vertical="center"/>
      <protection hidden="1"/>
    </xf>
    <xf numFmtId="0" fontId="48" fillId="9" borderId="0" xfId="1" applyFont="1" applyFill="1"/>
    <xf numFmtId="0" fontId="49" fillId="9" borderId="0" xfId="1" applyFont="1" applyFill="1" applyAlignment="1" applyProtection="1">
      <alignment horizontal="center" vertical="center"/>
      <protection hidden="1"/>
    </xf>
    <xf numFmtId="0" fontId="50" fillId="9" borderId="0" xfId="1" applyFont="1" applyFill="1" applyAlignment="1" applyProtection="1">
      <alignment horizontal="center" vertical="center"/>
      <protection hidden="1"/>
    </xf>
    <xf numFmtId="0" fontId="48" fillId="9" borderId="0" xfId="1" applyFont="1" applyFill="1" applyAlignment="1" applyProtection="1">
      <alignment horizontal="center" vertical="center"/>
      <protection hidden="1"/>
    </xf>
    <xf numFmtId="0" fontId="15" fillId="9" borderId="0" xfId="1" applyFont="1" applyFill="1" applyProtection="1">
      <protection hidden="1"/>
    </xf>
    <xf numFmtId="164" fontId="15" fillId="9" borderId="0" xfId="1" applyNumberFormat="1" applyFont="1" applyFill="1" applyProtection="1">
      <protection hidden="1"/>
    </xf>
    <xf numFmtId="0" fontId="4" fillId="9" borderId="0" xfId="1" applyFont="1" applyFill="1" applyAlignment="1" applyProtection="1">
      <alignment horizontal="center" vertical="center" wrapText="1"/>
      <protection hidden="1"/>
    </xf>
    <xf numFmtId="1" fontId="15" fillId="9" borderId="0" xfId="1" applyNumberFormat="1" applyFont="1" applyFill="1" applyProtection="1">
      <protection hidden="1"/>
    </xf>
    <xf numFmtId="165" fontId="15" fillId="9" borderId="0" xfId="1" applyNumberFormat="1" applyFont="1" applyFill="1" applyProtection="1">
      <protection hidden="1"/>
    </xf>
    <xf numFmtId="0" fontId="48" fillId="9" borderId="0" xfId="1" applyFont="1" applyFill="1" applyProtection="1">
      <protection hidden="1"/>
    </xf>
    <xf numFmtId="0" fontId="48" fillId="9" borderId="0" xfId="1" applyFont="1" applyFill="1" applyAlignment="1">
      <alignment horizontal="center" wrapText="1"/>
    </xf>
    <xf numFmtId="1" fontId="15" fillId="0" borderId="27" xfId="1" applyNumberFormat="1" applyFont="1" applyBorder="1" applyProtection="1">
      <protection locked="0"/>
    </xf>
    <xf numFmtId="164" fontId="15" fillId="0" borderId="27" xfId="1" applyNumberFormat="1" applyFont="1" applyBorder="1" applyProtection="1">
      <protection locked="0"/>
    </xf>
    <xf numFmtId="2" fontId="15" fillId="0" borderId="27" xfId="1" applyNumberFormat="1" applyFont="1" applyBorder="1" applyProtection="1">
      <protection locked="0"/>
    </xf>
    <xf numFmtId="1" fontId="35" fillId="11" borderId="28" xfId="1" applyNumberFormat="1" applyFont="1" applyFill="1" applyBorder="1" applyAlignment="1" applyProtection="1">
      <alignment horizontal="center" vertical="center"/>
      <protection hidden="1"/>
    </xf>
    <xf numFmtId="171" fontId="35" fillId="11" borderId="24" xfId="1" applyNumberFormat="1" applyFont="1" applyFill="1" applyBorder="1" applyAlignment="1" applyProtection="1">
      <alignment horizontal="center" vertical="center"/>
      <protection hidden="1"/>
    </xf>
    <xf numFmtId="171" fontId="34" fillId="11" borderId="29" xfId="1" applyNumberFormat="1" applyFont="1" applyFill="1" applyBorder="1" applyAlignment="1" applyProtection="1">
      <alignment horizontal="center" vertical="center"/>
      <protection hidden="1"/>
    </xf>
    <xf numFmtId="0" fontId="15" fillId="0" borderId="27" xfId="1" applyFont="1" applyBorder="1" applyAlignment="1" applyProtection="1">
      <alignment horizontal="right"/>
      <protection locked="0"/>
    </xf>
    <xf numFmtId="165" fontId="11" fillId="9" borderId="30" xfId="1" applyNumberFormat="1" applyFont="1" applyFill="1" applyBorder="1" applyProtection="1">
      <protection hidden="1"/>
    </xf>
    <xf numFmtId="165" fontId="11" fillId="9" borderId="31" xfId="1" applyNumberFormat="1" applyFont="1" applyFill="1" applyBorder="1" applyProtection="1">
      <protection hidden="1"/>
    </xf>
    <xf numFmtId="165" fontId="11" fillId="9" borderId="32" xfId="1" applyNumberFormat="1" applyFont="1" applyFill="1" applyBorder="1" applyProtection="1">
      <protection hidden="1"/>
    </xf>
    <xf numFmtId="0" fontId="15" fillId="0" borderId="33" xfId="1" applyFont="1" applyBorder="1" applyProtection="1">
      <protection locked="0"/>
    </xf>
    <xf numFmtId="165" fontId="11" fillId="9" borderId="34" xfId="1" applyNumberFormat="1" applyFont="1" applyFill="1" applyBorder="1" applyProtection="1">
      <protection hidden="1"/>
    </xf>
    <xf numFmtId="0" fontId="51" fillId="9" borderId="0" xfId="1" applyFont="1" applyFill="1" applyAlignment="1" applyProtection="1">
      <alignment horizontal="center" vertical="center" wrapText="1"/>
      <protection hidden="1"/>
    </xf>
    <xf numFmtId="1" fontId="48" fillId="9" borderId="0" xfId="1" applyNumberFormat="1" applyFont="1" applyFill="1" applyProtection="1">
      <protection hidden="1"/>
    </xf>
    <xf numFmtId="0" fontId="48" fillId="9" borderId="0" xfId="1" applyFont="1" applyFill="1" applyAlignment="1" applyProtection="1">
      <alignment horizontal="center"/>
      <protection hidden="1"/>
    </xf>
    <xf numFmtId="164" fontId="48" fillId="9" borderId="0" xfId="1" applyNumberFormat="1" applyFont="1" applyFill="1" applyProtection="1">
      <protection hidden="1"/>
    </xf>
    <xf numFmtId="165" fontId="48" fillId="9" borderId="0" xfId="1" applyNumberFormat="1" applyFont="1" applyFill="1" applyProtection="1">
      <protection hidden="1"/>
    </xf>
    <xf numFmtId="0" fontId="48" fillId="9" borderId="0" xfId="1" applyFont="1" applyFill="1" applyAlignment="1">
      <alignment horizontal="center" vertical="center"/>
    </xf>
    <xf numFmtId="0" fontId="26" fillId="3" borderId="35" xfId="1" applyFont="1" applyFill="1" applyBorder="1" applyAlignment="1" applyProtection="1">
      <alignment horizontal="center" vertical="center"/>
      <protection hidden="1"/>
    </xf>
    <xf numFmtId="0" fontId="30" fillId="3" borderId="36" xfId="1" applyFont="1" applyFill="1" applyBorder="1" applyAlignment="1" applyProtection="1">
      <alignment horizontal="right" vertical="center"/>
      <protection hidden="1"/>
    </xf>
    <xf numFmtId="172" fontId="35" fillId="11" borderId="29" xfId="1" applyNumberFormat="1" applyFont="1" applyFill="1" applyBorder="1" applyAlignment="1" applyProtection="1">
      <alignment horizontal="right" vertical="center"/>
      <protection hidden="1"/>
    </xf>
    <xf numFmtId="172" fontId="35" fillId="11" borderId="37" xfId="1" applyNumberFormat="1" applyFont="1" applyFill="1" applyBorder="1" applyAlignment="1" applyProtection="1">
      <alignment horizontal="right" vertical="center"/>
      <protection hidden="1"/>
    </xf>
    <xf numFmtId="172" fontId="35" fillId="11" borderId="38" xfId="1" applyNumberFormat="1" applyFont="1" applyFill="1" applyBorder="1" applyAlignment="1" applyProtection="1">
      <alignment horizontal="right" vertical="center"/>
      <protection hidden="1"/>
    </xf>
    <xf numFmtId="0" fontId="37" fillId="9" borderId="39" xfId="1" applyFont="1" applyFill="1" applyBorder="1" applyAlignment="1" applyProtection="1">
      <alignment horizontal="center" vertical="center"/>
      <protection hidden="1"/>
    </xf>
    <xf numFmtId="0" fontId="37" fillId="9" borderId="0" xfId="1" applyFont="1" applyFill="1" applyAlignment="1" applyProtection="1">
      <alignment horizontal="center" vertical="center"/>
      <protection hidden="1"/>
    </xf>
    <xf numFmtId="0" fontId="31" fillId="3" borderId="36" xfId="1" applyFont="1" applyFill="1" applyBorder="1" applyAlignment="1" applyProtection="1">
      <alignment horizontal="right" vertical="center"/>
      <protection hidden="1"/>
    </xf>
    <xf numFmtId="0" fontId="31" fillId="3" borderId="23" xfId="1" applyFont="1" applyFill="1" applyBorder="1" applyAlignment="1" applyProtection="1">
      <alignment horizontal="right" vertical="center"/>
      <protection hidden="1"/>
    </xf>
    <xf numFmtId="1" fontId="35" fillId="11" borderId="40" xfId="1" applyNumberFormat="1" applyFont="1" applyFill="1" applyBorder="1" applyAlignment="1" applyProtection="1">
      <alignment horizontal="center" vertical="center"/>
      <protection hidden="1"/>
    </xf>
    <xf numFmtId="9" fontId="35" fillId="11" borderId="24" xfId="1" applyNumberFormat="1" applyFont="1" applyFill="1" applyBorder="1" applyAlignment="1" applyProtection="1">
      <alignment horizontal="center" vertical="center"/>
      <protection hidden="1"/>
    </xf>
    <xf numFmtId="0" fontId="0" fillId="0" borderId="41" xfId="1" applyFont="1" applyBorder="1" applyProtection="1">
      <protection locked="0"/>
    </xf>
    <xf numFmtId="0" fontId="26" fillId="3" borderId="42" xfId="1" applyFont="1" applyFill="1" applyBorder="1" applyAlignment="1" applyProtection="1">
      <alignment horizontal="center" vertical="center"/>
      <protection hidden="1"/>
    </xf>
    <xf numFmtId="0" fontId="37" fillId="9" borderId="27" xfId="1" applyFont="1" applyFill="1" applyBorder="1" applyAlignment="1" applyProtection="1">
      <alignment horizontal="center" vertical="center"/>
      <protection hidden="1"/>
    </xf>
    <xf numFmtId="0" fontId="48" fillId="9" borderId="27" xfId="1" applyFont="1" applyFill="1" applyBorder="1"/>
    <xf numFmtId="0" fontId="37" fillId="9" borderId="43" xfId="1" applyFont="1" applyFill="1" applyBorder="1" applyAlignment="1" applyProtection="1">
      <alignment horizontal="center" vertical="center"/>
      <protection hidden="1"/>
    </xf>
    <xf numFmtId="0" fontId="48" fillId="9" borderId="29" xfId="1" applyFont="1" applyFill="1" applyBorder="1"/>
    <xf numFmtId="0" fontId="48" fillId="9" borderId="0" xfId="1" applyFont="1" applyFill="1" applyProtection="1">
      <protection locked="0"/>
    </xf>
    <xf numFmtId="0" fontId="48" fillId="9" borderId="0" xfId="1" applyFont="1" applyFill="1" applyProtection="1">
      <protection locked="0" hidden="1"/>
    </xf>
    <xf numFmtId="169" fontId="48" fillId="9" borderId="0" xfId="1" applyNumberFormat="1" applyFont="1" applyFill="1"/>
    <xf numFmtId="0" fontId="48" fillId="9" borderId="0" xfId="1" applyFont="1" applyFill="1" applyAlignment="1">
      <alignment horizontal="center" vertical="center" wrapText="1"/>
    </xf>
    <xf numFmtId="0" fontId="48" fillId="9" borderId="0" xfId="1" applyFont="1" applyFill="1" applyAlignment="1" applyProtection="1">
      <alignment horizontal="center" vertical="center" wrapText="1"/>
      <protection hidden="1"/>
    </xf>
    <xf numFmtId="0" fontId="48" fillId="9" borderId="0" xfId="1" applyFont="1" applyFill="1" applyAlignment="1">
      <alignment vertical="center"/>
    </xf>
    <xf numFmtId="0" fontId="48" fillId="9" borderId="0" xfId="1" applyFont="1" applyFill="1" applyAlignment="1" applyProtection="1">
      <alignment vertical="center"/>
      <protection hidden="1"/>
    </xf>
    <xf numFmtId="166" fontId="48" fillId="9" borderId="0" xfId="1" applyNumberFormat="1" applyFont="1" applyFill="1" applyProtection="1">
      <protection hidden="1"/>
    </xf>
    <xf numFmtId="166" fontId="0" fillId="0" borderId="0" xfId="1" applyNumberFormat="1" applyFont="1" applyProtection="1">
      <protection locked="0"/>
    </xf>
    <xf numFmtId="166" fontId="15" fillId="0" borderId="27" xfId="1" applyNumberFormat="1" applyFont="1" applyBorder="1" applyProtection="1">
      <protection locked="0"/>
    </xf>
    <xf numFmtId="165" fontId="11" fillId="9" borderId="44" xfId="1" applyNumberFormat="1" applyFont="1" applyFill="1" applyBorder="1" applyProtection="1">
      <protection hidden="1"/>
    </xf>
    <xf numFmtId="165" fontId="15" fillId="9" borderId="44" xfId="1" applyNumberFormat="1" applyFont="1" applyFill="1" applyBorder="1" applyProtection="1">
      <protection hidden="1"/>
    </xf>
    <xf numFmtId="165" fontId="15" fillId="9" borderId="1" xfId="1" applyNumberFormat="1" applyFont="1" applyFill="1" applyBorder="1" applyProtection="1">
      <protection hidden="1"/>
    </xf>
    <xf numFmtId="165" fontId="15" fillId="9" borderId="45" xfId="1" applyNumberFormat="1" applyFont="1" applyFill="1" applyBorder="1" applyProtection="1">
      <protection hidden="1"/>
    </xf>
    <xf numFmtId="165" fontId="11" fillId="9" borderId="46" xfId="1" applyNumberFormat="1" applyFont="1" applyFill="1" applyBorder="1" applyProtection="1">
      <protection hidden="1"/>
    </xf>
    <xf numFmtId="165" fontId="11" fillId="9" borderId="47" xfId="1" applyNumberFormat="1" applyFont="1" applyFill="1" applyBorder="1" applyProtection="1">
      <protection hidden="1"/>
    </xf>
    <xf numFmtId="165" fontId="11" fillId="9" borderId="48" xfId="1" applyNumberFormat="1" applyFont="1" applyFill="1" applyBorder="1" applyProtection="1">
      <protection hidden="1"/>
    </xf>
    <xf numFmtId="165" fontId="11" fillId="9" borderId="49" xfId="1" applyNumberFormat="1" applyFont="1" applyFill="1" applyBorder="1" applyProtection="1">
      <protection hidden="1"/>
    </xf>
    <xf numFmtId="165" fontId="11" fillId="9" borderId="50" xfId="1" applyNumberFormat="1" applyFont="1" applyFill="1" applyBorder="1" applyProtection="1">
      <protection hidden="1"/>
    </xf>
    <xf numFmtId="165" fontId="11" fillId="9" borderId="51" xfId="1" applyNumberFormat="1" applyFont="1" applyFill="1" applyBorder="1" applyProtection="1">
      <protection hidden="1"/>
    </xf>
    <xf numFmtId="165" fontId="11" fillId="9" borderId="52" xfId="1" applyNumberFormat="1" applyFont="1" applyFill="1" applyBorder="1" applyProtection="1">
      <protection hidden="1"/>
    </xf>
    <xf numFmtId="165" fontId="11" fillId="9" borderId="1" xfId="1" applyNumberFormat="1" applyFont="1" applyFill="1" applyBorder="1" applyProtection="1">
      <protection hidden="1"/>
    </xf>
    <xf numFmtId="165" fontId="11" fillId="9" borderId="53" xfId="1" applyNumberFormat="1" applyFont="1" applyFill="1" applyBorder="1" applyProtection="1">
      <protection hidden="1"/>
    </xf>
    <xf numFmtId="165" fontId="11" fillId="9" borderId="45" xfId="1" applyNumberFormat="1" applyFont="1" applyFill="1" applyBorder="1" applyProtection="1">
      <protection hidden="1"/>
    </xf>
    <xf numFmtId="165" fontId="11" fillId="9" borderId="54" xfId="1" applyNumberFormat="1" applyFont="1" applyFill="1" applyBorder="1" applyProtection="1">
      <protection hidden="1"/>
    </xf>
    <xf numFmtId="1" fontId="35" fillId="11" borderId="55" xfId="1" applyNumberFormat="1" applyFont="1" applyFill="1" applyBorder="1" applyAlignment="1" applyProtection="1">
      <alignment horizontal="center" vertical="center"/>
      <protection hidden="1"/>
    </xf>
    <xf numFmtId="165" fontId="11" fillId="9" borderId="56" xfId="1" applyNumberFormat="1" applyFont="1" applyFill="1" applyBorder="1" applyProtection="1">
      <protection hidden="1"/>
    </xf>
    <xf numFmtId="165" fontId="11" fillId="9" borderId="57" xfId="1" applyNumberFormat="1" applyFont="1" applyFill="1" applyBorder="1" applyProtection="1">
      <protection hidden="1"/>
    </xf>
    <xf numFmtId="165" fontId="11" fillId="9" borderId="58" xfId="1" applyNumberFormat="1" applyFont="1" applyFill="1" applyBorder="1" applyProtection="1">
      <protection hidden="1"/>
    </xf>
    <xf numFmtId="0" fontId="51" fillId="9" borderId="39" xfId="1" applyFont="1" applyFill="1" applyBorder="1" applyAlignment="1" applyProtection="1">
      <alignment horizontal="center" vertical="center" wrapText="1"/>
      <protection hidden="1"/>
    </xf>
    <xf numFmtId="165" fontId="52" fillId="9" borderId="39" xfId="1" applyNumberFormat="1" applyFont="1" applyFill="1" applyBorder="1" applyProtection="1">
      <protection hidden="1"/>
    </xf>
    <xf numFmtId="165" fontId="48" fillId="9" borderId="39" xfId="1" applyNumberFormat="1" applyFont="1" applyFill="1" applyBorder="1" applyProtection="1">
      <protection hidden="1"/>
    </xf>
    <xf numFmtId="0" fontId="53" fillId="9" borderId="0" xfId="1" applyFont="1" applyFill="1" applyAlignment="1" applyProtection="1">
      <alignment horizontal="center" vertical="center"/>
      <protection hidden="1"/>
    </xf>
    <xf numFmtId="1" fontId="50" fillId="9" borderId="0" xfId="1" applyNumberFormat="1" applyFont="1" applyFill="1" applyAlignment="1" applyProtection="1">
      <alignment horizontal="center" vertical="center"/>
      <protection hidden="1"/>
    </xf>
    <xf numFmtId="9" fontId="50" fillId="9" borderId="0" xfId="1" applyNumberFormat="1" applyFont="1" applyFill="1" applyProtection="1">
      <protection hidden="1"/>
    </xf>
    <xf numFmtId="165" fontId="52" fillId="9" borderId="0" xfId="1" applyNumberFormat="1" applyFont="1" applyFill="1" applyProtection="1">
      <protection hidden="1"/>
    </xf>
    <xf numFmtId="9" fontId="35" fillId="11" borderId="54" xfId="1" applyNumberFormat="1" applyFont="1" applyFill="1" applyBorder="1" applyAlignment="1" applyProtection="1">
      <alignment horizontal="center"/>
      <protection hidden="1"/>
    </xf>
    <xf numFmtId="0" fontId="23" fillId="3" borderId="2" xfId="1" applyFont="1" applyFill="1" applyBorder="1" applyAlignment="1">
      <alignment horizontal="center"/>
    </xf>
    <xf numFmtId="0" fontId="23" fillId="3" borderId="59" xfId="1" applyFont="1" applyFill="1" applyBorder="1" applyAlignment="1">
      <alignment horizontal="center"/>
    </xf>
    <xf numFmtId="173" fontId="17" fillId="3" borderId="2" xfId="1" applyNumberFormat="1" applyFont="1" applyFill="1" applyBorder="1" applyAlignment="1" applyProtection="1">
      <alignment horizontal="center" vertical="center"/>
      <protection hidden="1"/>
    </xf>
    <xf numFmtId="172" fontId="10" fillId="11" borderId="60" xfId="1" applyNumberFormat="1" applyFont="1" applyFill="1" applyBorder="1" applyAlignment="1" applyProtection="1">
      <alignment horizontal="right" vertical="center"/>
      <protection hidden="1"/>
    </xf>
    <xf numFmtId="172" fontId="10" fillId="11" borderId="61" xfId="1" applyNumberFormat="1" applyFont="1" applyFill="1" applyBorder="1" applyAlignment="1" applyProtection="1">
      <alignment horizontal="right" vertical="center"/>
      <protection hidden="1"/>
    </xf>
    <xf numFmtId="173" fontId="17" fillId="3" borderId="62" xfId="1" applyNumberFormat="1" applyFont="1" applyFill="1" applyBorder="1" applyAlignment="1" applyProtection="1">
      <alignment horizontal="center" vertical="center"/>
      <protection hidden="1"/>
    </xf>
    <xf numFmtId="172" fontId="10" fillId="11" borderId="63" xfId="1" applyNumberFormat="1" applyFont="1" applyFill="1" applyBorder="1" applyAlignment="1" applyProtection="1">
      <alignment horizontal="right" vertical="center"/>
      <protection hidden="1"/>
    </xf>
    <xf numFmtId="171" fontId="7" fillId="11" borderId="64" xfId="1" applyNumberFormat="1" applyFont="1" applyFill="1" applyBorder="1" applyProtection="1">
      <protection hidden="1"/>
    </xf>
    <xf numFmtId="171" fontId="10" fillId="11" borderId="29" xfId="1" applyNumberFormat="1" applyFont="1" applyFill="1" applyBorder="1" applyProtection="1">
      <protection hidden="1"/>
    </xf>
    <xf numFmtId="171" fontId="10" fillId="11" borderId="37" xfId="1" applyNumberFormat="1" applyFont="1" applyFill="1" applyBorder="1" applyProtection="1">
      <protection hidden="1"/>
    </xf>
    <xf numFmtId="171" fontId="0" fillId="2" borderId="65" xfId="1" applyNumberFormat="1" applyFont="1" applyFill="1" applyBorder="1" applyProtection="1">
      <protection hidden="1"/>
    </xf>
    <xf numFmtId="1" fontId="0" fillId="11" borderId="37" xfId="1" applyNumberFormat="1" applyFont="1" applyFill="1" applyBorder="1" applyAlignment="1" applyProtection="1">
      <alignment horizontal="center"/>
      <protection hidden="1"/>
    </xf>
    <xf numFmtId="0" fontId="4" fillId="3" borderId="66" xfId="1" applyFont="1" applyFill="1" applyBorder="1" applyAlignment="1" applyProtection="1">
      <alignment horizontal="center" vertical="center" wrapText="1"/>
      <protection hidden="1"/>
    </xf>
    <xf numFmtId="0" fontId="51" fillId="9" borderId="0" xfId="1" applyFont="1" applyFill="1" applyAlignment="1">
      <alignment horizontal="center" vertical="center" wrapText="1"/>
    </xf>
    <xf numFmtId="1" fontId="44" fillId="0" borderId="27" xfId="1" applyNumberFormat="1" applyFont="1" applyBorder="1" applyProtection="1">
      <protection locked="0"/>
    </xf>
    <xf numFmtId="0" fontId="44" fillId="0" borderId="27" xfId="1" applyFont="1" applyBorder="1" applyProtection="1">
      <protection locked="0"/>
    </xf>
    <xf numFmtId="164" fontId="44" fillId="0" borderId="27" xfId="1" applyNumberFormat="1" applyFont="1" applyBorder="1" applyProtection="1">
      <protection locked="0"/>
    </xf>
    <xf numFmtId="0" fontId="44" fillId="0" borderId="27" xfId="1" applyFont="1" applyBorder="1" applyAlignment="1" applyProtection="1">
      <alignment horizontal="center"/>
      <protection locked="0"/>
    </xf>
    <xf numFmtId="1" fontId="54" fillId="9" borderId="67" xfId="1" applyNumberFormat="1" applyFont="1" applyFill="1" applyBorder="1" applyProtection="1">
      <protection hidden="1"/>
    </xf>
    <xf numFmtId="1" fontId="54" fillId="9" borderId="68" xfId="1" applyNumberFormat="1" applyFont="1" applyFill="1" applyBorder="1" applyProtection="1">
      <protection hidden="1"/>
    </xf>
    <xf numFmtId="1" fontId="54" fillId="9" borderId="69" xfId="1" applyNumberFormat="1" applyFont="1" applyFill="1" applyBorder="1" applyProtection="1">
      <protection hidden="1"/>
    </xf>
    <xf numFmtId="0" fontId="48" fillId="9" borderId="2" xfId="1" applyFont="1" applyFill="1" applyBorder="1"/>
    <xf numFmtId="1" fontId="45" fillId="0" borderId="27" xfId="1" applyNumberFormat="1" applyFont="1" applyBorder="1" applyProtection="1">
      <protection locked="0"/>
    </xf>
    <xf numFmtId="167" fontId="45" fillId="0" borderId="70" xfId="1" applyNumberFormat="1" applyFont="1" applyBorder="1" applyProtection="1">
      <protection locked="0"/>
    </xf>
    <xf numFmtId="167" fontId="45" fillId="0" borderId="39" xfId="1" applyNumberFormat="1" applyFont="1" applyBorder="1" applyProtection="1">
      <protection locked="0"/>
    </xf>
    <xf numFmtId="167" fontId="44" fillId="0" borderId="71" xfId="1" applyNumberFormat="1" applyFont="1" applyBorder="1" applyProtection="1">
      <protection locked="0"/>
    </xf>
    <xf numFmtId="164" fontId="45" fillId="0" borderId="72" xfId="1" applyNumberFormat="1" applyFont="1" applyBorder="1" applyProtection="1">
      <protection locked="0"/>
    </xf>
    <xf numFmtId="164" fontId="45" fillId="0" borderId="29" xfId="1" applyNumberFormat="1" applyFont="1" applyBorder="1" applyProtection="1">
      <protection locked="0"/>
    </xf>
    <xf numFmtId="164" fontId="44" fillId="0" borderId="24" xfId="1" applyNumberFormat="1" applyFont="1" applyBorder="1" applyProtection="1">
      <protection locked="0"/>
    </xf>
    <xf numFmtId="0" fontId="4" fillId="3" borderId="73" xfId="1" applyFont="1" applyFill="1" applyBorder="1" applyAlignment="1" applyProtection="1">
      <alignment horizontal="center" vertical="center" wrapText="1"/>
      <protection hidden="1"/>
    </xf>
    <xf numFmtId="0" fontId="4" fillId="3" borderId="74" xfId="1" applyFont="1" applyFill="1" applyBorder="1" applyAlignment="1">
      <alignment horizontal="center" vertical="center" wrapText="1"/>
    </xf>
    <xf numFmtId="0" fontId="4" fillId="3" borderId="75" xfId="1" applyFont="1" applyFill="1" applyBorder="1" applyAlignment="1">
      <alignment horizontal="center" vertical="center" wrapText="1"/>
    </xf>
    <xf numFmtId="0" fontId="17" fillId="3" borderId="76" xfId="1" applyFont="1" applyFill="1" applyBorder="1" applyAlignment="1">
      <alignment horizontal="center" vertical="center" wrapText="1"/>
    </xf>
    <xf numFmtId="0" fontId="24" fillId="0" borderId="43" xfId="1" applyFont="1" applyBorder="1" applyAlignment="1" applyProtection="1">
      <alignment horizontal="left"/>
      <protection locked="0"/>
    </xf>
    <xf numFmtId="0" fontId="24" fillId="0" borderId="0" xfId="1" applyFont="1" applyAlignment="1" applyProtection="1">
      <alignment horizontal="left"/>
      <protection locked="0"/>
    </xf>
    <xf numFmtId="0" fontId="24" fillId="0" borderId="27" xfId="1" applyFont="1" applyBorder="1" applyAlignment="1" applyProtection="1">
      <alignment horizontal="left"/>
      <protection locked="0"/>
    </xf>
    <xf numFmtId="0" fontId="8" fillId="4" borderId="0" xfId="1" applyFont="1" applyFill="1" applyAlignment="1">
      <alignment horizontal="right" vertical="center"/>
    </xf>
    <xf numFmtId="0" fontId="8" fillId="9" borderId="0" xfId="1" applyFont="1" applyFill="1" applyAlignment="1">
      <alignment horizontal="right" vertical="center"/>
    </xf>
    <xf numFmtId="0" fontId="17" fillId="9" borderId="0" xfId="1" applyFont="1" applyFill="1"/>
    <xf numFmtId="0" fontId="16" fillId="9" borderId="0" xfId="1" applyFont="1" applyFill="1"/>
    <xf numFmtId="0" fontId="17" fillId="9" borderId="0" xfId="1" applyFont="1" applyFill="1" applyProtection="1">
      <protection hidden="1"/>
    </xf>
    <xf numFmtId="0" fontId="17" fillId="9" borderId="3" xfId="1" applyFont="1" applyFill="1" applyBorder="1" applyProtection="1">
      <protection hidden="1"/>
    </xf>
    <xf numFmtId="0" fontId="21" fillId="9" borderId="3" xfId="1" applyFont="1" applyFill="1" applyBorder="1" applyAlignment="1">
      <alignment horizontal="left" vertical="top"/>
    </xf>
    <xf numFmtId="0" fontId="21" fillId="9" borderId="0" xfId="1" applyFont="1" applyFill="1" applyAlignment="1">
      <alignment horizontal="left" vertical="top"/>
    </xf>
    <xf numFmtId="0" fontId="20" fillId="9" borderId="0" xfId="1" applyFont="1" applyFill="1" applyAlignment="1" applyProtection="1">
      <alignment horizontal="left" vertical="center"/>
      <protection hidden="1"/>
    </xf>
    <xf numFmtId="0" fontId="20" fillId="9" borderId="0" xfId="1" applyFont="1" applyFill="1" applyAlignment="1" applyProtection="1">
      <alignment vertical="center"/>
      <protection hidden="1"/>
    </xf>
    <xf numFmtId="0" fontId="20" fillId="9" borderId="0" xfId="1" applyFont="1" applyFill="1" applyAlignment="1">
      <alignment horizontal="left" vertical="center"/>
    </xf>
    <xf numFmtId="0" fontId="0" fillId="9" borderId="0" xfId="1" applyFont="1" applyFill="1" applyAlignment="1">
      <alignment horizontal="left" vertical="center"/>
    </xf>
    <xf numFmtId="0" fontId="20" fillId="9" borderId="0" xfId="1" applyFont="1" applyFill="1"/>
    <xf numFmtId="0" fontId="9" fillId="9" borderId="0" xfId="3" applyFont="1" applyFill="1" applyAlignment="1" applyProtection="1">
      <alignment horizontal="center" vertical="center" wrapText="1"/>
      <protection hidden="1"/>
    </xf>
    <xf numFmtId="0" fontId="4" fillId="3" borderId="23" xfId="1" applyFont="1" applyFill="1" applyBorder="1" applyAlignment="1" applyProtection="1">
      <alignment horizontal="left" vertical="center" wrapText="1"/>
      <protection hidden="1"/>
    </xf>
    <xf numFmtId="0" fontId="4" fillId="3" borderId="77" xfId="1" applyFont="1" applyFill="1" applyBorder="1" applyAlignment="1" applyProtection="1">
      <alignment horizontal="left" vertical="center" wrapText="1"/>
      <protection hidden="1"/>
    </xf>
    <xf numFmtId="0" fontId="4" fillId="3" borderId="78" xfId="1" applyFont="1" applyFill="1" applyBorder="1" applyAlignment="1" applyProtection="1">
      <alignment horizontal="left" vertical="center" wrapText="1"/>
      <protection hidden="1"/>
    </xf>
    <xf numFmtId="0" fontId="23" fillId="3" borderId="36" xfId="2" applyFont="1" applyFill="1" applyBorder="1" applyAlignment="1" applyProtection="1">
      <alignment vertical="center" wrapText="1"/>
      <protection hidden="1"/>
    </xf>
    <xf numFmtId="0" fontId="59" fillId="3" borderId="36" xfId="1" applyFont="1" applyFill="1" applyBorder="1" applyAlignment="1" applyProtection="1">
      <alignment horizontal="left" vertical="center" wrapText="1"/>
      <protection hidden="1"/>
    </xf>
    <xf numFmtId="174" fontId="17" fillId="0" borderId="79" xfId="2" applyNumberFormat="1" applyFont="1" applyBorder="1" applyAlignment="1" applyProtection="1">
      <alignment vertical="center"/>
      <protection locked="0" hidden="1"/>
    </xf>
    <xf numFmtId="0" fontId="23" fillId="9" borderId="11" xfId="1" applyFont="1" applyFill="1" applyBorder="1" applyAlignment="1" applyProtection="1">
      <alignment horizontal="left" vertical="center" wrapText="1"/>
      <protection hidden="1"/>
    </xf>
    <xf numFmtId="1" fontId="1" fillId="9" borderId="80" xfId="1" applyNumberFormat="1" applyFont="1" applyFill="1" applyBorder="1" applyAlignment="1" applyProtection="1">
      <alignment horizontal="right"/>
      <protection locked="0"/>
    </xf>
    <xf numFmtId="0" fontId="59" fillId="3" borderId="23" xfId="1" applyFont="1" applyFill="1" applyBorder="1" applyAlignment="1" applyProtection="1">
      <alignment horizontal="left" vertical="center" wrapText="1"/>
      <protection hidden="1"/>
    </xf>
    <xf numFmtId="0" fontId="58" fillId="9" borderId="0" xfId="1" applyFont="1" applyFill="1"/>
    <xf numFmtId="0" fontId="18" fillId="9" borderId="0" xfId="1" applyFont="1" applyFill="1"/>
    <xf numFmtId="0" fontId="63" fillId="9" borderId="0" xfId="1" applyFont="1" applyFill="1"/>
    <xf numFmtId="1" fontId="1" fillId="9" borderId="53" xfId="1" applyNumberFormat="1" applyFont="1" applyFill="1" applyBorder="1" applyAlignment="1" applyProtection="1">
      <alignment horizontal="right"/>
      <protection hidden="1"/>
    </xf>
    <xf numFmtId="0" fontId="27" fillId="3" borderId="81" xfId="2" applyFont="1" applyFill="1" applyBorder="1" applyAlignment="1" applyProtection="1">
      <alignment vertical="center" wrapText="1"/>
      <protection hidden="1"/>
    </xf>
    <xf numFmtId="0" fontId="64" fillId="3" borderId="82" xfId="2" applyFont="1" applyFill="1" applyBorder="1" applyAlignment="1" applyProtection="1">
      <alignment vertical="center"/>
      <protection hidden="1"/>
    </xf>
    <xf numFmtId="0" fontId="64" fillId="3" borderId="83" xfId="2" applyFont="1" applyFill="1" applyBorder="1" applyAlignment="1" applyProtection="1">
      <alignment horizontal="right" vertical="center"/>
      <protection hidden="1"/>
    </xf>
    <xf numFmtId="0" fontId="17" fillId="3" borderId="22" xfId="2" applyFont="1" applyFill="1" applyBorder="1" applyAlignment="1" applyProtection="1">
      <alignment horizontal="center" vertical="center" wrapText="1"/>
      <protection hidden="1"/>
    </xf>
    <xf numFmtId="0" fontId="17" fillId="3" borderId="29" xfId="2" applyFont="1" applyFill="1" applyBorder="1" applyAlignment="1" applyProtection="1">
      <alignment horizontal="center" vertical="center" wrapText="1"/>
      <protection hidden="1"/>
    </xf>
    <xf numFmtId="0" fontId="4" fillId="3" borderId="84" xfId="2" applyFont="1" applyFill="1" applyBorder="1" applyAlignment="1" applyProtection="1">
      <alignment horizontal="right" vertical="center" wrapText="1" indent="1"/>
      <protection hidden="1"/>
    </xf>
    <xf numFmtId="0" fontId="4" fillId="3" borderId="85" xfId="2" applyFont="1" applyFill="1" applyBorder="1" applyAlignment="1" applyProtection="1">
      <alignment horizontal="right" vertical="center" wrapText="1" indent="1"/>
      <protection hidden="1"/>
    </xf>
    <xf numFmtId="165" fontId="1" fillId="9" borderId="1" xfId="1" applyNumberFormat="1" applyFont="1" applyFill="1" applyBorder="1" applyProtection="1">
      <protection hidden="1"/>
    </xf>
    <xf numFmtId="165" fontId="10" fillId="9" borderId="45" xfId="1" applyNumberFormat="1" applyFont="1" applyFill="1" applyBorder="1" applyProtection="1">
      <protection hidden="1"/>
    </xf>
    <xf numFmtId="1" fontId="1" fillId="9" borderId="54" xfId="1" applyNumberFormat="1" applyFont="1" applyFill="1" applyBorder="1" applyAlignment="1" applyProtection="1">
      <alignment horizontal="right"/>
      <protection hidden="1"/>
    </xf>
    <xf numFmtId="0" fontId="61" fillId="9" borderId="0" xfId="3" applyFont="1" applyFill="1" applyBorder="1" applyAlignment="1" applyProtection="1">
      <alignment vertical="center"/>
    </xf>
    <xf numFmtId="0" fontId="36" fillId="3" borderId="86" xfId="1" applyFont="1" applyFill="1" applyBorder="1" applyAlignment="1" applyProtection="1">
      <alignment horizontal="center" vertical="center"/>
      <protection locked="0" hidden="1"/>
    </xf>
    <xf numFmtId="0" fontId="36" fillId="3" borderId="72" xfId="1" applyFont="1" applyFill="1" applyBorder="1" applyAlignment="1" applyProtection="1">
      <alignment horizontal="center" vertical="center"/>
      <protection locked="0" hidden="1"/>
    </xf>
    <xf numFmtId="0" fontId="23" fillId="3" borderId="87" xfId="1" applyFont="1" applyFill="1" applyBorder="1" applyAlignment="1" applyProtection="1">
      <alignment horizontal="center" vertical="center"/>
      <protection locked="0" hidden="1"/>
    </xf>
    <xf numFmtId="0" fontId="23" fillId="3" borderId="29" xfId="1" applyFont="1" applyFill="1" applyBorder="1" applyAlignment="1" applyProtection="1">
      <alignment horizontal="center" vertical="center"/>
      <protection locked="0" hidden="1"/>
    </xf>
    <xf numFmtId="179" fontId="10" fillId="11" borderId="88" xfId="2" quotePrefix="1" applyNumberFormat="1" applyFill="1" applyBorder="1" applyAlignment="1" applyProtection="1">
      <alignment horizontal="center" vertical="center"/>
      <protection hidden="1"/>
    </xf>
    <xf numFmtId="0" fontId="60" fillId="9" borderId="0" xfId="1" applyFont="1" applyFill="1" applyAlignment="1">
      <alignment horizontal="left" vertical="center" wrapText="1"/>
    </xf>
    <xf numFmtId="0" fontId="14" fillId="9" borderId="0" xfId="1" applyFont="1" applyFill="1"/>
    <xf numFmtId="0" fontId="60" fillId="9" borderId="0" xfId="1" applyFont="1" applyFill="1" applyAlignment="1">
      <alignment vertical="center"/>
    </xf>
    <xf numFmtId="0" fontId="48" fillId="9" borderId="0" xfId="1" applyFont="1" applyFill="1" applyAlignment="1" applyProtection="1">
      <alignment vertical="top"/>
      <protection locked="0"/>
    </xf>
    <xf numFmtId="0" fontId="6" fillId="9" borderId="0" xfId="3" applyFill="1" applyAlignment="1" applyProtection="1"/>
    <xf numFmtId="0" fontId="0" fillId="9" borderId="0" xfId="1" applyFont="1" applyFill="1" applyAlignment="1">
      <alignment horizontal="left"/>
    </xf>
    <xf numFmtId="0" fontId="78" fillId="9" borderId="0" xfId="1" applyFont="1" applyFill="1"/>
    <xf numFmtId="0" fontId="2" fillId="9" borderId="0" xfId="1" applyFont="1" applyFill="1"/>
    <xf numFmtId="0" fontId="78" fillId="9" borderId="0" xfId="1" applyFont="1" applyFill="1" applyProtection="1">
      <protection hidden="1"/>
    </xf>
    <xf numFmtId="0" fontId="79" fillId="9" borderId="0" xfId="1" applyFont="1" applyFill="1" applyProtection="1">
      <protection hidden="1"/>
    </xf>
    <xf numFmtId="0" fontId="79" fillId="9" borderId="0" xfId="1" applyFont="1" applyFill="1"/>
    <xf numFmtId="0" fontId="2" fillId="9" borderId="0" xfId="1" applyFont="1" applyFill="1" applyAlignment="1">
      <alignment horizontal="center" vertical="center"/>
    </xf>
    <xf numFmtId="0" fontId="2" fillId="9" borderId="0" xfId="1" applyFont="1" applyFill="1" applyAlignment="1" applyProtection="1">
      <alignment horizontal="center" vertical="center" wrapText="1"/>
      <protection hidden="1"/>
    </xf>
    <xf numFmtId="171" fontId="77" fillId="9" borderId="0" xfId="1" applyNumberFormat="1" applyFont="1" applyFill="1" applyProtection="1">
      <protection hidden="1"/>
    </xf>
    <xf numFmtId="0" fontId="61" fillId="9" borderId="0" xfId="3" applyFont="1" applyFill="1" applyAlignment="1" applyProtection="1"/>
    <xf numFmtId="0" fontId="58" fillId="9" borderId="0" xfId="1" applyFont="1" applyFill="1" applyProtection="1">
      <protection hidden="1"/>
    </xf>
    <xf numFmtId="0" fontId="83" fillId="9" borderId="0" xfId="1" applyFont="1" applyFill="1" applyAlignment="1" applyProtection="1">
      <alignment horizontal="center" vertical="center" wrapText="1"/>
      <protection hidden="1"/>
    </xf>
    <xf numFmtId="165" fontId="58" fillId="9" borderId="0" xfId="1" applyNumberFormat="1" applyFont="1" applyFill="1" applyProtection="1">
      <protection hidden="1"/>
    </xf>
    <xf numFmtId="0" fontId="62" fillId="3" borderId="89" xfId="1" applyFont="1" applyFill="1" applyBorder="1" applyAlignment="1" applyProtection="1">
      <alignment horizontal="center" vertical="center"/>
      <protection hidden="1"/>
    </xf>
    <xf numFmtId="0" fontId="52" fillId="9" borderId="0" xfId="1" applyFont="1" applyFill="1" applyProtection="1">
      <protection hidden="1"/>
    </xf>
    <xf numFmtId="167" fontId="52" fillId="9" borderId="0" xfId="1" applyNumberFormat="1" applyFont="1" applyFill="1" applyProtection="1">
      <protection hidden="1"/>
    </xf>
    <xf numFmtId="167" fontId="48" fillId="9" borderId="0" xfId="1" applyNumberFormat="1" applyFont="1" applyFill="1" applyProtection="1">
      <protection locked="0" hidden="1"/>
    </xf>
    <xf numFmtId="0" fontId="58" fillId="0" borderId="0" xfId="1" applyFont="1"/>
    <xf numFmtId="0" fontId="48" fillId="9" borderId="0" xfId="1" applyFont="1" applyFill="1" applyAlignment="1">
      <alignment wrapText="1"/>
    </xf>
    <xf numFmtId="165" fontId="48" fillId="9" borderId="0" xfId="1" applyNumberFormat="1" applyFont="1" applyFill="1"/>
    <xf numFmtId="0" fontId="84" fillId="9" borderId="0" xfId="1" applyFont="1" applyFill="1" applyAlignment="1" applyProtection="1">
      <alignment horizontal="center" vertical="center"/>
      <protection hidden="1"/>
    </xf>
    <xf numFmtId="0" fontId="84" fillId="9" borderId="0" xfId="1" applyFont="1" applyFill="1" applyAlignment="1" applyProtection="1">
      <alignment vertical="center"/>
      <protection hidden="1"/>
    </xf>
    <xf numFmtId="0" fontId="83" fillId="9" borderId="43" xfId="1" applyFont="1" applyFill="1" applyBorder="1" applyAlignment="1" applyProtection="1">
      <alignment horizontal="center" vertical="center" wrapText="1"/>
      <protection hidden="1"/>
    </xf>
    <xf numFmtId="0" fontId="58" fillId="9" borderId="0" xfId="1" applyFont="1" applyFill="1" applyAlignment="1" applyProtection="1">
      <alignment horizontal="center"/>
      <protection hidden="1"/>
    </xf>
    <xf numFmtId="0" fontId="83" fillId="9" borderId="0" xfId="1" applyFont="1" applyFill="1" applyAlignment="1">
      <alignment horizontal="center" vertical="center" wrapText="1"/>
    </xf>
    <xf numFmtId="164" fontId="58" fillId="9" borderId="0" xfId="1" applyNumberFormat="1" applyFont="1" applyFill="1"/>
    <xf numFmtId="165" fontId="58" fillId="9" borderId="0" xfId="1" applyNumberFormat="1" applyFont="1" applyFill="1"/>
    <xf numFmtId="0" fontId="52" fillId="9" borderId="0" xfId="1" applyFont="1" applyFill="1"/>
    <xf numFmtId="165" fontId="48" fillId="9" borderId="0" xfId="1" applyNumberFormat="1" applyFont="1" applyFill="1" applyAlignment="1" applyProtection="1">
      <alignment horizontal="center"/>
      <protection hidden="1"/>
    </xf>
    <xf numFmtId="0" fontId="47" fillId="9" borderId="0" xfId="1" applyFont="1" applyFill="1" applyAlignment="1">
      <alignment horizontal="center" vertical="center"/>
    </xf>
    <xf numFmtId="0" fontId="58" fillId="9" borderId="0" xfId="1" applyFont="1" applyFill="1" applyProtection="1">
      <protection locked="0"/>
    </xf>
    <xf numFmtId="167" fontId="58" fillId="9" borderId="0" xfId="1" applyNumberFormat="1" applyFont="1" applyFill="1" applyProtection="1">
      <protection locked="0"/>
    </xf>
    <xf numFmtId="164" fontId="58" fillId="9" borderId="0" xfId="1" applyNumberFormat="1" applyFont="1" applyFill="1" applyProtection="1">
      <protection hidden="1"/>
    </xf>
    <xf numFmtId="0" fontId="0" fillId="0" borderId="10" xfId="1" applyFont="1" applyBorder="1" applyAlignment="1">
      <alignment horizontal="left" vertical="top"/>
    </xf>
    <xf numFmtId="0" fontId="21" fillId="4" borderId="7" xfId="1" applyFont="1" applyFill="1" applyBorder="1" applyAlignment="1">
      <alignment horizontal="center" vertical="center"/>
    </xf>
    <xf numFmtId="176" fontId="42" fillId="0" borderId="79" xfId="2" applyNumberFormat="1" applyFont="1" applyBorder="1" applyProtection="1">
      <protection locked="0" hidden="1"/>
    </xf>
    <xf numFmtId="0" fontId="86" fillId="4" borderId="9" xfId="2" applyFont="1" applyFill="1" applyBorder="1" applyProtection="1">
      <protection hidden="1"/>
    </xf>
    <xf numFmtId="0" fontId="89" fillId="9" borderId="0" xfId="1" applyFont="1" applyFill="1"/>
    <xf numFmtId="165" fontId="90" fillId="9" borderId="0" xfId="1" applyNumberFormat="1" applyFont="1" applyFill="1" applyAlignment="1">
      <alignment horizontal="center" vertical="center"/>
    </xf>
    <xf numFmtId="0" fontId="90" fillId="9" borderId="0" xfId="1" applyFont="1" applyFill="1" applyProtection="1">
      <protection hidden="1"/>
    </xf>
    <xf numFmtId="0" fontId="90" fillId="9" borderId="0" xfId="1" applyFont="1" applyFill="1" applyProtection="1">
      <protection locked="0" hidden="1"/>
    </xf>
    <xf numFmtId="0" fontId="91" fillId="9" borderId="0" xfId="1" applyFont="1" applyFill="1" applyProtection="1">
      <protection hidden="1"/>
    </xf>
    <xf numFmtId="0" fontId="90" fillId="9" borderId="0" xfId="1" applyFont="1" applyFill="1" applyProtection="1">
      <protection locked="0"/>
    </xf>
    <xf numFmtId="165" fontId="90" fillId="9" borderId="0" xfId="1" applyNumberFormat="1" applyFont="1" applyFill="1" applyProtection="1">
      <protection locked="0" hidden="1"/>
    </xf>
    <xf numFmtId="0" fontId="91" fillId="9" borderId="0" xfId="1" applyFont="1" applyFill="1" applyProtection="1">
      <protection locked="0" hidden="1"/>
    </xf>
    <xf numFmtId="0" fontId="91" fillId="9" borderId="0" xfId="1" applyFont="1" applyFill="1" applyAlignment="1" applyProtection="1">
      <alignment horizontal="center"/>
      <protection hidden="1"/>
    </xf>
    <xf numFmtId="2" fontId="90" fillId="9" borderId="0" xfId="1" applyNumberFormat="1" applyFont="1" applyFill="1" applyProtection="1">
      <protection locked="0" hidden="1"/>
    </xf>
    <xf numFmtId="0" fontId="90" fillId="9" borderId="0" xfId="1" applyFont="1" applyFill="1"/>
    <xf numFmtId="9" fontId="90" fillId="9" borderId="0" xfId="1" applyNumberFormat="1" applyFont="1" applyFill="1" applyProtection="1">
      <protection hidden="1"/>
    </xf>
    <xf numFmtId="167" fontId="90" fillId="9" borderId="0" xfId="1" applyNumberFormat="1" applyFont="1" applyFill="1" applyProtection="1">
      <protection hidden="1"/>
    </xf>
    <xf numFmtId="165" fontId="90" fillId="9" borderId="0" xfId="1" applyNumberFormat="1" applyFont="1" applyFill="1" applyProtection="1">
      <protection hidden="1"/>
    </xf>
    <xf numFmtId="0" fontId="92" fillId="9" borderId="0" xfId="3" applyFont="1" applyFill="1" applyAlignment="1" applyProtection="1"/>
    <xf numFmtId="0" fontId="93" fillId="3" borderId="2" xfId="1" applyFont="1" applyFill="1" applyBorder="1" applyAlignment="1" applyProtection="1">
      <alignment horizontal="left" vertical="center" wrapText="1"/>
      <protection hidden="1"/>
    </xf>
    <xf numFmtId="0" fontId="90" fillId="3" borderId="59" xfId="1" applyFont="1" applyFill="1" applyBorder="1" applyProtection="1">
      <protection locked="0" hidden="1"/>
    </xf>
    <xf numFmtId="0" fontId="93" fillId="3" borderId="59" xfId="1" applyFont="1" applyFill="1" applyBorder="1" applyProtection="1">
      <protection locked="0" hidden="1"/>
    </xf>
    <xf numFmtId="0" fontId="93" fillId="3" borderId="62" xfId="1" applyFont="1" applyFill="1" applyBorder="1" applyAlignment="1" applyProtection="1">
      <alignment horizontal="left" vertical="center" wrapText="1"/>
      <protection hidden="1"/>
    </xf>
    <xf numFmtId="0" fontId="90" fillId="3" borderId="90" xfId="1" applyFont="1" applyFill="1" applyBorder="1" applyProtection="1">
      <protection locked="0"/>
    </xf>
    <xf numFmtId="0" fontId="90" fillId="9" borderId="0" xfId="0" applyFont="1" applyFill="1"/>
    <xf numFmtId="0" fontId="94" fillId="9" borderId="91" xfId="1" applyFont="1" applyFill="1" applyBorder="1" applyAlignment="1" applyProtection="1">
      <alignment horizontal="center" vertical="center"/>
      <protection hidden="1"/>
    </xf>
    <xf numFmtId="164" fontId="87" fillId="0" borderId="92" xfId="1" applyNumberFormat="1" applyFont="1" applyBorder="1" applyProtection="1">
      <protection locked="0"/>
    </xf>
    <xf numFmtId="164" fontId="87" fillId="0" borderId="93" xfId="1" applyNumberFormat="1" applyFont="1" applyBorder="1" applyProtection="1">
      <protection locked="0"/>
    </xf>
    <xf numFmtId="164" fontId="15" fillId="0" borderId="94" xfId="1" applyNumberFormat="1" applyFont="1" applyBorder="1" applyProtection="1">
      <protection locked="0"/>
    </xf>
    <xf numFmtId="171" fontId="10" fillId="3" borderId="29" xfId="1" applyNumberFormat="1" applyFont="1" applyFill="1" applyBorder="1" applyProtection="1">
      <protection hidden="1"/>
    </xf>
    <xf numFmtId="0" fontId="90" fillId="9" borderId="18" xfId="1" applyFont="1" applyFill="1" applyBorder="1"/>
    <xf numFmtId="0" fontId="90" fillId="9" borderId="2" xfId="1" applyFont="1" applyFill="1" applyBorder="1"/>
    <xf numFmtId="0" fontId="95" fillId="9" borderId="0" xfId="1" applyFont="1" applyFill="1" applyAlignment="1">
      <alignment horizontal="center" vertical="center" wrapText="1"/>
    </xf>
    <xf numFmtId="0" fontId="95" fillId="9" borderId="0" xfId="1" applyFont="1" applyFill="1"/>
    <xf numFmtId="0" fontId="90" fillId="9" borderId="0" xfId="1" applyFont="1" applyFill="1" applyAlignment="1">
      <alignment horizontal="center" vertical="center" wrapText="1"/>
    </xf>
    <xf numFmtId="0" fontId="93" fillId="9" borderId="0" xfId="1" applyFont="1" applyFill="1" applyAlignment="1">
      <alignment horizontal="center" vertical="center" wrapText="1"/>
    </xf>
    <xf numFmtId="0" fontId="90" fillId="9" borderId="0" xfId="1" applyFont="1" applyFill="1" applyAlignment="1">
      <alignment wrapText="1"/>
    </xf>
    <xf numFmtId="0" fontId="90" fillId="0" borderId="0" xfId="0" applyFont="1"/>
    <xf numFmtId="165" fontId="7" fillId="9" borderId="34" xfId="1" applyNumberFormat="1" applyFont="1" applyFill="1" applyBorder="1" applyProtection="1">
      <protection hidden="1"/>
    </xf>
    <xf numFmtId="165" fontId="7" fillId="9" borderId="32" xfId="1" applyNumberFormat="1" applyFont="1" applyFill="1" applyBorder="1" applyProtection="1">
      <protection hidden="1"/>
    </xf>
    <xf numFmtId="165" fontId="7" fillId="9" borderId="48" xfId="1" applyNumberFormat="1" applyFont="1" applyFill="1" applyBorder="1" applyProtection="1">
      <protection hidden="1"/>
    </xf>
    <xf numFmtId="1" fontId="0" fillId="0" borderId="0" xfId="1" applyNumberFormat="1" applyFont="1" applyProtection="1">
      <protection locked="0" hidden="1"/>
    </xf>
    <xf numFmtId="165" fontId="44" fillId="4" borderId="95" xfId="1" applyNumberFormat="1" applyFont="1" applyFill="1" applyBorder="1" applyProtection="1">
      <protection locked="0" hidden="1"/>
    </xf>
    <xf numFmtId="1" fontId="10" fillId="0" borderId="0" xfId="1" applyNumberFormat="1" applyFont="1" applyProtection="1">
      <protection locked="0" hidden="1"/>
    </xf>
    <xf numFmtId="165" fontId="44" fillId="4" borderId="2" xfId="1" applyNumberFormat="1" applyFont="1" applyFill="1" applyBorder="1" applyProtection="1">
      <protection locked="0" hidden="1"/>
    </xf>
    <xf numFmtId="9" fontId="2" fillId="9" borderId="0" xfId="1" applyNumberFormat="1" applyFont="1" applyFill="1" applyProtection="1">
      <protection hidden="1"/>
    </xf>
    <xf numFmtId="172" fontId="0" fillId="9" borderId="96" xfId="1" applyNumberFormat="1" applyFont="1" applyFill="1" applyBorder="1" applyProtection="1">
      <protection hidden="1"/>
    </xf>
    <xf numFmtId="172" fontId="0" fillId="9" borderId="97" xfId="1" applyNumberFormat="1" applyFont="1" applyFill="1" applyBorder="1" applyProtection="1">
      <protection hidden="1"/>
    </xf>
    <xf numFmtId="172" fontId="0" fillId="9" borderId="98" xfId="1" applyNumberFormat="1" applyFont="1" applyFill="1" applyBorder="1" applyProtection="1">
      <protection hidden="1"/>
    </xf>
    <xf numFmtId="172" fontId="0" fillId="9" borderId="99" xfId="1" applyNumberFormat="1" applyFont="1" applyFill="1" applyBorder="1" applyProtection="1">
      <protection hidden="1"/>
    </xf>
    <xf numFmtId="172" fontId="0" fillId="9" borderId="100" xfId="1" applyNumberFormat="1" applyFont="1" applyFill="1" applyBorder="1" applyProtection="1">
      <protection hidden="1"/>
    </xf>
    <xf numFmtId="172" fontId="0" fillId="9" borderId="101" xfId="1" applyNumberFormat="1" applyFont="1" applyFill="1" applyBorder="1" applyProtection="1">
      <protection hidden="1"/>
    </xf>
    <xf numFmtId="0" fontId="17" fillId="3" borderId="39" xfId="1" applyFont="1" applyFill="1" applyBorder="1" applyProtection="1">
      <protection hidden="1"/>
    </xf>
    <xf numFmtId="0" fontId="17" fillId="3" borderId="0" xfId="1" applyFont="1" applyFill="1" applyProtection="1">
      <protection hidden="1"/>
    </xf>
    <xf numFmtId="0" fontId="90" fillId="3" borderId="90" xfId="1" applyFont="1" applyFill="1" applyBorder="1" applyProtection="1">
      <protection locked="0" hidden="1"/>
    </xf>
    <xf numFmtId="0" fontId="96" fillId="9" borderId="11" xfId="1" applyFont="1" applyFill="1" applyBorder="1" applyAlignment="1" applyProtection="1">
      <alignment horizontal="left" vertical="center" wrapText="1"/>
      <protection locked="0" hidden="1"/>
    </xf>
    <xf numFmtId="0" fontId="90" fillId="9" borderId="0" xfId="1" applyFont="1" applyFill="1" applyAlignment="1" applyProtection="1">
      <alignment horizontal="center"/>
      <protection hidden="1"/>
    </xf>
    <xf numFmtId="0" fontId="10" fillId="0" borderId="0" xfId="2"/>
    <xf numFmtId="168" fontId="10" fillId="0" borderId="0" xfId="2" applyNumberFormat="1" applyAlignment="1" applyProtection="1">
      <alignment vertical="center" wrapText="1"/>
      <protection hidden="1"/>
    </xf>
    <xf numFmtId="0" fontId="10" fillId="0" borderId="0" xfId="2" applyAlignment="1" applyProtection="1">
      <alignment vertical="center" wrapText="1"/>
      <protection hidden="1"/>
    </xf>
    <xf numFmtId="0" fontId="10" fillId="0" borderId="0" xfId="2" applyAlignment="1">
      <alignment wrapText="1"/>
    </xf>
    <xf numFmtId="0" fontId="10" fillId="0" borderId="0" xfId="2" applyAlignment="1" applyProtection="1">
      <alignment vertical="center"/>
      <protection hidden="1"/>
    </xf>
    <xf numFmtId="0" fontId="10" fillId="4" borderId="2" xfId="2" applyFill="1" applyBorder="1"/>
    <xf numFmtId="168" fontId="10" fillId="0" borderId="0" xfId="2" applyNumberFormat="1"/>
    <xf numFmtId="0" fontId="4" fillId="3" borderId="102" xfId="2" applyFont="1" applyFill="1" applyBorder="1" applyAlignment="1" applyProtection="1">
      <alignment horizontal="center" vertical="center"/>
      <protection hidden="1"/>
    </xf>
    <xf numFmtId="0" fontId="2" fillId="9" borderId="0" xfId="1" applyFont="1" applyFill="1" applyProtection="1">
      <protection hidden="1"/>
    </xf>
    <xf numFmtId="9" fontId="35" fillId="11" borderId="103" xfId="1" applyNumberFormat="1" applyFont="1" applyFill="1" applyBorder="1" applyAlignment="1" applyProtection="1">
      <alignment horizontal="center"/>
      <protection hidden="1"/>
    </xf>
    <xf numFmtId="3" fontId="35" fillId="11" borderId="104" xfId="1" applyNumberFormat="1" applyFont="1" applyFill="1" applyBorder="1" applyAlignment="1" applyProtection="1">
      <alignment horizontal="center" vertical="center"/>
      <protection hidden="1"/>
    </xf>
    <xf numFmtId="9" fontId="35" fillId="11" borderId="64" xfId="1" applyNumberFormat="1" applyFont="1" applyFill="1" applyBorder="1" applyAlignment="1" applyProtection="1">
      <alignment horizontal="center"/>
      <protection hidden="1"/>
    </xf>
    <xf numFmtId="3" fontId="35" fillId="11" borderId="105" xfId="1" applyNumberFormat="1" applyFont="1" applyFill="1" applyBorder="1" applyAlignment="1" applyProtection="1">
      <alignment horizontal="center" vertical="center"/>
      <protection hidden="1"/>
    </xf>
    <xf numFmtId="9" fontId="35" fillId="11" borderId="106" xfId="1" applyNumberFormat="1" applyFont="1" applyFill="1" applyBorder="1" applyAlignment="1" applyProtection="1">
      <alignment horizontal="center"/>
      <protection hidden="1"/>
    </xf>
    <xf numFmtId="3" fontId="35" fillId="2" borderId="107" xfId="1" applyNumberFormat="1" applyFont="1" applyFill="1" applyBorder="1" applyAlignment="1" applyProtection="1">
      <alignment horizontal="center" vertical="center"/>
      <protection hidden="1"/>
    </xf>
    <xf numFmtId="9" fontId="35" fillId="2" borderId="108" xfId="1" applyNumberFormat="1" applyFont="1" applyFill="1" applyBorder="1" applyAlignment="1" applyProtection="1">
      <alignment horizontal="center"/>
      <protection hidden="1"/>
    </xf>
    <xf numFmtId="3" fontId="35" fillId="2" borderId="88" xfId="1" applyNumberFormat="1" applyFont="1" applyFill="1" applyBorder="1" applyAlignment="1" applyProtection="1">
      <alignment horizontal="center" vertical="center"/>
      <protection hidden="1"/>
    </xf>
    <xf numFmtId="3" fontId="35" fillId="2" borderId="109" xfId="1" applyNumberFormat="1" applyFont="1" applyFill="1" applyBorder="1" applyAlignment="1" applyProtection="1">
      <alignment horizontal="center" vertical="center"/>
      <protection hidden="1"/>
    </xf>
    <xf numFmtId="9" fontId="0" fillId="11" borderId="38" xfId="1" applyNumberFormat="1" applyFont="1" applyFill="1" applyBorder="1" applyAlignment="1" applyProtection="1">
      <alignment horizontal="center"/>
      <protection hidden="1"/>
    </xf>
    <xf numFmtId="9" fontId="35" fillId="11" borderId="38" xfId="1" applyNumberFormat="1" applyFont="1" applyFill="1" applyBorder="1" applyAlignment="1" applyProtection="1">
      <alignment horizontal="center"/>
      <protection hidden="1"/>
    </xf>
    <xf numFmtId="9" fontId="35" fillId="11" borderId="110" xfId="1" applyNumberFormat="1" applyFont="1" applyFill="1" applyBorder="1" applyAlignment="1" applyProtection="1">
      <alignment horizontal="center"/>
      <protection hidden="1"/>
    </xf>
    <xf numFmtId="9" fontId="35" fillId="11" borderId="24" xfId="1" applyNumberFormat="1" applyFont="1" applyFill="1" applyBorder="1" applyAlignment="1" applyProtection="1">
      <alignment horizontal="center"/>
      <protection hidden="1"/>
    </xf>
    <xf numFmtId="0" fontId="80" fillId="3" borderId="0" xfId="1" applyFont="1" applyFill="1" applyAlignment="1" applyProtection="1">
      <alignment horizontal="center" vertical="center"/>
      <protection hidden="1"/>
    </xf>
    <xf numFmtId="0" fontId="17" fillId="3" borderId="23" xfId="1" applyFont="1" applyFill="1" applyBorder="1" applyAlignment="1" applyProtection="1">
      <alignment horizontal="center" vertical="center"/>
      <protection hidden="1"/>
    </xf>
    <xf numFmtId="0" fontId="17" fillId="3" borderId="36" xfId="1" applyFont="1" applyFill="1" applyBorder="1" applyAlignment="1" applyProtection="1">
      <alignment horizontal="center" vertical="center"/>
      <protection hidden="1"/>
    </xf>
    <xf numFmtId="0" fontId="17" fillId="3" borderId="36" xfId="1" applyFont="1" applyFill="1" applyBorder="1" applyAlignment="1" applyProtection="1">
      <alignment horizontal="right" vertical="center"/>
      <protection hidden="1"/>
    </xf>
    <xf numFmtId="0" fontId="17" fillId="3" borderId="23" xfId="1" applyFont="1" applyFill="1" applyBorder="1" applyAlignment="1" applyProtection="1">
      <alignment horizontal="right" vertical="center"/>
      <protection hidden="1"/>
    </xf>
    <xf numFmtId="2" fontId="48" fillId="9" borderId="0" xfId="1" applyNumberFormat="1" applyFont="1" applyFill="1" applyProtection="1">
      <protection locked="0" hidden="1"/>
    </xf>
    <xf numFmtId="0" fontId="4" fillId="3" borderId="111" xfId="1" applyFont="1" applyFill="1" applyBorder="1" applyAlignment="1" applyProtection="1">
      <alignment horizontal="center" vertical="center" wrapText="1"/>
      <protection hidden="1"/>
    </xf>
    <xf numFmtId="0" fontId="4" fillId="3" borderId="112" xfId="1" applyFont="1" applyFill="1" applyBorder="1" applyAlignment="1" applyProtection="1">
      <alignment horizontal="center" vertical="center" wrapText="1"/>
      <protection hidden="1"/>
    </xf>
    <xf numFmtId="0" fontId="26" fillId="3" borderId="62" xfId="1" applyFont="1" applyFill="1" applyBorder="1" applyAlignment="1" applyProtection="1">
      <alignment horizontal="center" vertical="center" wrapText="1"/>
      <protection hidden="1"/>
    </xf>
    <xf numFmtId="0" fontId="4" fillId="3" borderId="62"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4" fillId="3" borderId="114" xfId="1" applyFont="1" applyFill="1" applyBorder="1" applyAlignment="1" applyProtection="1">
      <alignment horizontal="center" vertical="center" wrapText="1"/>
      <protection hidden="1"/>
    </xf>
    <xf numFmtId="0" fontId="4" fillId="3" borderId="115" xfId="1" applyFont="1" applyFill="1" applyBorder="1" applyAlignment="1" applyProtection="1">
      <alignment horizontal="center" vertical="center" wrapText="1"/>
      <protection hidden="1"/>
    </xf>
    <xf numFmtId="0" fontId="4" fillId="3" borderId="116" xfId="1" applyFont="1" applyFill="1" applyBorder="1" applyAlignment="1" applyProtection="1">
      <alignment horizontal="center" vertical="center" wrapText="1"/>
      <protection hidden="1"/>
    </xf>
    <xf numFmtId="0" fontId="4" fillId="3" borderId="11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4" fillId="3" borderId="119" xfId="1" applyFont="1" applyFill="1" applyBorder="1" applyAlignment="1" applyProtection="1">
      <alignment horizontal="center" vertical="center" wrapText="1"/>
      <protection hidden="1"/>
    </xf>
    <xf numFmtId="0" fontId="17" fillId="3" borderId="118" xfId="1" applyFont="1" applyFill="1" applyBorder="1" applyAlignment="1" applyProtection="1">
      <alignment horizontal="center" vertical="center" wrapText="1"/>
      <protection hidden="1"/>
    </xf>
    <xf numFmtId="0" fontId="17" fillId="3" borderId="119" xfId="1" applyFont="1" applyFill="1" applyBorder="1" applyAlignment="1" applyProtection="1">
      <alignment horizontal="center" vertical="center" wrapText="1"/>
      <protection hidden="1"/>
    </xf>
    <xf numFmtId="0" fontId="30" fillId="3" borderId="120" xfId="1" applyFont="1" applyFill="1" applyBorder="1" applyAlignment="1" applyProtection="1">
      <alignment horizontal="center" vertical="center"/>
      <protection hidden="1"/>
    </xf>
    <xf numFmtId="0" fontId="30" fillId="3" borderId="36" xfId="1" applyFont="1" applyFill="1" applyBorder="1" applyAlignment="1" applyProtection="1">
      <alignment horizontal="center" vertical="center"/>
      <protection hidden="1"/>
    </xf>
    <xf numFmtId="0" fontId="76" fillId="4" borderId="0" xfId="3" applyFont="1" applyFill="1" applyBorder="1" applyAlignment="1" applyProtection="1">
      <alignment vertical="center"/>
      <protection hidden="1"/>
    </xf>
    <xf numFmtId="0" fontId="17" fillId="4" borderId="121" xfId="1" applyFont="1" applyFill="1" applyBorder="1" applyProtection="1">
      <protection hidden="1"/>
    </xf>
    <xf numFmtId="0" fontId="17" fillId="4" borderId="122" xfId="1" applyFont="1" applyFill="1" applyBorder="1"/>
    <xf numFmtId="165" fontId="15" fillId="9" borderId="52" xfId="1" applyNumberFormat="1" applyFont="1" applyFill="1" applyBorder="1" applyProtection="1">
      <protection hidden="1"/>
    </xf>
    <xf numFmtId="165" fontId="15" fillId="0" borderId="1" xfId="1" applyNumberFormat="1" applyFont="1" applyBorder="1" applyProtection="1">
      <protection locked="0" hidden="1"/>
    </xf>
    <xf numFmtId="165" fontId="15" fillId="9" borderId="53" xfId="1" applyNumberFormat="1" applyFont="1" applyFill="1" applyBorder="1" applyProtection="1">
      <protection hidden="1"/>
    </xf>
    <xf numFmtId="165" fontId="15" fillId="0" borderId="1" xfId="1" applyNumberFormat="1" applyFont="1" applyBorder="1" applyProtection="1">
      <protection locked="0"/>
    </xf>
    <xf numFmtId="165" fontId="1" fillId="0" borderId="1" xfId="1" applyNumberFormat="1" applyFont="1" applyBorder="1" applyProtection="1">
      <protection locked="0" hidden="1"/>
    </xf>
    <xf numFmtId="165" fontId="1" fillId="9" borderId="53" xfId="1" applyNumberFormat="1" applyFont="1" applyFill="1" applyBorder="1" applyProtection="1">
      <protection hidden="1"/>
    </xf>
    <xf numFmtId="165" fontId="1" fillId="0" borderId="45" xfId="1" applyNumberFormat="1" applyFont="1" applyBorder="1" applyProtection="1">
      <protection locked="0" hidden="1"/>
    </xf>
    <xf numFmtId="165" fontId="1" fillId="9" borderId="54" xfId="1" applyNumberFormat="1" applyFont="1" applyFill="1" applyBorder="1" applyProtection="1">
      <protection hidden="1"/>
    </xf>
    <xf numFmtId="176" fontId="48" fillId="9" borderId="0" xfId="1" applyNumberFormat="1" applyFont="1" applyFill="1" applyProtection="1">
      <protection locked="0" hidden="1"/>
    </xf>
    <xf numFmtId="0" fontId="98" fillId="0" borderId="0" xfId="0" applyFont="1"/>
    <xf numFmtId="0" fontId="98" fillId="0" borderId="0" xfId="1" applyFont="1"/>
    <xf numFmtId="0" fontId="98" fillId="9" borderId="0" xfId="1" applyFont="1" applyFill="1"/>
    <xf numFmtId="0" fontId="98" fillId="9" borderId="0" xfId="1" applyFont="1" applyFill="1" applyProtection="1">
      <protection hidden="1"/>
    </xf>
    <xf numFmtId="0" fontId="32" fillId="3" borderId="72" xfId="1" applyFont="1" applyFill="1" applyBorder="1" applyAlignment="1" applyProtection="1">
      <alignment horizontal="center" vertical="center" wrapText="1"/>
      <protection hidden="1"/>
    </xf>
    <xf numFmtId="0" fontId="4" fillId="3" borderId="29" xfId="1" applyFont="1" applyFill="1" applyBorder="1" applyAlignment="1" applyProtection="1">
      <alignment horizontal="center" vertical="center" wrapText="1"/>
      <protection hidden="1"/>
    </xf>
    <xf numFmtId="0" fontId="17" fillId="3" borderId="24" xfId="1" applyFont="1" applyFill="1" applyBorder="1" applyAlignment="1">
      <alignment horizontal="center" vertical="center" wrapText="1"/>
    </xf>
    <xf numFmtId="0" fontId="17" fillId="3" borderId="123" xfId="1" applyFont="1" applyFill="1" applyBorder="1" applyAlignment="1">
      <alignment horizontal="center" vertical="center" wrapText="1"/>
    </xf>
    <xf numFmtId="0" fontId="17" fillId="3" borderId="124" xfId="1" applyFont="1" applyFill="1" applyBorder="1" applyAlignment="1">
      <alignment horizontal="center" vertical="center" wrapText="1"/>
    </xf>
    <xf numFmtId="165" fontId="44" fillId="4" borderId="125" xfId="1" applyNumberFormat="1" applyFont="1" applyFill="1" applyBorder="1" applyProtection="1">
      <protection locked="0" hidden="1"/>
    </xf>
    <xf numFmtId="1" fontId="10" fillId="0" borderId="126" xfId="1" applyNumberFormat="1" applyFont="1" applyBorder="1" applyProtection="1">
      <protection locked="0" hidden="1"/>
    </xf>
    <xf numFmtId="165" fontId="44" fillId="4" borderId="127" xfId="1" applyNumberFormat="1" applyFont="1" applyFill="1" applyBorder="1" applyProtection="1">
      <protection locked="0" hidden="1"/>
    </xf>
    <xf numFmtId="165" fontId="44" fillId="4" borderId="128" xfId="1" applyNumberFormat="1" applyFont="1" applyFill="1" applyBorder="1" applyProtection="1">
      <protection locked="0" hidden="1"/>
    </xf>
    <xf numFmtId="1" fontId="10" fillId="0" borderId="129" xfId="1" applyNumberFormat="1" applyFont="1" applyBorder="1" applyProtection="1">
      <protection locked="0" hidden="1"/>
    </xf>
    <xf numFmtId="165" fontId="44" fillId="4" borderId="130" xfId="1" applyNumberFormat="1" applyFont="1" applyFill="1" applyBorder="1" applyProtection="1">
      <protection locked="0" hidden="1"/>
    </xf>
    <xf numFmtId="1" fontId="10" fillId="0" borderId="131" xfId="1" applyNumberFormat="1" applyFont="1" applyBorder="1" applyProtection="1">
      <protection locked="0" hidden="1"/>
    </xf>
    <xf numFmtId="0" fontId="4" fillId="3" borderId="132" xfId="1" applyFont="1" applyFill="1" applyBorder="1" applyAlignment="1" applyProtection="1">
      <alignment horizontal="center" vertical="center" wrapText="1"/>
      <protection hidden="1"/>
    </xf>
    <xf numFmtId="0" fontId="17" fillId="3" borderId="133" xfId="1" applyFont="1" applyFill="1" applyBorder="1" applyAlignment="1">
      <alignment horizontal="center" vertical="center" wrapText="1"/>
    </xf>
    <xf numFmtId="0" fontId="27" fillId="9" borderId="91" xfId="1" applyFont="1" applyFill="1" applyBorder="1" applyAlignment="1">
      <alignment horizontal="center" vertical="center"/>
    </xf>
    <xf numFmtId="0" fontId="27" fillId="9" borderId="134" xfId="1" applyFont="1" applyFill="1" applyBorder="1" applyAlignment="1">
      <alignment horizontal="center" vertical="center"/>
    </xf>
    <xf numFmtId="0" fontId="23" fillId="9" borderId="135" xfId="1" applyFont="1" applyFill="1" applyBorder="1" applyAlignment="1">
      <alignment horizontal="center" vertical="center"/>
    </xf>
    <xf numFmtId="0" fontId="23" fillId="9" borderId="20" xfId="1" applyFont="1" applyFill="1" applyBorder="1" applyAlignment="1">
      <alignment horizontal="center" vertical="center"/>
    </xf>
    <xf numFmtId="0" fontId="23" fillId="9" borderId="19" xfId="1" applyFont="1" applyFill="1" applyBorder="1" applyAlignment="1">
      <alignment horizontal="center" vertical="center"/>
    </xf>
    <xf numFmtId="0" fontId="23" fillId="9" borderId="134" xfId="1" applyFont="1" applyFill="1" applyBorder="1" applyAlignment="1">
      <alignment horizontal="center" vertical="center"/>
    </xf>
    <xf numFmtId="0" fontId="23" fillId="9" borderId="18" xfId="1" applyFont="1" applyFill="1" applyBorder="1" applyAlignment="1">
      <alignment horizontal="center" vertical="center"/>
    </xf>
    <xf numFmtId="0" fontId="36" fillId="9" borderId="135" xfId="1" applyFont="1" applyFill="1" applyBorder="1" applyAlignment="1">
      <alignment horizontal="center" vertical="center"/>
    </xf>
    <xf numFmtId="0" fontId="36" fillId="9" borderId="20" xfId="1" applyFont="1" applyFill="1" applyBorder="1" applyAlignment="1">
      <alignment horizontal="center" vertical="center"/>
    </xf>
    <xf numFmtId="0" fontId="97" fillId="9" borderId="135" xfId="1" applyFont="1" applyFill="1" applyBorder="1"/>
    <xf numFmtId="0" fontId="97" fillId="9" borderId="20" xfId="1" applyFont="1" applyFill="1" applyBorder="1"/>
    <xf numFmtId="0" fontId="97" fillId="9" borderId="21" xfId="1" applyFont="1" applyFill="1" applyBorder="1"/>
    <xf numFmtId="0" fontId="36" fillId="9" borderId="0" xfId="1" applyFont="1" applyFill="1" applyAlignment="1">
      <alignment horizontal="center" vertical="center"/>
    </xf>
    <xf numFmtId="0" fontId="36" fillId="9" borderId="87" xfId="1" applyFont="1" applyFill="1" applyBorder="1" applyAlignment="1">
      <alignment horizontal="center" vertical="center"/>
    </xf>
    <xf numFmtId="0" fontId="97" fillId="9" borderId="0" xfId="1" applyFont="1" applyFill="1"/>
    <xf numFmtId="0" fontId="97" fillId="9" borderId="87" xfId="1" applyFont="1" applyFill="1" applyBorder="1"/>
    <xf numFmtId="0" fontId="97" fillId="9" borderId="22" xfId="1" applyFont="1" applyFill="1" applyBorder="1"/>
    <xf numFmtId="0" fontId="36" fillId="9" borderId="91" xfId="1" applyFont="1" applyFill="1" applyBorder="1" applyAlignment="1">
      <alignment horizontal="center" vertical="center"/>
    </xf>
    <xf numFmtId="0" fontId="36" fillId="9" borderId="136" xfId="1" applyFont="1" applyFill="1" applyBorder="1" applyAlignment="1">
      <alignment horizontal="center" vertical="center"/>
    </xf>
    <xf numFmtId="0" fontId="97" fillId="9" borderId="91" xfId="1" applyFont="1" applyFill="1" applyBorder="1"/>
    <xf numFmtId="0" fontId="97" fillId="9" borderId="136" xfId="1" applyFont="1" applyFill="1" applyBorder="1"/>
    <xf numFmtId="0" fontId="97" fillId="9" borderId="137" xfId="1" applyFont="1" applyFill="1" applyBorder="1"/>
    <xf numFmtId="0" fontId="0" fillId="9" borderId="0" xfId="0" applyFill="1"/>
    <xf numFmtId="0" fontId="0" fillId="4" borderId="0" xfId="2" applyFont="1" applyFill="1" applyProtection="1">
      <protection hidden="1"/>
    </xf>
    <xf numFmtId="0" fontId="0" fillId="9" borderId="0" xfId="2" applyFont="1" applyFill="1" applyProtection="1">
      <protection hidden="1"/>
    </xf>
    <xf numFmtId="0" fontId="10" fillId="9" borderId="0" xfId="2" applyFill="1" applyProtection="1">
      <protection hidden="1"/>
    </xf>
    <xf numFmtId="0" fontId="10" fillId="9" borderId="0" xfId="2" applyFill="1"/>
    <xf numFmtId="165" fontId="7" fillId="9" borderId="50" xfId="1" applyNumberFormat="1" applyFont="1" applyFill="1" applyBorder="1" applyProtection="1">
      <protection hidden="1"/>
    </xf>
    <xf numFmtId="165" fontId="7" fillId="9" borderId="138" xfId="1" applyNumberFormat="1" applyFont="1" applyFill="1" applyBorder="1" applyProtection="1">
      <protection hidden="1"/>
    </xf>
    <xf numFmtId="165" fontId="7" fillId="9" borderId="51" xfId="1" applyNumberFormat="1" applyFont="1" applyFill="1" applyBorder="1" applyProtection="1">
      <protection hidden="1"/>
    </xf>
    <xf numFmtId="165" fontId="7" fillId="9" borderId="139" xfId="1" applyNumberFormat="1" applyFont="1" applyFill="1" applyBorder="1" applyProtection="1">
      <protection hidden="1"/>
    </xf>
    <xf numFmtId="165" fontId="7" fillId="9" borderId="140" xfId="1" applyNumberFormat="1" applyFont="1" applyFill="1" applyBorder="1" applyProtection="1">
      <protection hidden="1"/>
    </xf>
    <xf numFmtId="165" fontId="7" fillId="9" borderId="141" xfId="1" applyNumberFormat="1" applyFont="1" applyFill="1" applyBorder="1" applyProtection="1">
      <protection hidden="1"/>
    </xf>
    <xf numFmtId="165" fontId="7" fillId="9" borderId="142" xfId="1" applyNumberFormat="1" applyFont="1" applyFill="1" applyBorder="1" applyProtection="1">
      <protection hidden="1"/>
    </xf>
    <xf numFmtId="0" fontId="48" fillId="9" borderId="129" xfId="1" applyFont="1" applyFill="1" applyBorder="1"/>
    <xf numFmtId="178" fontId="10" fillId="11" borderId="88" xfId="2" quotePrefix="1" applyNumberFormat="1" applyFill="1" applyBorder="1" applyAlignment="1" applyProtection="1">
      <alignment horizontal="center" vertical="center"/>
      <protection hidden="1"/>
    </xf>
    <xf numFmtId="0" fontId="99" fillId="9" borderId="0" xfId="1" applyFont="1" applyFill="1"/>
    <xf numFmtId="0" fontId="100" fillId="9" borderId="0" xfId="1" applyFont="1" applyFill="1" applyAlignment="1">
      <alignment horizontal="center" vertical="center" wrapText="1"/>
    </xf>
    <xf numFmtId="0" fontId="101" fillId="9" borderId="0" xfId="1" applyFont="1" applyFill="1" applyAlignment="1">
      <alignment horizontal="center" vertical="center" wrapText="1"/>
    </xf>
    <xf numFmtId="0" fontId="0" fillId="10" borderId="3" xfId="1" applyFont="1" applyFill="1" applyBorder="1"/>
    <xf numFmtId="0" fontId="10" fillId="10" borderId="3" xfId="1" applyFont="1" applyFill="1" applyBorder="1"/>
    <xf numFmtId="0" fontId="10" fillId="0" borderId="0" xfId="0" applyFont="1"/>
    <xf numFmtId="0" fontId="0" fillId="0" borderId="143" xfId="1" applyFont="1" applyBorder="1"/>
    <xf numFmtId="0" fontId="0" fillId="0" borderId="50" xfId="1" applyFont="1" applyBorder="1"/>
    <xf numFmtId="0" fontId="10" fillId="0" borderId="50" xfId="1" applyFont="1" applyBorder="1"/>
    <xf numFmtId="0" fontId="0" fillId="0" borderId="144" xfId="1" applyFont="1" applyBorder="1"/>
    <xf numFmtId="0" fontId="10" fillId="0" borderId="144" xfId="1" applyFont="1" applyBorder="1"/>
    <xf numFmtId="0" fontId="0" fillId="4" borderId="21" xfId="1" applyFont="1" applyFill="1" applyBorder="1"/>
    <xf numFmtId="0" fontId="0" fillId="0" borderId="57" xfId="1" applyFont="1" applyBorder="1"/>
    <xf numFmtId="0" fontId="0" fillId="0" borderId="145" xfId="1" applyFont="1" applyBorder="1"/>
    <xf numFmtId="0" fontId="0" fillId="0" borderId="6" xfId="0" applyBorder="1"/>
    <xf numFmtId="0" fontId="10" fillId="0" borderId="6" xfId="1" applyFont="1" applyBorder="1"/>
    <xf numFmtId="0" fontId="10" fillId="0" borderId="146" xfId="1" applyFont="1" applyBorder="1"/>
    <xf numFmtId="0" fontId="10" fillId="0" borderId="147" xfId="1" applyFont="1" applyBorder="1"/>
    <xf numFmtId="0" fontId="10" fillId="10" borderId="4" xfId="1" applyFont="1" applyFill="1" applyBorder="1"/>
    <xf numFmtId="0" fontId="0" fillId="0" borderId="7" xfId="0" applyBorder="1"/>
    <xf numFmtId="0" fontId="0" fillId="0" borderId="148" xfId="1" applyFont="1" applyBorder="1"/>
    <xf numFmtId="0" fontId="0" fillId="0" borderId="149" xfId="1" applyFont="1" applyBorder="1"/>
    <xf numFmtId="0" fontId="0" fillId="10" borderId="5" xfId="1" applyFont="1" applyFill="1" applyBorder="1"/>
    <xf numFmtId="0" fontId="11" fillId="0" borderId="10" xfId="1" applyFont="1" applyBorder="1"/>
    <xf numFmtId="0" fontId="0" fillId="0" borderId="150" xfId="1" applyFont="1" applyBorder="1"/>
    <xf numFmtId="0" fontId="0" fillId="0" borderId="105" xfId="1" applyFont="1" applyBorder="1"/>
    <xf numFmtId="0" fontId="7" fillId="0" borderId="0" xfId="1" applyFont="1" applyAlignment="1">
      <alignment wrapText="1"/>
    </xf>
    <xf numFmtId="173" fontId="17" fillId="3" borderId="19" xfId="1" applyNumberFormat="1" applyFont="1" applyFill="1" applyBorder="1" applyAlignment="1" applyProtection="1">
      <alignment horizontal="center" vertical="center"/>
      <protection hidden="1"/>
    </xf>
    <xf numFmtId="173" fontId="17" fillId="3" borderId="151" xfId="1" applyNumberFormat="1" applyFont="1" applyFill="1" applyBorder="1" applyAlignment="1" applyProtection="1">
      <alignment horizontal="center" vertical="center"/>
      <protection hidden="1"/>
    </xf>
    <xf numFmtId="173" fontId="17" fillId="3" borderId="135" xfId="1" applyNumberFormat="1" applyFont="1" applyFill="1" applyBorder="1" applyAlignment="1" applyProtection="1">
      <alignment horizontal="center" vertical="center"/>
      <protection hidden="1"/>
    </xf>
    <xf numFmtId="173" fontId="17" fillId="3" borderId="152" xfId="1" applyNumberFormat="1" applyFont="1" applyFill="1" applyBorder="1" applyAlignment="1" applyProtection="1">
      <alignment horizontal="center" vertical="center"/>
      <protection hidden="1"/>
    </xf>
    <xf numFmtId="173" fontId="30" fillId="3" borderId="152" xfId="1" applyNumberFormat="1" applyFont="1" applyFill="1" applyBorder="1" applyAlignment="1" applyProtection="1">
      <alignment horizontal="center" vertical="center"/>
      <protection hidden="1"/>
    </xf>
    <xf numFmtId="49" fontId="10" fillId="0" borderId="0" xfId="1" applyNumberFormat="1" applyFont="1"/>
    <xf numFmtId="2" fontId="90" fillId="9" borderId="0" xfId="1" applyNumberFormat="1" applyFont="1" applyFill="1" applyProtection="1">
      <protection hidden="1"/>
    </xf>
    <xf numFmtId="174" fontId="48" fillId="9" borderId="0" xfId="1" applyNumberFormat="1" applyFont="1" applyFill="1" applyProtection="1">
      <protection locked="0"/>
    </xf>
    <xf numFmtId="0" fontId="102" fillId="2" borderId="0" xfId="1" applyFont="1" applyFill="1"/>
    <xf numFmtId="0" fontId="7" fillId="0" borderId="4" xfId="0" applyFont="1" applyBorder="1"/>
    <xf numFmtId="0" fontId="7" fillId="0" borderId="3" xfId="0" applyFont="1" applyBorder="1"/>
    <xf numFmtId="0" fontId="7" fillId="0" borderId="5" xfId="0" applyFont="1" applyBorder="1"/>
    <xf numFmtId="0" fontId="7" fillId="0" borderId="6" xfId="0" applyFont="1" applyBorder="1"/>
    <xf numFmtId="0" fontId="7" fillId="0" borderId="0" xfId="0" applyFont="1"/>
    <xf numFmtId="0" fontId="7" fillId="0" borderId="7" xfId="0" applyFont="1" applyBorder="1"/>
    <xf numFmtId="0" fontId="0" fillId="0" borderId="8" xfId="0" applyBorder="1"/>
    <xf numFmtId="0" fontId="0" fillId="0" borderId="9" xfId="0" applyBorder="1"/>
    <xf numFmtId="0" fontId="0" fillId="0" borderId="10" xfId="0" applyBorder="1"/>
    <xf numFmtId="0" fontId="10" fillId="6" borderId="0" xfId="1" applyFont="1" applyFill="1" applyAlignment="1">
      <alignment horizontal="center" vertical="center" wrapText="1"/>
    </xf>
    <xf numFmtId="167" fontId="10" fillId="9" borderId="153" xfId="1" applyNumberFormat="1" applyFont="1" applyFill="1" applyBorder="1" applyProtection="1">
      <protection hidden="1"/>
    </xf>
    <xf numFmtId="167" fontId="10" fillId="9" borderId="45" xfId="1" applyNumberFormat="1" applyFont="1" applyFill="1" applyBorder="1" applyProtection="1">
      <protection hidden="1"/>
    </xf>
    <xf numFmtId="0" fontId="4" fillId="3" borderId="154" xfId="1" applyFont="1" applyFill="1" applyBorder="1" applyAlignment="1" applyProtection="1">
      <alignment horizontal="center" vertical="center" wrapText="1"/>
      <protection hidden="1"/>
    </xf>
    <xf numFmtId="167" fontId="10" fillId="9" borderId="50" xfId="1" applyNumberFormat="1" applyFont="1" applyFill="1" applyBorder="1" applyProtection="1">
      <protection hidden="1"/>
    </xf>
    <xf numFmtId="167" fontId="10" fillId="9" borderId="51" xfId="1" applyNumberFormat="1" applyFont="1" applyFill="1" applyBorder="1" applyProtection="1">
      <protection hidden="1"/>
    </xf>
    <xf numFmtId="165" fontId="15" fillId="12" borderId="44" xfId="1" applyNumberFormat="1" applyFont="1" applyFill="1" applyBorder="1" applyProtection="1">
      <protection locked="0"/>
    </xf>
    <xf numFmtId="0" fontId="4" fillId="3" borderId="155" xfId="1" applyFont="1" applyFill="1" applyBorder="1" applyAlignment="1" applyProtection="1">
      <alignment horizontal="center" vertical="center" wrapText="1"/>
      <protection hidden="1"/>
    </xf>
    <xf numFmtId="165" fontId="10" fillId="9" borderId="57" xfId="1" applyNumberFormat="1" applyFont="1" applyFill="1" applyBorder="1" applyProtection="1">
      <protection hidden="1"/>
    </xf>
    <xf numFmtId="165" fontId="10" fillId="9" borderId="51" xfId="1" applyNumberFormat="1" applyFont="1" applyFill="1" applyBorder="1" applyProtection="1">
      <protection hidden="1"/>
    </xf>
    <xf numFmtId="167" fontId="10" fillId="9" borderId="104" xfId="1" applyNumberFormat="1" applyFont="1" applyFill="1" applyBorder="1" applyProtection="1">
      <protection hidden="1"/>
    </xf>
    <xf numFmtId="167" fontId="10" fillId="9" borderId="156" xfId="1" applyNumberFormat="1" applyFont="1" applyFill="1" applyBorder="1" applyProtection="1">
      <protection hidden="1"/>
    </xf>
    <xf numFmtId="0" fontId="0" fillId="9" borderId="43" xfId="2" applyFont="1" applyFill="1" applyBorder="1" applyProtection="1">
      <protection hidden="1"/>
    </xf>
    <xf numFmtId="0" fontId="0" fillId="9" borderId="157" xfId="2" applyFont="1" applyFill="1" applyBorder="1" applyProtection="1">
      <protection hidden="1"/>
    </xf>
    <xf numFmtId="0" fontId="0" fillId="9" borderId="158" xfId="2" applyFont="1" applyFill="1" applyBorder="1" applyProtection="1">
      <protection hidden="1"/>
    </xf>
    <xf numFmtId="0" fontId="0" fillId="9" borderId="159" xfId="2" applyFont="1" applyFill="1" applyBorder="1" applyProtection="1">
      <protection hidden="1"/>
    </xf>
    <xf numFmtId="0" fontId="0" fillId="9" borderId="82" xfId="2" applyFont="1" applyFill="1" applyBorder="1" applyProtection="1">
      <protection hidden="1"/>
    </xf>
    <xf numFmtId="0" fontId="0" fillId="9" borderId="160" xfId="2" applyFont="1" applyFill="1" applyBorder="1" applyProtection="1">
      <protection hidden="1"/>
    </xf>
    <xf numFmtId="0" fontId="0" fillId="0" borderId="19" xfId="1" applyFont="1" applyBorder="1"/>
    <xf numFmtId="0" fontId="0" fillId="0" borderId="2" xfId="1" applyFont="1" applyBorder="1"/>
    <xf numFmtId="0" fontId="0" fillId="0" borderId="75" xfId="1" applyFont="1" applyBorder="1"/>
    <xf numFmtId="0" fontId="0" fillId="0" borderId="161" xfId="1" applyFont="1" applyBorder="1"/>
    <xf numFmtId="0" fontId="10" fillId="0" borderId="162" xfId="1" applyFont="1" applyBorder="1"/>
    <xf numFmtId="0" fontId="0" fillId="0" borderId="163" xfId="1" applyFont="1" applyBorder="1"/>
    <xf numFmtId="0" fontId="0" fillId="0" borderId="104" xfId="1" applyFont="1" applyBorder="1"/>
    <xf numFmtId="0" fontId="10" fillId="0" borderId="75" xfId="1" applyFont="1" applyBorder="1"/>
    <xf numFmtId="0" fontId="0" fillId="10" borderId="164" xfId="1" applyFont="1" applyFill="1" applyBorder="1"/>
    <xf numFmtId="0" fontId="0" fillId="10" borderId="165" xfId="1" applyFont="1" applyFill="1" applyBorder="1"/>
    <xf numFmtId="0" fontId="10" fillId="10" borderId="166" xfId="1" applyFont="1" applyFill="1" applyBorder="1"/>
    <xf numFmtId="0" fontId="0" fillId="10" borderId="167" xfId="1" applyFont="1" applyFill="1" applyBorder="1"/>
    <xf numFmtId="0" fontId="10" fillId="10" borderId="168" xfId="1" applyFont="1" applyFill="1" applyBorder="1"/>
    <xf numFmtId="0" fontId="0" fillId="10" borderId="168" xfId="1" applyFont="1" applyFill="1" applyBorder="1"/>
    <xf numFmtId="0" fontId="0" fillId="10" borderId="3" xfId="0" applyFill="1" applyBorder="1"/>
    <xf numFmtId="0" fontId="0" fillId="4" borderId="137" xfId="1" applyFont="1" applyFill="1" applyBorder="1"/>
    <xf numFmtId="0" fontId="0" fillId="4" borderId="169" xfId="1" applyFont="1" applyFill="1" applyBorder="1"/>
    <xf numFmtId="0" fontId="0" fillId="10" borderId="170" xfId="1" applyFont="1" applyFill="1" applyBorder="1"/>
    <xf numFmtId="0" fontId="0" fillId="10" borderId="171" xfId="1" applyFont="1" applyFill="1" applyBorder="1"/>
    <xf numFmtId="0" fontId="98" fillId="9" borderId="0" xfId="1" applyFont="1" applyFill="1" applyProtection="1">
      <protection locked="0" hidden="1"/>
    </xf>
    <xf numFmtId="165" fontId="67" fillId="3" borderId="77" xfId="1" applyNumberFormat="1" applyFont="1" applyFill="1" applyBorder="1" applyProtection="1">
      <protection hidden="1"/>
    </xf>
    <xf numFmtId="0" fontId="10" fillId="3" borderId="134" xfId="1" applyFont="1" applyFill="1" applyBorder="1"/>
    <xf numFmtId="165" fontId="68" fillId="3" borderId="77" xfId="1" applyNumberFormat="1" applyFont="1" applyFill="1" applyBorder="1" applyProtection="1">
      <protection hidden="1"/>
    </xf>
    <xf numFmtId="165" fontId="68" fillId="3" borderId="172" xfId="1" applyNumberFormat="1" applyFont="1" applyFill="1" applyBorder="1" applyProtection="1">
      <protection hidden="1"/>
    </xf>
    <xf numFmtId="0" fontId="10" fillId="3" borderId="152" xfId="1" applyFont="1" applyFill="1" applyBorder="1"/>
    <xf numFmtId="0" fontId="66" fillId="9" borderId="173" xfId="2" applyFont="1" applyFill="1" applyBorder="1" applyAlignment="1">
      <alignment horizontal="center" vertical="center"/>
    </xf>
    <xf numFmtId="174" fontId="10" fillId="0" borderId="91" xfId="2" applyNumberFormat="1" applyBorder="1" applyAlignment="1" applyProtection="1">
      <alignment horizontal="center" vertical="center"/>
      <protection locked="0" hidden="1"/>
    </xf>
    <xf numFmtId="0" fontId="0" fillId="0" borderId="22" xfId="2" applyFont="1" applyBorder="1" applyAlignment="1">
      <alignment horizontal="right" vertical="center" wrapText="1"/>
    </xf>
    <xf numFmtId="0" fontId="0" fillId="0" borderId="0" xfId="2" applyFont="1"/>
    <xf numFmtId="0" fontId="27" fillId="3" borderId="154" xfId="2" applyFont="1" applyFill="1" applyBorder="1" applyAlignment="1" applyProtection="1">
      <alignment horizontal="center" vertical="center" wrapText="1"/>
      <protection hidden="1"/>
    </xf>
    <xf numFmtId="0" fontId="27" fillId="3" borderId="72" xfId="2" applyFont="1" applyFill="1" applyBorder="1" applyAlignment="1" applyProtection="1">
      <alignment horizontal="center" vertical="center" wrapText="1"/>
      <protection hidden="1"/>
    </xf>
    <xf numFmtId="0" fontId="32" fillId="3" borderId="174" xfId="1" applyFont="1" applyFill="1" applyBorder="1" applyAlignment="1" applyProtection="1">
      <alignment horizontal="center" vertical="center"/>
      <protection locked="0" hidden="1"/>
    </xf>
    <xf numFmtId="0" fontId="32" fillId="3" borderId="175" xfId="1" applyFont="1" applyFill="1" applyBorder="1" applyAlignment="1" applyProtection="1">
      <alignment horizontal="center" vertical="center"/>
      <protection locked="0" hidden="1"/>
    </xf>
    <xf numFmtId="0" fontId="32" fillId="3" borderId="77" xfId="1" applyFont="1" applyFill="1" applyBorder="1" applyAlignment="1" applyProtection="1">
      <alignment horizontal="center" vertical="center"/>
      <protection locked="0" hidden="1"/>
    </xf>
    <xf numFmtId="0" fontId="32" fillId="3" borderId="18" xfId="1" applyFont="1" applyFill="1" applyBorder="1" applyAlignment="1" applyProtection="1">
      <alignment horizontal="center" vertical="center"/>
      <protection locked="0" hidden="1"/>
    </xf>
    <xf numFmtId="0" fontId="27" fillId="3" borderId="70" xfId="2" applyFont="1" applyFill="1" applyBorder="1" applyAlignment="1">
      <alignment horizontal="center" vertical="center"/>
    </xf>
    <xf numFmtId="0" fontId="27" fillId="3" borderId="43" xfId="2" applyFont="1" applyFill="1" applyBorder="1" applyAlignment="1">
      <alignment horizontal="center" vertical="center"/>
    </xf>
    <xf numFmtId="0" fontId="27" fillId="3" borderId="72" xfId="2" applyFont="1" applyFill="1" applyBorder="1" applyAlignment="1">
      <alignment horizontal="center" vertical="center"/>
    </xf>
    <xf numFmtId="0" fontId="4" fillId="3" borderId="176" xfId="2" applyFont="1" applyFill="1" applyBorder="1" applyAlignment="1" applyProtection="1">
      <alignment horizontal="right" vertical="center" wrapText="1" indent="1"/>
      <protection hidden="1"/>
    </xf>
    <xf numFmtId="0" fontId="4" fillId="3" borderId="177" xfId="2" applyFont="1" applyFill="1" applyBorder="1" applyAlignment="1" applyProtection="1">
      <alignment horizontal="right" vertical="center" wrapText="1" indent="1"/>
      <protection hidden="1"/>
    </xf>
    <xf numFmtId="0" fontId="27" fillId="3" borderId="70" xfId="2" applyFont="1" applyFill="1" applyBorder="1" applyAlignment="1" applyProtection="1">
      <alignment horizontal="center" vertical="center" wrapText="1"/>
      <protection hidden="1"/>
    </xf>
    <xf numFmtId="0" fontId="10" fillId="0" borderId="43" xfId="1" applyFont="1" applyBorder="1"/>
    <xf numFmtId="0" fontId="10" fillId="0" borderId="86" xfId="1" applyFont="1" applyBorder="1"/>
    <xf numFmtId="0" fontId="1" fillId="9" borderId="178" xfId="1" applyFont="1" applyFill="1" applyBorder="1" applyAlignment="1" applyProtection="1">
      <alignment vertical="center"/>
      <protection hidden="1"/>
    </xf>
    <xf numFmtId="0" fontId="10" fillId="0" borderId="179" xfId="1" applyFont="1" applyBorder="1" applyAlignment="1" applyProtection="1">
      <alignment vertical="center"/>
      <protection hidden="1"/>
    </xf>
    <xf numFmtId="0" fontId="10" fillId="0" borderId="41" xfId="1" applyFont="1" applyBorder="1" applyAlignment="1" applyProtection="1">
      <alignment vertical="center"/>
      <protection hidden="1"/>
    </xf>
    <xf numFmtId="174" fontId="1" fillId="0" borderId="0" xfId="1" applyNumberFormat="1" applyFont="1" applyProtection="1">
      <protection locked="0"/>
    </xf>
    <xf numFmtId="174" fontId="10" fillId="0" borderId="0" xfId="1" applyNumberFormat="1" applyFont="1"/>
    <xf numFmtId="174" fontId="10" fillId="0" borderId="29" xfId="1" applyNumberFormat="1" applyFont="1" applyBorder="1"/>
    <xf numFmtId="0" fontId="21" fillId="0" borderId="9" xfId="1" applyFont="1" applyBorder="1" applyAlignment="1">
      <alignment horizontal="left" vertical="top"/>
    </xf>
    <xf numFmtId="0" fontId="0" fillId="0" borderId="9" xfId="1" applyFont="1" applyBorder="1" applyAlignment="1">
      <alignment horizontal="left" vertical="top"/>
    </xf>
    <xf numFmtId="0" fontId="28" fillId="3" borderId="42" xfId="1" applyFont="1" applyFill="1" applyBorder="1" applyAlignment="1" applyProtection="1">
      <alignment horizontal="center" vertical="center"/>
      <protection hidden="1"/>
    </xf>
    <xf numFmtId="0" fontId="28" fillId="3" borderId="95" xfId="1" applyFont="1" applyFill="1" applyBorder="1" applyAlignment="1" applyProtection="1">
      <alignment horizontal="center" vertical="center"/>
      <protection hidden="1"/>
    </xf>
    <xf numFmtId="0" fontId="28" fillId="3" borderId="180" xfId="1" applyFont="1" applyFill="1" applyBorder="1" applyAlignment="1">
      <alignment horizontal="center" vertical="center"/>
    </xf>
    <xf numFmtId="0" fontId="8" fillId="4" borderId="6" xfId="1" applyFont="1" applyFill="1" applyBorder="1" applyAlignment="1">
      <alignment horizontal="right" vertical="center"/>
    </xf>
    <xf numFmtId="0" fontId="0" fillId="0" borderId="8" xfId="1" applyFont="1" applyBorder="1"/>
    <xf numFmtId="0" fontId="21" fillId="4" borderId="9" xfId="1" applyFont="1" applyFill="1" applyBorder="1" applyAlignment="1">
      <alignment horizontal="center" vertical="top"/>
    </xf>
    <xf numFmtId="0" fontId="1" fillId="0" borderId="181" xfId="1" applyFont="1" applyBorder="1" applyProtection="1">
      <protection locked="0"/>
    </xf>
    <xf numFmtId="0" fontId="1" fillId="0" borderId="88" xfId="1" applyFont="1" applyBorder="1" applyProtection="1">
      <protection locked="0"/>
    </xf>
    <xf numFmtId="0" fontId="21" fillId="4" borderId="0" xfId="1" applyFont="1" applyFill="1" applyAlignment="1">
      <alignment horizontal="center" vertical="center"/>
    </xf>
    <xf numFmtId="0" fontId="81" fillId="9" borderId="0" xfId="1" applyFont="1" applyFill="1" applyAlignment="1">
      <alignment horizontal="left" vertical="center"/>
    </xf>
    <xf numFmtId="0" fontId="82" fillId="9" borderId="0" xfId="1" applyFont="1" applyFill="1" applyAlignment="1" applyProtection="1">
      <alignment horizontal="center" vertical="center" wrapText="1"/>
      <protection hidden="1"/>
    </xf>
    <xf numFmtId="0" fontId="82" fillId="9" borderId="0" xfId="1" applyFont="1" applyFill="1"/>
    <xf numFmtId="0" fontId="81" fillId="9" borderId="0" xfId="1" applyFont="1" applyFill="1" applyAlignment="1">
      <alignment horizontal="left" vertical="center" indent="1"/>
    </xf>
    <xf numFmtId="0" fontId="62" fillId="3" borderId="70" xfId="1" applyFont="1" applyFill="1" applyBorder="1" applyAlignment="1" applyProtection="1">
      <alignment horizontal="center" vertical="center"/>
      <protection hidden="1"/>
    </xf>
    <xf numFmtId="0" fontId="62" fillId="3" borderId="39" xfId="1" applyFont="1" applyFill="1" applyBorder="1" applyAlignment="1" applyProtection="1">
      <alignment horizontal="center"/>
      <protection hidden="1"/>
    </xf>
    <xf numFmtId="0" fontId="62" fillId="3" borderId="71" xfId="1" applyFont="1" applyFill="1" applyBorder="1" applyAlignment="1" applyProtection="1">
      <alignment horizontal="center"/>
      <protection hidden="1"/>
    </xf>
    <xf numFmtId="0" fontId="6" fillId="9" borderId="0" xfId="3" applyFill="1" applyBorder="1" applyAlignment="1" applyProtection="1">
      <alignment horizontal="left"/>
    </xf>
    <xf numFmtId="0" fontId="10" fillId="0" borderId="0" xfId="0" applyFont="1"/>
    <xf numFmtId="0" fontId="69" fillId="9" borderId="0" xfId="1" applyFont="1" applyFill="1" applyAlignment="1">
      <alignment horizontal="center" vertical="center"/>
    </xf>
    <xf numFmtId="0" fontId="6" fillId="9" borderId="0" xfId="3" applyFill="1" applyBorder="1" applyAlignment="1" applyProtection="1">
      <alignment horizontal="left" vertical="center"/>
    </xf>
    <xf numFmtId="0" fontId="6" fillId="0" borderId="0" xfId="3" applyAlignment="1" applyProtection="1">
      <alignment horizontal="left"/>
    </xf>
    <xf numFmtId="0" fontId="32" fillId="3" borderId="186" xfId="2" applyFont="1" applyFill="1" applyBorder="1" applyAlignment="1" applyProtection="1">
      <alignment horizontal="center" vertical="center" wrapText="1"/>
      <protection hidden="1"/>
    </xf>
    <xf numFmtId="0" fontId="32" fillId="3" borderId="135" xfId="2" applyFont="1" applyFill="1" applyBorder="1" applyAlignment="1" applyProtection="1">
      <alignment horizontal="center" vertical="center" wrapText="1"/>
      <protection hidden="1"/>
    </xf>
    <xf numFmtId="0" fontId="32" fillId="3" borderId="187" xfId="2" applyFont="1" applyFill="1" applyBorder="1" applyAlignment="1" applyProtection="1">
      <alignment horizontal="center" vertical="center" wrapText="1"/>
      <protection hidden="1"/>
    </xf>
    <xf numFmtId="0" fontId="32" fillId="3" borderId="91" xfId="2" applyFont="1" applyFill="1" applyBorder="1" applyAlignment="1" applyProtection="1">
      <alignment horizontal="center" vertical="center" wrapText="1"/>
      <protection hidden="1"/>
    </xf>
    <xf numFmtId="0" fontId="70" fillId="3" borderId="188" xfId="1" applyFont="1" applyFill="1" applyBorder="1" applyAlignment="1" applyProtection="1">
      <alignment horizontal="center" vertical="center" wrapText="1"/>
      <protection hidden="1"/>
    </xf>
    <xf numFmtId="0" fontId="71" fillId="3" borderId="189" xfId="1" applyFont="1" applyFill="1" applyBorder="1" applyAlignment="1">
      <alignment horizontal="center" wrapText="1"/>
    </xf>
    <xf numFmtId="0" fontId="71" fillId="3" borderId="189" xfId="1" applyFont="1" applyFill="1" applyBorder="1"/>
    <xf numFmtId="0" fontId="62" fillId="3" borderId="71" xfId="1" applyFont="1" applyFill="1" applyBorder="1" applyAlignment="1" applyProtection="1">
      <alignment horizontal="center" vertical="center"/>
      <protection hidden="1"/>
    </xf>
    <xf numFmtId="176" fontId="1" fillId="0" borderId="116" xfId="1" applyNumberFormat="1" applyFont="1" applyBorder="1" applyAlignment="1" applyProtection="1">
      <alignment horizontal="right"/>
      <protection locked="0" hidden="1"/>
    </xf>
    <xf numFmtId="0" fontId="1" fillId="0" borderId="27" xfId="1" applyFont="1" applyBorder="1"/>
    <xf numFmtId="0" fontId="1" fillId="0" borderId="24" xfId="1" applyFont="1" applyBorder="1"/>
    <xf numFmtId="174" fontId="73" fillId="11" borderId="181" xfId="1" applyNumberFormat="1" applyFont="1" applyFill="1" applyBorder="1" applyAlignment="1" applyProtection="1">
      <alignment horizontal="center" vertical="center"/>
      <protection hidden="1"/>
    </xf>
    <xf numFmtId="174" fontId="74" fillId="11" borderId="88" xfId="1" applyNumberFormat="1" applyFont="1" applyFill="1" applyBorder="1" applyAlignment="1" applyProtection="1">
      <alignment horizontal="center" vertical="center"/>
      <protection hidden="1"/>
    </xf>
    <xf numFmtId="0" fontId="62" fillId="3" borderId="70" xfId="1" applyFont="1" applyFill="1" applyBorder="1" applyAlignment="1">
      <alignment horizontal="center" vertical="center"/>
    </xf>
    <xf numFmtId="0" fontId="62" fillId="3" borderId="43" xfId="1" applyFont="1" applyFill="1" applyBorder="1" applyAlignment="1">
      <alignment horizontal="center" vertical="center"/>
    </xf>
    <xf numFmtId="0" fontId="62" fillId="3" borderId="72" xfId="1" applyFont="1" applyFill="1" applyBorder="1" applyAlignment="1">
      <alignment horizontal="center" vertical="center"/>
    </xf>
    <xf numFmtId="177" fontId="72" fillId="11" borderId="0" xfId="2" applyNumberFormat="1" applyFont="1" applyFill="1" applyAlignment="1" applyProtection="1">
      <alignment horizontal="center" vertical="center"/>
      <protection hidden="1"/>
    </xf>
    <xf numFmtId="177" fontId="72" fillId="11" borderId="191" xfId="2" applyNumberFormat="1" applyFont="1" applyFill="1" applyBorder="1" applyAlignment="1" applyProtection="1">
      <alignment horizontal="center" vertical="center"/>
      <protection hidden="1"/>
    </xf>
    <xf numFmtId="177" fontId="72" fillId="11" borderId="192" xfId="2" applyNumberFormat="1" applyFont="1" applyFill="1" applyBorder="1" applyAlignment="1" applyProtection="1">
      <alignment horizontal="center" vertical="center"/>
      <protection hidden="1"/>
    </xf>
    <xf numFmtId="177" fontId="72" fillId="11" borderId="107" xfId="2" applyNumberFormat="1" applyFont="1" applyFill="1" applyBorder="1" applyAlignment="1" applyProtection="1">
      <alignment horizontal="center" vertical="center"/>
      <protection hidden="1"/>
    </xf>
    <xf numFmtId="0" fontId="4" fillId="3" borderId="193" xfId="2" applyFont="1" applyFill="1" applyBorder="1" applyAlignment="1" applyProtection="1">
      <alignment horizontal="left" vertical="center" wrapText="1"/>
      <protection hidden="1"/>
    </xf>
    <xf numFmtId="0" fontId="4" fillId="3" borderId="134" xfId="2" applyFont="1" applyFill="1" applyBorder="1" applyAlignment="1" applyProtection="1">
      <alignment horizontal="left" vertical="center" wrapText="1"/>
      <protection hidden="1"/>
    </xf>
    <xf numFmtId="175" fontId="1" fillId="0" borderId="22" xfId="1" applyNumberFormat="1" applyFont="1" applyBorder="1" applyProtection="1">
      <protection locked="0"/>
    </xf>
    <xf numFmtId="175" fontId="10" fillId="0" borderId="0" xfId="1" applyNumberFormat="1" applyFont="1"/>
    <xf numFmtId="175" fontId="10" fillId="0" borderId="29" xfId="1" applyNumberFormat="1" applyFont="1" applyBorder="1"/>
    <xf numFmtId="0" fontId="6" fillId="9" borderId="0" xfId="3" applyFill="1" applyAlignment="1" applyProtection="1">
      <alignment horizontal="right"/>
    </xf>
    <xf numFmtId="0" fontId="6" fillId="0" borderId="0" xfId="3" applyAlignment="1" applyProtection="1"/>
    <xf numFmtId="0" fontId="61" fillId="9" borderId="0" xfId="3" applyFont="1" applyFill="1" applyBorder="1" applyAlignment="1" applyProtection="1">
      <alignment vertical="center"/>
    </xf>
    <xf numFmtId="0" fontId="75" fillId="4" borderId="43" xfId="1" applyFont="1" applyFill="1" applyBorder="1" applyAlignment="1" applyProtection="1">
      <alignment vertical="center"/>
      <protection hidden="1"/>
    </xf>
    <xf numFmtId="0" fontId="75" fillId="4" borderId="43" xfId="1" applyFont="1" applyFill="1" applyBorder="1" applyProtection="1">
      <protection hidden="1"/>
    </xf>
    <xf numFmtId="0" fontId="75" fillId="4" borderId="72" xfId="1" applyFont="1" applyFill="1" applyBorder="1" applyProtection="1">
      <protection hidden="1"/>
    </xf>
    <xf numFmtId="0" fontId="59" fillId="3" borderId="182" xfId="1" applyFont="1" applyFill="1" applyBorder="1" applyAlignment="1" applyProtection="1">
      <alignment horizontal="left" vertical="center" wrapText="1"/>
      <protection hidden="1"/>
    </xf>
    <xf numFmtId="0" fontId="10" fillId="3" borderId="183" xfId="1" applyFont="1" applyFill="1" applyBorder="1" applyAlignment="1">
      <alignment horizontal="left" vertical="center" wrapText="1"/>
    </xf>
    <xf numFmtId="0" fontId="10" fillId="0" borderId="184" xfId="1" applyFont="1" applyBorder="1" applyAlignment="1">
      <alignment horizontal="left"/>
    </xf>
    <xf numFmtId="165" fontId="1" fillId="0" borderId="185" xfId="1" applyNumberFormat="1" applyFont="1" applyBorder="1" applyAlignment="1" applyProtection="1">
      <alignment horizontal="center" vertical="center"/>
      <protection locked="0"/>
    </xf>
    <xf numFmtId="0" fontId="0" fillId="0" borderId="14" xfId="1" applyFont="1" applyBorder="1" applyAlignment="1">
      <alignment vertical="center"/>
    </xf>
    <xf numFmtId="0" fontId="0" fillId="0" borderId="15" xfId="1" applyFont="1" applyBorder="1" applyAlignment="1">
      <alignment vertical="center"/>
    </xf>
    <xf numFmtId="0" fontId="76" fillId="4" borderId="0" xfId="3" applyFont="1" applyFill="1" applyBorder="1" applyAlignment="1" applyProtection="1">
      <alignment vertical="center"/>
      <protection hidden="1"/>
    </xf>
    <xf numFmtId="0" fontId="10" fillId="0" borderId="43" xfId="1" applyFont="1" applyBorder="1" applyAlignment="1" applyProtection="1">
      <alignment vertical="top"/>
      <protection locked="0"/>
    </xf>
    <xf numFmtId="0" fontId="10" fillId="0" borderId="72" xfId="1" applyFont="1" applyBorder="1" applyAlignment="1" applyProtection="1">
      <alignment vertical="top"/>
      <protection locked="0"/>
    </xf>
    <xf numFmtId="0" fontId="10" fillId="0" borderId="27" xfId="1" applyFont="1" applyBorder="1" applyAlignment="1" applyProtection="1">
      <alignment vertical="top"/>
      <protection locked="0"/>
    </xf>
    <xf numFmtId="0" fontId="10" fillId="0" borderId="24" xfId="1" applyFont="1" applyBorder="1" applyAlignment="1" applyProtection="1">
      <alignment vertical="top"/>
      <protection locked="0"/>
    </xf>
    <xf numFmtId="176" fontId="1" fillId="9" borderId="190" xfId="1" applyNumberFormat="1" applyFont="1" applyFill="1" applyBorder="1" applyProtection="1">
      <protection hidden="1"/>
    </xf>
    <xf numFmtId="176" fontId="10" fillId="0" borderId="107" xfId="1" applyNumberFormat="1" applyFont="1" applyBorder="1" applyProtection="1">
      <protection hidden="1"/>
    </xf>
    <xf numFmtId="167" fontId="52" fillId="9" borderId="0" xfId="1" applyNumberFormat="1" applyFont="1" applyFill="1" applyProtection="1">
      <protection hidden="1"/>
    </xf>
    <xf numFmtId="0" fontId="48" fillId="9" borderId="0" xfId="1" applyFont="1" applyFill="1"/>
    <xf numFmtId="0" fontId="17" fillId="4" borderId="0" xfId="1" applyFont="1" applyFill="1" applyProtection="1">
      <protection hidden="1"/>
    </xf>
    <xf numFmtId="0" fontId="10" fillId="4" borderId="27" xfId="1" applyFont="1" applyFill="1" applyBorder="1"/>
    <xf numFmtId="0" fontId="10" fillId="4" borderId="24" xfId="1" applyFont="1" applyFill="1" applyBorder="1"/>
    <xf numFmtId="0" fontId="15" fillId="0" borderId="39" xfId="1" applyFont="1" applyBorder="1" applyProtection="1">
      <protection locked="0"/>
    </xf>
    <xf numFmtId="0" fontId="0" fillId="0" borderId="0" xfId="1" applyFont="1" applyProtection="1">
      <protection locked="0"/>
    </xf>
    <xf numFmtId="0" fontId="4" fillId="3" borderId="194" xfId="1" applyFont="1" applyFill="1" applyBorder="1" applyAlignment="1" applyProtection="1">
      <alignment horizontal="center" vertical="center" wrapText="1"/>
      <protection hidden="1"/>
    </xf>
    <xf numFmtId="0" fontId="4" fillId="3" borderId="111" xfId="1" applyFont="1" applyFill="1" applyBorder="1" applyAlignment="1" applyProtection="1">
      <alignment horizontal="center" vertical="center" wrapText="1"/>
      <protection hidden="1"/>
    </xf>
    <xf numFmtId="0" fontId="10" fillId="0" borderId="39" xfId="1" applyFont="1" applyBorder="1" applyProtection="1">
      <protection locked="0"/>
    </xf>
    <xf numFmtId="0" fontId="15" fillId="0" borderId="71" xfId="1" applyFont="1" applyBorder="1" applyProtection="1">
      <protection locked="0"/>
    </xf>
    <xf numFmtId="0" fontId="15" fillId="0" borderId="27" xfId="1" applyFont="1" applyBorder="1" applyProtection="1">
      <protection locked="0"/>
    </xf>
    <xf numFmtId="0" fontId="55" fillId="9" borderId="71" xfId="1" applyFont="1" applyFill="1" applyBorder="1" applyAlignment="1" applyProtection="1">
      <alignment horizontal="center" vertical="center"/>
      <protection hidden="1"/>
    </xf>
    <xf numFmtId="0" fontId="55" fillId="9" borderId="179" xfId="1" applyFont="1" applyFill="1" applyBorder="1" applyAlignment="1" applyProtection="1">
      <alignment horizontal="center" vertical="center"/>
      <protection hidden="1"/>
    </xf>
    <xf numFmtId="0" fontId="55" fillId="9" borderId="41" xfId="1" applyFont="1" applyFill="1" applyBorder="1" applyAlignment="1" applyProtection="1">
      <alignment horizontal="center" vertical="center"/>
      <protection hidden="1"/>
    </xf>
    <xf numFmtId="0" fontId="38" fillId="2" borderId="0" xfId="1" applyFont="1" applyFill="1" applyAlignment="1" applyProtection="1">
      <alignment horizontal="center" vertical="center"/>
      <protection hidden="1"/>
    </xf>
    <xf numFmtId="0" fontId="32" fillId="3" borderId="70" xfId="1" applyFont="1" applyFill="1" applyBorder="1" applyAlignment="1" applyProtection="1">
      <alignment horizontal="center" vertical="center"/>
      <protection hidden="1"/>
    </xf>
    <xf numFmtId="0" fontId="32" fillId="3" borderId="43" xfId="1" applyFont="1" applyFill="1" applyBorder="1" applyAlignment="1" applyProtection="1">
      <alignment horizontal="center" vertical="center"/>
      <protection hidden="1"/>
    </xf>
    <xf numFmtId="0" fontId="15" fillId="3" borderId="72" xfId="1" applyFont="1" applyFill="1" applyBorder="1" applyAlignment="1" applyProtection="1">
      <alignment horizontal="center" vertical="center"/>
      <protection hidden="1"/>
    </xf>
    <xf numFmtId="0" fontId="32" fillId="3" borderId="42" xfId="1" applyFont="1" applyFill="1" applyBorder="1" applyAlignment="1" applyProtection="1">
      <alignment horizontal="center" vertical="center"/>
      <protection hidden="1"/>
    </xf>
    <xf numFmtId="0" fontId="32" fillId="3" borderId="95" xfId="1" applyFont="1" applyFill="1" applyBorder="1" applyAlignment="1" applyProtection="1">
      <alignment horizontal="center" vertical="center"/>
      <protection hidden="1"/>
    </xf>
    <xf numFmtId="0" fontId="0" fillId="0" borderId="180" xfId="1" applyFont="1" applyBorder="1" applyAlignment="1">
      <alignment horizontal="center" vertical="center"/>
    </xf>
    <xf numFmtId="164" fontId="15" fillId="9" borderId="0" xfId="1" applyNumberFormat="1" applyFont="1" applyFill="1" applyAlignment="1" applyProtection="1">
      <alignment horizontal="center"/>
      <protection hidden="1"/>
    </xf>
    <xf numFmtId="0" fontId="15" fillId="9" borderId="0" xfId="1" applyFont="1" applyFill="1" applyAlignment="1" applyProtection="1">
      <alignment horizontal="center"/>
      <protection hidden="1"/>
    </xf>
    <xf numFmtId="0" fontId="4" fillId="9" borderId="0" xfId="1" applyFont="1" applyFill="1" applyAlignment="1" applyProtection="1">
      <alignment horizontal="center" vertical="center" wrapText="1"/>
      <protection hidden="1"/>
    </xf>
    <xf numFmtId="0" fontId="30" fillId="3" borderId="77" xfId="1" applyFont="1" applyFill="1" applyBorder="1" applyAlignment="1" applyProtection="1">
      <alignment horizontal="left" vertical="center"/>
      <protection hidden="1"/>
    </xf>
    <xf numFmtId="0" fontId="30" fillId="3" borderId="134" xfId="1" applyFont="1" applyFill="1" applyBorder="1" applyAlignment="1" applyProtection="1">
      <alignment horizontal="left" vertical="center"/>
      <protection hidden="1"/>
    </xf>
    <xf numFmtId="0" fontId="56" fillId="2" borderId="0" xfId="1" applyFont="1" applyFill="1" applyAlignment="1">
      <alignment horizontal="center" vertical="center"/>
    </xf>
    <xf numFmtId="9" fontId="35" fillId="2" borderId="53" xfId="1" applyNumberFormat="1" applyFont="1" applyFill="1" applyBorder="1" applyAlignment="1" applyProtection="1">
      <alignment horizontal="center" vertical="center"/>
      <protection hidden="1"/>
    </xf>
    <xf numFmtId="9" fontId="35" fillId="2" borderId="54" xfId="1" applyNumberFormat="1" applyFont="1" applyFill="1" applyBorder="1" applyAlignment="1" applyProtection="1">
      <alignment horizontal="center" vertical="center"/>
      <protection hidden="1"/>
    </xf>
    <xf numFmtId="0" fontId="30" fillId="3" borderId="172" xfId="1" applyFont="1" applyFill="1" applyBorder="1" applyAlignment="1" applyProtection="1">
      <alignment horizontal="left" vertical="center"/>
      <protection hidden="1"/>
    </xf>
    <xf numFmtId="0" fontId="30" fillId="3" borderId="152" xfId="1" applyFont="1" applyFill="1" applyBorder="1" applyAlignment="1" applyProtection="1">
      <alignment horizontal="left" vertical="center"/>
      <protection hidden="1"/>
    </xf>
    <xf numFmtId="0" fontId="26" fillId="3" borderId="42" xfId="1" applyFont="1" applyFill="1" applyBorder="1" applyAlignment="1" applyProtection="1">
      <alignment horizontal="center" vertical="center"/>
      <protection hidden="1"/>
    </xf>
    <xf numFmtId="0" fontId="26" fillId="3" borderId="95" xfId="1" applyFont="1" applyFill="1" applyBorder="1" applyAlignment="1" applyProtection="1">
      <alignment horizontal="center" vertical="center"/>
      <protection hidden="1"/>
    </xf>
    <xf numFmtId="0" fontId="88" fillId="0" borderId="95" xfId="1" applyFont="1" applyBorder="1"/>
    <xf numFmtId="0" fontId="88" fillId="3" borderId="23" xfId="1" applyFont="1" applyFill="1" applyBorder="1" applyAlignment="1">
      <alignment horizontal="center" vertical="center"/>
    </xf>
    <xf numFmtId="0" fontId="88" fillId="3" borderId="62" xfId="1" applyFont="1" applyFill="1" applyBorder="1" applyAlignment="1">
      <alignment horizontal="center" vertical="center"/>
    </xf>
    <xf numFmtId="0" fontId="88" fillId="0" borderId="62" xfId="1" applyFont="1" applyBorder="1"/>
    <xf numFmtId="0" fontId="26" fillId="3" borderId="95" xfId="1" applyFont="1" applyFill="1" applyBorder="1" applyAlignment="1" applyProtection="1">
      <alignment horizontal="center" vertical="center" wrapText="1"/>
      <protection hidden="1"/>
    </xf>
    <xf numFmtId="0" fontId="88" fillId="3" borderId="62" xfId="1" applyFont="1" applyFill="1" applyBorder="1" applyAlignment="1">
      <alignment horizontal="center" vertical="center" wrapText="1"/>
    </xf>
    <xf numFmtId="0" fontId="30" fillId="3" borderId="95" xfId="1" applyFont="1" applyFill="1" applyBorder="1" applyAlignment="1">
      <alignment horizontal="center" vertical="center"/>
    </xf>
    <xf numFmtId="0" fontId="32" fillId="3" borderId="72" xfId="1" applyFont="1" applyFill="1" applyBorder="1" applyAlignment="1" applyProtection="1">
      <alignment horizontal="center" vertical="center"/>
      <protection hidden="1"/>
    </xf>
    <xf numFmtId="0" fontId="15" fillId="3" borderId="62" xfId="1" applyFont="1" applyFill="1" applyBorder="1" applyAlignment="1">
      <alignment horizontal="center" vertical="center"/>
    </xf>
    <xf numFmtId="0" fontId="32" fillId="3" borderId="174" xfId="1" applyFont="1" applyFill="1" applyBorder="1" applyAlignment="1" applyProtection="1">
      <alignment horizontal="center" vertical="center"/>
      <protection hidden="1"/>
    </xf>
    <xf numFmtId="0" fontId="0" fillId="0" borderId="195" xfId="1" applyFont="1" applyBorder="1" applyAlignment="1">
      <alignment horizontal="center" vertical="center"/>
    </xf>
    <xf numFmtId="0" fontId="0" fillId="0" borderId="196" xfId="1" applyFont="1" applyBorder="1" applyAlignment="1">
      <alignment horizontal="center" vertical="center"/>
    </xf>
    <xf numFmtId="0" fontId="10" fillId="9" borderId="197" xfId="1" applyFont="1" applyFill="1" applyBorder="1" applyAlignment="1" applyProtection="1">
      <alignment horizontal="center" vertical="center"/>
      <protection hidden="1"/>
    </xf>
    <xf numFmtId="0" fontId="0" fillId="0" borderId="179" xfId="1" applyFont="1" applyBorder="1" applyAlignment="1" applyProtection="1">
      <alignment horizontal="center" vertical="center"/>
      <protection hidden="1"/>
    </xf>
    <xf numFmtId="0" fontId="0" fillId="0" borderId="24" xfId="1" applyFont="1" applyBorder="1" applyAlignment="1" applyProtection="1">
      <alignment horizontal="center" vertical="center"/>
      <protection hidden="1"/>
    </xf>
    <xf numFmtId="0" fontId="4" fillId="3" borderId="95" xfId="1" applyFont="1" applyFill="1" applyBorder="1" applyAlignment="1" applyProtection="1">
      <alignment horizontal="center" vertical="center" wrapText="1"/>
      <protection hidden="1"/>
    </xf>
    <xf numFmtId="0" fontId="0" fillId="3" borderId="12" xfId="1" applyFont="1" applyFill="1" applyBorder="1" applyAlignment="1">
      <alignment horizontal="center" vertical="center" wrapText="1"/>
    </xf>
    <xf numFmtId="0" fontId="4" fillId="3" borderId="62" xfId="1" applyFont="1" applyFill="1" applyBorder="1" applyAlignment="1" applyProtection="1">
      <alignment horizontal="center" vertical="center" wrapText="1"/>
      <protection hidden="1"/>
    </xf>
    <xf numFmtId="0" fontId="4" fillId="3" borderId="180" xfId="1" applyFont="1" applyFill="1" applyBorder="1" applyAlignment="1" applyProtection="1">
      <alignment horizontal="center" vertical="center" wrapText="1"/>
      <protection hidden="1"/>
    </xf>
    <xf numFmtId="0" fontId="4" fillId="3" borderId="90" xfId="1" applyFont="1" applyFill="1" applyBorder="1" applyAlignment="1" applyProtection="1">
      <alignment horizontal="center" vertical="center" wrapText="1"/>
      <protection hidden="1"/>
    </xf>
    <xf numFmtId="0" fontId="0" fillId="0" borderId="70" xfId="1" applyFont="1" applyBorder="1" applyProtection="1">
      <protection locked="0"/>
    </xf>
    <xf numFmtId="0" fontId="0" fillId="0" borderId="43" xfId="1" applyFont="1" applyBorder="1" applyProtection="1">
      <protection locked="0"/>
    </xf>
    <xf numFmtId="0" fontId="44" fillId="0" borderId="39" xfId="1" applyFont="1" applyBorder="1" applyProtection="1">
      <protection locked="0"/>
    </xf>
    <xf numFmtId="0" fontId="45" fillId="0" borderId="39" xfId="1" applyFont="1" applyBorder="1" applyProtection="1">
      <protection locked="0"/>
    </xf>
    <xf numFmtId="0" fontId="0" fillId="9" borderId="27" xfId="2" applyFont="1" applyFill="1" applyBorder="1" applyProtection="1">
      <protection hidden="1"/>
    </xf>
    <xf numFmtId="0" fontId="0" fillId="0" borderId="27" xfId="2" applyFont="1" applyBorder="1" applyProtection="1">
      <protection hidden="1"/>
    </xf>
    <xf numFmtId="0" fontId="0" fillId="0" borderId="24" xfId="0" applyBorder="1"/>
    <xf numFmtId="0" fontId="0" fillId="4" borderId="0" xfId="2" applyFont="1" applyFill="1" applyProtection="1">
      <protection hidden="1"/>
    </xf>
    <xf numFmtId="0" fontId="0" fillId="0" borderId="126" xfId="0" applyBorder="1"/>
    <xf numFmtId="0" fontId="0" fillId="4" borderId="129" xfId="2" applyFont="1" applyFill="1" applyBorder="1" applyProtection="1">
      <protection hidden="1"/>
    </xf>
    <xf numFmtId="0" fontId="0" fillId="0" borderId="131" xfId="0" applyBorder="1"/>
    <xf numFmtId="0" fontId="0" fillId="9" borderId="0" xfId="2" applyFont="1" applyFill="1" applyProtection="1">
      <protection hidden="1"/>
    </xf>
    <xf numFmtId="0" fontId="0" fillId="0" borderId="0" xfId="2" applyFont="1" applyProtection="1">
      <protection hidden="1"/>
    </xf>
    <xf numFmtId="0" fontId="0" fillId="0" borderId="29" xfId="0" applyBorder="1"/>
    <xf numFmtId="0" fontId="0" fillId="4" borderId="200" xfId="2" applyFont="1" applyFill="1" applyBorder="1" applyAlignment="1" applyProtection="1">
      <alignment horizontal="center" vertical="center"/>
      <protection hidden="1"/>
    </xf>
    <xf numFmtId="0" fontId="0" fillId="4" borderId="201" xfId="2" applyFont="1" applyFill="1" applyBorder="1" applyAlignment="1" applyProtection="1">
      <alignment horizontal="center" vertical="center"/>
      <protection hidden="1"/>
    </xf>
    <xf numFmtId="0" fontId="0" fillId="4" borderId="105" xfId="2" applyFont="1" applyFill="1" applyBorder="1" applyAlignment="1" applyProtection="1">
      <alignment horizontal="center" vertical="center"/>
      <protection hidden="1"/>
    </xf>
    <xf numFmtId="0" fontId="0" fillId="4" borderId="22" xfId="2" applyFont="1" applyFill="1" applyBorder="1" applyAlignment="1" applyProtection="1">
      <alignment horizontal="center" vertical="center"/>
      <protection hidden="1"/>
    </xf>
    <xf numFmtId="0" fontId="0" fillId="4" borderId="0" xfId="2" applyFont="1" applyFill="1" applyAlignment="1" applyProtection="1">
      <alignment horizontal="center" vertical="center"/>
      <protection hidden="1"/>
    </xf>
    <xf numFmtId="0" fontId="0" fillId="4" borderId="202" xfId="2" applyFont="1" applyFill="1" applyBorder="1" applyAlignment="1" applyProtection="1">
      <alignment horizontal="center" vertical="center"/>
      <protection hidden="1"/>
    </xf>
    <xf numFmtId="0" fontId="0" fillId="4" borderId="203" xfId="2" applyFont="1" applyFill="1" applyBorder="1" applyAlignment="1" applyProtection="1">
      <alignment horizontal="center" vertical="center"/>
      <protection hidden="1"/>
    </xf>
    <xf numFmtId="0" fontId="0" fillId="4" borderId="129" xfId="2" applyFont="1" applyFill="1" applyBorder="1" applyAlignment="1" applyProtection="1">
      <alignment horizontal="center" vertical="center"/>
      <protection hidden="1"/>
    </xf>
    <xf numFmtId="0" fontId="0" fillId="4" borderId="204" xfId="2" applyFont="1" applyFill="1" applyBorder="1" applyAlignment="1" applyProtection="1">
      <alignment horizontal="center" vertical="center"/>
      <protection hidden="1"/>
    </xf>
    <xf numFmtId="0" fontId="17" fillId="3" borderId="19" xfId="2" applyFont="1" applyFill="1" applyBorder="1" applyAlignment="1" applyProtection="1">
      <alignment horizontal="center" vertical="center"/>
      <protection hidden="1"/>
    </xf>
    <xf numFmtId="0" fontId="17" fillId="3" borderId="134" xfId="2" applyFont="1" applyFill="1" applyBorder="1" applyAlignment="1" applyProtection="1">
      <alignment horizontal="center" vertical="center"/>
      <protection hidden="1"/>
    </xf>
    <xf numFmtId="0" fontId="17" fillId="3" borderId="18" xfId="2" applyFont="1" applyFill="1" applyBorder="1" applyAlignment="1" applyProtection="1">
      <alignment horizontal="center" vertical="center"/>
      <protection hidden="1"/>
    </xf>
    <xf numFmtId="0" fontId="0" fillId="9" borderId="205" xfId="2" applyFont="1" applyFill="1" applyBorder="1" applyAlignment="1" applyProtection="1">
      <alignment horizontal="center"/>
      <protection hidden="1"/>
    </xf>
    <xf numFmtId="0" fontId="0" fillId="9" borderId="0" xfId="2" applyFont="1" applyFill="1" applyAlignment="1" applyProtection="1">
      <alignment horizontal="center"/>
      <protection hidden="1"/>
    </xf>
    <xf numFmtId="0" fontId="0" fillId="0" borderId="0" xfId="2" applyFont="1" applyAlignment="1" applyProtection="1">
      <alignment horizontal="center"/>
      <protection hidden="1"/>
    </xf>
    <xf numFmtId="0" fontId="0" fillId="9" borderId="191" xfId="2" applyFont="1" applyFill="1" applyBorder="1" applyAlignment="1" applyProtection="1">
      <alignment horizontal="center"/>
      <protection hidden="1"/>
    </xf>
    <xf numFmtId="0" fontId="32" fillId="3" borderId="206" xfId="2" applyFont="1" applyFill="1" applyBorder="1" applyAlignment="1" applyProtection="1">
      <alignment horizontal="center" vertical="center"/>
      <protection hidden="1"/>
    </xf>
    <xf numFmtId="0" fontId="32" fillId="3" borderId="0" xfId="2" applyFont="1" applyFill="1" applyAlignment="1" applyProtection="1">
      <alignment horizontal="center" vertical="center"/>
      <protection hidden="1"/>
    </xf>
    <xf numFmtId="0" fontId="32" fillId="3" borderId="207" xfId="2" applyFont="1" applyFill="1" applyBorder="1" applyAlignment="1" applyProtection="1">
      <alignment horizontal="center" vertical="center"/>
      <protection hidden="1"/>
    </xf>
    <xf numFmtId="0" fontId="32" fillId="3" borderId="129" xfId="2" applyFont="1" applyFill="1" applyBorder="1" applyAlignment="1" applyProtection="1">
      <alignment horizontal="center" vertical="center"/>
      <protection hidden="1"/>
    </xf>
    <xf numFmtId="0" fontId="0" fillId="4" borderId="126" xfId="2" applyFont="1" applyFill="1" applyBorder="1" applyProtection="1">
      <protection hidden="1"/>
    </xf>
    <xf numFmtId="0" fontId="0" fillId="4" borderId="21" xfId="2" applyFont="1" applyFill="1" applyBorder="1" applyProtection="1">
      <protection hidden="1"/>
    </xf>
    <xf numFmtId="0" fontId="0" fillId="0" borderId="135" xfId="0" applyBorder="1"/>
    <xf numFmtId="0" fontId="0" fillId="0" borderId="198" xfId="0" applyBorder="1"/>
    <xf numFmtId="0" fontId="0" fillId="0" borderId="22" xfId="0" applyBorder="1"/>
    <xf numFmtId="0" fontId="0" fillId="0" borderId="0" xfId="0"/>
    <xf numFmtId="0" fontId="0" fillId="0" borderId="191" xfId="0" applyBorder="1"/>
    <xf numFmtId="0" fontId="0" fillId="0" borderId="116" xfId="0" applyBorder="1"/>
    <xf numFmtId="0" fontId="0" fillId="0" borderId="27" xfId="0" applyBorder="1"/>
    <xf numFmtId="0" fontId="0" fillId="0" borderId="199" xfId="0" applyBorder="1"/>
    <xf numFmtId="0" fontId="0" fillId="9" borderId="43" xfId="2" applyFont="1" applyFill="1" applyBorder="1" applyProtection="1">
      <protection hidden="1"/>
    </xf>
    <xf numFmtId="0" fontId="0" fillId="0" borderId="43" xfId="2" applyFont="1" applyBorder="1" applyProtection="1">
      <protection hidden="1"/>
    </xf>
    <xf numFmtId="0" fontId="0" fillId="0" borderId="72" xfId="0" applyBorder="1"/>
    <xf numFmtId="0" fontId="32" fillId="3" borderId="208" xfId="2" applyFont="1" applyFill="1" applyBorder="1" applyAlignment="1" applyProtection="1">
      <alignment horizontal="center" vertical="center"/>
      <protection hidden="1"/>
    </xf>
    <xf numFmtId="0" fontId="0" fillId="0" borderId="209" xfId="0" applyBorder="1"/>
    <xf numFmtId="0" fontId="0" fillId="0" borderId="210" xfId="0" applyBorder="1"/>
    <xf numFmtId="0" fontId="32" fillId="3" borderId="19" xfId="2" applyFont="1" applyFill="1" applyBorder="1" applyAlignment="1" applyProtection="1">
      <alignment horizontal="center" vertical="center"/>
      <protection hidden="1"/>
    </xf>
    <xf numFmtId="0" fontId="0" fillId="0" borderId="134" xfId="0" applyBorder="1"/>
    <xf numFmtId="0" fontId="0" fillId="0" borderId="211" xfId="0" applyBorder="1"/>
    <xf numFmtId="0" fontId="0" fillId="0" borderId="134" xfId="2" applyFont="1" applyBorder="1" applyProtection="1">
      <protection hidden="1"/>
    </xf>
    <xf numFmtId="0" fontId="103" fillId="9" borderId="197" xfId="1" applyFont="1" applyFill="1" applyBorder="1" applyAlignment="1">
      <alignment horizontal="right"/>
    </xf>
    <xf numFmtId="0" fontId="0" fillId="0" borderId="41" xfId="0" applyBorder="1" applyAlignment="1">
      <alignment horizontal="right"/>
    </xf>
    <xf numFmtId="0" fontId="50" fillId="9" borderId="0" xfId="1" applyFont="1" applyFill="1" applyProtection="1">
      <protection hidden="1"/>
    </xf>
    <xf numFmtId="0" fontId="51" fillId="9" borderId="0" xfId="1" applyFont="1" applyFill="1" applyAlignment="1" applyProtection="1">
      <alignment horizontal="center" vertical="center" wrapText="1"/>
      <protection hidden="1"/>
    </xf>
    <xf numFmtId="0" fontId="44" fillId="0" borderId="71" xfId="1" applyFont="1" applyBorder="1" applyProtection="1">
      <protection locked="0"/>
    </xf>
    <xf numFmtId="0" fontId="44" fillId="0" borderId="27" xfId="1" applyFont="1" applyBorder="1" applyProtection="1">
      <protection locked="0"/>
    </xf>
    <xf numFmtId="0" fontId="32" fillId="3" borderId="206" xfId="2" applyFont="1" applyFill="1" applyBorder="1" applyAlignment="1" applyProtection="1">
      <alignment horizontal="center" vertical="center" wrapText="1"/>
      <protection hidden="1"/>
    </xf>
    <xf numFmtId="0" fontId="32" fillId="3" borderId="0" xfId="2" applyFont="1" applyFill="1" applyAlignment="1" applyProtection="1">
      <alignment horizontal="center" vertical="center" wrapText="1"/>
      <protection hidden="1"/>
    </xf>
    <xf numFmtId="0" fontId="32" fillId="3" borderId="212" xfId="1" applyFont="1" applyFill="1" applyBorder="1" applyAlignment="1" applyProtection="1">
      <alignment horizontal="center" vertical="center"/>
      <protection hidden="1"/>
    </xf>
    <xf numFmtId="0" fontId="32" fillId="3" borderId="213" xfId="1" applyFont="1" applyFill="1" applyBorder="1" applyAlignment="1" applyProtection="1">
      <alignment horizontal="center" vertical="center"/>
      <protection hidden="1"/>
    </xf>
    <xf numFmtId="0" fontId="32" fillId="3" borderId="214" xfId="1" applyFont="1" applyFill="1" applyBorder="1" applyAlignment="1" applyProtection="1">
      <alignment horizontal="center" vertical="center"/>
      <protection hidden="1"/>
    </xf>
    <xf numFmtId="0" fontId="4" fillId="3" borderId="50" xfId="1" applyFont="1" applyFill="1" applyBorder="1" applyAlignment="1" applyProtection="1">
      <alignment horizontal="center" vertical="center" wrapText="1"/>
      <protection hidden="1"/>
    </xf>
    <xf numFmtId="0" fontId="4" fillId="3" borderId="51" xfId="1" applyFont="1" applyFill="1" applyBorder="1" applyAlignment="1" applyProtection="1">
      <alignment horizontal="center" vertical="center" wrapText="1"/>
      <protection hidden="1"/>
    </xf>
    <xf numFmtId="0" fontId="4" fillId="3" borderId="215" xfId="1" applyFont="1" applyFill="1" applyBorder="1" applyAlignment="1" applyProtection="1">
      <alignment horizontal="center" vertical="center"/>
      <protection hidden="1"/>
    </xf>
    <xf numFmtId="0" fontId="4" fillId="3" borderId="150" xfId="1" applyFont="1" applyFill="1" applyBorder="1" applyAlignment="1" applyProtection="1">
      <alignment horizontal="center" vertical="center"/>
      <protection hidden="1"/>
    </xf>
    <xf numFmtId="0" fontId="32" fillId="3" borderId="216" xfId="1" applyFont="1" applyFill="1" applyBorder="1" applyAlignment="1" applyProtection="1">
      <alignment horizontal="center" vertical="center"/>
      <protection hidden="1"/>
    </xf>
    <xf numFmtId="0" fontId="32" fillId="3" borderId="217" xfId="1" applyFont="1" applyFill="1" applyBorder="1" applyAlignment="1" applyProtection="1">
      <alignment horizontal="center" vertical="center"/>
      <protection hidden="1"/>
    </xf>
    <xf numFmtId="0" fontId="32" fillId="3" borderId="218" xfId="1" applyFont="1" applyFill="1" applyBorder="1" applyAlignment="1" applyProtection="1">
      <alignment horizontal="center" vertical="center"/>
      <protection hidden="1"/>
    </xf>
    <xf numFmtId="0" fontId="4" fillId="3" borderId="227"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wrapText="1"/>
      <protection hidden="1"/>
    </xf>
    <xf numFmtId="0" fontId="4" fillId="3" borderId="228" xfId="1" applyFont="1" applyFill="1" applyBorder="1" applyAlignment="1" applyProtection="1">
      <alignment horizontal="center" vertical="center" wrapText="1"/>
      <protection hidden="1"/>
    </xf>
    <xf numFmtId="0" fontId="4" fillId="3" borderId="58" xfId="1" applyFont="1" applyFill="1" applyBorder="1" applyAlignment="1" applyProtection="1">
      <alignment horizontal="center" vertical="center" wrapText="1"/>
      <protection hidden="1"/>
    </xf>
    <xf numFmtId="0" fontId="17" fillId="3" borderId="36" xfId="1" applyFont="1" applyFill="1" applyBorder="1" applyAlignment="1" applyProtection="1">
      <alignment horizontal="center" vertical="center"/>
      <protection hidden="1"/>
    </xf>
    <xf numFmtId="0" fontId="10" fillId="0" borderId="2" xfId="1" applyFont="1" applyBorder="1" applyAlignment="1">
      <alignment horizontal="center" vertical="center"/>
    </xf>
    <xf numFmtId="0" fontId="17" fillId="3" borderId="23" xfId="1" applyFont="1" applyFill="1" applyBorder="1" applyAlignment="1" applyProtection="1">
      <alignment horizontal="center" vertical="center"/>
      <protection hidden="1"/>
    </xf>
    <xf numFmtId="0" fontId="10" fillId="0" borderId="62" xfId="1" applyFont="1" applyBorder="1" applyAlignment="1">
      <alignment horizontal="center" vertical="center"/>
    </xf>
    <xf numFmtId="0" fontId="90" fillId="9" borderId="0" xfId="1" applyFont="1" applyFill="1" applyAlignment="1">
      <alignment horizontal="center"/>
    </xf>
    <xf numFmtId="0" fontId="4" fillId="3" borderId="219" xfId="1" applyFont="1" applyFill="1" applyBorder="1" applyAlignment="1" applyProtection="1">
      <alignment horizontal="center" vertical="center" wrapText="1"/>
      <protection hidden="1"/>
    </xf>
    <xf numFmtId="0" fontId="4" fillId="3" borderId="220" xfId="1" applyFont="1" applyFill="1" applyBorder="1" applyAlignment="1" applyProtection="1">
      <alignment horizontal="center" vertical="center" wrapText="1"/>
      <protection hidden="1"/>
    </xf>
    <xf numFmtId="0" fontId="4" fillId="3" borderId="57" xfId="1" applyFont="1" applyFill="1" applyBorder="1" applyAlignment="1" applyProtection="1">
      <alignment horizontal="center" vertical="center"/>
      <protection hidden="1"/>
    </xf>
    <xf numFmtId="0" fontId="0" fillId="0" borderId="221" xfId="1" applyFont="1" applyBorder="1" applyAlignment="1">
      <alignment horizontal="center" vertical="center"/>
    </xf>
    <xf numFmtId="0" fontId="46" fillId="0" borderId="222" xfId="1" applyFont="1" applyBorder="1" applyAlignment="1">
      <alignment horizontal="center" vertical="center"/>
    </xf>
    <xf numFmtId="0" fontId="32" fillId="3" borderId="223" xfId="1" applyFont="1" applyFill="1" applyBorder="1" applyAlignment="1" applyProtection="1">
      <alignment horizontal="center" vertical="center"/>
      <protection hidden="1"/>
    </xf>
    <xf numFmtId="0" fontId="32" fillId="3" borderId="49" xfId="1" applyFont="1" applyFill="1" applyBorder="1" applyAlignment="1" applyProtection="1">
      <alignment horizontal="center" vertical="center"/>
      <protection hidden="1"/>
    </xf>
    <xf numFmtId="0" fontId="32" fillId="3" borderId="224" xfId="1" applyFont="1" applyFill="1" applyBorder="1" applyAlignment="1" applyProtection="1">
      <alignment horizontal="center" vertical="center"/>
      <protection hidden="1"/>
    </xf>
    <xf numFmtId="0" fontId="4" fillId="3" borderId="225" xfId="1" applyFont="1" applyFill="1" applyBorder="1" applyAlignment="1" applyProtection="1">
      <alignment horizontal="center" vertical="center" wrapText="1"/>
      <protection hidden="1"/>
    </xf>
    <xf numFmtId="0" fontId="4" fillId="3" borderId="226" xfId="1" applyFont="1" applyFill="1" applyBorder="1" applyAlignment="1" applyProtection="1">
      <alignment horizontal="center" vertical="center" wrapText="1"/>
      <protection hidden="1"/>
    </xf>
    <xf numFmtId="0" fontId="23" fillId="3" borderId="155" xfId="1" applyFont="1" applyFill="1" applyBorder="1" applyAlignment="1" applyProtection="1">
      <alignment horizontal="center" vertical="center" wrapText="1"/>
      <protection hidden="1"/>
    </xf>
    <xf numFmtId="0" fontId="29" fillId="0" borderId="155" xfId="1" applyFont="1" applyBorder="1" applyAlignment="1">
      <alignment horizontal="center" vertical="center" wrapText="1"/>
    </xf>
    <xf numFmtId="0" fontId="57" fillId="13" borderId="81" xfId="1" applyFont="1" applyFill="1" applyBorder="1" applyProtection="1">
      <protection hidden="1"/>
    </xf>
    <xf numFmtId="0" fontId="57" fillId="13" borderId="91" xfId="1" applyFont="1" applyFill="1" applyBorder="1" applyProtection="1">
      <protection hidden="1"/>
    </xf>
    <xf numFmtId="0" fontId="23" fillId="3" borderId="225" xfId="1" applyFont="1" applyFill="1" applyBorder="1" applyAlignment="1" applyProtection="1">
      <alignment horizontal="center" vertical="center" wrapText="1"/>
      <protection hidden="1"/>
    </xf>
    <xf numFmtId="0" fontId="23" fillId="3" borderId="226" xfId="1" applyFont="1" applyFill="1" applyBorder="1" applyAlignment="1" applyProtection="1">
      <alignment horizontal="center" vertical="center" wrapText="1"/>
      <protection hidden="1"/>
    </xf>
    <xf numFmtId="0" fontId="44" fillId="0" borderId="70" xfId="1" applyFont="1" applyBorder="1" applyProtection="1">
      <protection locked="0"/>
    </xf>
    <xf numFmtId="0" fontId="44" fillId="0" borderId="43" xfId="1" applyFont="1" applyBorder="1" applyProtection="1">
      <protection locked="0"/>
    </xf>
    <xf numFmtId="0" fontId="26" fillId="3" borderId="226" xfId="1" applyFont="1" applyFill="1" applyBorder="1" applyAlignment="1" applyProtection="1">
      <alignment horizontal="center" vertical="center" wrapText="1"/>
      <protection hidden="1"/>
    </xf>
    <xf numFmtId="0" fontId="23" fillId="3" borderId="78" xfId="1" applyFont="1" applyFill="1" applyBorder="1" applyProtection="1">
      <protection hidden="1"/>
    </xf>
    <xf numFmtId="0" fontId="0" fillId="0" borderId="135" xfId="1" applyFont="1" applyBorder="1" applyProtection="1">
      <protection hidden="1"/>
    </xf>
    <xf numFmtId="0" fontId="0" fillId="0" borderId="229" xfId="1" applyFont="1" applyBorder="1" applyProtection="1">
      <protection hidden="1"/>
    </xf>
    <xf numFmtId="0" fontId="42" fillId="3" borderId="81" xfId="1" applyFont="1" applyFill="1" applyBorder="1" applyAlignment="1" applyProtection="1">
      <alignment horizontal="center"/>
      <protection hidden="1"/>
    </xf>
    <xf numFmtId="0" fontId="42" fillId="3" borderId="91" xfId="1" applyFont="1" applyFill="1" applyBorder="1" applyAlignment="1" applyProtection="1">
      <alignment horizontal="center"/>
      <protection hidden="1"/>
    </xf>
    <xf numFmtId="0" fontId="42" fillId="3" borderId="230" xfId="1" applyFont="1" applyFill="1" applyBorder="1" applyAlignment="1" applyProtection="1">
      <alignment horizontal="center"/>
      <protection hidden="1"/>
    </xf>
    <xf numFmtId="0" fontId="43" fillId="3" borderId="81" xfId="1" applyFont="1" applyFill="1" applyBorder="1" applyProtection="1">
      <protection hidden="1"/>
    </xf>
    <xf numFmtId="0" fontId="43" fillId="3" borderId="91" xfId="1" applyFont="1" applyFill="1" applyBorder="1" applyProtection="1">
      <protection hidden="1"/>
    </xf>
    <xf numFmtId="0" fontId="57" fillId="13" borderId="71" xfId="1" applyFont="1" applyFill="1" applyBorder="1" applyProtection="1">
      <protection hidden="1"/>
    </xf>
    <xf numFmtId="0" fontId="57" fillId="13" borderId="27" xfId="1" applyFont="1" applyFill="1" applyBorder="1" applyProtection="1">
      <protection hidden="1"/>
    </xf>
    <xf numFmtId="0" fontId="32" fillId="3" borderId="231" xfId="1" applyFont="1" applyFill="1" applyBorder="1" applyAlignment="1" applyProtection="1">
      <alignment horizontal="center" vertical="center"/>
      <protection hidden="1"/>
    </xf>
    <xf numFmtId="0" fontId="32" fillId="3" borderId="92" xfId="1" applyFont="1" applyFill="1" applyBorder="1" applyAlignment="1" applyProtection="1">
      <alignment horizontal="center" vertical="center"/>
      <protection hidden="1"/>
    </xf>
    <xf numFmtId="0" fontId="32" fillId="3" borderId="174" xfId="1" applyFont="1" applyFill="1" applyBorder="1" applyAlignment="1">
      <alignment horizontal="center" vertical="center"/>
    </xf>
    <xf numFmtId="0" fontId="32" fillId="3" borderId="195" xfId="1" applyFont="1" applyFill="1" applyBorder="1" applyAlignment="1">
      <alignment horizontal="center" vertical="center"/>
    </xf>
    <xf numFmtId="0" fontId="32" fillId="3" borderId="196" xfId="1" applyFont="1" applyFill="1" applyBorder="1" applyAlignment="1">
      <alignment horizontal="center" vertical="center"/>
    </xf>
    <xf numFmtId="0" fontId="32" fillId="3" borderId="95" xfId="1" applyFont="1" applyFill="1" applyBorder="1" applyAlignment="1">
      <alignment horizontal="center" vertical="center"/>
    </xf>
    <xf numFmtId="0" fontId="32" fillId="3" borderId="180" xfId="1" applyFont="1" applyFill="1" applyBorder="1" applyAlignment="1">
      <alignment horizontal="center" vertical="center"/>
    </xf>
    <xf numFmtId="0" fontId="23" fillId="3" borderId="36" xfId="1" applyFont="1" applyFill="1" applyBorder="1" applyAlignment="1" applyProtection="1">
      <alignment horizontal="center" vertical="center"/>
      <protection hidden="1"/>
    </xf>
    <xf numFmtId="0" fontId="23" fillId="3" borderId="2" xfId="1" applyFont="1" applyFill="1" applyBorder="1" applyAlignment="1" applyProtection="1">
      <alignment horizontal="center" vertical="center"/>
      <protection hidden="1"/>
    </xf>
    <xf numFmtId="0" fontId="29" fillId="0" borderId="2" xfId="1" applyFont="1" applyBorder="1"/>
    <xf numFmtId="0" fontId="45" fillId="0" borderId="70" xfId="1" applyFont="1" applyBorder="1" applyProtection="1">
      <protection locked="0"/>
    </xf>
    <xf numFmtId="0" fontId="45" fillId="0" borderId="43" xfId="1" applyFont="1" applyBorder="1" applyProtection="1">
      <protection locked="0"/>
    </xf>
    <xf numFmtId="0" fontId="4" fillId="3" borderId="232" xfId="1" applyFont="1" applyFill="1" applyBorder="1" applyAlignment="1" applyProtection="1">
      <alignment horizontal="center" vertical="center" wrapText="1"/>
      <protection hidden="1"/>
    </xf>
    <xf numFmtId="0" fontId="4" fillId="3" borderId="233" xfId="1" applyFont="1" applyFill="1" applyBorder="1" applyAlignment="1" applyProtection="1">
      <alignment horizontal="center" vertical="center" wrapText="1"/>
      <protection hidden="1"/>
    </xf>
    <xf numFmtId="0" fontId="26" fillId="3" borderId="228" xfId="1" applyFont="1" applyFill="1" applyBorder="1" applyAlignment="1" applyProtection="1">
      <alignment horizontal="center" vertical="center" wrapText="1"/>
      <protection hidden="1"/>
    </xf>
    <xf numFmtId="0" fontId="17" fillId="3" borderId="150" xfId="1" applyFont="1" applyFill="1" applyBorder="1" applyAlignment="1" applyProtection="1">
      <alignment horizontal="center" vertical="center" wrapText="1"/>
      <protection hidden="1"/>
    </xf>
    <xf numFmtId="0" fontId="17" fillId="3" borderId="156" xfId="1" applyFont="1" applyFill="1" applyBorder="1" applyAlignment="1" applyProtection="1">
      <alignment horizontal="center" vertical="center" wrapText="1"/>
      <protection hidden="1"/>
    </xf>
    <xf numFmtId="0" fontId="4" fillId="3" borderId="234" xfId="1" applyFont="1" applyFill="1" applyBorder="1" applyAlignment="1" applyProtection="1">
      <alignment horizontal="center" vertical="center" wrapText="1"/>
      <protection hidden="1"/>
    </xf>
    <xf numFmtId="0" fontId="4" fillId="3" borderId="75" xfId="1" applyFont="1" applyFill="1" applyBorder="1" applyAlignment="1" applyProtection="1">
      <alignment horizontal="center" vertical="center" wrapText="1"/>
      <protection hidden="1"/>
    </xf>
    <xf numFmtId="0" fontId="4" fillId="3" borderId="161" xfId="1" applyFont="1" applyFill="1" applyBorder="1" applyAlignment="1" applyProtection="1">
      <alignment horizontal="center" vertical="center" wrapText="1"/>
      <protection hidden="1"/>
    </xf>
    <xf numFmtId="0" fontId="4" fillId="3" borderId="235" xfId="1" applyFont="1" applyFill="1" applyBorder="1" applyAlignment="1" applyProtection="1">
      <alignment horizontal="center" vertical="center" wrapText="1"/>
      <protection hidden="1"/>
    </xf>
    <xf numFmtId="0" fontId="4" fillId="3" borderId="236" xfId="1" applyFont="1" applyFill="1" applyBorder="1" applyAlignment="1" applyProtection="1">
      <alignment horizontal="center" vertical="center" wrapText="1"/>
      <protection hidden="1"/>
    </xf>
    <xf numFmtId="0" fontId="6" fillId="9" borderId="0" xfId="3" applyFill="1" applyAlignment="1" applyProtection="1">
      <protection hidden="1"/>
    </xf>
    <xf numFmtId="0" fontId="23" fillId="3" borderId="237" xfId="1" applyFont="1" applyFill="1" applyBorder="1" applyAlignment="1" applyProtection="1">
      <alignment horizontal="left" vertical="center"/>
      <protection hidden="1"/>
    </xf>
    <xf numFmtId="0" fontId="30" fillId="3" borderId="238" xfId="1" applyFont="1" applyFill="1" applyBorder="1" applyAlignment="1" applyProtection="1">
      <alignment horizontal="left" vertical="center"/>
      <protection hidden="1"/>
    </xf>
    <xf numFmtId="0" fontId="30" fillId="3" borderId="239" xfId="1" applyFont="1" applyFill="1" applyBorder="1" applyAlignment="1" applyProtection="1">
      <alignment horizontal="left" vertical="center"/>
      <protection hidden="1"/>
    </xf>
    <xf numFmtId="0" fontId="30" fillId="3" borderId="240" xfId="1" applyFont="1" applyFill="1" applyBorder="1" applyAlignment="1" applyProtection="1">
      <alignment horizontal="left" vertical="center"/>
      <protection hidden="1"/>
    </xf>
    <xf numFmtId="0" fontId="32" fillId="3" borderId="81" xfId="1" applyFont="1" applyFill="1" applyBorder="1" applyAlignment="1" applyProtection="1">
      <alignment horizontal="center" vertical="center"/>
      <protection hidden="1"/>
    </xf>
    <xf numFmtId="0" fontId="32" fillId="3" borderId="91" xfId="1" applyFont="1" applyFill="1" applyBorder="1" applyAlignment="1" applyProtection="1">
      <alignment horizontal="center" vertical="center"/>
      <protection hidden="1"/>
    </xf>
    <xf numFmtId="0" fontId="32" fillId="3" borderId="230" xfId="1" applyFont="1" applyFill="1" applyBorder="1" applyAlignment="1" applyProtection="1">
      <alignment horizontal="center" vertical="center"/>
      <protection hidden="1"/>
    </xf>
    <xf numFmtId="0" fontId="4" fillId="3" borderId="241" xfId="1" applyFont="1" applyFill="1" applyBorder="1" applyAlignment="1">
      <alignment horizontal="center" vertical="center" wrapText="1"/>
    </xf>
    <xf numFmtId="0" fontId="15" fillId="3" borderId="242" xfId="1" applyFont="1" applyFill="1" applyBorder="1" applyAlignment="1">
      <alignment horizontal="center" vertical="center" wrapText="1"/>
    </xf>
    <xf numFmtId="0" fontId="15" fillId="3" borderId="243" xfId="1" applyFont="1" applyFill="1" applyBorder="1" applyAlignment="1">
      <alignment horizontal="center" vertical="center" wrapText="1"/>
    </xf>
    <xf numFmtId="0" fontId="4" fillId="3" borderId="244" xfId="1" applyFont="1" applyFill="1" applyBorder="1" applyAlignment="1">
      <alignment horizontal="center" vertical="center" wrapText="1"/>
    </xf>
    <xf numFmtId="0" fontId="15" fillId="3" borderId="245" xfId="1" applyFont="1" applyFill="1" applyBorder="1" applyAlignment="1">
      <alignment horizontal="center" vertical="center" wrapText="1"/>
    </xf>
    <xf numFmtId="0" fontId="26" fillId="3" borderId="246" xfId="1" applyFont="1" applyFill="1" applyBorder="1" applyAlignment="1" applyProtection="1">
      <alignment horizontal="center" vertical="center" wrapText="1"/>
      <protection hidden="1"/>
    </xf>
    <xf numFmtId="0" fontId="4" fillId="3" borderId="113" xfId="1" applyFont="1" applyFill="1" applyBorder="1" applyAlignment="1" applyProtection="1">
      <alignment horizontal="center" vertical="center" wrapText="1"/>
      <protection hidden="1"/>
    </xf>
    <xf numFmtId="0" fontId="15" fillId="0" borderId="70" xfId="1" applyFont="1" applyBorder="1" applyProtection="1">
      <protection locked="0"/>
    </xf>
    <xf numFmtId="0" fontId="15" fillId="0" borderId="43" xfId="1" applyFont="1" applyBorder="1" applyProtection="1">
      <protection locked="0"/>
    </xf>
    <xf numFmtId="0" fontId="0" fillId="0" borderId="39" xfId="1" applyFont="1" applyBorder="1" applyProtection="1">
      <protection locked="0"/>
    </xf>
    <xf numFmtId="0" fontId="39" fillId="0" borderId="0" xfId="1" applyFont="1"/>
    <xf numFmtId="0" fontId="26" fillId="3" borderId="247" xfId="1" applyFont="1" applyFill="1" applyBorder="1" applyAlignment="1" applyProtection="1">
      <alignment horizontal="center" vertical="center" wrapText="1"/>
      <protection hidden="1"/>
    </xf>
    <xf numFmtId="0" fontId="4" fillId="3" borderId="118" xfId="1" applyFont="1" applyFill="1" applyBorder="1" applyAlignment="1" applyProtection="1">
      <alignment horizontal="center" vertical="center" wrapText="1"/>
      <protection hidden="1"/>
    </xf>
    <xf numFmtId="0" fontId="0" fillId="0" borderId="179" xfId="1" applyFont="1" applyBorder="1" applyAlignment="1">
      <alignment horizontal="center" vertical="center"/>
    </xf>
    <xf numFmtId="0" fontId="0" fillId="0" borderId="24" xfId="1" applyFont="1" applyBorder="1" applyAlignment="1">
      <alignment horizontal="center" vertical="center"/>
    </xf>
    <xf numFmtId="0" fontId="30" fillId="3" borderId="71" xfId="1" applyFont="1" applyFill="1" applyBorder="1" applyAlignment="1" applyProtection="1">
      <alignment horizontal="center" vertical="center"/>
      <protection hidden="1"/>
    </xf>
    <xf numFmtId="0" fontId="30" fillId="3" borderId="248" xfId="1" applyFont="1" applyFill="1" applyBorder="1" applyAlignment="1" applyProtection="1">
      <alignment horizontal="center" vertical="center"/>
      <protection hidden="1"/>
    </xf>
    <xf numFmtId="0" fontId="4" fillId="3" borderId="247" xfId="1" applyFont="1" applyFill="1" applyBorder="1" applyAlignment="1" applyProtection="1">
      <alignment horizontal="center" vertical="center" wrapText="1"/>
      <protection hidden="1"/>
    </xf>
    <xf numFmtId="0" fontId="10" fillId="0" borderId="70" xfId="1" applyFont="1" applyBorder="1" applyProtection="1">
      <protection locked="0"/>
    </xf>
    <xf numFmtId="0" fontId="36" fillId="3" borderId="77" xfId="1" applyFont="1" applyFill="1" applyBorder="1" applyAlignment="1" applyProtection="1">
      <alignment horizontal="right" vertical="center"/>
      <protection hidden="1"/>
    </xf>
    <xf numFmtId="0" fontId="36" fillId="3" borderId="134" xfId="1" applyFont="1" applyFill="1" applyBorder="1" applyAlignment="1" applyProtection="1">
      <alignment horizontal="right" vertical="center"/>
      <protection hidden="1"/>
    </xf>
    <xf numFmtId="0" fontId="10" fillId="9" borderId="71" xfId="1" applyFont="1" applyFill="1" applyBorder="1" applyAlignment="1" applyProtection="1">
      <alignment horizontal="center" vertical="center"/>
      <protection hidden="1"/>
    </xf>
    <xf numFmtId="0" fontId="10" fillId="9" borderId="27" xfId="1" applyFont="1" applyFill="1" applyBorder="1" applyAlignment="1" applyProtection="1">
      <alignment horizontal="center" vertical="center"/>
      <protection hidden="1"/>
    </xf>
    <xf numFmtId="0" fontId="10" fillId="9" borderId="24" xfId="1" applyFont="1" applyFill="1" applyBorder="1" applyAlignment="1" applyProtection="1">
      <alignment horizontal="center" vertical="center"/>
      <protection hidden="1"/>
    </xf>
    <xf numFmtId="0" fontId="6" fillId="9" borderId="0" xfId="3" applyFill="1" applyBorder="1" applyAlignment="1" applyProtection="1">
      <alignment horizontal="left" vertical="center" wrapText="1"/>
    </xf>
    <xf numFmtId="171" fontId="35" fillId="11" borderId="249" xfId="1" applyNumberFormat="1" applyFont="1" applyFill="1" applyBorder="1" applyAlignment="1" applyProtection="1">
      <alignment horizontal="right" vertical="center"/>
      <protection hidden="1"/>
    </xf>
    <xf numFmtId="171" fontId="35" fillId="11" borderId="250" xfId="1" applyNumberFormat="1" applyFont="1" applyFill="1" applyBorder="1" applyAlignment="1" applyProtection="1">
      <alignment horizontal="right" vertical="center"/>
      <protection hidden="1"/>
    </xf>
    <xf numFmtId="171" fontId="35" fillId="11" borderId="251" xfId="1" applyNumberFormat="1" applyFont="1" applyFill="1" applyBorder="1" applyAlignment="1" applyProtection="1">
      <alignment horizontal="right" vertical="center"/>
      <protection hidden="1"/>
    </xf>
    <xf numFmtId="171" fontId="35" fillId="11" borderId="37" xfId="1" applyNumberFormat="1" applyFont="1" applyFill="1" applyBorder="1" applyAlignment="1" applyProtection="1">
      <alignment horizontal="right" vertical="center"/>
      <protection hidden="1"/>
    </xf>
    <xf numFmtId="0" fontId="10" fillId="9" borderId="27" xfId="1" applyFont="1" applyFill="1" applyBorder="1" applyAlignment="1" applyProtection="1">
      <alignment horizontal="right" vertical="center"/>
      <protection hidden="1"/>
    </xf>
    <xf numFmtId="0" fontId="10" fillId="9" borderId="24" xfId="1" applyFont="1" applyFill="1" applyBorder="1" applyAlignment="1" applyProtection="1">
      <alignment horizontal="right" vertical="center"/>
      <protection hidden="1"/>
    </xf>
    <xf numFmtId="0" fontId="26" fillId="3" borderId="197" xfId="1" applyFont="1" applyFill="1" applyBorder="1" applyAlignment="1" applyProtection="1">
      <alignment horizontal="center" vertical="center" wrapText="1"/>
      <protection hidden="1"/>
    </xf>
    <xf numFmtId="0" fontId="26" fillId="3" borderId="179" xfId="1" applyFont="1" applyFill="1" applyBorder="1" applyAlignment="1" applyProtection="1">
      <alignment horizontal="center" vertical="center" wrapText="1"/>
      <protection hidden="1"/>
    </xf>
    <xf numFmtId="0" fontId="26" fillId="3" borderId="255" xfId="1" applyFont="1" applyFill="1" applyBorder="1" applyAlignment="1" applyProtection="1">
      <alignment horizontal="center" vertical="center"/>
      <protection hidden="1"/>
    </xf>
    <xf numFmtId="0" fontId="26" fillId="3" borderId="256" xfId="1" applyFont="1" applyFill="1" applyBorder="1" applyAlignment="1" applyProtection="1">
      <alignment horizontal="center" vertical="center"/>
      <protection hidden="1"/>
    </xf>
    <xf numFmtId="171" fontId="35" fillId="11" borderId="257" xfId="1" applyNumberFormat="1" applyFont="1" applyFill="1" applyBorder="1" applyAlignment="1" applyProtection="1">
      <alignment horizontal="right" vertical="center"/>
      <protection hidden="1"/>
    </xf>
    <xf numFmtId="171" fontId="35" fillId="11" borderId="38" xfId="1" applyNumberFormat="1" applyFont="1" applyFill="1" applyBorder="1" applyAlignment="1" applyProtection="1">
      <alignment horizontal="right" vertical="center"/>
      <protection hidden="1"/>
    </xf>
    <xf numFmtId="171" fontId="35" fillId="11" borderId="253" xfId="1" applyNumberFormat="1" applyFont="1" applyFill="1" applyBorder="1" applyAlignment="1" applyProtection="1">
      <alignment horizontal="right" vertical="center"/>
      <protection hidden="1"/>
    </xf>
    <xf numFmtId="171" fontId="35" fillId="11" borderId="254" xfId="1" applyNumberFormat="1" applyFont="1" applyFill="1" applyBorder="1" applyAlignment="1" applyProtection="1">
      <alignment horizontal="right" vertical="center"/>
      <protection hidden="1"/>
    </xf>
    <xf numFmtId="0" fontId="26" fillId="3" borderId="154" xfId="1" applyFont="1" applyFill="1" applyBorder="1" applyAlignment="1" applyProtection="1">
      <alignment horizontal="center" vertical="center"/>
      <protection hidden="1"/>
    </xf>
    <xf numFmtId="0" fontId="26" fillId="3" borderId="72" xfId="1" applyFont="1" applyFill="1" applyBorder="1" applyAlignment="1" applyProtection="1">
      <alignment horizontal="center" vertical="center"/>
      <protection hidden="1"/>
    </xf>
    <xf numFmtId="0" fontId="26" fillId="3" borderId="158" xfId="1" applyFont="1" applyFill="1" applyBorder="1" applyAlignment="1" applyProtection="1">
      <alignment horizontal="center" vertical="center"/>
      <protection hidden="1"/>
    </xf>
    <xf numFmtId="0" fontId="26" fillId="3" borderId="252" xfId="1" applyFont="1" applyFill="1" applyBorder="1" applyAlignment="1" applyProtection="1">
      <alignment horizontal="center" vertical="center"/>
      <protection hidden="1"/>
    </xf>
    <xf numFmtId="0" fontId="32" fillId="3" borderId="180" xfId="1" applyFont="1" applyFill="1" applyBorder="1" applyAlignment="1" applyProtection="1">
      <alignment horizontal="center" vertical="center"/>
      <protection hidden="1"/>
    </xf>
    <xf numFmtId="0" fontId="26" fillId="3" borderId="258" xfId="1" applyFont="1" applyFill="1" applyBorder="1" applyAlignment="1" applyProtection="1">
      <alignment horizontal="center" vertical="center"/>
      <protection hidden="1"/>
    </xf>
    <xf numFmtId="0" fontId="26" fillId="3" borderId="12" xfId="1" applyFont="1" applyFill="1" applyBorder="1" applyAlignment="1" applyProtection="1">
      <alignment horizontal="center" vertical="center"/>
      <protection hidden="1"/>
    </xf>
    <xf numFmtId="0" fontId="30" fillId="3" borderId="172" xfId="1" applyFont="1" applyFill="1" applyBorder="1" applyAlignment="1" applyProtection="1">
      <alignment horizontal="center" vertical="center"/>
      <protection hidden="1"/>
    </xf>
    <xf numFmtId="0" fontId="30" fillId="3" borderId="259" xfId="1" applyFont="1" applyFill="1" applyBorder="1" applyAlignment="1" applyProtection="1">
      <alignment horizontal="center" vertical="center"/>
      <protection hidden="1"/>
    </xf>
    <xf numFmtId="171" fontId="34" fillId="11" borderId="43" xfId="1" applyNumberFormat="1" applyFont="1" applyFill="1" applyBorder="1" applyAlignment="1" applyProtection="1">
      <alignment horizontal="right" vertical="center"/>
      <protection hidden="1"/>
    </xf>
    <xf numFmtId="171" fontId="34" fillId="11" borderId="72" xfId="1" applyNumberFormat="1" applyFont="1" applyFill="1" applyBorder="1" applyAlignment="1" applyProtection="1">
      <alignment horizontal="right" vertical="center"/>
      <protection hidden="1"/>
    </xf>
    <xf numFmtId="0" fontId="11" fillId="0" borderId="0" xfId="1" applyFont="1" applyAlignment="1">
      <alignment horizontal="center"/>
    </xf>
    <xf numFmtId="0" fontId="0" fillId="0" borderId="0" xfId="1" applyFont="1" applyAlignment="1">
      <alignment horizontal="center"/>
    </xf>
    <xf numFmtId="0" fontId="7" fillId="0" borderId="0" xfId="1" applyFont="1" applyAlignment="1">
      <alignment horizontal="center"/>
    </xf>
    <xf numFmtId="0" fontId="7" fillId="0" borderId="4" xfId="1" applyFont="1" applyBorder="1" applyAlignment="1">
      <alignment horizontal="center"/>
    </xf>
    <xf numFmtId="0" fontId="11" fillId="0" borderId="5" xfId="1" applyFont="1" applyBorder="1" applyAlignment="1">
      <alignment horizontal="center"/>
    </xf>
    <xf numFmtId="0" fontId="7" fillId="0" borderId="0" xfId="0" applyFont="1" applyAlignment="1">
      <alignment wrapText="1"/>
    </xf>
    <xf numFmtId="0" fontId="0" fillId="0" borderId="0" xfId="0" applyAlignment="1">
      <alignment wrapText="1"/>
    </xf>
    <xf numFmtId="0" fontId="11" fillId="0" borderId="4" xfId="1" applyFont="1" applyBorder="1" applyAlignment="1">
      <alignment horizontal="center"/>
    </xf>
    <xf numFmtId="0" fontId="11" fillId="5" borderId="4" xfId="1" applyFont="1" applyFill="1" applyBorder="1" applyAlignment="1">
      <alignment horizontal="center"/>
    </xf>
    <xf numFmtId="0" fontId="11" fillId="5" borderId="3" xfId="1" applyFont="1" applyFill="1" applyBorder="1" applyAlignment="1">
      <alignment horizontal="center"/>
    </xf>
    <xf numFmtId="0" fontId="11" fillId="5" borderId="5" xfId="1" applyFont="1" applyFill="1" applyBorder="1" applyAlignment="1">
      <alignment horizontal="center"/>
    </xf>
    <xf numFmtId="0" fontId="11" fillId="10" borderId="13" xfId="1" applyFont="1" applyFill="1" applyBorder="1"/>
    <xf numFmtId="0" fontId="11" fillId="10" borderId="14" xfId="1" applyFont="1" applyFill="1" applyBorder="1"/>
    <xf numFmtId="0" fontId="11" fillId="8" borderId="14" xfId="1" applyFont="1" applyFill="1" applyBorder="1"/>
    <xf numFmtId="0" fontId="11" fillId="8" borderId="15" xfId="1" applyFont="1" applyFill="1" applyBorder="1"/>
    <xf numFmtId="0" fontId="11" fillId="0" borderId="13" xfId="1" applyFont="1" applyBorder="1" applyAlignment="1">
      <alignment horizontal="center" wrapText="1"/>
    </xf>
    <xf numFmtId="0" fontId="11" fillId="0" borderId="15" xfId="1" applyFont="1" applyBorder="1" applyAlignment="1">
      <alignment horizontal="center" wrapText="1"/>
    </xf>
    <xf numFmtId="0" fontId="7" fillId="0" borderId="3" xfId="1" applyFont="1" applyBorder="1" applyAlignment="1">
      <alignment horizontal="center"/>
    </xf>
    <xf numFmtId="0" fontId="7" fillId="0" borderId="5" xfId="1" applyFont="1" applyBorder="1" applyAlignment="1">
      <alignment horizontal="center"/>
    </xf>
    <xf numFmtId="0" fontId="11" fillId="0" borderId="13" xfId="1" applyFont="1" applyBorder="1" applyAlignment="1">
      <alignment horizontal="center"/>
    </xf>
    <xf numFmtId="0" fontId="11" fillId="0" borderId="14" xfId="1" applyFont="1" applyBorder="1" applyAlignment="1">
      <alignment horizontal="center"/>
    </xf>
    <xf numFmtId="0" fontId="11" fillId="0" borderId="15" xfId="1" applyFont="1" applyBorder="1" applyAlignment="1">
      <alignment horizontal="center"/>
    </xf>
    <xf numFmtId="0" fontId="7" fillId="0" borderId="13" xfId="1" applyFont="1" applyBorder="1" applyAlignment="1">
      <alignment horizontal="center" wrapText="1"/>
    </xf>
    <xf numFmtId="0" fontId="7" fillId="0" borderId="14" xfId="1" applyFont="1" applyBorder="1" applyAlignment="1">
      <alignment horizontal="center" wrapText="1"/>
    </xf>
    <xf numFmtId="0" fontId="7" fillId="0" borderId="15" xfId="1" applyFont="1" applyBorder="1" applyAlignment="1">
      <alignment horizontal="center" wrapText="1"/>
    </xf>
    <xf numFmtId="0" fontId="7" fillId="0" borderId="13" xfId="1" applyFont="1" applyBorder="1" applyAlignment="1">
      <alignment wrapText="1"/>
    </xf>
    <xf numFmtId="0" fontId="7" fillId="0" borderId="15" xfId="1" applyFont="1" applyBorder="1" applyAlignment="1">
      <alignment wrapText="1"/>
    </xf>
    <xf numFmtId="0" fontId="11" fillId="0" borderId="0" xfId="1" applyFont="1" applyAlignment="1" applyProtection="1">
      <alignment horizontal="center" vertical="center"/>
      <protection locked="0"/>
    </xf>
    <xf numFmtId="0" fontId="10" fillId="0" borderId="0" xfId="1" applyFont="1" applyAlignment="1">
      <alignment horizontal="center"/>
    </xf>
    <xf numFmtId="0" fontId="21" fillId="9" borderId="9" xfId="1" applyFont="1" applyFill="1" applyBorder="1" applyAlignment="1">
      <alignment horizontal="center" vertical="center"/>
    </xf>
  </cellXfs>
  <cellStyles count="4">
    <cellStyle name="??&amp;_x0012_?&amp;_x000b_?_x0008_*_x0007_?_x0007__x0001__x0001_" xfId="1" xr:uid="{00000000-0005-0000-0000-000000000000}"/>
    <cellStyle name="??&amp;_x0012_?&amp;_x000b_?_x0008_*_x0007_?_x0007__x0001__x0001_ 2" xfId="2" xr:uid="{00000000-0005-0000-0000-000001000000}"/>
    <cellStyle name="Lien hypertexte" xfId="3" builtinId="8"/>
    <cellStyle name="Normal" xfId="0" builtinId="0"/>
  </cellStyles>
  <dxfs count="103">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47"/>
        </patternFill>
      </fill>
    </dxf>
    <dxf>
      <fill>
        <patternFill>
          <bgColor indexed="51"/>
        </patternFill>
      </fill>
    </dxf>
    <dxf>
      <font>
        <condense val="0"/>
        <extend val="0"/>
        <color indexed="55"/>
      </font>
    </dxf>
    <dxf>
      <fill>
        <patternFill>
          <bgColor indexed="47"/>
        </patternFill>
      </fill>
    </dxf>
    <dxf>
      <fill>
        <patternFill>
          <bgColor indexed="51"/>
        </patternFill>
      </fill>
    </dxf>
    <dxf>
      <font>
        <condense val="0"/>
        <extend val="0"/>
        <color indexed="55"/>
      </font>
    </dxf>
    <dxf>
      <font>
        <condense val="0"/>
        <extend val="0"/>
        <color indexed="55"/>
      </font>
    </dxf>
    <dxf>
      <fill>
        <patternFill>
          <bgColor indexed="51"/>
        </patternFill>
      </fill>
    </dxf>
    <dxf>
      <fill>
        <patternFill>
          <bgColor indexed="51"/>
        </patternFill>
      </fill>
    </dxf>
    <dxf>
      <fill>
        <patternFill>
          <bgColor indexed="51"/>
        </patternFill>
      </fill>
    </dxf>
    <dxf>
      <font>
        <condense val="0"/>
        <extend val="0"/>
        <color indexed="55"/>
      </font>
    </dxf>
    <dxf>
      <fill>
        <patternFill>
          <bgColor indexed="47"/>
        </patternFill>
      </fill>
    </dxf>
    <dxf>
      <font>
        <condense val="0"/>
        <extend val="0"/>
        <color indexed="55"/>
      </font>
    </dxf>
    <dxf>
      <fill>
        <patternFill>
          <bgColor indexed="51"/>
        </patternFill>
      </fill>
    </dxf>
    <dxf>
      <fill>
        <patternFill>
          <bgColor indexed="47"/>
        </patternFill>
      </fill>
    </dxf>
    <dxf>
      <fill>
        <patternFill>
          <bgColor indexed="10"/>
        </patternFill>
      </fill>
    </dxf>
    <dxf>
      <fill>
        <patternFill>
          <bgColor indexed="22"/>
        </patternFill>
      </fill>
    </dxf>
    <dxf>
      <font>
        <condense val="0"/>
        <extend val="0"/>
        <color indexed="55"/>
      </font>
    </dxf>
    <dxf>
      <font>
        <condense val="0"/>
        <extend val="0"/>
        <color indexed="9"/>
      </font>
      <fill>
        <patternFill patternType="none">
          <bgColor indexed="65"/>
        </patternFill>
      </fill>
    </dxf>
    <dxf>
      <fill>
        <patternFill>
          <bgColor indexed="51"/>
        </patternFill>
      </fill>
    </dxf>
    <dxf>
      <fill>
        <patternFill>
          <bgColor indexed="51"/>
        </patternFill>
      </fill>
    </dxf>
    <dxf>
      <font>
        <condense val="0"/>
        <extend val="0"/>
        <color indexed="55"/>
      </font>
    </dxf>
    <dxf>
      <font>
        <color theme="0"/>
      </font>
      <fill>
        <patternFill patternType="none">
          <bgColor indexed="65"/>
        </patternFill>
      </fill>
    </dxf>
    <dxf>
      <fill>
        <patternFill>
          <bgColor indexed="51"/>
        </patternFill>
      </fill>
    </dxf>
    <dxf>
      <font>
        <color theme="0"/>
      </font>
      <fill>
        <patternFill patternType="none">
          <bgColor indexed="65"/>
        </patternFill>
      </fill>
    </dxf>
    <dxf>
      <fill>
        <patternFill>
          <bgColor indexed="47"/>
        </patternFill>
      </fill>
    </dxf>
    <dxf>
      <font>
        <color rgb="FFC0C0C0"/>
      </font>
      <fill>
        <patternFill>
          <bgColor rgb="FFC0C0C0"/>
        </patternFill>
      </fill>
      <border>
        <left/>
        <right/>
        <top style="thin">
          <color theme="1" tint="0.499984740745262"/>
        </top>
        <bottom/>
      </border>
    </dxf>
    <dxf>
      <fill>
        <patternFill>
          <bgColor indexed="47"/>
        </patternFill>
      </fill>
    </dxf>
    <dxf>
      <font>
        <condense val="0"/>
        <extend val="0"/>
        <color indexed="9"/>
      </font>
    </dxf>
    <dxf>
      <fill>
        <patternFill>
          <bgColor indexed="47"/>
        </patternFill>
      </fill>
    </dxf>
    <dxf>
      <font>
        <condense val="0"/>
        <extend val="0"/>
        <color indexed="9"/>
      </font>
    </dxf>
    <dxf>
      <fill>
        <patternFill>
          <bgColor indexed="47"/>
        </patternFill>
      </fill>
    </dxf>
    <dxf>
      <font>
        <condense val="0"/>
        <extend val="0"/>
        <color indexed="9"/>
      </font>
    </dxf>
    <dxf>
      <font>
        <color rgb="FFC0C0C0"/>
      </font>
      <fill>
        <patternFill>
          <bgColor rgb="FFC0C0C0"/>
        </patternFill>
      </fill>
    </dxf>
    <dxf>
      <font>
        <color rgb="FF969696"/>
      </font>
    </dxf>
    <dxf>
      <fill>
        <patternFill>
          <bgColor indexed="51"/>
        </patternFill>
      </fill>
    </dxf>
    <dxf>
      <fill>
        <patternFill>
          <bgColor indexed="10"/>
        </patternFill>
      </fill>
      <border>
        <left style="thin">
          <color indexed="64"/>
        </left>
        <right style="thin">
          <color indexed="64"/>
        </right>
        <top style="thin">
          <color indexed="64"/>
        </top>
        <bottom style="thin">
          <color indexed="64"/>
        </bottom>
      </border>
    </dxf>
    <dxf>
      <fill>
        <patternFill>
          <bgColor indexed="51"/>
        </patternFill>
      </fill>
    </dxf>
    <dxf>
      <fill>
        <patternFill>
          <bgColor indexed="47"/>
        </patternFill>
      </fill>
    </dxf>
    <dxf>
      <font>
        <condense val="0"/>
        <extend val="0"/>
        <color indexed="55"/>
      </font>
    </dxf>
    <dxf>
      <font>
        <condense val="0"/>
        <extend val="0"/>
        <color indexed="55"/>
      </font>
      <fill>
        <patternFill>
          <bgColor indexed="22"/>
        </patternFill>
      </fill>
    </dxf>
    <dxf>
      <fill>
        <patternFill>
          <bgColor indexed="51"/>
        </patternFill>
      </fill>
    </dxf>
    <dxf>
      <fill>
        <patternFill>
          <bgColor indexed="22"/>
        </patternFill>
      </fill>
    </dxf>
    <dxf>
      <fill>
        <patternFill>
          <bgColor indexed="47"/>
        </patternFill>
      </fill>
    </dxf>
    <dxf>
      <font>
        <condense val="0"/>
        <extend val="0"/>
        <color indexed="55"/>
      </font>
    </dxf>
    <dxf>
      <fill>
        <patternFill>
          <bgColor indexed="51"/>
        </patternFill>
      </fill>
    </dxf>
    <dxf>
      <fill>
        <patternFill>
          <bgColor indexed="51"/>
        </patternFill>
      </fill>
    </dxf>
    <dxf>
      <fill>
        <patternFill>
          <bgColor indexed="47"/>
        </patternFill>
      </fill>
    </dxf>
    <dxf>
      <fill>
        <patternFill>
          <bgColor indexed="51"/>
        </patternFill>
      </fill>
    </dxf>
    <dxf>
      <font>
        <condense val="0"/>
        <extend val="0"/>
        <color indexed="22"/>
      </font>
      <fill>
        <patternFill>
          <bgColor indexed="22"/>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51"/>
        </patternFill>
      </fill>
    </dxf>
    <dxf>
      <fill>
        <patternFill>
          <bgColor indexed="9"/>
        </patternFill>
      </fill>
    </dxf>
    <dxf>
      <font>
        <b val="0"/>
        <i val="0"/>
        <color rgb="FFFF0000"/>
      </font>
    </dxf>
    <dxf>
      <font>
        <b val="0"/>
        <i val="0"/>
        <color rgb="FFFF0000"/>
      </font>
    </dxf>
    <dxf>
      <fill>
        <patternFill>
          <bgColor indexed="51"/>
        </patternFill>
      </fill>
    </dxf>
    <dxf>
      <font>
        <color rgb="FFC0C0C0"/>
      </font>
    </dxf>
    <dxf>
      <font>
        <color rgb="FFC0C0C0"/>
      </font>
    </dxf>
    <dxf>
      <font>
        <color rgb="FFC0C0C0"/>
      </font>
    </dxf>
    <dxf>
      <fill>
        <patternFill>
          <bgColor indexed="44"/>
        </patternFill>
      </fill>
    </dxf>
    <dxf>
      <font>
        <condense val="0"/>
        <extend val="0"/>
        <color indexed="23"/>
      </font>
      <fill>
        <patternFill>
          <bgColor indexed="55"/>
        </patternFill>
      </fill>
    </dxf>
    <dxf>
      <font>
        <color indexed="13"/>
      </font>
      <fill>
        <patternFill>
          <bgColor indexed="10"/>
        </patternFill>
      </fill>
    </dxf>
    <dxf>
      <fill>
        <patternFill>
          <bgColor indexed="51"/>
        </patternFill>
      </fill>
    </dxf>
    <dxf>
      <fill>
        <patternFill>
          <bgColor indexed="44"/>
        </patternFill>
      </fill>
    </dxf>
    <dxf>
      <fill>
        <patternFill>
          <bgColor indexed="51"/>
        </patternFill>
      </fill>
    </dxf>
    <dxf>
      <font>
        <condense val="0"/>
        <extend val="0"/>
        <color indexed="43"/>
      </font>
      <fill>
        <patternFill>
          <bgColor indexed="10"/>
        </patternFill>
      </fill>
    </dxf>
    <dxf>
      <font>
        <color rgb="FFC0C0C0"/>
      </font>
    </dxf>
    <dxf>
      <fill>
        <patternFill>
          <bgColor indexed="51"/>
        </patternFill>
      </fill>
    </dxf>
    <dxf>
      <font>
        <condense val="0"/>
        <extend val="0"/>
        <color auto="1"/>
      </font>
      <fill>
        <patternFill>
          <bgColor indexed="44"/>
        </patternFill>
      </fill>
    </dxf>
    <dxf>
      <font>
        <condense val="0"/>
        <extend val="0"/>
        <color auto="1"/>
      </font>
      <fill>
        <patternFill>
          <bgColor indexed="44"/>
        </patternFill>
      </fill>
    </dxf>
    <dxf>
      <font>
        <b val="0"/>
        <i val="0"/>
        <color rgb="FFFF0000"/>
      </font>
    </dxf>
    <dxf>
      <font>
        <condense val="0"/>
        <extend val="0"/>
        <color indexed="22"/>
      </font>
      <fill>
        <patternFill>
          <bgColor indexed="22"/>
        </patternFill>
      </fill>
    </dxf>
    <dxf>
      <font>
        <condense val="0"/>
        <extend val="0"/>
        <color indexed="55"/>
      </font>
      <fill>
        <patternFill patternType="solid">
          <bgColor indexed="22"/>
        </patternFill>
      </fill>
    </dxf>
    <dxf>
      <font>
        <color rgb="FFC0C0C0"/>
        <name val="Cambria"/>
        <scheme val="none"/>
      </font>
      <fill>
        <patternFill>
          <bgColor rgb="FFC0C0C0"/>
        </patternFill>
      </fill>
    </dxf>
    <dxf>
      <font>
        <color rgb="FF969696"/>
      </font>
      <fill>
        <patternFill>
          <bgColor rgb="FFC0C0C0"/>
        </patternFill>
      </fill>
    </dxf>
    <dxf>
      <font>
        <condense val="0"/>
        <extend val="0"/>
        <color indexed="44"/>
      </font>
      <fill>
        <patternFill>
          <bgColor indexed="44"/>
        </patternFill>
      </fill>
    </dxf>
    <dxf>
      <font>
        <condense val="0"/>
        <extend val="0"/>
        <color indexed="44"/>
      </font>
      <fill>
        <patternFill>
          <bgColor indexed="44"/>
        </patternFill>
      </fill>
    </dxf>
    <dxf>
      <font>
        <condense val="0"/>
        <extend val="0"/>
        <color indexed="55"/>
      </font>
      <fill>
        <patternFill>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22"/>
      </font>
      <fill>
        <patternFill patternType="solid">
          <bgColor indexed="22"/>
        </patternFill>
      </fill>
    </dxf>
    <dxf>
      <fill>
        <patternFill>
          <bgColor indexed="51"/>
        </patternFill>
      </fill>
    </dxf>
    <dxf>
      <font>
        <condense val="0"/>
        <extend val="0"/>
        <color indexed="55"/>
      </font>
    </dxf>
    <dxf>
      <fill>
        <patternFill>
          <bgColor indexed="51"/>
        </patternFill>
      </fill>
    </dxf>
    <dxf>
      <font>
        <condense val="0"/>
        <extend val="0"/>
        <color indexed="9"/>
      </font>
      <fill>
        <patternFill patternType="none">
          <bgColor indexed="65"/>
        </patternFill>
      </fill>
    </dxf>
    <dxf>
      <font>
        <condense val="0"/>
        <extend val="0"/>
        <color auto="1"/>
      </font>
      <fill>
        <patternFill>
          <bgColor indexed="47"/>
        </patternFill>
      </fill>
    </dxf>
    <dxf>
      <font>
        <condense val="0"/>
        <extend val="0"/>
        <color indexed="9"/>
      </font>
      <fill>
        <patternFill patternType="none">
          <bgColor indexed="65"/>
        </patternFill>
      </fill>
    </dxf>
    <dxf>
      <font>
        <condense val="0"/>
        <extend val="0"/>
        <color indexed="9"/>
      </font>
      <fill>
        <patternFill patternType="none">
          <bgColor indexed="65"/>
        </patternFill>
      </fill>
    </dxf>
    <dxf>
      <border>
        <left style="thin">
          <color indexed="16"/>
        </left>
        <right style="thin">
          <color indexed="16"/>
        </right>
        <bottom style="thin">
          <color indexed="16"/>
        </bottom>
      </border>
    </dxf>
    <dxf>
      <border>
        <left style="thin">
          <color indexed="16"/>
        </left>
        <right style="thin">
          <color indexed="16"/>
        </right>
        <top style="thin">
          <color indexed="16"/>
        </top>
      </border>
    </dxf>
    <dxf>
      <border>
        <left style="thin">
          <color indexed="16"/>
        </left>
        <right style="thin">
          <color indexed="16"/>
        </right>
        <bottom style="thin">
          <color indexed="16"/>
        </bottom>
      </border>
    </dxf>
    <dxf>
      <border>
        <left style="thin">
          <color indexed="16"/>
        </left>
        <right style="thin">
          <color indexed="16"/>
        </right>
        <top style="thin">
          <color indexed="16"/>
        </top>
      </border>
    </dxf>
    <dxf>
      <font>
        <condense val="0"/>
        <extend val="0"/>
        <color indexed="9"/>
      </font>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8BD21D30-EC42-11CE-9E0D-00AA006002F3}" ax:persistence="persistStreamInit" r:id="rId1"/>
</file>

<file path=xl/activeX/activeX3.xml><?xml version="1.0" encoding="utf-8"?>
<ax:ocx xmlns:ax="http://schemas.microsoft.com/office/2006/activeX" xmlns:r="http://schemas.openxmlformats.org/officeDocument/2006/relationships" ax:classid="{8BD21D30-EC42-11CE-9E0D-00AA006002F3}" ax:persistence="persistStreamInit" r:id="rId1"/>
</file>

<file path=xl/activeX/activeX4.xml><?xml version="1.0" encoding="utf-8"?>
<ax:ocx xmlns:ax="http://schemas.microsoft.com/office/2006/activeX" xmlns:r="http://schemas.openxmlformats.org/officeDocument/2006/relationships" ax:classid="{8BD21D30-EC42-11CE-9E0D-00AA006002F3}" ax:persistence="persistStreamInit" r:id="rId1"/>
</file>

<file path=xl/activeX/activeX5.xml><?xml version="1.0" encoding="utf-8"?>
<ax:ocx xmlns:ax="http://schemas.microsoft.com/office/2006/activeX" xmlns:r="http://schemas.openxmlformats.org/officeDocument/2006/relationships" ax:classid="{8BD21D30-EC42-11CE-9E0D-00AA006002F3}" ax:persistence="persistStreamInit" r:id="rId1"/>
</file>

<file path=xl/activeX/activeX6.xml><?xml version="1.0" encoding="utf-8"?>
<ax:ocx xmlns:ax="http://schemas.microsoft.com/office/2006/activeX" xmlns:r="http://schemas.openxmlformats.org/officeDocument/2006/relationships" ax:classid="{8BD21D30-EC42-11CE-9E0D-00AA006002F3}" ax:persistence="persistStreamInit" r:id="rId1"/>
</file>

<file path=xl/activeX/activeX7.xml><?xml version="1.0" encoding="utf-8"?>
<ax:ocx xmlns:ax="http://schemas.microsoft.com/office/2006/activeX" xmlns:r="http://schemas.openxmlformats.org/officeDocument/2006/relationships" ax:classid="{8BD21D30-EC42-11CE-9E0D-00AA006002F3}" ax:persistence="persistStreamInit" r:id="rId1"/>
</file>

<file path=xl/activeX/activeX8.xml><?xml version="1.0" encoding="utf-8"?>
<ax:ocx xmlns:ax="http://schemas.microsoft.com/office/2006/activeX" xmlns:r="http://schemas.openxmlformats.org/officeDocument/2006/relationships" ax:classid="{8BD21D30-EC42-11CE-9E0D-00AA006002F3}" ax:persistence="persistStreamInit" r:id="rId1"/>
</file>

<file path=xl/activeX/activeX9.xml><?xml version="1.0" encoding="utf-8"?>
<ax:ocx xmlns:ax="http://schemas.microsoft.com/office/2006/activeX" xmlns:r="http://schemas.openxmlformats.org/officeDocument/2006/relationships" ax:classid="{8BD21D3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D7053240-CE69-11CD-A777-00DD01143C57}" ax:persistence="persistStreamInit" r:id="rId1"/>
</file>

<file path=xl/activeX/activeX13.xml><?xml version="1.0" encoding="utf-8"?>
<ax:ocx xmlns:ax="http://schemas.microsoft.com/office/2006/activeX" xmlns:r="http://schemas.openxmlformats.org/officeDocument/2006/relationships" ax:classid="{D7053240-CE69-11CD-A777-00DD01143C57}" ax:persistence="persistStreamInit" r:id="rId1"/>
</file>

<file path=xl/activeX/activeX14.xml><?xml version="1.0" encoding="utf-8"?>
<ax:ocx xmlns:ax="http://schemas.microsoft.com/office/2006/activeX" xmlns:r="http://schemas.openxmlformats.org/officeDocument/2006/relationships" ax:classid="{D7053240-CE69-11CD-A777-00DD01143C57}" ax:persistence="persistStreamInit" r:id="rId1"/>
</file>

<file path=xl/activeX/activeX15.xml><?xml version="1.0" encoding="utf-8"?>
<ax:ocx xmlns:ax="http://schemas.microsoft.com/office/2006/activeX" xmlns:r="http://schemas.openxmlformats.org/officeDocument/2006/relationships" ax:classid="{D7053240-CE69-11CD-A777-00DD01143C57}" ax:persistence="persistStreamInit" r:id="rId1"/>
</file>

<file path=xl/activeX/activeX16.xml><?xml version="1.0" encoding="utf-8"?>
<ax:ocx xmlns:ax="http://schemas.microsoft.com/office/2006/activeX" xmlns:r="http://schemas.openxmlformats.org/officeDocument/2006/relationships" ax:classid="{D7053240-CE69-11CD-A777-00DD01143C57}" ax:persistence="persistStreamInit" r:id="rId1"/>
</file>

<file path=xl/activeX/activeX17.xml><?xml version="1.0" encoding="utf-8"?>
<ax:ocx xmlns:ax="http://schemas.microsoft.com/office/2006/activeX" xmlns:r="http://schemas.openxmlformats.org/officeDocument/2006/relationships" ax:classid="{D7053240-CE69-11CD-A777-00DD01143C57}" ax:persistence="persistStreamInit" r:id="rId1"/>
</file>

<file path=xl/activeX/activeX18.xml><?xml version="1.0" encoding="utf-8"?>
<ax:ocx xmlns:ax="http://schemas.microsoft.com/office/2006/activeX" xmlns:r="http://schemas.openxmlformats.org/officeDocument/2006/relationships" ax:classid="{D7053240-CE69-11CD-A777-00DD01143C57}" ax:persistence="persistStreamInit" r:id="rId1"/>
</file>

<file path=xl/activeX/activeX19.xml><?xml version="1.0" encoding="utf-8"?>
<ax:ocx xmlns:ax="http://schemas.microsoft.com/office/2006/activeX" xmlns:r="http://schemas.openxmlformats.org/officeDocument/2006/relationships" ax:classid="{D7053240-CE69-11CD-A777-00DD01143C57}" ax:persistence="persistStreamInit" r:id="rId1"/>
</file>

<file path=xl/activeX/activeX20.xml><?xml version="1.0" encoding="utf-8"?>
<ax:ocx xmlns:ax="http://schemas.microsoft.com/office/2006/activeX" xmlns:r="http://schemas.openxmlformats.org/officeDocument/2006/relationships" ax:classid="{D7053240-CE69-11CD-A777-00DD01143C57}" ax:persistence="persistStreamInit" r:id="rId1"/>
</file>

<file path=xl/activeX/activeX21.xml><?xml version="1.0" encoding="utf-8"?>
<ax:ocx xmlns:ax="http://schemas.microsoft.com/office/2006/activeX" xmlns:r="http://schemas.openxmlformats.org/officeDocument/2006/relationships" ax:classid="{D7053240-CE69-11CD-A777-00DD01143C57}" ax:persistence="persistStreamInit" r:id="rId1"/>
</file>

<file path=xl/activeX/activeX22.xml><?xml version="1.0" encoding="utf-8"?>
<ax:ocx xmlns:ax="http://schemas.microsoft.com/office/2006/activeX" xmlns:r="http://schemas.openxmlformats.org/officeDocument/2006/relationships" ax:classid="{D7053240-CE69-11CD-A777-00DD01143C57}" ax:persistence="persistStreamInit" r:id="rId1"/>
</file>

<file path=xl/activeX/activeX23.xml><?xml version="1.0" encoding="utf-8"?>
<ax:ocx xmlns:ax="http://schemas.microsoft.com/office/2006/activeX" xmlns:r="http://schemas.openxmlformats.org/officeDocument/2006/relationships" ax:classid="{D7053240-CE69-11CD-A777-00DD01143C57}" ax:persistence="persistStreamInit" r:id="rId1"/>
</file>

<file path=xl/activeX/activeX24.xml><?xml version="1.0" encoding="utf-8"?>
<ax:ocx xmlns:ax="http://schemas.microsoft.com/office/2006/activeX" xmlns:r="http://schemas.openxmlformats.org/officeDocument/2006/relationships" ax:classid="{D7053240-CE69-11CD-A777-00DD01143C57}" ax:persistence="persistStreamInit" r:id="rId1"/>
</file>

<file path=xl/activeX/activeX25.xml><?xml version="1.0" encoding="utf-8"?>
<ax:ocx xmlns:ax="http://schemas.microsoft.com/office/2006/activeX" xmlns:r="http://schemas.openxmlformats.org/officeDocument/2006/relationships" ax:classid="{D7053240-CE69-11CD-A777-00DD01143C57}" ax:persistence="persistStreamInit" r:id="rId1"/>
</file>

<file path=xl/activeX/activeX26.xml><?xml version="1.0" encoding="utf-8"?>
<ax:ocx xmlns:ax="http://schemas.microsoft.com/office/2006/activeX" xmlns:r="http://schemas.openxmlformats.org/officeDocument/2006/relationships" ax:classid="{D7053240-CE69-11CD-A777-00DD01143C57}" ax:persistence="persistStreamInit" r:id="rId1"/>
</file>

<file path=xl/activeX/activeX27.xml><?xml version="1.0" encoding="utf-8"?>
<ax:ocx xmlns:ax="http://schemas.microsoft.com/office/2006/activeX" xmlns:r="http://schemas.openxmlformats.org/officeDocument/2006/relationships" ax:classid="{D7053240-CE69-11CD-A777-00DD01143C57}" ax:persistence="persistStreamInit" r:id="rId1"/>
</file>

<file path=xl/activeX/activeX28.xml><?xml version="1.0" encoding="utf-8"?>
<ax:ocx xmlns:ax="http://schemas.microsoft.com/office/2006/activeX" xmlns:r="http://schemas.openxmlformats.org/officeDocument/2006/relationships" ax:classid="{D7053240-CE69-11CD-A777-00DD01143C57}" ax:persistence="persistStreamInit" r:id="rId1"/>
</file>

<file path=xl/activeX/activeX29.xml><?xml version="1.0" encoding="utf-8"?>
<ax:ocx xmlns:ax="http://schemas.microsoft.com/office/2006/activeX" xmlns:r="http://schemas.openxmlformats.org/officeDocument/2006/relationships" ax:classid="{8BD21D40-EC42-11CE-9E0D-00AA006002F3}" ax:persistence="persistStreamInit" r:id="rId1"/>
</file>

<file path=xl/activeX/activeX30.xml><?xml version="1.0" encoding="utf-8"?>
<ax:ocx xmlns:ax="http://schemas.microsoft.com/office/2006/activeX" xmlns:r="http://schemas.openxmlformats.org/officeDocument/2006/relationships" ax:classid="{D7053240-CE69-11CD-A777-00DD01143C57}" ax:persistence="persistStreamInit" r:id="rId1"/>
</file>

<file path=xl/activeX/activeX31.xml><?xml version="1.0" encoding="utf-8"?>
<ax:ocx xmlns:ax="http://schemas.microsoft.com/office/2006/activeX" xmlns:r="http://schemas.openxmlformats.org/officeDocument/2006/relationships" ax:classid="{D7053240-CE69-11CD-A777-00DD01143C57}" ax:persistence="persistStreamInit" r:id="rId1"/>
</file>

<file path=xl/activeX/activeX32.xml><?xml version="1.0" encoding="utf-8"?>
<ax:ocx xmlns:ax="http://schemas.microsoft.com/office/2006/activeX" xmlns:r="http://schemas.openxmlformats.org/officeDocument/2006/relationships" ax:classid="{D7053240-CE69-11CD-A777-00DD01143C57}" ax:persistence="persistStreamInit" r:id="rId1"/>
</file>

<file path=xl/activeX/activeX33.xml><?xml version="1.0" encoding="utf-8"?>
<ax:ocx xmlns:ax="http://schemas.microsoft.com/office/2006/activeX" xmlns:r="http://schemas.openxmlformats.org/officeDocument/2006/relationships" ax:classid="{D7053240-CE69-11CD-A777-00DD01143C57}" ax:persistence="persistStreamInit" r:id="rId1"/>
</file>

<file path=xl/activeX/activeX34.xml><?xml version="1.0" encoding="utf-8"?>
<ax:ocx xmlns:ax="http://schemas.microsoft.com/office/2006/activeX" xmlns:r="http://schemas.openxmlformats.org/officeDocument/2006/relationships" ax:classid="{D7053240-CE69-11CD-A777-00DD01143C57}" ax:persistence="persistStreamInit" r:id="rId1"/>
</file>

<file path=xl/activeX/activeX35.xml><?xml version="1.0" encoding="utf-8"?>
<ax:ocx xmlns:ax="http://schemas.microsoft.com/office/2006/activeX" xmlns:r="http://schemas.openxmlformats.org/officeDocument/2006/relationships" ax:classid="{D7053240-CE69-11CD-A777-00DD01143C57}" ax:persistence="persistStreamInit" r:id="rId1"/>
</file>

<file path=xl/activeX/activeX36.xml><?xml version="1.0" encoding="utf-8"?>
<ax:ocx xmlns:ax="http://schemas.microsoft.com/office/2006/activeX" xmlns:r="http://schemas.openxmlformats.org/officeDocument/2006/relationships" ax:classid="{D7053240-CE69-11CD-A777-00DD01143C57}" ax:persistence="persistStreamInit" r:id="rId1"/>
</file>

<file path=xl/activeX/activeX37.xml><?xml version="1.0" encoding="utf-8"?>
<ax:ocx xmlns:ax="http://schemas.microsoft.com/office/2006/activeX" xmlns:r="http://schemas.openxmlformats.org/officeDocument/2006/relationships" ax:classid="{D7053240-CE69-11CD-A777-00DD01143C57}" ax:persistence="persistStreamInit" r:id="rId1"/>
</file>

<file path=xl/activeX/activeX38.xml><?xml version="1.0" encoding="utf-8"?>
<ax:ocx xmlns:ax="http://schemas.microsoft.com/office/2006/activeX" xmlns:r="http://schemas.openxmlformats.org/officeDocument/2006/relationships" ax:classid="{D7053240-CE69-11CD-A777-00DD01143C57}" ax:persistence="persistStreamInit" r:id="rId1"/>
</file>

<file path=xl/activeX/activeX39.xml><?xml version="1.0" encoding="utf-8"?>
<ax:ocx xmlns:ax="http://schemas.microsoft.com/office/2006/activeX" xmlns:r="http://schemas.openxmlformats.org/officeDocument/2006/relationships" ax:classid="{D7053240-CE69-11CD-A777-00DD01143C57}" ax:persistence="persistStreamInit" r:id="rId1"/>
</file>

<file path=xl/activeX/activeX40.xml><?xml version="1.0" encoding="utf-8"?>
<ax:ocx xmlns:ax="http://schemas.microsoft.com/office/2006/activeX" xmlns:r="http://schemas.openxmlformats.org/officeDocument/2006/relationships" ax:classid="{D7053240-CE69-11CD-A777-00DD01143C57}" ax:persistence="persistStreamInit" r:id="rId1"/>
</file>

<file path=xl/activeX/activeX41.xml><?xml version="1.0" encoding="utf-8"?>
<ax:ocx xmlns:ax="http://schemas.microsoft.com/office/2006/activeX" xmlns:r="http://schemas.openxmlformats.org/officeDocument/2006/relationships" ax:classid="{D7053240-CE69-11CD-A777-00DD01143C57}" ax:persistence="persistStreamInit" r:id="rId1"/>
</file>

<file path=xl/charts/_rels/chart10.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1.6129057662956248E-2"/>
          <c:y val="3.9370230108229688E-2"/>
          <c:w val="0.4290329338346362"/>
          <c:h val="0.77953055614294775"/>
        </c:manualLayout>
      </c:layout>
      <c:barChart>
        <c:barDir val="col"/>
        <c:grouping val="percentStacked"/>
        <c:varyColors val="0"/>
        <c:ser>
          <c:idx val="3"/>
          <c:order val="0"/>
          <c:tx>
            <c:strRef>
              <c:f>Summary!$N$25</c:f>
              <c:strCache>
                <c:ptCount val="1"/>
                <c:pt idx="0">
                  <c:v>Device Static…..</c:v>
                </c:pt>
              </c:strCache>
            </c:strRef>
          </c:tx>
          <c:spPr>
            <a:solidFill>
              <a:srgbClr val="3366FF"/>
            </a:solidFill>
            <a:ln w="12700">
              <a:solidFill>
                <a:srgbClr val="FFFFFF"/>
              </a:solidFill>
              <a:prstDash val="solid"/>
            </a:ln>
          </c:spPr>
          <c:invertIfNegative val="0"/>
          <c:val>
            <c:numRef>
              <c:f>Summary!$O$25:$P$25</c:f>
              <c:numCache>
                <c:formatCode>#0.000\W</c:formatCode>
                <c:ptCount val="2"/>
                <c:pt idx="1">
                  <c:v>9.4781308725090219E-2</c:v>
                </c:pt>
              </c:numCache>
            </c:numRef>
          </c:val>
          <c:extLst>
            <c:ext xmlns:c16="http://schemas.microsoft.com/office/drawing/2014/chart" uri="{C3380CC4-5D6E-409C-BE32-E72D297353CC}">
              <c16:uniqueId val="{00000000-FE93-4E0F-A37B-14E81A22437A}"/>
            </c:ext>
          </c:extLst>
        </c:ser>
        <c:ser>
          <c:idx val="2"/>
          <c:order val="1"/>
          <c:tx>
            <c:strRef>
              <c:f>Summary!$N$24</c:f>
              <c:strCache>
                <c:ptCount val="1"/>
                <c:pt idx="0">
                  <c:v>Core Dynamic..</c:v>
                </c:pt>
              </c:strCache>
            </c:strRef>
          </c:tx>
          <c:spPr>
            <a:solidFill>
              <a:srgbClr val="993300"/>
            </a:solidFill>
            <a:ln w="12700">
              <a:solidFill>
                <a:srgbClr val="FFFFFF"/>
              </a:solidFill>
              <a:prstDash val="solid"/>
            </a:ln>
          </c:spPr>
          <c:invertIfNegative val="0"/>
          <c:val>
            <c:numRef>
              <c:f>Summary!$O$24:$P$24</c:f>
              <c:numCache>
                <c:formatCode>#0.000\W</c:formatCode>
                <c:ptCount val="2"/>
                <c:pt idx="1">
                  <c:v>5.3007551352075619E-2</c:v>
                </c:pt>
              </c:numCache>
            </c:numRef>
          </c:val>
          <c:extLst>
            <c:ext xmlns:c16="http://schemas.microsoft.com/office/drawing/2014/chart" uri="{C3380CC4-5D6E-409C-BE32-E72D297353CC}">
              <c16:uniqueId val="{00000001-FE93-4E0F-A37B-14E81A22437A}"/>
            </c:ext>
          </c:extLst>
        </c:ser>
        <c:ser>
          <c:idx val="1"/>
          <c:order val="2"/>
          <c:tx>
            <c:strRef>
              <c:f>Summary!$N$23</c:f>
              <c:strCache>
                <c:ptCount val="1"/>
                <c:pt idx="0">
                  <c:v>I/O………………</c:v>
                </c:pt>
              </c:strCache>
            </c:strRef>
          </c:tx>
          <c:spPr>
            <a:solidFill>
              <a:srgbClr val="008000"/>
            </a:solidFill>
            <a:ln w="12700">
              <a:solidFill>
                <a:srgbClr val="FFFFFF"/>
              </a:solidFill>
              <a:prstDash val="solid"/>
            </a:ln>
          </c:spPr>
          <c:invertIfNegative val="0"/>
          <c:val>
            <c:numRef>
              <c:f>Summary!$O$23:$P$23</c:f>
              <c:numCache>
                <c:formatCode>#0.000\W</c:formatCode>
                <c:ptCount val="2"/>
                <c:pt idx="1">
                  <c:v>0.34024679642857136</c:v>
                </c:pt>
              </c:numCache>
            </c:numRef>
          </c:val>
          <c:extLst>
            <c:ext xmlns:c16="http://schemas.microsoft.com/office/drawing/2014/chart" uri="{C3380CC4-5D6E-409C-BE32-E72D297353CC}">
              <c16:uniqueId val="{00000002-FE93-4E0F-A37B-14E81A22437A}"/>
            </c:ext>
          </c:extLst>
        </c:ser>
        <c:ser>
          <c:idx val="0"/>
          <c:order val="3"/>
          <c:tx>
            <c:strRef>
              <c:f>Summary!$N$22</c:f>
              <c:strCache>
                <c:ptCount val="1"/>
                <c:pt idx="0">
                  <c:v>Transceiver……</c:v>
                </c:pt>
              </c:strCache>
            </c:strRef>
          </c:tx>
          <c:spPr>
            <a:solidFill>
              <a:srgbClr val="660066"/>
            </a:solidFill>
            <a:ln w="12700">
              <a:solidFill>
                <a:srgbClr val="FFFFFF"/>
              </a:solidFill>
              <a:prstDash val="solid"/>
            </a:ln>
          </c:spPr>
          <c:invertIfNegative val="0"/>
          <c:val>
            <c:numRef>
              <c:f>Summary!$O$22:$P$22</c:f>
              <c:numCache>
                <c:formatCode>#0.000\W</c:formatCode>
                <c:ptCount val="2"/>
                <c:pt idx="1">
                  <c:v>0</c:v>
                </c:pt>
              </c:numCache>
            </c:numRef>
          </c:val>
          <c:extLst>
            <c:ext xmlns:c16="http://schemas.microsoft.com/office/drawing/2014/chart" uri="{C3380CC4-5D6E-409C-BE32-E72D297353CC}">
              <c16:uniqueId val="{00000003-FE93-4E0F-A37B-14E81A22437A}"/>
            </c:ext>
          </c:extLst>
        </c:ser>
        <c:dLbls>
          <c:showLegendKey val="0"/>
          <c:showVal val="0"/>
          <c:showCatName val="0"/>
          <c:showSerName val="0"/>
          <c:showPercent val="0"/>
          <c:showBubbleSize val="0"/>
        </c:dLbls>
        <c:gapWidth val="150"/>
        <c:overlap val="100"/>
        <c:axId val="399672192"/>
        <c:axId val="399678720"/>
      </c:barChart>
      <c:catAx>
        <c:axId val="399672192"/>
        <c:scaling>
          <c:orientation val="minMax"/>
        </c:scaling>
        <c:delete val="1"/>
        <c:axPos val="b"/>
        <c:majorTickMark val="out"/>
        <c:minorTickMark val="none"/>
        <c:tickLblPos val="nextTo"/>
        <c:crossAx val="399678720"/>
        <c:crosses val="autoZero"/>
        <c:auto val="1"/>
        <c:lblAlgn val="ctr"/>
        <c:lblOffset val="100"/>
        <c:noMultiLvlLbl val="0"/>
      </c:catAx>
      <c:valAx>
        <c:axId val="399678720"/>
        <c:scaling>
          <c:orientation val="minMax"/>
        </c:scaling>
        <c:delete val="1"/>
        <c:axPos val="l"/>
        <c:numFmt formatCode="0%" sourceLinked="1"/>
        <c:majorTickMark val="out"/>
        <c:minorTickMark val="none"/>
        <c:tickLblPos val="nextTo"/>
        <c:crossAx val="399672192"/>
        <c:crosses val="autoZero"/>
        <c:crossBetween val="between"/>
      </c:valAx>
      <c:spPr>
        <a:noFill/>
        <a:ln w="25400">
          <a:noFill/>
        </a:ln>
      </c:spPr>
    </c:plotArea>
    <c:legend>
      <c:legendPos val="b"/>
      <c:layout>
        <c:manualLayout>
          <c:xMode val="edge"/>
          <c:yMode val="edge"/>
          <c:x val="0.46460452209098863"/>
          <c:y val="4.0001315252356028E-2"/>
          <c:w val="0.42494326881014871"/>
          <c:h val="0.84003243219834001"/>
        </c:manualLayout>
      </c:layout>
      <c:overlay val="0"/>
      <c:spPr>
        <a:noFill/>
        <a:ln w="25400">
          <a:no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gap"/>
    <c:showDLblsOverMax val="0"/>
  </c:chart>
  <c:spPr>
    <a:noFill/>
    <a:ln w="9525">
      <a:noFill/>
    </a:ln>
  </c:spPr>
  <c:txPr>
    <a:bodyPr/>
    <a:lstStyle/>
    <a:p>
      <a:pPr>
        <a:defRPr sz="37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25" b="1" i="0" u="none" strike="noStrike" baseline="0">
                <a:solidFill>
                  <a:srgbClr val="000000"/>
                </a:solidFill>
                <a:latin typeface="Arial"/>
                <a:ea typeface="Arial"/>
                <a:cs typeface="Arial"/>
              </a:defRPr>
            </a:pPr>
            <a:r>
              <a:rPr lang="fr-CA"/>
              <a:t>1400A</a:t>
            </a:r>
          </a:p>
        </c:rich>
      </c:tx>
      <c:layout>
        <c:manualLayout>
          <c:xMode val="edge"/>
          <c:yMode val="edge"/>
          <c:x val="0.47597784859314513"/>
          <c:y val="2.1541551787313859E-2"/>
        </c:manualLayout>
      </c:layout>
      <c:overlay val="0"/>
      <c:spPr>
        <a:noFill/>
        <a:ln w="25400">
          <a:noFill/>
        </a:ln>
      </c:spPr>
    </c:title>
    <c:autoTitleDeleted val="0"/>
    <c:plotArea>
      <c:layout>
        <c:manualLayout>
          <c:layoutTarget val="inner"/>
          <c:xMode val="edge"/>
          <c:yMode val="edge"/>
          <c:x val="0.10055871407925655"/>
          <c:y val="5.6006281078251764E-2"/>
          <c:w val="0.72849201755194748"/>
          <c:h val="0.92384192619733052"/>
        </c:manualLayout>
      </c:layout>
      <c:lineChart>
        <c:grouping val="standard"/>
        <c:varyColors val="0"/>
        <c:ser>
          <c:idx val="0"/>
          <c:order val="0"/>
          <c:tx>
            <c:strRef>
              <c:f>Data!$P$80</c:f>
              <c:strCache>
                <c:ptCount val="1"/>
                <c:pt idx="0">
                  <c:v>TTTT_0</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Data!$P$81:$P$307</c:f>
              <c:numCache>
                <c:formatCode>General</c:formatCode>
                <c:ptCount val="227"/>
                <c:pt idx="0">
                  <c:v>12</c:v>
                </c:pt>
                <c:pt idx="13">
                  <c:v>23</c:v>
                </c:pt>
                <c:pt idx="25">
                  <c:v>56</c:v>
                </c:pt>
                <c:pt idx="28">
                  <c:v>68</c:v>
                </c:pt>
                <c:pt idx="33">
                  <c:v>90</c:v>
                </c:pt>
                <c:pt idx="148">
                  <c:v>0</c:v>
                </c:pt>
                <c:pt idx="149">
                  <c:v>0</c:v>
                </c:pt>
                <c:pt idx="151">
                  <c:v>2.4</c:v>
                </c:pt>
                <c:pt idx="152">
                  <c:v>2.4</c:v>
                </c:pt>
                <c:pt idx="153">
                  <c:v>2.8</c:v>
                </c:pt>
                <c:pt idx="154">
                  <c:v>4</c:v>
                </c:pt>
                <c:pt idx="155">
                  <c:v>10.3</c:v>
                </c:pt>
                <c:pt idx="156">
                  <c:v>13.9</c:v>
                </c:pt>
                <c:pt idx="157">
                  <c:v>21.1</c:v>
                </c:pt>
                <c:pt idx="158">
                  <c:v>34.6</c:v>
                </c:pt>
                <c:pt idx="159">
                  <c:v>4</c:v>
                </c:pt>
                <c:pt idx="160">
                  <c:v>10.3</c:v>
                </c:pt>
                <c:pt idx="161">
                  <c:v>13.9</c:v>
                </c:pt>
                <c:pt idx="162">
                  <c:v>21.1</c:v>
                </c:pt>
                <c:pt idx="163">
                  <c:v>34.6</c:v>
                </c:pt>
              </c:numCache>
            </c:numRef>
          </c:val>
          <c:smooth val="0"/>
          <c:extLst>
            <c:ext xmlns:c16="http://schemas.microsoft.com/office/drawing/2014/chart" uri="{C3380CC4-5D6E-409C-BE32-E72D297353CC}">
              <c16:uniqueId val="{00000001-DC07-449B-BE35-2FD85FFB2BF3}"/>
            </c:ext>
          </c:extLst>
        </c:ser>
        <c:ser>
          <c:idx val="1"/>
          <c:order val="1"/>
          <c:tx>
            <c:strRef>
              <c:f>Data!$Q$80</c:f>
              <c:strCache>
                <c:ptCount val="1"/>
                <c:pt idx="0">
                  <c:v>FFFF</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exp"/>
            <c:dispRSqr val="0"/>
            <c:dispEq val="0"/>
          </c:trendline>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Data!$Q$81:$Q$307</c:f>
              <c:numCache>
                <c:formatCode>General</c:formatCode>
                <c:ptCount val="227"/>
                <c:pt idx="0">
                  <c:v>15</c:v>
                </c:pt>
                <c:pt idx="13">
                  <c:v>40</c:v>
                </c:pt>
                <c:pt idx="25">
                  <c:v>130</c:v>
                </c:pt>
                <c:pt idx="28">
                  <c:v>170</c:v>
                </c:pt>
                <c:pt idx="33">
                  <c:v>250</c:v>
                </c:pt>
              </c:numCache>
            </c:numRef>
          </c:val>
          <c:smooth val="0"/>
          <c:extLst>
            <c:ext xmlns:c16="http://schemas.microsoft.com/office/drawing/2014/chart" uri="{C3380CC4-5D6E-409C-BE32-E72D297353CC}">
              <c16:uniqueId val="{00000003-DC07-449B-BE35-2FD85FFB2BF3}"/>
            </c:ext>
          </c:extLst>
        </c:ser>
        <c:ser>
          <c:idx val="2"/>
          <c:order val="2"/>
          <c:tx>
            <c:strRef>
              <c:f>Data!$R$80</c:f>
              <c:strCache>
                <c:ptCount val="1"/>
                <c:pt idx="0">
                  <c:v>1400A XPE Typ</c:v>
                </c:pt>
              </c:strCache>
            </c:strRef>
          </c:tx>
          <c:spPr>
            <a:ln w="12700">
              <a:solidFill>
                <a:srgbClr val="FFFF00"/>
              </a:solidFill>
              <a:prstDash val="solid"/>
            </a:ln>
          </c:spPr>
          <c:marker>
            <c:symbol val="triangle"/>
            <c:size val="5"/>
            <c:spPr>
              <a:solidFill>
                <a:srgbClr val="FFFF00"/>
              </a:solidFill>
              <a:ln>
                <a:solidFill>
                  <a:srgbClr val="FFFF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Data!$R$81:$R$307</c:f>
              <c:numCache>
                <c:formatCode>General</c:formatCode>
                <c:ptCount val="227"/>
                <c:pt idx="0">
                  <c:v>9.8052180304634131</c:v>
                </c:pt>
                <c:pt idx="1">
                  <c:v>10.583251703457879</c:v>
                </c:pt>
                <c:pt idx="2">
                  <c:v>11.423021524943138</c:v>
                </c:pt>
                <c:pt idx="3">
                  <c:v>12.329426192961144</c:v>
                </c:pt>
                <c:pt idx="4">
                  <c:v>13.307753112058769</c:v>
                </c:pt>
                <c:pt idx="5">
                  <c:v>14.363709236737549</c:v>
                </c:pt>
                <c:pt idx="6">
                  <c:v>15.503454362298543</c:v>
                </c:pt>
                <c:pt idx="7">
                  <c:v>16.733637057280511</c:v>
                </c:pt>
                <c:pt idx="8">
                  <c:v>18.061433447098977</c:v>
                </c:pt>
                <c:pt idx="9">
                  <c:v>19.49458907512609</c:v>
                </c:pt>
                <c:pt idx="10">
                  <c:v>21.041464085402769</c:v>
                </c:pt>
                <c:pt idx="11">
                  <c:v>22.71108199055131</c:v>
                </c:pt>
                <c:pt idx="12">
                  <c:v>24.513182309370233</c:v>
                </c:pt>
                <c:pt idx="13">
                  <c:v>26.458277381166504</c:v>
                </c:pt>
                <c:pt idx="14">
                  <c:v>28.557713688004721</c:v>
                </c:pt>
                <c:pt idx="15">
                  <c:v>30.823738043540565</c:v>
                </c:pt>
                <c:pt idx="16">
                  <c:v>33.269569032945959</c:v>
                </c:pt>
                <c:pt idx="17">
                  <c:v>35.909474122012575</c:v>
                </c:pt>
                <c:pt idx="18">
                  <c:v>38.758852884638692</c:v>
                </c:pt>
                <c:pt idx="19">
                  <c:v>41.834326834277491</c:v>
                </c:pt>
                <c:pt idx="20">
                  <c:v>45.153836383333548</c:v>
                </c:pt>
                <c:pt idx="21">
                  <c:v>48.736745496051505</c:v>
                </c:pt>
                <c:pt idx="22">
                  <c:v>52.603954645286251</c:v>
                </c:pt>
                <c:pt idx="23">
                  <c:v>56.778022731928608</c:v>
                </c:pt>
                <c:pt idx="24">
                  <c:v>61.283298677955095</c:v>
                </c:pt>
                <c:pt idx="25">
                  <c:v>66.146063460360722</c:v>
                </c:pt>
                <c:pt idx="26">
                  <c:v>71.394683413916312</c:v>
                </c:pt>
                <c:pt idx="27">
                  <c:v>77.059775696072265</c:v>
                </c:pt>
                <c:pt idx="28">
                  <c:v>83.174386877713943</c:v>
                </c:pt>
                <c:pt idx="29">
                  <c:v>89.774185699145733</c:v>
                </c:pt>
                <c:pt idx="30">
                  <c:v>96.89767111189191</c:v>
                </c:pt>
                <c:pt idx="31">
                  <c:v>104.58639681381889</c:v>
                </c:pt>
                <c:pt idx="32">
                  <c:v>112.885213577728</c:v>
                </c:pt>
                <c:pt idx="33">
                  <c:v>121.84253077172467</c:v>
                </c:pt>
              </c:numCache>
            </c:numRef>
          </c:val>
          <c:smooth val="0"/>
          <c:extLst>
            <c:ext xmlns:c16="http://schemas.microsoft.com/office/drawing/2014/chart" uri="{C3380CC4-5D6E-409C-BE32-E72D297353CC}">
              <c16:uniqueId val="{00000004-DC07-449B-BE35-2FD85FFB2BF3}"/>
            </c:ext>
          </c:extLst>
        </c:ser>
        <c:ser>
          <c:idx val="3"/>
          <c:order val="3"/>
          <c:tx>
            <c:strRef>
              <c:f>Data!$S$80</c:f>
              <c:strCache>
                <c:ptCount val="1"/>
                <c:pt idx="0">
                  <c:v>1400A XPE Max</c:v>
                </c:pt>
              </c:strCache>
            </c:strRef>
          </c:tx>
          <c:spPr>
            <a:ln w="12700">
              <a:solidFill>
                <a:srgbClr val="FF0000"/>
              </a:solidFill>
              <a:prstDash val="solid"/>
            </a:ln>
          </c:spPr>
          <c:marker>
            <c:symbol val="triangle"/>
            <c:size val="5"/>
            <c:spPr>
              <a:solidFill>
                <a:srgbClr val="FF0000"/>
              </a:solidFill>
              <a:ln>
                <a:solidFill>
                  <a:srgbClr val="FF0000"/>
                </a:solidFill>
                <a:prstDash val="solid"/>
              </a:ln>
            </c:spPr>
          </c:marker>
          <c:cat>
            <c:strRef>
              <c:f>Data!$O$81:$O$307</c:f>
              <c:strCache>
                <c:ptCount val="164"/>
                <c:pt idx="0">
                  <c:v>-40</c:v>
                </c:pt>
                <c:pt idx="1">
                  <c:v>-35</c:v>
                </c:pt>
                <c:pt idx="2">
                  <c:v>-30</c:v>
                </c:pt>
                <c:pt idx="3">
                  <c:v>-25</c:v>
                </c:pt>
                <c:pt idx="4">
                  <c:v>-20</c:v>
                </c:pt>
                <c:pt idx="5">
                  <c:v>-15</c:v>
                </c:pt>
                <c:pt idx="6">
                  <c:v>-10</c:v>
                </c:pt>
                <c:pt idx="7">
                  <c:v>-5</c:v>
                </c:pt>
                <c:pt idx="8">
                  <c:v>0</c:v>
                </c:pt>
                <c:pt idx="9">
                  <c:v>5</c:v>
                </c:pt>
                <c:pt idx="10">
                  <c:v>10</c:v>
                </c:pt>
                <c:pt idx="11">
                  <c:v>15</c:v>
                </c:pt>
                <c:pt idx="12">
                  <c:v>20</c:v>
                </c:pt>
                <c:pt idx="13">
                  <c:v>25</c:v>
                </c:pt>
                <c:pt idx="14">
                  <c:v>30</c:v>
                </c:pt>
                <c:pt idx="15">
                  <c:v>35</c:v>
                </c:pt>
                <c:pt idx="16">
                  <c:v>40</c:v>
                </c:pt>
                <c:pt idx="17">
                  <c:v>45</c:v>
                </c:pt>
                <c:pt idx="18">
                  <c:v>50</c:v>
                </c:pt>
                <c:pt idx="19">
                  <c:v>55</c:v>
                </c:pt>
                <c:pt idx="20">
                  <c:v>60</c:v>
                </c:pt>
                <c:pt idx="21">
                  <c:v>65</c:v>
                </c:pt>
                <c:pt idx="22">
                  <c:v>70</c:v>
                </c:pt>
                <c:pt idx="23">
                  <c:v>75</c:v>
                </c:pt>
                <c:pt idx="24">
                  <c:v>80</c:v>
                </c:pt>
                <c:pt idx="25">
                  <c:v>85</c:v>
                </c:pt>
                <c:pt idx="26">
                  <c:v>90</c:v>
                </c:pt>
                <c:pt idx="27">
                  <c:v>95</c:v>
                </c:pt>
                <c:pt idx="28">
                  <c:v>100</c:v>
                </c:pt>
                <c:pt idx="29">
                  <c:v>105</c:v>
                </c:pt>
                <c:pt idx="30">
                  <c:v>110</c:v>
                </c:pt>
                <c:pt idx="31">
                  <c:v>115</c:v>
                </c:pt>
                <c:pt idx="32">
                  <c:v>120</c:v>
                </c:pt>
                <c:pt idx="33">
                  <c:v>125</c:v>
                </c:pt>
                <c:pt idx="147">
                  <c:v>SCD</c:v>
                </c:pt>
                <c:pt idx="148">
                  <c:v>Iccintq</c:v>
                </c:pt>
                <c:pt idx="149">
                  <c:v>Grade</c:v>
                </c:pt>
                <c:pt idx="151">
                  <c:v>-0.0006</c:v>
                </c:pt>
                <c:pt idx="152">
                  <c:v>-0.0006</c:v>
                </c:pt>
                <c:pt idx="153">
                  <c:v>-0.0009</c:v>
                </c:pt>
                <c:pt idx="154">
                  <c:v>-0.0015</c:v>
                </c:pt>
                <c:pt idx="155">
                  <c:v>-0.0025</c:v>
                </c:pt>
                <c:pt idx="156">
                  <c:v>-0.0045</c:v>
                </c:pt>
                <c:pt idx="157">
                  <c:v>-0.00575</c:v>
                </c:pt>
                <c:pt idx="158">
                  <c:v>-0.00835</c:v>
                </c:pt>
                <c:pt idx="159">
                  <c:v>-0.0015</c:v>
                </c:pt>
                <c:pt idx="160">
                  <c:v>-0.0025</c:v>
                </c:pt>
                <c:pt idx="161">
                  <c:v>-0.0045</c:v>
                </c:pt>
                <c:pt idx="162">
                  <c:v>-0.00575</c:v>
                </c:pt>
                <c:pt idx="163">
                  <c:v>-0.00835</c:v>
                </c:pt>
              </c:strCache>
            </c:strRef>
          </c:cat>
          <c:val>
            <c:numRef>
              <c:f>Data!$S$81:$S$307</c:f>
              <c:numCache>
                <c:formatCode>General</c:formatCode>
                <c:ptCount val="227"/>
                <c:pt idx="25">
                  <c:v>220</c:v>
                </c:pt>
                <c:pt idx="28">
                  <c:v>310</c:v>
                </c:pt>
              </c:numCache>
            </c:numRef>
          </c:val>
          <c:smooth val="0"/>
          <c:extLst>
            <c:ext xmlns:c16="http://schemas.microsoft.com/office/drawing/2014/chart" uri="{C3380CC4-5D6E-409C-BE32-E72D297353CC}">
              <c16:uniqueId val="{00000005-DC07-449B-BE35-2FD85FFB2BF3}"/>
            </c:ext>
          </c:extLst>
        </c:ser>
        <c:dLbls>
          <c:showLegendKey val="0"/>
          <c:showVal val="0"/>
          <c:showCatName val="0"/>
          <c:showSerName val="0"/>
          <c:showPercent val="0"/>
          <c:showBubbleSize val="0"/>
        </c:dLbls>
        <c:marker val="1"/>
        <c:smooth val="0"/>
        <c:axId val="305412848"/>
        <c:axId val="305405232"/>
      </c:lineChart>
      <c:catAx>
        <c:axId val="305412848"/>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950" b="0" i="0" u="none" strike="noStrike" baseline="0">
                <a:solidFill>
                  <a:srgbClr val="000000"/>
                </a:solidFill>
                <a:latin typeface="Arial"/>
                <a:ea typeface="Arial"/>
                <a:cs typeface="Arial"/>
              </a:defRPr>
            </a:pPr>
            <a:endParaRPr lang="en-US"/>
          </a:p>
        </c:txPr>
        <c:crossAx val="305405232"/>
        <c:crosses val="autoZero"/>
        <c:auto val="1"/>
        <c:lblAlgn val="ctr"/>
        <c:lblOffset val="100"/>
        <c:tickLblSkip val="5"/>
        <c:tickMarkSkip val="1"/>
        <c:noMultiLvlLbl val="0"/>
      </c:catAx>
      <c:valAx>
        <c:axId val="30540523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305412848"/>
        <c:crosses val="autoZero"/>
        <c:crossBetween val="between"/>
      </c:valAx>
      <c:spPr>
        <a:solidFill>
          <a:srgbClr val="C0C0C0"/>
        </a:solidFill>
        <a:ln w="12700">
          <a:solidFill>
            <a:srgbClr val="808080"/>
          </a:solidFill>
          <a:prstDash val="solid"/>
        </a:ln>
      </c:spPr>
    </c:plotArea>
    <c:legend>
      <c:legendPos val="r"/>
      <c:layout>
        <c:manualLayout>
          <c:xMode val="edge"/>
          <c:yMode val="edge"/>
          <c:x val="0.84046234719394275"/>
          <c:y val="0.50293122290746528"/>
          <c:w val="0.15263114953748014"/>
          <c:h val="3.755654780461759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fr-CA"/>
              <a:t>routing vs avg fanout</a:t>
            </a:r>
          </a:p>
        </c:rich>
      </c:tx>
      <c:layout>
        <c:manualLayout>
          <c:xMode val="edge"/>
          <c:yMode val="edge"/>
          <c:x val="0.34526896846706401"/>
          <c:y val="3.3994332586374625E-2"/>
        </c:manualLayout>
      </c:layout>
      <c:overlay val="0"/>
      <c:spPr>
        <a:noFill/>
        <a:ln w="25400">
          <a:noFill/>
        </a:ln>
      </c:spPr>
    </c:title>
    <c:autoTitleDeleted val="0"/>
    <c:plotArea>
      <c:layout>
        <c:manualLayout>
          <c:layoutTarget val="inner"/>
          <c:xMode val="edge"/>
          <c:yMode val="edge"/>
          <c:x val="0.14833778115232021"/>
          <c:y val="0.17280453257790368"/>
          <c:w val="0.75191909756520936"/>
          <c:h val="0.71104815864022664"/>
        </c:manualLayout>
      </c:layout>
      <c:scatterChart>
        <c:scatterStyle val="smoothMarker"/>
        <c:varyColors val="0"/>
        <c:ser>
          <c:idx val="0"/>
          <c:order val="0"/>
          <c:tx>
            <c:strRef>
              <c:f>Data!$U$338</c:f>
              <c:strCache>
                <c:ptCount val="1"/>
                <c:pt idx="0">
                  <c:v>s6</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trendline>
            <c:spPr>
              <a:ln w="25400">
                <a:solidFill>
                  <a:srgbClr val="000000"/>
                </a:solidFill>
                <a:prstDash val="solid"/>
              </a:ln>
            </c:spPr>
            <c:trendlineType val="linear"/>
            <c:dispRSqr val="0"/>
            <c:dispEq val="1"/>
            <c:trendlineLbl>
              <c:layout>
                <c:manualLayout>
                  <c:xMode val="edge"/>
                  <c:yMode val="edge"/>
                  <c:x val="0.51918223403312069"/>
                  <c:y val="0.32577903682719545"/>
                </c:manualLayout>
              </c:layout>
              <c:numFmt formatCode="0.000000" sourceLinked="0"/>
              <c:spPr>
                <a:noFill/>
                <a:ln w="25400">
                  <a:noFill/>
                </a:ln>
              </c:spPr>
              <c:txPr>
                <a:bodyPr/>
                <a:lstStyle/>
                <a:p>
                  <a:pPr>
                    <a:defRPr sz="800" b="0" i="0" u="none" strike="noStrike" baseline="0">
                      <a:solidFill>
                        <a:srgbClr val="000000"/>
                      </a:solidFill>
                      <a:latin typeface="Arial"/>
                      <a:ea typeface="Arial"/>
                      <a:cs typeface="Arial"/>
                    </a:defRPr>
                  </a:pPr>
                  <a:endParaRPr lang="en-US"/>
                </a:p>
              </c:txPr>
            </c:trendlineLbl>
          </c:trendline>
          <c:xVal>
            <c:numRef>
              <c:f>Data!$T$339:$T$343</c:f>
              <c:numCache>
                <c:formatCode>General</c:formatCode>
                <c:ptCount val="5"/>
                <c:pt idx="0">
                  <c:v>1</c:v>
                </c:pt>
                <c:pt idx="1">
                  <c:v>2</c:v>
                </c:pt>
                <c:pt idx="2">
                  <c:v>3</c:v>
                </c:pt>
                <c:pt idx="3">
                  <c:v>4</c:v>
                </c:pt>
                <c:pt idx="4">
                  <c:v>5</c:v>
                </c:pt>
              </c:numCache>
            </c:numRef>
          </c:xVal>
          <c:yVal>
            <c:numRef>
              <c:f>Data!$U$339:$U$343</c:f>
              <c:numCache>
                <c:formatCode>General</c:formatCode>
                <c:ptCount val="5"/>
                <c:pt idx="0">
                  <c:v>4.5166800000000001E-4</c:v>
                </c:pt>
                <c:pt idx="1">
                  <c:v>5.4845399999999998E-4</c:v>
                </c:pt>
                <c:pt idx="2">
                  <c:v>6.4524000000000005E-4</c:v>
                </c:pt>
                <c:pt idx="3">
                  <c:v>7.4202600000000001E-4</c:v>
                </c:pt>
                <c:pt idx="4">
                  <c:v>8.3881200000000009E-4</c:v>
                </c:pt>
              </c:numCache>
            </c:numRef>
          </c:yVal>
          <c:smooth val="1"/>
          <c:extLst>
            <c:ext xmlns:c16="http://schemas.microsoft.com/office/drawing/2014/chart" uri="{C3380CC4-5D6E-409C-BE32-E72D297353CC}">
              <c16:uniqueId val="{00000001-B421-483D-9D87-81E060376649}"/>
            </c:ext>
          </c:extLst>
        </c:ser>
        <c:ser>
          <c:idx val="1"/>
          <c:order val="1"/>
          <c:tx>
            <c:strRef>
              <c:f>Data!$V$338</c:f>
              <c:strCache>
                <c:ptCount val="1"/>
                <c:pt idx="0">
                  <c:v>s3a</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trendline>
            <c:spPr>
              <a:ln w="25400">
                <a:solidFill>
                  <a:srgbClr val="000000"/>
                </a:solidFill>
                <a:prstDash val="solid"/>
              </a:ln>
            </c:spPr>
            <c:trendlineType val="linear"/>
            <c:intercept val="2.9999999999999997E-4"/>
            <c:dispRSqr val="0"/>
            <c:dispEq val="0"/>
          </c:trendline>
          <c:xVal>
            <c:numRef>
              <c:f>Data!$T$342:$T$343</c:f>
              <c:numCache>
                <c:formatCode>General</c:formatCode>
                <c:ptCount val="2"/>
                <c:pt idx="0">
                  <c:v>4</c:v>
                </c:pt>
                <c:pt idx="1">
                  <c:v>5</c:v>
                </c:pt>
              </c:numCache>
            </c:numRef>
          </c:xVal>
          <c:yVal>
            <c:numRef>
              <c:f>Data!$V$342:$V$343</c:f>
              <c:numCache>
                <c:formatCode>General</c:formatCode>
                <c:ptCount val="2"/>
                <c:pt idx="0">
                  <c:v>6.341099999999999E-4</c:v>
                </c:pt>
                <c:pt idx="1">
                  <c:v>7.1681999999999996E-4</c:v>
                </c:pt>
              </c:numCache>
            </c:numRef>
          </c:yVal>
          <c:smooth val="1"/>
          <c:extLst>
            <c:ext xmlns:c16="http://schemas.microsoft.com/office/drawing/2014/chart" uri="{C3380CC4-5D6E-409C-BE32-E72D297353CC}">
              <c16:uniqueId val="{00000003-B421-483D-9D87-81E060376649}"/>
            </c:ext>
          </c:extLst>
        </c:ser>
        <c:dLbls>
          <c:showLegendKey val="0"/>
          <c:showVal val="0"/>
          <c:showCatName val="0"/>
          <c:showSerName val="0"/>
          <c:showPercent val="0"/>
          <c:showBubbleSize val="0"/>
        </c:dLbls>
        <c:axId val="305408496"/>
        <c:axId val="305410672"/>
      </c:scatterChart>
      <c:valAx>
        <c:axId val="3054084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10672"/>
        <c:crosses val="autoZero"/>
        <c:crossBetween val="midCat"/>
      </c:valAx>
      <c:valAx>
        <c:axId val="305410672"/>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05408496"/>
        <c:crosses val="autoZero"/>
        <c:crossBetween val="midCat"/>
      </c:valAx>
      <c:spPr>
        <a:solidFill>
          <a:srgbClr val="C0C0C0"/>
        </a:solidFill>
        <a:ln w="12700">
          <a:solidFill>
            <a:srgbClr val="808080"/>
          </a:solidFill>
          <a:prstDash val="solid"/>
        </a:ln>
      </c:spPr>
    </c:plotArea>
    <c:legend>
      <c:legendPos val="r"/>
      <c:layout>
        <c:manualLayout>
          <c:xMode val="edge"/>
          <c:yMode val="edge"/>
          <c:x val="0.79367677301670825"/>
          <c:y val="0.53847832362048209"/>
          <c:w val="0.19501772136981976"/>
          <c:h val="0.15136943590637575"/>
        </c:manualLayout>
      </c:layout>
      <c:overlay val="0"/>
      <c:spPr>
        <a:solidFill>
          <a:srgbClr val="FFFFFF"/>
        </a:solidFill>
        <a:ln w="3175">
          <a:solidFill>
            <a:srgbClr val="000000"/>
          </a:solidFill>
          <a:prstDash val="solid"/>
        </a:ln>
      </c:spPr>
      <c:txPr>
        <a:bodyPr/>
        <a:lstStyle/>
        <a:p>
          <a:pPr>
            <a:defRPr sz="11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5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fr-CA"/>
              <a:t>Typical Iccq</a:t>
            </a:r>
          </a:p>
        </c:rich>
      </c:tx>
      <c:layout>
        <c:manualLayout>
          <c:xMode val="edge"/>
          <c:yMode val="edge"/>
          <c:x val="0.43951336960754506"/>
          <c:y val="3.9143416944143361E-2"/>
        </c:manualLayout>
      </c:layout>
      <c:overlay val="0"/>
      <c:spPr>
        <a:noFill/>
        <a:ln w="25400">
          <a:noFill/>
        </a:ln>
      </c:spPr>
    </c:title>
    <c:autoTitleDeleted val="0"/>
    <c:plotArea>
      <c:layout>
        <c:manualLayout>
          <c:layoutTarget val="inner"/>
          <c:xMode val="edge"/>
          <c:yMode val="edge"/>
          <c:x val="0.10363645564316019"/>
          <c:y val="0.26894038877688792"/>
          <c:w val="0.86545531379200447"/>
          <c:h val="0.36742560156842435"/>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Test!$A$153:$A$179</c:f>
              <c:numCache>
                <c:formatCode>General</c:formatCode>
                <c:ptCount val="27"/>
                <c:pt idx="0">
                  <c:v>21.030686195500209</c:v>
                </c:pt>
                <c:pt idx="1">
                  <c:v>24.054201968937885</c:v>
                </c:pt>
                <c:pt idx="2">
                  <c:v>27.079200431169202</c:v>
                </c:pt>
                <c:pt idx="3">
                  <c:v>30.105822456758162</c:v>
                </c:pt>
                <c:pt idx="4">
                  <c:v>33.134228932447691</c:v>
                </c:pt>
                <c:pt idx="5">
                  <c:v>36.164604217877589</c:v>
                </c:pt>
                <c:pt idx="6">
                  <c:v>39.197160243992656</c:v>
                </c:pt>
                <c:pt idx="7">
                  <c:v>42.23214136886741</c:v>
                </c:pt>
                <c:pt idx="8">
                  <c:v>45.269830133316404</c:v>
                </c:pt>
                <c:pt idx="9">
                  <c:v>48.310554085607031</c:v>
                </c:pt>
                <c:pt idx="10">
                  <c:v>51.354693876670254</c:v>
                </c:pt>
                <c:pt idx="11">
                  <c:v>54.402692865398009</c:v>
                </c:pt>
                <c:pt idx="12">
                  <c:v>57.455068519099896</c:v>
                </c:pt>
                <c:pt idx="13">
                  <c:v>60.512425948372929</c:v>
                </c:pt>
                <c:pt idx="14">
                  <c:v>63.575473980197614</c:v>
                </c:pt>
                <c:pt idx="15">
                  <c:v>66.645044250026231</c:v>
                </c:pt>
                <c:pt idx="16">
                  <c:v>69.722113885390456</c:v>
                </c:pt>
                <c:pt idx="17">
                  <c:v>72.807832463025193</c:v>
                </c:pt>
                <c:pt idx="18">
                  <c:v>75.903554052172083</c:v>
                </c:pt>
                <c:pt idx="19">
                  <c:v>79.01087531279596</c:v>
                </c:pt>
                <c:pt idx="20">
                  <c:v>82.131680803999956</c:v>
                </c:pt>
                <c:pt idx="21">
                  <c:v>85.268196881122407</c:v>
                </c:pt>
                <c:pt idx="22">
                  <c:v>88.423055827333087</c:v>
                </c:pt>
                <c:pt idx="23">
                  <c:v>91.599372186177774</c:v>
                </c:pt>
                <c:pt idx="24">
                  <c:v>94.800833646703424</c:v>
                </c:pt>
                <c:pt idx="25">
                  <c:v>98.031809296446326</c:v>
                </c:pt>
                <c:pt idx="26">
                  <c:v>101.1199278717712</c:v>
                </c:pt>
              </c:numCache>
            </c:numRef>
          </c:cat>
          <c:val>
            <c:numRef>
              <c:f>Test!$B$153:$B$179</c:f>
              <c:numCache>
                <c:formatCode>General</c:formatCode>
                <c:ptCount val="27"/>
                <c:pt idx="0">
                  <c:v>28.245542968316162</c:v>
                </c:pt>
                <c:pt idx="1">
                  <c:v>29.570919573055523</c:v>
                </c:pt>
                <c:pt idx="2">
                  <c:v>30.958724356858809</c:v>
                </c:pt>
                <c:pt idx="3">
                  <c:v>32.411955313093124</c:v>
                </c:pt>
                <c:pt idx="4">
                  <c:v>33.933768305178397</c:v>
                </c:pt>
                <c:pt idx="5">
                  <c:v>35.527488678097598</c:v>
                </c:pt>
                <c:pt idx="6">
                  <c:v>37.196624439352647</c:v>
                </c:pt>
                <c:pt idx="7">
                  <c:v>38.9448813333102</c:v>
                </c:pt>
                <c:pt idx="8">
                  <c:v>40.776180209595687</c:v>
                </c:pt>
                <c:pt idx="9">
                  <c:v>42.694677181804117</c:v>
                </c:pt>
                <c:pt idx="10">
                  <c:v>44.704787192076544</c:v>
                </c:pt>
                <c:pt idx="11">
                  <c:v>46.811211746067031</c:v>
                </c:pt>
                <c:pt idx="12">
                  <c:v>49.018971769125407</c:v>
                </c:pt>
                <c:pt idx="13">
                  <c:v>51.333446767823219</c:v>
                </c:pt>
                <c:pt idx="14">
                  <c:v>53.760421773590693</c:v>
                </c:pt>
                <c:pt idx="15">
                  <c:v>56.306143912982286</c:v>
                </c:pt>
                <c:pt idx="16">
                  <c:v>58.977390912216642</c:v>
                </c:pt>
                <c:pt idx="17">
                  <c:v>61.781554428315403</c:v>
                </c:pt>
                <c:pt idx="18">
                  <c:v>64.726741839390073</c:v>
                </c:pt>
                <c:pt idx="19">
                  <c:v>67.821901066828005</c:v>
                </c:pt>
                <c:pt idx="20">
                  <c:v>71.076974200786708</c:v>
                </c:pt>
                <c:pt idx="21">
                  <c:v>74.503087235064683</c:v>
                </c:pt>
                <c:pt idx="22">
                  <c:v>78.11278519174779</c:v>
                </c:pt>
                <c:pt idx="23">
                  <c:v>81.920324469833062</c:v>
                </c:pt>
                <c:pt idx="24">
                  <c:v>85.942037575563859</c:v>
                </c:pt>
                <c:pt idx="25">
                  <c:v>90.196789746894666</c:v>
                </c:pt>
                <c:pt idx="26">
                  <c:v>94.30202746636111</c:v>
                </c:pt>
              </c:numCache>
            </c:numRef>
          </c:val>
          <c:smooth val="0"/>
          <c:extLst>
            <c:ext xmlns:c16="http://schemas.microsoft.com/office/drawing/2014/chart" uri="{C3380CC4-5D6E-409C-BE32-E72D297353CC}">
              <c16:uniqueId val="{00000000-BB22-4D23-A277-157A35EE3561}"/>
            </c:ext>
          </c:extLst>
        </c:ser>
        <c:dLbls>
          <c:showLegendKey val="0"/>
          <c:showVal val="0"/>
          <c:showCatName val="0"/>
          <c:showSerName val="0"/>
          <c:showPercent val="0"/>
          <c:showBubbleSize val="0"/>
        </c:dLbls>
        <c:marker val="1"/>
        <c:smooth val="0"/>
        <c:axId val="399680896"/>
        <c:axId val="399676000"/>
      </c:lineChart>
      <c:catAx>
        <c:axId val="39968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6000"/>
        <c:crosses val="autoZero"/>
        <c:auto val="1"/>
        <c:lblAlgn val="ctr"/>
        <c:lblOffset val="100"/>
        <c:tickLblSkip val="2"/>
        <c:tickMarkSkip val="1"/>
        <c:noMultiLvlLbl val="0"/>
      </c:catAx>
      <c:valAx>
        <c:axId val="39967600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0896"/>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Maximum Iccq</a:t>
            </a:r>
          </a:p>
        </c:rich>
      </c:tx>
      <c:layout>
        <c:manualLayout>
          <c:xMode val="edge"/>
          <c:yMode val="edge"/>
          <c:x val="0.41209971262488865"/>
          <c:y val="3.8786341550939851E-2"/>
        </c:manualLayout>
      </c:layout>
      <c:overlay val="0"/>
      <c:spPr>
        <a:noFill/>
        <a:ln w="25400">
          <a:noFill/>
        </a:ln>
      </c:spPr>
    </c:title>
    <c:autoTitleDeleted val="0"/>
    <c:plotArea>
      <c:layout>
        <c:manualLayout>
          <c:layoutTarget val="inner"/>
          <c:xMode val="edge"/>
          <c:yMode val="edge"/>
          <c:x val="0.10576013314988028"/>
          <c:y val="0.25599054580370612"/>
          <c:w val="0.74214438262071158"/>
          <c:h val="0.39950039723911712"/>
        </c:manualLayout>
      </c:layout>
      <c:lineChart>
        <c:grouping val="standard"/>
        <c:varyColors val="0"/>
        <c:ser>
          <c:idx val="0"/>
          <c:order val="0"/>
          <c:tx>
            <c:strRef>
              <c:f>Test!$B$152</c:f>
              <c:strCache>
                <c:ptCount val="1"/>
                <c:pt idx="0">
                  <c:v>Iccq</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cat>
            <c:numRef>
              <c:f>Test!$D$153:$D$179</c:f>
              <c:numCache>
                <c:formatCode>General</c:formatCode>
                <c:ptCount val="27"/>
                <c:pt idx="0">
                  <c:v>22.025624472583107</c:v>
                </c:pt>
                <c:pt idx="1">
                  <c:v>25.09593474294746</c:v>
                </c:pt>
                <c:pt idx="2">
                  <c:v>28.169952293310036</c:v>
                </c:pt>
                <c:pt idx="3">
                  <c:v>31.247928675902315</c:v>
                </c:pt>
                <c:pt idx="4">
                  <c:v>34.330141989188981</c:v>
                </c:pt>
                <c:pt idx="5">
                  <c:v>37.416900933302841</c:v>
                </c:pt>
                <c:pt idx="6">
                  <c:v>40.508549593995475</c:v>
                </c:pt>
                <c:pt idx="7">
                  <c:v>43.60547309308653</c:v>
                </c:pt>
                <c:pt idx="8">
                  <c:v>46.708104270070095</c:v>
                </c:pt>
                <c:pt idx="9">
                  <c:v>49.81693159144649</c:v>
                </c:pt>
                <c:pt idx="10">
                  <c:v>52.932508522536914</c:v>
                </c:pt>
                <c:pt idx="11">
                  <c:v>56.055464642269044</c:v>
                </c:pt>
                <c:pt idx="12">
                  <c:v>59.186518836215384</c:v>
                </c:pt>
                <c:pt idx="13">
                  <c:v>62.326494968865859</c:v>
                </c:pt>
                <c:pt idx="14">
                  <c:v>65.476340514953819</c:v>
                </c:pt>
                <c:pt idx="15">
                  <c:v>68.637148724342737</c:v>
                </c:pt>
                <c:pt idx="16">
                  <c:v>71.810185008824604</c:v>
                </c:pt>
                <c:pt idx="17">
                  <c:v>74.996918376219597</c:v>
                </c:pt>
                <c:pt idx="18">
                  <c:v>78.199058902357521</c:v>
                </c:pt>
                <c:pt idx="19">
                  <c:v>81.418602430976577</c:v>
                </c:pt>
                <c:pt idx="20">
                  <c:v>84.6578839328659</c:v>
                </c:pt>
                <c:pt idx="21">
                  <c:v>87.948247696205954</c:v>
                </c:pt>
                <c:pt idx="22">
                  <c:v>91.416410601248401</c:v>
                </c:pt>
                <c:pt idx="23">
                  <c:v>94.915177898367475</c:v>
                </c:pt>
                <c:pt idx="24">
                  <c:v>98.449226495218014</c:v>
                </c:pt>
                <c:pt idx="25">
                  <c:v>101.75436000000001</c:v>
                </c:pt>
                <c:pt idx="26">
                  <c:v>100.7028</c:v>
                </c:pt>
              </c:numCache>
            </c:numRef>
          </c:cat>
          <c:val>
            <c:numRef>
              <c:f>Test!$E$153:$E$179</c:f>
              <c:numCache>
                <c:formatCode>General</c:formatCode>
                <c:ptCount val="27"/>
                <c:pt idx="0">
                  <c:v>87.132307295779512</c:v>
                </c:pt>
                <c:pt idx="1">
                  <c:v>91.221046451431889</c:v>
                </c:pt>
                <c:pt idx="2">
                  <c:v>95.502421829839804</c:v>
                </c:pt>
                <c:pt idx="3">
                  <c:v>99.985695906211859</c:v>
                </c:pt>
                <c:pt idx="4">
                  <c:v>104.68062163130539</c:v>
                </c:pt>
                <c:pt idx="5">
                  <c:v>109.59747909771978</c:v>
                </c:pt>
                <c:pt idx="6">
                  <c:v>114.74711725445415</c:v>
                </c:pt>
                <c:pt idx="7">
                  <c:v>120.14100171982494</c:v>
                </c:pt>
                <c:pt idx="8">
                  <c:v>125.79126999209842</c:v>
                </c:pt>
                <c:pt idx="9">
                  <c:v>131.71079566793969</c:v>
                </c:pt>
                <c:pt idx="10">
                  <c:v>137.9132636665812</c:v>
                </c:pt>
                <c:pt idx="11">
                  <c:v>144.4132589421389</c:v>
                </c:pt>
                <c:pt idx="12">
                  <c:v>151.2263717726571</c:v>
                </c:pt>
                <c:pt idx="13">
                  <c:v>158.36932347390686</c:v>
                </c:pt>
                <c:pt idx="14">
                  <c:v>165.86011733905059</c:v>
                </c:pt>
                <c:pt idx="15">
                  <c:v>173.7182208037338</c:v>
                </c:pt>
                <c:pt idx="16">
                  <c:v>181.96478634648548</c:v>
                </c:pt>
                <c:pt idx="17">
                  <c:v>190.62292054255764</c:v>
                </c:pt>
                <c:pt idx="18">
                  <c:v>199.71801310747711</c:v>
                </c:pt>
                <c:pt idx="19">
                  <c:v>209.27814084126345</c:v>
                </c:pt>
                <c:pt idx="20">
                  <c:v>219.33456530889501</c:v>
                </c:pt>
                <c:pt idx="21">
                  <c:v>231.65544203288036</c:v>
                </c:pt>
                <c:pt idx="22">
                  <c:v>253.76252155034751</c:v>
                </c:pt>
                <c:pt idx="23">
                  <c:v>276.55384882817674</c:v>
                </c:pt>
                <c:pt idx="24">
                  <c:v>300.09400117163591</c:v>
                </c:pt>
                <c:pt idx="25">
                  <c:v>310</c:v>
                </c:pt>
                <c:pt idx="26">
                  <c:v>70</c:v>
                </c:pt>
              </c:numCache>
            </c:numRef>
          </c:val>
          <c:smooth val="0"/>
          <c:extLst>
            <c:ext xmlns:c16="http://schemas.microsoft.com/office/drawing/2014/chart" uri="{C3380CC4-5D6E-409C-BE32-E72D297353CC}">
              <c16:uniqueId val="{00000000-9968-4905-B325-62F8B92C92EF}"/>
            </c:ext>
          </c:extLst>
        </c:ser>
        <c:dLbls>
          <c:showLegendKey val="0"/>
          <c:showVal val="0"/>
          <c:showCatName val="0"/>
          <c:showSerName val="0"/>
          <c:showPercent val="0"/>
          <c:showBubbleSize val="0"/>
        </c:dLbls>
        <c:marker val="1"/>
        <c:smooth val="0"/>
        <c:axId val="399684160"/>
        <c:axId val="399686336"/>
      </c:lineChart>
      <c:catAx>
        <c:axId val="399684160"/>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86336"/>
        <c:crosses val="autoZero"/>
        <c:auto val="1"/>
        <c:lblAlgn val="ctr"/>
        <c:lblOffset val="100"/>
        <c:tickLblSkip val="2"/>
        <c:tickMarkSkip val="1"/>
        <c:noMultiLvlLbl val="0"/>
      </c:catAx>
      <c:valAx>
        <c:axId val="399686336"/>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84160"/>
        <c:crosses val="autoZero"/>
        <c:crossBetween val="between"/>
      </c:valAx>
      <c:spPr>
        <a:solidFill>
          <a:srgbClr val="C0C0C0"/>
        </a:solidFill>
        <a:ln w="12700">
          <a:solidFill>
            <a:srgbClr val="808080"/>
          </a:solidFill>
          <a:prstDash val="solid"/>
        </a:ln>
      </c:spPr>
    </c:plotArea>
    <c:legend>
      <c:legendPos val="r"/>
      <c:layout>
        <c:manualLayout>
          <c:xMode val="edge"/>
          <c:yMode val="edge"/>
          <c:x val="0.86154150330303836"/>
          <c:y val="0.43920391639531786"/>
          <c:w val="0.10789401638490226"/>
          <c:h val="7.4326691147535651E-2"/>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75" b="1" i="0" u="none" strike="noStrike" baseline="0">
                <a:solidFill>
                  <a:srgbClr val="000000"/>
                </a:solidFill>
                <a:latin typeface="Arial"/>
                <a:ea typeface="Arial"/>
                <a:cs typeface="Arial"/>
              </a:defRPr>
            </a:pPr>
            <a:r>
              <a:rPr lang="fr-CA"/>
              <a:t>LUT Design  - Iccint vs Frequency
 25% toggle</a:t>
            </a:r>
          </a:p>
        </c:rich>
      </c:tx>
      <c:layout>
        <c:manualLayout>
          <c:xMode val="edge"/>
          <c:yMode val="edge"/>
          <c:x val="0.3199246927155307"/>
          <c:y val="2.7746629683924717E-2"/>
        </c:manualLayout>
      </c:layout>
      <c:overlay val="0"/>
      <c:spPr>
        <a:noFill/>
        <a:ln w="25400">
          <a:noFill/>
        </a:ln>
      </c:spPr>
    </c:title>
    <c:autoTitleDeleted val="0"/>
    <c:plotArea>
      <c:layout>
        <c:manualLayout>
          <c:layoutTarget val="inner"/>
          <c:xMode val="edge"/>
          <c:yMode val="edge"/>
          <c:x val="0.11679792575241686"/>
          <c:y val="0.18208729758199177"/>
          <c:w val="0.62630771780281502"/>
          <c:h val="0.68499507185606434"/>
        </c:manualLayout>
      </c:layout>
      <c:scatterChart>
        <c:scatterStyle val="smoothMarker"/>
        <c:varyColors val="0"/>
        <c:ser>
          <c:idx val="0"/>
          <c:order val="0"/>
          <c:tx>
            <c:v>LUT3_10K - Actual</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(Test!$B$209,Test!$B$213:$B$215)</c:f>
              <c:numCache>
                <c:formatCode>General</c:formatCode>
                <c:ptCount val="4"/>
                <c:pt idx="0">
                  <c:v>0</c:v>
                </c:pt>
                <c:pt idx="1">
                  <c:v>50</c:v>
                </c:pt>
                <c:pt idx="2">
                  <c:v>100</c:v>
                </c:pt>
                <c:pt idx="3">
                  <c:v>150</c:v>
                </c:pt>
              </c:numCache>
            </c:numRef>
          </c:xVal>
          <c:yVal>
            <c:numRef>
              <c:f>(Test!$K$209,Test!$K$213:$K$215)</c:f>
              <c:numCache>
                <c:formatCode>General</c:formatCode>
                <c:ptCount val="4"/>
                <c:pt idx="0">
                  <c:v>19.577000000000002</c:v>
                </c:pt>
                <c:pt idx="1">
                  <c:v>115.384</c:v>
                </c:pt>
                <c:pt idx="2">
                  <c:v>211.03399999999999</c:v>
                </c:pt>
                <c:pt idx="3">
                  <c:v>305.63099999999997</c:v>
                </c:pt>
              </c:numCache>
            </c:numRef>
          </c:yVal>
          <c:smooth val="1"/>
          <c:extLst>
            <c:ext xmlns:c16="http://schemas.microsoft.com/office/drawing/2014/chart" uri="{C3380CC4-5D6E-409C-BE32-E72D297353CC}">
              <c16:uniqueId val="{00000000-5B68-4126-9751-3D998DD184C4}"/>
            </c:ext>
          </c:extLst>
        </c:ser>
        <c:ser>
          <c:idx val="1"/>
          <c:order val="1"/>
          <c:tx>
            <c:v>LUT3_10K - Estimated</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(Test!$B$209,Test!$B$213:$B$215)</c:f>
              <c:numCache>
                <c:formatCode>General</c:formatCode>
                <c:ptCount val="4"/>
                <c:pt idx="0">
                  <c:v>0</c:v>
                </c:pt>
                <c:pt idx="1">
                  <c:v>50</c:v>
                </c:pt>
                <c:pt idx="2">
                  <c:v>100</c:v>
                </c:pt>
                <c:pt idx="3">
                  <c:v>150</c:v>
                </c:pt>
              </c:numCache>
            </c:numRef>
          </c:xVal>
          <c:yVal>
            <c:numRef>
              <c:f>(Test!$I$209,Test!$I$213:$I$215)</c:f>
              <c:numCache>
                <c:formatCode>General</c:formatCode>
                <c:ptCount val="4"/>
                <c:pt idx="0">
                  <c:v>20.825150493669724</c:v>
                </c:pt>
                <c:pt idx="1">
                  <c:v>117.10580266444765</c:v>
                </c:pt>
                <c:pt idx="2">
                  <c:v>213.38645483522561</c:v>
                </c:pt>
                <c:pt idx="3">
                  <c:v>309.6671070060035</c:v>
                </c:pt>
              </c:numCache>
            </c:numRef>
          </c:yVal>
          <c:smooth val="1"/>
          <c:extLst>
            <c:ext xmlns:c16="http://schemas.microsoft.com/office/drawing/2014/chart" uri="{C3380CC4-5D6E-409C-BE32-E72D297353CC}">
              <c16:uniqueId val="{00000001-5B68-4126-9751-3D998DD184C4}"/>
            </c:ext>
          </c:extLst>
        </c:ser>
        <c:ser>
          <c:idx val="2"/>
          <c:order val="2"/>
          <c:tx>
            <c:v>LUT3_20K - Actual</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(Test!$B$222,Test!$B$226:$B$228)</c:f>
              <c:numCache>
                <c:formatCode>General</c:formatCode>
                <c:ptCount val="4"/>
                <c:pt idx="0">
                  <c:v>0</c:v>
                </c:pt>
                <c:pt idx="1">
                  <c:v>50</c:v>
                </c:pt>
                <c:pt idx="2">
                  <c:v>100</c:v>
                </c:pt>
                <c:pt idx="3">
                  <c:v>150</c:v>
                </c:pt>
              </c:numCache>
            </c:numRef>
          </c:xVal>
          <c:yVal>
            <c:numRef>
              <c:f>(Test!$K$222,Test!$K$226:$K$228)</c:f>
              <c:numCache>
                <c:formatCode>General</c:formatCode>
                <c:ptCount val="4"/>
                <c:pt idx="0">
                  <c:v>20.082999999999998</c:v>
                </c:pt>
                <c:pt idx="1">
                  <c:v>214.99799999999999</c:v>
                </c:pt>
                <c:pt idx="2">
                  <c:v>407.42200000000003</c:v>
                </c:pt>
                <c:pt idx="3">
                  <c:v>595.67899999999997</c:v>
                </c:pt>
              </c:numCache>
            </c:numRef>
          </c:yVal>
          <c:smooth val="1"/>
          <c:extLst>
            <c:ext xmlns:c16="http://schemas.microsoft.com/office/drawing/2014/chart" uri="{C3380CC4-5D6E-409C-BE32-E72D297353CC}">
              <c16:uniqueId val="{00000002-5B68-4126-9751-3D998DD184C4}"/>
            </c:ext>
          </c:extLst>
        </c:ser>
        <c:ser>
          <c:idx val="3"/>
          <c:order val="3"/>
          <c:tx>
            <c:v>LUT3_20K - Estimate</c:v>
          </c:tx>
          <c:spPr>
            <a:ln w="12700">
              <a:solidFill>
                <a:srgbClr val="00FFFF"/>
              </a:solidFill>
              <a:prstDash val="solid"/>
            </a:ln>
          </c:spPr>
          <c:marker>
            <c:symbol val="x"/>
            <c:size val="5"/>
            <c:spPr>
              <a:noFill/>
              <a:ln>
                <a:solidFill>
                  <a:srgbClr val="00FFFF"/>
                </a:solidFill>
                <a:prstDash val="solid"/>
              </a:ln>
            </c:spPr>
          </c:marker>
          <c:xVal>
            <c:numRef>
              <c:f>(Test!$B$222,Test!$B$226:$B$228)</c:f>
              <c:numCache>
                <c:formatCode>General</c:formatCode>
                <c:ptCount val="4"/>
                <c:pt idx="0">
                  <c:v>0</c:v>
                </c:pt>
                <c:pt idx="1">
                  <c:v>50</c:v>
                </c:pt>
                <c:pt idx="2">
                  <c:v>100</c:v>
                </c:pt>
                <c:pt idx="3">
                  <c:v>150</c:v>
                </c:pt>
              </c:numCache>
            </c:numRef>
          </c:xVal>
          <c:yVal>
            <c:numRef>
              <c:f>(Test!$I$222,Test!$I$226:$I$228)</c:f>
              <c:numCache>
                <c:formatCode>General</c:formatCode>
                <c:ptCount val="4"/>
                <c:pt idx="0">
                  <c:v>23.679042274889824</c:v>
                </c:pt>
                <c:pt idx="1">
                  <c:v>208.32520720675419</c:v>
                </c:pt>
                <c:pt idx="2">
                  <c:v>392.97137213861856</c:v>
                </c:pt>
                <c:pt idx="3">
                  <c:v>577.61753707048274</c:v>
                </c:pt>
              </c:numCache>
            </c:numRef>
          </c:yVal>
          <c:smooth val="1"/>
          <c:extLst>
            <c:ext xmlns:c16="http://schemas.microsoft.com/office/drawing/2014/chart" uri="{C3380CC4-5D6E-409C-BE32-E72D297353CC}">
              <c16:uniqueId val="{00000003-5B68-4126-9751-3D998DD184C4}"/>
            </c:ext>
          </c:extLst>
        </c:ser>
        <c:ser>
          <c:idx val="4"/>
          <c:order val="4"/>
          <c:tx>
            <c:v>LUT4 10K - Actual</c:v>
          </c:tx>
          <c:spPr>
            <a:ln w="12700">
              <a:solidFill>
                <a:srgbClr val="800080"/>
              </a:solidFill>
              <a:prstDash val="solid"/>
            </a:ln>
          </c:spPr>
          <c:marker>
            <c:symbol val="star"/>
            <c:size val="5"/>
            <c:spPr>
              <a:noFill/>
              <a:ln>
                <a:solidFill>
                  <a:srgbClr val="800080"/>
                </a:solidFill>
                <a:prstDash val="solid"/>
              </a:ln>
            </c:spPr>
          </c:marker>
          <c:xVal>
            <c:numRef>
              <c:f>(Test!$B$235,Test!$B$239:$B$241)</c:f>
              <c:numCache>
                <c:formatCode>General</c:formatCode>
                <c:ptCount val="4"/>
                <c:pt idx="0">
                  <c:v>0</c:v>
                </c:pt>
                <c:pt idx="1">
                  <c:v>50</c:v>
                </c:pt>
                <c:pt idx="2">
                  <c:v>100</c:v>
                </c:pt>
                <c:pt idx="3">
                  <c:v>150</c:v>
                </c:pt>
              </c:numCache>
            </c:numRef>
          </c:xVal>
          <c:yVal>
            <c:numRef>
              <c:f>(Test!$K$235,Test!$K$239:$K$241)</c:f>
              <c:numCache>
                <c:formatCode>General</c:formatCode>
                <c:ptCount val="4"/>
                <c:pt idx="0">
                  <c:v>19.632999999999999</c:v>
                </c:pt>
                <c:pt idx="1">
                  <c:v>115.80500000000001</c:v>
                </c:pt>
                <c:pt idx="2">
                  <c:v>211.869</c:v>
                </c:pt>
                <c:pt idx="3">
                  <c:v>306.81799999999998</c:v>
                </c:pt>
              </c:numCache>
            </c:numRef>
          </c:yVal>
          <c:smooth val="1"/>
          <c:extLst>
            <c:ext xmlns:c16="http://schemas.microsoft.com/office/drawing/2014/chart" uri="{C3380CC4-5D6E-409C-BE32-E72D297353CC}">
              <c16:uniqueId val="{00000004-5B68-4126-9751-3D998DD184C4}"/>
            </c:ext>
          </c:extLst>
        </c:ser>
        <c:ser>
          <c:idx val="5"/>
          <c:order val="5"/>
          <c:tx>
            <c:v>LUT4 10K - Estimate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(Test!$B$235,Test!$B$239:$B$241)</c:f>
              <c:numCache>
                <c:formatCode>General</c:formatCode>
                <c:ptCount val="4"/>
                <c:pt idx="0">
                  <c:v>0</c:v>
                </c:pt>
                <c:pt idx="1">
                  <c:v>50</c:v>
                </c:pt>
                <c:pt idx="2">
                  <c:v>100</c:v>
                </c:pt>
                <c:pt idx="3">
                  <c:v>150</c:v>
                </c:pt>
              </c:numCache>
            </c:numRef>
          </c:xVal>
          <c:yVal>
            <c:numRef>
              <c:f>(Test!$I$235,Test!$I$239:$I$241)</c:f>
              <c:numCache>
                <c:formatCode>General</c:formatCode>
                <c:ptCount val="4"/>
                <c:pt idx="0">
                  <c:v>20.825150493669724</c:v>
                </c:pt>
                <c:pt idx="1">
                  <c:v>123.05058391444766</c:v>
                </c:pt>
                <c:pt idx="2">
                  <c:v>225.27601733522556</c:v>
                </c:pt>
                <c:pt idx="3">
                  <c:v>327.50145075600352</c:v>
                </c:pt>
              </c:numCache>
            </c:numRef>
          </c:yVal>
          <c:smooth val="1"/>
          <c:extLst>
            <c:ext xmlns:c16="http://schemas.microsoft.com/office/drawing/2014/chart" uri="{C3380CC4-5D6E-409C-BE32-E72D297353CC}">
              <c16:uniqueId val="{00000005-5B68-4126-9751-3D998DD184C4}"/>
            </c:ext>
          </c:extLst>
        </c:ser>
        <c:ser>
          <c:idx val="6"/>
          <c:order val="6"/>
          <c:tx>
            <c:v>LUT4 20K - Actual</c:v>
          </c:tx>
          <c:spPr>
            <a:ln w="12700">
              <a:solidFill>
                <a:srgbClr val="008080"/>
              </a:solidFill>
              <a:prstDash val="solid"/>
            </a:ln>
          </c:spPr>
          <c:marker>
            <c:symbol val="plus"/>
            <c:size val="5"/>
            <c:spPr>
              <a:noFill/>
              <a:ln>
                <a:solidFill>
                  <a:srgbClr val="008080"/>
                </a:solidFill>
                <a:prstDash val="solid"/>
              </a:ln>
            </c:spPr>
          </c:marker>
          <c:xVal>
            <c:numRef>
              <c:f>(Test!$B$248,Test!$B$252:$B$254)</c:f>
              <c:numCache>
                <c:formatCode>General</c:formatCode>
                <c:ptCount val="4"/>
                <c:pt idx="0">
                  <c:v>0</c:v>
                </c:pt>
                <c:pt idx="1">
                  <c:v>50</c:v>
                </c:pt>
                <c:pt idx="2">
                  <c:v>100</c:v>
                </c:pt>
                <c:pt idx="3">
                  <c:v>150</c:v>
                </c:pt>
              </c:numCache>
            </c:numRef>
          </c:xVal>
          <c:yVal>
            <c:numRef>
              <c:f>(Test!$K$248,Test!$K$252:$K$254)</c:f>
              <c:numCache>
                <c:formatCode>General</c:formatCode>
                <c:ptCount val="4"/>
                <c:pt idx="0">
                  <c:v>20.228000000000002</c:v>
                </c:pt>
                <c:pt idx="1">
                  <c:v>211.5</c:v>
                </c:pt>
                <c:pt idx="2">
                  <c:v>400.21</c:v>
                </c:pt>
                <c:pt idx="3">
                  <c:v>585.08100000000002</c:v>
                </c:pt>
              </c:numCache>
            </c:numRef>
          </c:yVal>
          <c:smooth val="1"/>
          <c:extLst>
            <c:ext xmlns:c16="http://schemas.microsoft.com/office/drawing/2014/chart" uri="{C3380CC4-5D6E-409C-BE32-E72D297353CC}">
              <c16:uniqueId val="{00000006-5B68-4126-9751-3D998DD184C4}"/>
            </c:ext>
          </c:extLst>
        </c:ser>
        <c:ser>
          <c:idx val="7"/>
          <c:order val="7"/>
          <c:tx>
            <c:v>LUT4 20K - Estimated</c:v>
          </c:tx>
          <c:spPr>
            <a:ln w="12700">
              <a:solidFill>
                <a:srgbClr val="0000FF"/>
              </a:solidFill>
              <a:prstDash val="solid"/>
            </a:ln>
          </c:spPr>
          <c:marker>
            <c:symbol val="dot"/>
            <c:size val="5"/>
            <c:spPr>
              <a:noFill/>
              <a:ln>
                <a:solidFill>
                  <a:srgbClr val="0000FF"/>
                </a:solidFill>
                <a:prstDash val="solid"/>
              </a:ln>
            </c:spPr>
          </c:marker>
          <c:xVal>
            <c:numRef>
              <c:f>(Test!$B$248,Test!$B$252:$B$254)</c:f>
              <c:numCache>
                <c:formatCode>General</c:formatCode>
                <c:ptCount val="4"/>
                <c:pt idx="0">
                  <c:v>0</c:v>
                </c:pt>
                <c:pt idx="1">
                  <c:v>50</c:v>
                </c:pt>
                <c:pt idx="2">
                  <c:v>100</c:v>
                </c:pt>
                <c:pt idx="3">
                  <c:v>150</c:v>
                </c:pt>
              </c:numCache>
            </c:numRef>
          </c:xVal>
          <c:yVal>
            <c:numRef>
              <c:f>(Test!$I$248,Test!$I$252:$I$254)</c:f>
              <c:numCache>
                <c:formatCode>General</c:formatCode>
                <c:ptCount val="4"/>
                <c:pt idx="0">
                  <c:v>23.679042274889824</c:v>
                </c:pt>
                <c:pt idx="1">
                  <c:v>220.21476970675414</c:v>
                </c:pt>
                <c:pt idx="2">
                  <c:v>416.75049713861847</c:v>
                </c:pt>
                <c:pt idx="3">
                  <c:v>613.28622457048289</c:v>
                </c:pt>
              </c:numCache>
            </c:numRef>
          </c:yVal>
          <c:smooth val="1"/>
          <c:extLst>
            <c:ext xmlns:c16="http://schemas.microsoft.com/office/drawing/2014/chart" uri="{C3380CC4-5D6E-409C-BE32-E72D297353CC}">
              <c16:uniqueId val="{00000007-5B68-4126-9751-3D998DD184C4}"/>
            </c:ext>
          </c:extLst>
        </c:ser>
        <c:dLbls>
          <c:showLegendKey val="0"/>
          <c:showVal val="0"/>
          <c:showCatName val="0"/>
          <c:showSerName val="0"/>
          <c:showPercent val="0"/>
          <c:showBubbleSize val="0"/>
        </c:dLbls>
        <c:axId val="399681984"/>
        <c:axId val="399679264"/>
      </c:scatterChart>
      <c:valAx>
        <c:axId val="399681984"/>
        <c:scaling>
          <c:orientation val="minMax"/>
          <c:max val="150"/>
        </c:scaling>
        <c:delete val="0"/>
        <c:axPos val="b"/>
        <c:title>
          <c:tx>
            <c:rich>
              <a:bodyPr/>
              <a:lstStyle/>
              <a:p>
                <a:pPr>
                  <a:defRPr sz="850" b="1" i="0" u="none" strike="noStrike" baseline="0">
                    <a:solidFill>
                      <a:srgbClr val="000000"/>
                    </a:solidFill>
                    <a:latin typeface="Arial"/>
                    <a:ea typeface="Arial"/>
                    <a:cs typeface="Arial"/>
                  </a:defRPr>
                </a:pPr>
                <a:r>
                  <a:rPr lang="fr-CA"/>
                  <a:t>Frequency (MHz)</a:t>
                </a:r>
              </a:p>
            </c:rich>
          </c:tx>
          <c:layout>
            <c:manualLayout>
              <c:xMode val="edge"/>
              <c:yMode val="edge"/>
              <c:x val="0.34700834260139196"/>
              <c:y val="0.9416513916574967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79264"/>
        <c:crosses val="autoZero"/>
        <c:crossBetween val="midCat"/>
      </c:valAx>
      <c:valAx>
        <c:axId val="399679264"/>
        <c:scaling>
          <c:orientation val="minMax"/>
          <c:max val="625"/>
          <c:min val="0"/>
        </c:scaling>
        <c:delete val="0"/>
        <c:axPos val="l"/>
        <c:majorGridlines>
          <c:spPr>
            <a:ln w="3175">
              <a:solidFill>
                <a:srgbClr val="000000"/>
              </a:solidFill>
              <a:prstDash val="solid"/>
            </a:ln>
          </c:spPr>
        </c:majorGridlines>
        <c:title>
          <c:tx>
            <c:rich>
              <a:bodyPr/>
              <a:lstStyle/>
              <a:p>
                <a:pPr>
                  <a:defRPr sz="850" b="1" i="0" u="none" strike="noStrike" baseline="0">
                    <a:solidFill>
                      <a:srgbClr val="000000"/>
                    </a:solidFill>
                    <a:latin typeface="Arial"/>
                    <a:ea typeface="Arial"/>
                    <a:cs typeface="Arial"/>
                  </a:defRPr>
                </a:pPr>
                <a:r>
                  <a:rPr lang="fr-CA"/>
                  <a:t>Iccint (mA)</a:t>
                </a:r>
              </a:p>
            </c:rich>
          </c:tx>
          <c:layout>
            <c:manualLayout>
              <c:xMode val="edge"/>
              <c:yMode val="edge"/>
              <c:x val="2.369805878751316E-2"/>
              <c:y val="0.4682244888080001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399681984"/>
        <c:crosses val="autoZero"/>
        <c:crossBetween val="midCat"/>
      </c:valAx>
      <c:spPr>
        <a:solidFill>
          <a:srgbClr val="C0C0C0"/>
        </a:solidFill>
        <a:ln w="12700">
          <a:solidFill>
            <a:srgbClr val="808080"/>
          </a:solidFill>
          <a:prstDash val="solid"/>
        </a:ln>
      </c:spPr>
    </c:plotArea>
    <c:legend>
      <c:legendPos val="r"/>
      <c:layout>
        <c:manualLayout>
          <c:xMode val="edge"/>
          <c:yMode val="edge"/>
          <c:x val="0.74479983241072323"/>
          <c:y val="0.3639215241436663"/>
          <c:w val="0.24627657804994052"/>
          <c:h val="0.34437192076406598"/>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- 100% enable</a:t>
            </a:r>
          </a:p>
        </c:rich>
      </c:tx>
      <c:layout>
        <c:manualLayout>
          <c:xMode val="edge"/>
          <c:yMode val="edge"/>
          <c:x val="0.25731119162810706"/>
          <c:y val="3.0853093875651376E-2"/>
        </c:manualLayout>
      </c:layout>
      <c:overlay val="0"/>
      <c:spPr>
        <a:noFill/>
        <a:ln w="25400">
          <a:noFill/>
        </a:ln>
      </c:spPr>
    </c:title>
    <c:autoTitleDeleted val="0"/>
    <c:plotArea>
      <c:layout>
        <c:manualLayout>
          <c:layoutTarget val="inner"/>
          <c:xMode val="edge"/>
          <c:yMode val="edge"/>
          <c:x val="0.1032421915595579"/>
          <c:y val="0.16375845303700939"/>
          <c:w val="0.57180290709908987"/>
          <c:h val="0.65266050123445774"/>
        </c:manualLayout>
      </c:layout>
      <c:scatterChart>
        <c:scatterStyle val="smoothMarker"/>
        <c:varyColors val="0"/>
        <c:ser>
          <c:idx val="0"/>
          <c:order val="0"/>
          <c:tx>
            <c:v>Actual - 50% toggle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0-2FEB-4D2B-8D4B-AF45D3A22879}"/>
            </c:ext>
          </c:extLst>
        </c:ser>
        <c:ser>
          <c:idx val="1"/>
          <c:order val="1"/>
          <c:tx>
            <c:v>XPE Estimate - 50% toggle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1-2FEB-4D2B-8D4B-AF45D3A22879}"/>
            </c:ext>
          </c:extLst>
        </c:ser>
        <c:ser>
          <c:idx val="2"/>
          <c:order val="2"/>
          <c:tx>
            <c:v>Actual - 25% toggle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Test!$D$283:$D$285</c:f>
              <c:numCache>
                <c:formatCode>General</c:formatCode>
                <c:ptCount val="3"/>
                <c:pt idx="0">
                  <c:v>50</c:v>
                </c:pt>
                <c:pt idx="1">
                  <c:v>100</c:v>
                </c:pt>
                <c:pt idx="2">
                  <c:v>200</c:v>
                </c:pt>
              </c:numCache>
            </c:numRef>
          </c:xVal>
          <c:yVal>
            <c:numRef>
              <c:f>Test!$O$283:$O$285</c:f>
              <c:numCache>
                <c:formatCode>General</c:formatCode>
                <c:ptCount val="3"/>
                <c:pt idx="0">
                  <c:v>92</c:v>
                </c:pt>
                <c:pt idx="1">
                  <c:v>167</c:v>
                </c:pt>
                <c:pt idx="2">
                  <c:v>319</c:v>
                </c:pt>
              </c:numCache>
            </c:numRef>
          </c:yVal>
          <c:smooth val="1"/>
          <c:extLst>
            <c:ext xmlns:c16="http://schemas.microsoft.com/office/drawing/2014/chart" uri="{C3380CC4-5D6E-409C-BE32-E72D297353CC}">
              <c16:uniqueId val="{00000002-2FEB-4D2B-8D4B-AF45D3A22879}"/>
            </c:ext>
          </c:extLst>
        </c:ser>
        <c:ser>
          <c:idx val="3"/>
          <c:order val="3"/>
          <c:tx>
            <c:v>XPE Estimate - 25% toggle</c:v>
          </c:tx>
          <c:spPr>
            <a:ln w="12700">
              <a:solidFill>
                <a:srgbClr val="00FFFF"/>
              </a:solidFill>
              <a:prstDash val="solid"/>
            </a:ln>
          </c:spPr>
          <c:marker>
            <c:symbol val="x"/>
            <c:size val="5"/>
            <c:spPr>
              <a:noFill/>
              <a:ln>
                <a:solidFill>
                  <a:srgbClr val="00FFFF"/>
                </a:solidFill>
                <a:prstDash val="solid"/>
              </a:ln>
            </c:spPr>
          </c:marker>
          <c:xVal>
            <c:numRef>
              <c:f>Test!$D$283:$D$285</c:f>
              <c:numCache>
                <c:formatCode>General</c:formatCode>
                <c:ptCount val="3"/>
                <c:pt idx="0">
                  <c:v>50</c:v>
                </c:pt>
                <c:pt idx="1">
                  <c:v>100</c:v>
                </c:pt>
                <c:pt idx="2">
                  <c:v>200</c:v>
                </c:pt>
              </c:numCache>
            </c:numRef>
          </c:xVal>
          <c:yVal>
            <c:numRef>
              <c:f>Test!$M$283:$M$285</c:f>
              <c:numCache>
                <c:formatCode>General</c:formatCode>
                <c:ptCount val="3"/>
                <c:pt idx="0">
                  <c:v>92.054301047463809</c:v>
                </c:pt>
                <c:pt idx="1">
                  <c:v>168.5090972572593</c:v>
                </c:pt>
                <c:pt idx="2">
                  <c:v>317.63641294171407</c:v>
                </c:pt>
              </c:numCache>
            </c:numRef>
          </c:yVal>
          <c:smooth val="1"/>
          <c:extLst>
            <c:ext xmlns:c16="http://schemas.microsoft.com/office/drawing/2014/chart" uri="{C3380CC4-5D6E-409C-BE32-E72D297353CC}">
              <c16:uniqueId val="{00000003-2FEB-4D2B-8D4B-AF45D3A22879}"/>
            </c:ext>
          </c:extLst>
        </c:ser>
        <c:ser>
          <c:idx val="4"/>
          <c:order val="4"/>
          <c:tx>
            <c:v>Actual - 100% toggle</c:v>
          </c:tx>
          <c:spPr>
            <a:ln w="12700">
              <a:solidFill>
                <a:srgbClr val="800080"/>
              </a:solidFill>
              <a:prstDash val="solid"/>
            </a:ln>
          </c:spPr>
          <c:marker>
            <c:symbol val="star"/>
            <c:size val="5"/>
            <c:spPr>
              <a:noFill/>
              <a:ln>
                <a:solidFill>
                  <a:srgbClr val="800080"/>
                </a:solidFill>
                <a:prstDash val="solid"/>
              </a:ln>
            </c:spPr>
          </c:marker>
          <c:xVal>
            <c:numRef>
              <c:f>Test!$D$301:$D$303</c:f>
              <c:numCache>
                <c:formatCode>General</c:formatCode>
                <c:ptCount val="3"/>
                <c:pt idx="0">
                  <c:v>50</c:v>
                </c:pt>
                <c:pt idx="1">
                  <c:v>100</c:v>
                </c:pt>
                <c:pt idx="2">
                  <c:v>200</c:v>
                </c:pt>
              </c:numCache>
            </c:numRef>
          </c:xVal>
          <c:yVal>
            <c:numRef>
              <c:f>Test!$O$301:$O$303</c:f>
              <c:numCache>
                <c:formatCode>General</c:formatCode>
                <c:ptCount val="3"/>
                <c:pt idx="0">
                  <c:v>108</c:v>
                </c:pt>
                <c:pt idx="1">
                  <c:v>201</c:v>
                </c:pt>
                <c:pt idx="2">
                  <c:v>384</c:v>
                </c:pt>
              </c:numCache>
            </c:numRef>
          </c:yVal>
          <c:smooth val="1"/>
          <c:extLst>
            <c:ext xmlns:c16="http://schemas.microsoft.com/office/drawing/2014/chart" uri="{C3380CC4-5D6E-409C-BE32-E72D297353CC}">
              <c16:uniqueId val="{00000004-2FEB-4D2B-8D4B-AF45D3A22879}"/>
            </c:ext>
          </c:extLst>
        </c:ser>
        <c:ser>
          <c:idx val="5"/>
          <c:order val="5"/>
          <c:tx>
            <c:v>XPE Estimate - 100% toggle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Test!$D$301:$D$303</c:f>
              <c:numCache>
                <c:formatCode>General</c:formatCode>
                <c:ptCount val="3"/>
                <c:pt idx="0">
                  <c:v>50</c:v>
                </c:pt>
                <c:pt idx="1">
                  <c:v>100</c:v>
                </c:pt>
                <c:pt idx="2">
                  <c:v>200</c:v>
                </c:pt>
              </c:numCache>
            </c:numRef>
          </c:xVal>
          <c:yVal>
            <c:numRef>
              <c:f>Test!$M$301:$M$303</c:f>
              <c:numCache>
                <c:formatCode>General</c:formatCode>
                <c:ptCount val="3"/>
                <c:pt idx="0">
                  <c:v>112.38395170371382</c:v>
                </c:pt>
                <c:pt idx="1">
                  <c:v>209.16839856975932</c:v>
                </c:pt>
                <c:pt idx="2">
                  <c:v>398.95501556671411</c:v>
                </c:pt>
              </c:numCache>
            </c:numRef>
          </c:yVal>
          <c:smooth val="1"/>
          <c:extLst>
            <c:ext xmlns:c16="http://schemas.microsoft.com/office/drawing/2014/chart" uri="{C3380CC4-5D6E-409C-BE32-E72D297353CC}">
              <c16:uniqueId val="{00000005-2FEB-4D2B-8D4B-AF45D3A22879}"/>
            </c:ext>
          </c:extLst>
        </c:ser>
        <c:dLbls>
          <c:showLegendKey val="0"/>
          <c:showVal val="0"/>
          <c:showCatName val="0"/>
          <c:showSerName val="0"/>
          <c:showPercent val="0"/>
          <c:showBubbleSize val="0"/>
        </c:dLbls>
        <c:axId val="399684704"/>
        <c:axId val="399683616"/>
      </c:scatterChart>
      <c:valAx>
        <c:axId val="399684704"/>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607995647020615"/>
              <c:y val="0.91372478159724946"/>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616"/>
        <c:crosses val="autoZero"/>
        <c:crossBetween val="midCat"/>
      </c:valAx>
      <c:valAx>
        <c:axId val="399683616"/>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413469771679482E-2"/>
              <c:y val="0.4271960017857270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4704"/>
        <c:crosses val="autoZero"/>
        <c:crossBetween val="midCat"/>
      </c:valAx>
      <c:spPr>
        <a:solidFill>
          <a:srgbClr val="C0C0C0"/>
        </a:solidFill>
        <a:ln w="12700">
          <a:solidFill>
            <a:srgbClr val="808080"/>
          </a:solidFill>
          <a:prstDash val="solid"/>
        </a:ln>
      </c:spPr>
    </c:plotArea>
    <c:legend>
      <c:legendPos val="r"/>
      <c:layout>
        <c:manualLayout>
          <c:xMode val="edge"/>
          <c:yMode val="edge"/>
          <c:x val="0.70030226211515989"/>
          <c:y val="0.30533812583952469"/>
          <c:w val="0.29132584497150738"/>
          <c:h val="0.34632307608493884"/>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fr-CA"/>
              <a:t>BRAM Design Iccint vs Frequency - 50% toggle</a:t>
            </a:r>
          </a:p>
        </c:rich>
      </c:tx>
      <c:layout>
        <c:manualLayout>
          <c:xMode val="edge"/>
          <c:yMode val="edge"/>
          <c:x val="0.26792903290934789"/>
          <c:y val="3.1201559015031428E-2"/>
        </c:manualLayout>
      </c:layout>
      <c:overlay val="0"/>
      <c:spPr>
        <a:noFill/>
        <a:ln w="25400">
          <a:noFill/>
        </a:ln>
      </c:spPr>
    </c:title>
    <c:autoTitleDeleted val="0"/>
    <c:plotArea>
      <c:layout>
        <c:manualLayout>
          <c:layoutTarget val="inner"/>
          <c:xMode val="edge"/>
          <c:yMode val="edge"/>
          <c:x val="0.10304958229000448"/>
          <c:y val="0.15840798227723193"/>
          <c:w val="0.57073614806771711"/>
          <c:h val="0.65763313854487204"/>
        </c:manualLayout>
      </c:layout>
      <c:scatterChart>
        <c:scatterStyle val="smoothMarker"/>
        <c:varyColors val="0"/>
        <c:ser>
          <c:idx val="0"/>
          <c:order val="0"/>
          <c:tx>
            <c:v>Actual -25% enable</c:v>
          </c:tx>
          <c:spPr>
            <a:ln w="12700">
              <a:solidFill>
                <a:srgbClr val="000080"/>
              </a:solidFill>
              <a:prstDash val="solid"/>
            </a:ln>
          </c:spPr>
          <c:marker>
            <c:symbol val="diamond"/>
            <c:size val="5"/>
            <c:spPr>
              <a:solidFill>
                <a:srgbClr val="000080"/>
              </a:solidFill>
              <a:ln>
                <a:solidFill>
                  <a:srgbClr val="000080"/>
                </a:solidFill>
                <a:prstDash val="solid"/>
              </a:ln>
            </c:spPr>
          </c:marker>
          <c:xVal>
            <c:numRef>
              <c:f>Test!$D$286:$D$288</c:f>
              <c:numCache>
                <c:formatCode>General</c:formatCode>
                <c:ptCount val="3"/>
                <c:pt idx="0">
                  <c:v>50</c:v>
                </c:pt>
                <c:pt idx="1">
                  <c:v>100</c:v>
                </c:pt>
                <c:pt idx="2">
                  <c:v>200</c:v>
                </c:pt>
              </c:numCache>
            </c:numRef>
          </c:xVal>
          <c:yVal>
            <c:numRef>
              <c:f>Test!$O$286:$O$288</c:f>
              <c:numCache>
                <c:formatCode>General</c:formatCode>
                <c:ptCount val="3"/>
                <c:pt idx="0">
                  <c:v>39</c:v>
                </c:pt>
                <c:pt idx="1">
                  <c:v>62</c:v>
                </c:pt>
                <c:pt idx="2">
                  <c:v>105</c:v>
                </c:pt>
              </c:numCache>
            </c:numRef>
          </c:yVal>
          <c:smooth val="1"/>
          <c:extLst>
            <c:ext xmlns:c16="http://schemas.microsoft.com/office/drawing/2014/chart" uri="{C3380CC4-5D6E-409C-BE32-E72D297353CC}">
              <c16:uniqueId val="{00000000-6C1B-44AF-829A-F1F8F0F75DEA}"/>
            </c:ext>
          </c:extLst>
        </c:ser>
        <c:ser>
          <c:idx val="1"/>
          <c:order val="1"/>
          <c:tx>
            <c:v>XPE Estimate - 25% enable</c:v>
          </c:tx>
          <c:spPr>
            <a:ln w="12700">
              <a:solidFill>
                <a:srgbClr val="FF00FF"/>
              </a:solidFill>
              <a:prstDash val="solid"/>
            </a:ln>
          </c:spPr>
          <c:marker>
            <c:symbol val="square"/>
            <c:size val="5"/>
            <c:spPr>
              <a:solidFill>
                <a:srgbClr val="FF00FF"/>
              </a:solidFill>
              <a:ln>
                <a:solidFill>
                  <a:srgbClr val="FF00FF"/>
                </a:solidFill>
                <a:prstDash val="solid"/>
              </a:ln>
            </c:spPr>
          </c:marker>
          <c:xVal>
            <c:numRef>
              <c:f>Test!$D$286:$D$288</c:f>
              <c:numCache>
                <c:formatCode>General</c:formatCode>
                <c:ptCount val="3"/>
                <c:pt idx="0">
                  <c:v>50</c:v>
                </c:pt>
                <c:pt idx="1">
                  <c:v>100</c:v>
                </c:pt>
                <c:pt idx="2">
                  <c:v>200</c:v>
                </c:pt>
              </c:numCache>
            </c:numRef>
          </c:xVal>
          <c:yVal>
            <c:numRef>
              <c:f>Test!$M$286:$M$288</c:f>
              <c:numCache>
                <c:formatCode>General</c:formatCode>
                <c:ptCount val="3"/>
                <c:pt idx="0">
                  <c:v>39.553851266213819</c:v>
                </c:pt>
                <c:pt idx="1">
                  <c:v>63.508197694759346</c:v>
                </c:pt>
                <c:pt idx="2">
                  <c:v>107.63461381671418</c:v>
                </c:pt>
              </c:numCache>
            </c:numRef>
          </c:yVal>
          <c:smooth val="1"/>
          <c:extLst>
            <c:ext xmlns:c16="http://schemas.microsoft.com/office/drawing/2014/chart" uri="{C3380CC4-5D6E-409C-BE32-E72D297353CC}">
              <c16:uniqueId val="{00000001-6C1B-44AF-829A-F1F8F0F75DEA}"/>
            </c:ext>
          </c:extLst>
        </c:ser>
        <c:ser>
          <c:idx val="2"/>
          <c:order val="2"/>
          <c:tx>
            <c:v>Actual - 50% enable</c:v>
          </c:tx>
          <c:spPr>
            <a:ln w="12700">
              <a:solidFill>
                <a:srgbClr val="FFFF00"/>
              </a:solidFill>
              <a:prstDash val="solid"/>
            </a:ln>
          </c:spPr>
          <c:marker>
            <c:symbol val="triangle"/>
            <c:size val="5"/>
            <c:spPr>
              <a:solidFill>
                <a:srgbClr val="FFFF00"/>
              </a:solidFill>
              <a:ln>
                <a:solidFill>
                  <a:srgbClr val="FFFF00"/>
                </a:solidFill>
                <a:prstDash val="solid"/>
              </a:ln>
            </c:spPr>
          </c:marker>
          <c:xVal>
            <c:numRef>
              <c:f>Test!$D$289:$D$291</c:f>
              <c:numCache>
                <c:formatCode>General</c:formatCode>
                <c:ptCount val="3"/>
                <c:pt idx="0">
                  <c:v>50</c:v>
                </c:pt>
                <c:pt idx="1">
                  <c:v>100</c:v>
                </c:pt>
                <c:pt idx="2">
                  <c:v>200</c:v>
                </c:pt>
              </c:numCache>
            </c:numRef>
          </c:xVal>
          <c:yVal>
            <c:numRef>
              <c:f>Test!$O$289:$O$291</c:f>
              <c:numCache>
                <c:formatCode>General</c:formatCode>
                <c:ptCount val="3"/>
                <c:pt idx="0">
                  <c:v>60</c:v>
                </c:pt>
                <c:pt idx="1">
                  <c:v>101</c:v>
                </c:pt>
                <c:pt idx="2">
                  <c:v>187</c:v>
                </c:pt>
              </c:numCache>
            </c:numRef>
          </c:yVal>
          <c:smooth val="1"/>
          <c:extLst>
            <c:ext xmlns:c16="http://schemas.microsoft.com/office/drawing/2014/chart" uri="{C3380CC4-5D6E-409C-BE32-E72D297353CC}">
              <c16:uniqueId val="{00000002-6C1B-44AF-829A-F1F8F0F75DEA}"/>
            </c:ext>
          </c:extLst>
        </c:ser>
        <c:ser>
          <c:idx val="3"/>
          <c:order val="3"/>
          <c:tx>
            <c:v>XPE Estimate - 50% enable</c:v>
          </c:tx>
          <c:spPr>
            <a:ln w="12700">
              <a:solidFill>
                <a:srgbClr val="00FFFF"/>
              </a:solidFill>
              <a:prstDash val="solid"/>
            </a:ln>
          </c:spPr>
          <c:marker>
            <c:symbol val="x"/>
            <c:size val="5"/>
            <c:spPr>
              <a:noFill/>
              <a:ln>
                <a:solidFill>
                  <a:srgbClr val="00FFFF"/>
                </a:solidFill>
                <a:prstDash val="solid"/>
              </a:ln>
            </c:spPr>
          </c:marker>
          <c:xVal>
            <c:numRef>
              <c:f>Test!$D$289:$D$291</c:f>
              <c:numCache>
                <c:formatCode>General</c:formatCode>
                <c:ptCount val="3"/>
                <c:pt idx="0">
                  <c:v>50</c:v>
                </c:pt>
                <c:pt idx="1">
                  <c:v>100</c:v>
                </c:pt>
                <c:pt idx="2">
                  <c:v>200</c:v>
                </c:pt>
              </c:numCache>
            </c:numRef>
          </c:xVal>
          <c:yVal>
            <c:numRef>
              <c:f>Test!$M$289:$M$291</c:f>
              <c:numCache>
                <c:formatCode>General</c:formatCode>
                <c:ptCount val="3"/>
                <c:pt idx="0">
                  <c:v>59.312851266213826</c:v>
                </c:pt>
                <c:pt idx="1">
                  <c:v>103.02619769475933</c:v>
                </c:pt>
                <c:pt idx="2">
                  <c:v>186.67061381671414</c:v>
                </c:pt>
              </c:numCache>
            </c:numRef>
          </c:yVal>
          <c:smooth val="1"/>
          <c:extLst>
            <c:ext xmlns:c16="http://schemas.microsoft.com/office/drawing/2014/chart" uri="{C3380CC4-5D6E-409C-BE32-E72D297353CC}">
              <c16:uniqueId val="{00000003-6C1B-44AF-829A-F1F8F0F75DEA}"/>
            </c:ext>
          </c:extLst>
        </c:ser>
        <c:ser>
          <c:idx val="4"/>
          <c:order val="4"/>
          <c:tx>
            <c:v>Actual - 100% enable</c:v>
          </c:tx>
          <c:spPr>
            <a:ln w="12700">
              <a:solidFill>
                <a:srgbClr val="800080"/>
              </a:solidFill>
              <a:prstDash val="solid"/>
            </a:ln>
          </c:spPr>
          <c:marker>
            <c:symbol val="star"/>
            <c:size val="5"/>
            <c:spPr>
              <a:noFill/>
              <a:ln>
                <a:solidFill>
                  <a:srgbClr val="800080"/>
                </a:solidFill>
                <a:prstDash val="solid"/>
              </a:ln>
            </c:spPr>
          </c:marker>
          <c:xVal>
            <c:numRef>
              <c:f>Test!$D$292:$D$294</c:f>
              <c:numCache>
                <c:formatCode>General</c:formatCode>
                <c:ptCount val="3"/>
                <c:pt idx="0">
                  <c:v>50</c:v>
                </c:pt>
                <c:pt idx="1">
                  <c:v>100</c:v>
                </c:pt>
                <c:pt idx="2">
                  <c:v>200</c:v>
                </c:pt>
              </c:numCache>
            </c:numRef>
          </c:xVal>
          <c:yVal>
            <c:numRef>
              <c:f>Test!$O$292:$O$294</c:f>
              <c:numCache>
                <c:formatCode>General</c:formatCode>
                <c:ptCount val="3"/>
                <c:pt idx="0">
                  <c:v>100</c:v>
                </c:pt>
                <c:pt idx="1">
                  <c:v>181</c:v>
                </c:pt>
                <c:pt idx="2">
                  <c:v>348</c:v>
                </c:pt>
              </c:numCache>
            </c:numRef>
          </c:yVal>
          <c:smooth val="1"/>
          <c:extLst>
            <c:ext xmlns:c16="http://schemas.microsoft.com/office/drawing/2014/chart" uri="{C3380CC4-5D6E-409C-BE32-E72D297353CC}">
              <c16:uniqueId val="{00000004-6C1B-44AF-829A-F1F8F0F75DEA}"/>
            </c:ext>
          </c:extLst>
        </c:ser>
        <c:ser>
          <c:idx val="5"/>
          <c:order val="5"/>
          <c:tx>
            <c:v>XPE Estimate - 100% enable</c:v>
          </c:tx>
          <c:spPr>
            <a:ln w="12700">
              <a:solidFill>
                <a:srgbClr val="800000"/>
              </a:solidFill>
              <a:prstDash val="solid"/>
            </a:ln>
          </c:spPr>
          <c:marker>
            <c:symbol val="circle"/>
            <c:size val="5"/>
            <c:spPr>
              <a:solidFill>
                <a:srgbClr val="800000"/>
              </a:solidFill>
              <a:ln>
                <a:solidFill>
                  <a:srgbClr val="800000"/>
                </a:solidFill>
                <a:prstDash val="solid"/>
              </a:ln>
            </c:spPr>
          </c:marker>
          <c:xVal>
            <c:numRef>
              <c:f>Test!$D$292:$D$294</c:f>
              <c:numCache>
                <c:formatCode>General</c:formatCode>
                <c:ptCount val="3"/>
                <c:pt idx="0">
                  <c:v>50</c:v>
                </c:pt>
                <c:pt idx="1">
                  <c:v>100</c:v>
                </c:pt>
                <c:pt idx="2">
                  <c:v>200</c:v>
                </c:pt>
              </c:numCache>
            </c:numRef>
          </c:xVal>
          <c:yVal>
            <c:numRef>
              <c:f>Test!$M$292:$M$294</c:f>
              <c:numCache>
                <c:formatCode>General</c:formatCode>
                <c:ptCount val="3"/>
                <c:pt idx="0">
                  <c:v>98.830851266213813</c:v>
                </c:pt>
                <c:pt idx="1">
                  <c:v>182.06219769475933</c:v>
                </c:pt>
                <c:pt idx="2">
                  <c:v>344.74261381671414</c:v>
                </c:pt>
              </c:numCache>
            </c:numRef>
          </c:yVal>
          <c:smooth val="1"/>
          <c:extLst>
            <c:ext xmlns:c16="http://schemas.microsoft.com/office/drawing/2014/chart" uri="{C3380CC4-5D6E-409C-BE32-E72D297353CC}">
              <c16:uniqueId val="{00000005-6C1B-44AF-829A-F1F8F0F75DEA}"/>
            </c:ext>
          </c:extLst>
        </c:ser>
        <c:dLbls>
          <c:showLegendKey val="0"/>
          <c:showVal val="0"/>
          <c:showCatName val="0"/>
          <c:showSerName val="0"/>
          <c:showPercent val="0"/>
          <c:showBubbleSize val="0"/>
        </c:dLbls>
        <c:axId val="305407952"/>
        <c:axId val="400907392"/>
      </c:scatterChart>
      <c:valAx>
        <c:axId val="305407952"/>
        <c:scaling>
          <c:orientation val="minMax"/>
          <c:max val="225"/>
          <c:min val="0"/>
        </c:scaling>
        <c:delete val="0"/>
        <c:axPos val="b"/>
        <c:title>
          <c:tx>
            <c:rich>
              <a:bodyPr/>
              <a:lstStyle/>
              <a:p>
                <a:pPr>
                  <a:defRPr sz="825" b="1" i="0" u="none" strike="noStrike" baseline="0">
                    <a:solidFill>
                      <a:srgbClr val="000000"/>
                    </a:solidFill>
                    <a:latin typeface="Arial"/>
                    <a:ea typeface="Arial"/>
                    <a:cs typeface="Arial"/>
                  </a:defRPr>
                </a:pPr>
                <a:r>
                  <a:rPr lang="fr-CA"/>
                  <a:t>Frequency (MHz)</a:t>
                </a:r>
              </a:p>
            </c:rich>
          </c:tx>
          <c:layout>
            <c:manualLayout>
              <c:xMode val="edge"/>
              <c:yMode val="edge"/>
              <c:x val="0.31390487246786458"/>
              <c:y val="0.914445998946584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400907392"/>
        <c:crosses val="autoZero"/>
        <c:crossBetween val="midCat"/>
      </c:valAx>
      <c:valAx>
        <c:axId val="400907392"/>
        <c:scaling>
          <c:orientation val="minMax"/>
          <c:max val="375"/>
          <c:min val="0"/>
        </c:scaling>
        <c:delete val="0"/>
        <c:axPos val="l"/>
        <c:majorGridlines>
          <c:spPr>
            <a:ln w="3175">
              <a:solidFill>
                <a:srgbClr val="000000"/>
              </a:solidFill>
              <a:prstDash val="solid"/>
            </a:ln>
          </c:spPr>
        </c:majorGridlines>
        <c:title>
          <c:tx>
            <c:rich>
              <a:bodyPr/>
              <a:lstStyle/>
              <a:p>
                <a:pPr>
                  <a:defRPr sz="825" b="1" i="0" u="none" strike="noStrike" baseline="0">
                    <a:solidFill>
                      <a:srgbClr val="000000"/>
                    </a:solidFill>
                    <a:latin typeface="Arial"/>
                    <a:ea typeface="Arial"/>
                    <a:cs typeface="Arial"/>
                  </a:defRPr>
                </a:pPr>
                <a:r>
                  <a:rPr lang="fr-CA"/>
                  <a:t>Iccint (mA)</a:t>
                </a:r>
              </a:p>
            </c:rich>
          </c:tx>
          <c:layout>
            <c:manualLayout>
              <c:xMode val="edge"/>
              <c:yMode val="edge"/>
              <c:x val="2.5365939834443772E-2"/>
              <c:y val="0.42722153889709485"/>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05407952"/>
        <c:crosses val="autoZero"/>
        <c:crossBetween val="midCat"/>
      </c:valAx>
      <c:spPr>
        <a:solidFill>
          <a:srgbClr val="C0C0C0"/>
        </a:solidFill>
        <a:ln w="12700">
          <a:solidFill>
            <a:srgbClr val="808080"/>
          </a:solidFill>
          <a:prstDash val="solid"/>
        </a:ln>
      </c:spPr>
    </c:plotArea>
    <c:legend>
      <c:legendPos val="r"/>
      <c:layout>
        <c:manualLayout>
          <c:xMode val="edge"/>
          <c:yMode val="edge"/>
          <c:x val="0.6965251699306817"/>
          <c:y val="0.31809748945959176"/>
          <c:w val="0.29651271956390068"/>
          <c:h val="0.35136261255065121"/>
        </c:manualLayout>
      </c:layout>
      <c:overlay val="0"/>
      <c:spPr>
        <a:solidFill>
          <a:srgbClr val="FFFFFF"/>
        </a:solidFill>
        <a:ln w="3175">
          <a:solidFill>
            <a:srgbClr val="000000"/>
          </a:solidFill>
          <a:prstDash val="solid"/>
        </a:ln>
      </c:spPr>
      <c:txPr>
        <a:bodyPr/>
        <a:lstStyle/>
        <a:p>
          <a:pPr>
            <a:defRPr sz="10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Graphs!$B$42</c:f>
          <c:strCache>
            <c:ptCount val="1"/>
            <c:pt idx="0">
              <c:v>On-Chip Power over Temperature - (Typical, 1.2V)</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194929938809606"/>
          <c:y val="0.16783245436867347"/>
          <c:w val="0.81567880991667141"/>
          <c:h val="0.62009895104575341"/>
        </c:manualLayout>
      </c:layout>
      <c:lineChart>
        <c:grouping val="standard"/>
        <c:varyColors val="0"/>
        <c:ser>
          <c:idx val="0"/>
          <c:order val="0"/>
          <c:tx>
            <c:v>Total Power</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Summary!$T$9:$T$15</c:f>
              <c:numCache>
                <c:formatCode>General</c:formatCode>
                <c:ptCount val="7"/>
                <c:pt idx="0">
                  <c:v>10</c:v>
                </c:pt>
                <c:pt idx="1">
                  <c:v>25</c:v>
                </c:pt>
                <c:pt idx="2">
                  <c:v>40</c:v>
                </c:pt>
                <c:pt idx="3">
                  <c:v>55</c:v>
                </c:pt>
                <c:pt idx="4">
                  <c:v>70</c:v>
                </c:pt>
                <c:pt idx="5">
                  <c:v>85</c:v>
                </c:pt>
                <c:pt idx="6">
                  <c:v>100</c:v>
                </c:pt>
              </c:numCache>
            </c:numRef>
          </c:cat>
          <c:val>
            <c:numRef>
              <c:f>Summary!$U$9:$U$15</c:f>
              <c:numCache>
                <c:formatCode>0.00</c:formatCode>
                <c:ptCount val="7"/>
                <c:pt idx="0">
                  <c:v>4.4448940577003312E-2</c:v>
                </c:pt>
                <c:pt idx="1">
                  <c:v>6.569583205568047E-2</c:v>
                </c:pt>
                <c:pt idx="2">
                  <c:v>9.8555761135233441E-2</c:v>
                </c:pt>
                <c:pt idx="3">
                  <c:v>0.14986777876329976</c:v>
                </c:pt>
                <c:pt idx="4">
                  <c:v>0.23064362988749337</c:v>
                </c:pt>
                <c:pt idx="5">
                  <c:v>0.358653373664231</c:v>
                </c:pt>
                <c:pt idx="6">
                  <c:v>0.56262369754676089</c:v>
                </c:pt>
              </c:numCache>
            </c:numRef>
          </c:val>
          <c:smooth val="1"/>
          <c:extLst>
            <c:ext xmlns:c16="http://schemas.microsoft.com/office/drawing/2014/chart" uri="{C3380CC4-5D6E-409C-BE32-E72D297353CC}">
              <c16:uniqueId val="{00000000-2221-46F0-BA63-0D81F5AF4A90}"/>
            </c:ext>
          </c:extLst>
        </c:ser>
        <c:dLbls>
          <c:showLegendKey val="0"/>
          <c:showVal val="0"/>
          <c:showCatName val="0"/>
          <c:showSerName val="0"/>
          <c:showPercent val="0"/>
          <c:showBubbleSize val="0"/>
        </c:dLbls>
        <c:marker val="1"/>
        <c:smooth val="0"/>
        <c:axId val="305409040"/>
        <c:axId val="305400336"/>
      </c:lineChart>
      <c:catAx>
        <c:axId val="305409040"/>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940681995893997"/>
              <c:y val="0.8765947898754035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0336"/>
        <c:crosses val="autoZero"/>
        <c:auto val="1"/>
        <c:lblAlgn val="ctr"/>
        <c:lblOffset val="100"/>
        <c:tickLblSkip val="1"/>
        <c:tickMarkSkip val="1"/>
        <c:noMultiLvlLbl val="0"/>
      </c:catAx>
      <c:valAx>
        <c:axId val="305400336"/>
        <c:scaling>
          <c:orientation val="minMax"/>
        </c:scaling>
        <c:delete val="0"/>
        <c:axPos val="l"/>
        <c:title>
          <c:tx>
            <c:rich>
              <a:bodyPr/>
              <a:lstStyle/>
              <a:p>
                <a:pPr>
                  <a:defRPr sz="850" b="1" i="0" u="none" strike="noStrike" baseline="0">
                    <a:solidFill>
                      <a:srgbClr val="000000"/>
                    </a:solidFill>
                    <a:latin typeface="Arial"/>
                    <a:ea typeface="Arial"/>
                    <a:cs typeface="Arial"/>
                  </a:defRPr>
                </a:pPr>
                <a:r>
                  <a:rPr lang="fr-CA"/>
                  <a:t>Power (W)</a:t>
                </a:r>
              </a:p>
            </c:rich>
          </c:tx>
          <c:layout>
            <c:manualLayout>
              <c:xMode val="edge"/>
              <c:yMode val="edge"/>
              <c:x val="3.1779642262545836E-2"/>
              <c:y val="0.36713352641264668"/>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50" b="0" i="0" u="none" strike="noStrike" baseline="0">
                <a:solidFill>
                  <a:srgbClr val="000000"/>
                </a:solidFill>
                <a:latin typeface="Arial"/>
                <a:ea typeface="Arial"/>
                <a:cs typeface="Arial"/>
              </a:defRPr>
            </a:pPr>
            <a:endParaRPr lang="en-US"/>
          </a:p>
        </c:txPr>
        <c:crossAx val="305409040"/>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Graphs!$B$41</c:f>
          <c:strCache>
            <c:ptCount val="1"/>
            <c:pt idx="0">
              <c:v>On-Chip Power over Vccint - (Typical, 30C)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225082572573672"/>
          <c:y val="0.16538461538461538"/>
          <c:w val="0.81741146125983044"/>
          <c:h val="0.59230769230769231"/>
        </c:manualLayout>
      </c:layout>
      <c:lineChart>
        <c:grouping val="standard"/>
        <c:varyColors val="0"/>
        <c:ser>
          <c:idx val="0"/>
          <c:order val="0"/>
          <c:tx>
            <c:v>Vccint</c:v>
          </c:tx>
          <c:spPr>
            <a:ln w="25400">
              <a:solidFill>
                <a:srgbClr val="9999FF"/>
              </a:solidFill>
              <a:prstDash val="solid"/>
            </a:ln>
          </c:spPr>
          <c:marker>
            <c:symbol val="circle"/>
            <c:size val="3"/>
          </c:marker>
          <c:dLbls>
            <c:spPr>
              <a:noFill/>
              <a:ln w="25400">
                <a:noFill/>
              </a:ln>
            </c:spPr>
            <c:txPr>
              <a:bodyPr wrap="square" lIns="38100" tIns="19050" rIns="38100" bIns="19050" anchor="ctr">
                <a:spAutoFit/>
              </a:bodyPr>
              <a:lstStyle/>
              <a:p>
                <a:pPr>
                  <a:defRPr sz="800" b="0" i="0" u="none" strike="noStrike" baseline="0">
                    <a:solidFill>
                      <a:srgbClr val="000000"/>
                    </a:solidFill>
                    <a:latin typeface="Arial"/>
                    <a:ea typeface="Arial"/>
                    <a:cs typeface="Arial"/>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Summary!$T$17:$T$21</c:f>
              <c:numCache>
                <c:formatCode>General</c:formatCode>
                <c:ptCount val="5"/>
                <c:pt idx="0">
                  <c:v>1.1399999999999999</c:v>
                </c:pt>
                <c:pt idx="1">
                  <c:v>1.17</c:v>
                </c:pt>
                <c:pt idx="2">
                  <c:v>1.2</c:v>
                </c:pt>
                <c:pt idx="3">
                  <c:v>1.23</c:v>
                </c:pt>
                <c:pt idx="4">
                  <c:v>1.26</c:v>
                </c:pt>
              </c:numCache>
            </c:numRef>
          </c:cat>
          <c:val>
            <c:numRef>
              <c:f>Summary!$U$17:$U$21</c:f>
              <c:numCache>
                <c:formatCode>0.00</c:formatCode>
                <c:ptCount val="5"/>
                <c:pt idx="0">
                  <c:v>5.7610245836335089E-2</c:v>
                </c:pt>
                <c:pt idx="1">
                  <c:v>6.2033836266020714E-2</c:v>
                </c:pt>
                <c:pt idx="2">
                  <c:v>6.6995399956039467E-2</c:v>
                </c:pt>
                <c:pt idx="3">
                  <c:v>7.2560479230599592E-2</c:v>
                </c:pt>
                <c:pt idx="4">
                  <c:v>7.8803031624739617E-2</c:v>
                </c:pt>
              </c:numCache>
            </c:numRef>
          </c:val>
          <c:smooth val="1"/>
          <c:extLst>
            <c:ext xmlns:c16="http://schemas.microsoft.com/office/drawing/2014/chart" uri="{C3380CC4-5D6E-409C-BE32-E72D297353CC}">
              <c16:uniqueId val="{00000000-719C-4EB3-BFDB-BADC4F0C74EC}"/>
            </c:ext>
          </c:extLst>
        </c:ser>
        <c:dLbls>
          <c:showLegendKey val="0"/>
          <c:showVal val="0"/>
          <c:showCatName val="0"/>
          <c:showSerName val="0"/>
          <c:showPercent val="0"/>
          <c:showBubbleSize val="0"/>
        </c:dLbls>
        <c:marker val="1"/>
        <c:smooth val="0"/>
        <c:axId val="109238128"/>
        <c:axId val="109225616"/>
      </c:lineChart>
      <c:catAx>
        <c:axId val="1092381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fr-CA"/>
                  <a:t>Vccint (V)</a:t>
                </a:r>
              </a:p>
            </c:rich>
          </c:tx>
          <c:layout>
            <c:manualLayout>
              <c:xMode val="edge"/>
              <c:yMode val="edge"/>
              <c:x val="0.44161446007250144"/>
              <c:y val="0.8615384551566336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25616"/>
        <c:crosses val="autoZero"/>
        <c:auto val="1"/>
        <c:lblAlgn val="ctr"/>
        <c:lblOffset val="100"/>
        <c:tickLblSkip val="1"/>
        <c:tickMarkSkip val="1"/>
        <c:noMultiLvlLbl val="0"/>
      </c:catAx>
      <c:valAx>
        <c:axId val="10922561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3.1847216319157115E-2"/>
              <c:y val="0.34615386210841625"/>
            </c:manualLayout>
          </c:layout>
          <c:overlay val="0"/>
          <c:spPr>
            <a:noFill/>
            <a:ln w="25400">
              <a:noFill/>
            </a:ln>
          </c:spPr>
        </c:title>
        <c:numFmt formatCode="0.00"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238128"/>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0" i="0" u="none" strike="noStrike" baseline="0">
                <a:solidFill>
                  <a:srgbClr val="000000"/>
                </a:solidFill>
                <a:latin typeface="Arial"/>
                <a:ea typeface="Arial"/>
                <a:cs typeface="Arial"/>
              </a:defRPr>
            </a:pPr>
            <a:r>
              <a:rPr lang="fr-CA" sz="1000" b="1" i="0" u="none" strike="noStrike" baseline="0">
                <a:solidFill>
                  <a:srgbClr val="993300"/>
                </a:solidFill>
                <a:latin typeface="Arial"/>
                <a:cs typeface="Arial"/>
              </a:rPr>
              <a:t>On-Chip Typical vs. Maximum Power</a:t>
            </a:r>
          </a:p>
          <a:p>
            <a:pPr>
              <a:defRPr sz="800" b="0" i="0" u="none" strike="noStrike" baseline="0">
                <a:solidFill>
                  <a:srgbClr val="000000"/>
                </a:solidFill>
                <a:latin typeface="Arial"/>
                <a:ea typeface="Arial"/>
                <a:cs typeface="Arial"/>
              </a:defRPr>
            </a:pPr>
            <a:r>
              <a:rPr lang="fr-CA" sz="900" b="1" i="0" u="none" strike="noStrike" baseline="0">
                <a:solidFill>
                  <a:srgbClr val="993300"/>
                </a:solidFill>
                <a:latin typeface="Arial"/>
                <a:cs typeface="Arial"/>
              </a:rPr>
              <a:t>(Process, Voltage, and Temperature)</a:t>
            </a:r>
          </a:p>
        </c:rich>
      </c:tx>
      <c:layout>
        <c:manualLayout>
          <c:xMode val="edge"/>
          <c:yMode val="edge"/>
          <c:x val="0.19455206557431348"/>
          <c:y val="2.7971988415241195E-2"/>
        </c:manualLayout>
      </c:layout>
      <c:overlay val="1"/>
      <c:spPr>
        <a:solidFill>
          <a:srgbClr val="C0C0C0"/>
        </a:solidFill>
        <a:ln w="25400">
          <a:noFill/>
        </a:ln>
      </c:spPr>
    </c:title>
    <c:autoTitleDeleted val="0"/>
    <c:plotArea>
      <c:layout>
        <c:manualLayout>
          <c:layoutTarget val="inner"/>
          <c:xMode val="edge"/>
          <c:yMode val="edge"/>
          <c:x val="0.15842339062455904"/>
          <c:y val="0.23640364884459372"/>
          <c:w val="0.80358580983828631"/>
          <c:h val="0.54805205293394266"/>
        </c:manualLayout>
      </c:layout>
      <c:barChart>
        <c:barDir val="col"/>
        <c:grouping val="clustered"/>
        <c:varyColors val="0"/>
        <c:ser>
          <c:idx val="0"/>
          <c:order val="0"/>
          <c:tx>
            <c:strRef>
              <c:f>Summary!$T$26</c:f>
              <c:strCache>
                <c:ptCount val="1"/>
                <c:pt idx="0">
                  <c:v>Typical (1.2V)</c:v>
                </c:pt>
              </c:strCache>
            </c:strRef>
          </c:tx>
          <c:spPr>
            <a:solidFill>
              <a:srgbClr val="993300"/>
            </a:solidFill>
            <a:ln w="3175">
              <a:solidFill>
                <a:srgbClr val="993300"/>
              </a:solidFill>
              <a:prstDash val="solid"/>
            </a:ln>
          </c:spPr>
          <c:invertIfNegative val="0"/>
          <c:cat>
            <c:numRef>
              <c:f>Summary!$U$25:$W$25</c:f>
              <c:numCache>
                <c:formatCode>General</c:formatCode>
                <c:ptCount val="3"/>
                <c:pt idx="0">
                  <c:v>25</c:v>
                </c:pt>
                <c:pt idx="1">
                  <c:v>85</c:v>
                </c:pt>
                <c:pt idx="2">
                  <c:v>100</c:v>
                </c:pt>
              </c:numCache>
            </c:numRef>
          </c:cat>
          <c:val>
            <c:numRef>
              <c:f>Summary!$U$26:$W$26</c:f>
              <c:numCache>
                <c:formatCode>General</c:formatCode>
                <c:ptCount val="3"/>
                <c:pt idx="0">
                  <c:v>6.569583205568047E-2</c:v>
                </c:pt>
                <c:pt idx="1">
                  <c:v>0.358653373664231</c:v>
                </c:pt>
                <c:pt idx="2">
                  <c:v>0.56262369754676089</c:v>
                </c:pt>
              </c:numCache>
            </c:numRef>
          </c:val>
          <c:extLst>
            <c:ext xmlns:c16="http://schemas.microsoft.com/office/drawing/2014/chart" uri="{C3380CC4-5D6E-409C-BE32-E72D297353CC}">
              <c16:uniqueId val="{00000000-F368-4374-800F-B989B61B3FCD}"/>
            </c:ext>
          </c:extLst>
        </c:ser>
        <c:ser>
          <c:idx val="1"/>
          <c:order val="1"/>
          <c:tx>
            <c:strRef>
              <c:f>Summary!$T$27</c:f>
              <c:strCache>
                <c:ptCount val="1"/>
                <c:pt idx="0">
                  <c:v>Maximum (1.26V)</c:v>
                </c:pt>
              </c:strCache>
            </c:strRef>
          </c:tx>
          <c:spPr>
            <a:solidFill>
              <a:srgbClr val="3366FF"/>
            </a:solidFill>
            <a:ln w="3175">
              <a:solidFill>
                <a:srgbClr val="3366FF"/>
              </a:solidFill>
            </a:ln>
          </c:spPr>
          <c:invertIfNegative val="0"/>
          <c:cat>
            <c:numRef>
              <c:f>Summary!$U$25:$W$25</c:f>
              <c:numCache>
                <c:formatCode>General</c:formatCode>
                <c:ptCount val="3"/>
                <c:pt idx="0">
                  <c:v>25</c:v>
                </c:pt>
                <c:pt idx="1">
                  <c:v>85</c:v>
                </c:pt>
                <c:pt idx="2">
                  <c:v>100</c:v>
                </c:pt>
              </c:numCache>
            </c:numRef>
          </c:cat>
          <c:val>
            <c:numRef>
              <c:f>Summary!$U$27:$W$27</c:f>
              <c:numCache>
                <c:formatCode>0.00</c:formatCode>
                <c:ptCount val="3"/>
                <c:pt idx="0">
                  <c:v>0.15127910751698964</c:v>
                </c:pt>
                <c:pt idx="1">
                  <c:v>0.95777791388842493</c:v>
                </c:pt>
                <c:pt idx="2" formatCode="General">
                  <c:v>1.3556451636121056</c:v>
                </c:pt>
              </c:numCache>
            </c:numRef>
          </c:val>
          <c:extLst>
            <c:ext xmlns:c16="http://schemas.microsoft.com/office/drawing/2014/chart" uri="{C3380CC4-5D6E-409C-BE32-E72D297353CC}">
              <c16:uniqueId val="{00000001-F368-4374-800F-B989B61B3FCD}"/>
            </c:ext>
          </c:extLst>
        </c:ser>
        <c:dLbls>
          <c:showLegendKey val="0"/>
          <c:showVal val="0"/>
          <c:showCatName val="0"/>
          <c:showSerName val="0"/>
          <c:showPercent val="0"/>
          <c:showBubbleSize val="0"/>
        </c:dLbls>
        <c:gapWidth val="150"/>
        <c:axId val="399683072"/>
        <c:axId val="399677632"/>
      </c:barChart>
      <c:catAx>
        <c:axId val="399683072"/>
        <c:scaling>
          <c:orientation val="minMax"/>
        </c:scaling>
        <c:delete val="0"/>
        <c:axPos val="b"/>
        <c:title>
          <c:tx>
            <c:rich>
              <a:bodyPr/>
              <a:lstStyle/>
              <a:p>
                <a:pPr>
                  <a:defRPr sz="850" b="1" i="0" u="none" strike="noStrike" baseline="0">
                    <a:solidFill>
                      <a:srgbClr val="000000"/>
                    </a:solidFill>
                    <a:latin typeface="Arial"/>
                    <a:ea typeface="Arial"/>
                    <a:cs typeface="Arial"/>
                  </a:defRPr>
                </a:pPr>
                <a:r>
                  <a:rPr lang="fr-CA"/>
                  <a:t>Junction Temperature (C)</a:t>
                </a:r>
              </a:p>
            </c:rich>
          </c:tx>
          <c:layout>
            <c:manualLayout>
              <c:xMode val="edge"/>
              <c:yMode val="edge"/>
              <c:x val="0.35698999621856503"/>
              <c:y val="0.8694105047213924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77632"/>
        <c:crosses val="autoZero"/>
        <c:auto val="1"/>
        <c:lblAlgn val="ctr"/>
        <c:lblOffset val="100"/>
        <c:tickLblSkip val="1"/>
        <c:tickMarkSkip val="1"/>
        <c:noMultiLvlLbl val="0"/>
      </c:catAx>
      <c:valAx>
        <c:axId val="399677632"/>
        <c:scaling>
          <c:orientation val="minMax"/>
        </c:scaling>
        <c:delete val="0"/>
        <c:axPos val="l"/>
        <c:majorGridlines>
          <c:spPr>
            <a:ln w="3175">
              <a:solidFill>
                <a:srgbClr val="C0C0C0"/>
              </a:solidFill>
            </a:ln>
          </c:spPr>
        </c:majorGridlines>
        <c:title>
          <c:tx>
            <c:rich>
              <a:bodyPr/>
              <a:lstStyle/>
              <a:p>
                <a:pPr>
                  <a:defRPr sz="1100" b="0" i="0" u="none" strike="noStrike" baseline="0">
                    <a:solidFill>
                      <a:srgbClr val="000000"/>
                    </a:solidFill>
                    <a:latin typeface="Calibri"/>
                    <a:ea typeface="Calibri"/>
                    <a:cs typeface="Calibri"/>
                  </a:defRPr>
                </a:pPr>
                <a:r>
                  <a:rPr lang="fr-CA" sz="850" b="1" i="0" u="none" strike="noStrike" baseline="0">
                    <a:solidFill>
                      <a:srgbClr val="000000"/>
                    </a:solidFill>
                    <a:latin typeface="Arial"/>
                    <a:cs typeface="Arial"/>
                  </a:rPr>
                  <a:t>Power</a:t>
                </a:r>
                <a:r>
                  <a:rPr lang="fr-CA" sz="825" b="1" i="0" u="none" strike="noStrike" baseline="0">
                    <a:solidFill>
                      <a:srgbClr val="000000"/>
                    </a:solidFill>
                    <a:latin typeface="Arial"/>
                    <a:cs typeface="Arial"/>
                  </a:rPr>
                  <a:t> (W)</a:t>
                </a:r>
              </a:p>
            </c:rich>
          </c:tx>
          <c:layout>
            <c:manualLayout>
              <c:xMode val="edge"/>
              <c:yMode val="edge"/>
              <c:x val="3.2258123874655091E-2"/>
              <c:y val="0.37063007210305604"/>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25" b="0" i="0" u="none" strike="noStrike" baseline="0">
                <a:solidFill>
                  <a:srgbClr val="000000"/>
                </a:solidFill>
                <a:latin typeface="Arial"/>
                <a:ea typeface="Arial"/>
                <a:cs typeface="Arial"/>
              </a:defRPr>
            </a:pPr>
            <a:endParaRPr lang="en-US"/>
          </a:p>
        </c:txPr>
        <c:crossAx val="399683072"/>
        <c:crosses val="autoZero"/>
        <c:crossBetween val="between"/>
      </c:valAx>
      <c:spPr>
        <a:solidFill>
          <a:srgbClr val="FFFFFF"/>
        </a:solidFill>
        <a:ln w="12700">
          <a:solidFill>
            <a:srgbClr val="808080"/>
          </a:solidFill>
          <a:prstDash val="solid"/>
        </a:ln>
      </c:spPr>
    </c:plotArea>
    <c:legend>
      <c:legendPos val="r"/>
      <c:legendEntry>
        <c:idx val="0"/>
        <c:txPr>
          <a:bodyPr/>
          <a:lstStyle/>
          <a:p>
            <a:pPr>
              <a:defRPr sz="580" b="0" i="0" u="none" strike="noStrike" baseline="0">
                <a:solidFill>
                  <a:srgbClr val="000000"/>
                </a:solidFill>
                <a:latin typeface="Arial"/>
                <a:ea typeface="Arial"/>
                <a:cs typeface="Arial"/>
              </a:defRPr>
            </a:pPr>
            <a:endParaRPr lang="en-US"/>
          </a:p>
        </c:txPr>
      </c:legendEntry>
      <c:legendEntry>
        <c:idx val="1"/>
        <c:txPr>
          <a:bodyPr/>
          <a:lstStyle/>
          <a:p>
            <a:pPr>
              <a:defRPr sz="580" b="0" i="0" u="none" strike="noStrike" baseline="0">
                <a:solidFill>
                  <a:srgbClr val="000000"/>
                </a:solidFill>
                <a:latin typeface="Arial"/>
                <a:ea typeface="Arial"/>
                <a:cs typeface="Arial"/>
              </a:defRPr>
            </a:pPr>
            <a:endParaRPr lang="en-US"/>
          </a:p>
        </c:txPr>
      </c:legendEntry>
      <c:layout>
        <c:manualLayout>
          <c:xMode val="edge"/>
          <c:yMode val="edge"/>
          <c:x val="0.73998655796498081"/>
          <c:y val="3.4483889944791381E-2"/>
          <c:w val="0.24283804509936158"/>
          <c:h val="0.16928455063806677"/>
        </c:manualLayout>
      </c:layout>
      <c:overlay val="0"/>
      <c:spPr>
        <a:ln w="6350">
          <a:solidFill>
            <a:schemeClr val="tx1"/>
          </a:solidFill>
        </a:ln>
      </c:spPr>
      <c:txPr>
        <a:bodyPr/>
        <a:lstStyle/>
        <a:p>
          <a:pPr>
            <a:defRPr sz="58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Graphs!$B$43</c:f>
          <c:strCache>
            <c:ptCount val="1"/>
            <c:pt idx="0">
              <c:v>On-Chip Power by Function - (Typical, 1.2V, 30C)</c:v>
            </c:pt>
          </c:strCache>
        </c:strRef>
      </c:tx>
      <c:overlay val="1"/>
      <c:spPr>
        <a:solidFill>
          <a:srgbClr val="C0C0C0"/>
        </a:solidFill>
        <a:ln w="25400">
          <a:noFill/>
        </a:ln>
      </c:spPr>
      <c:txPr>
        <a:bodyPr/>
        <a:lstStyle/>
        <a:p>
          <a:pPr>
            <a:defRPr sz="1000" b="1" i="0" u="none" strike="noStrike" baseline="0">
              <a:solidFill>
                <a:srgbClr val="993300"/>
              </a:solidFill>
              <a:latin typeface="Arial"/>
              <a:ea typeface="Arial"/>
              <a:cs typeface="Arial"/>
            </a:defRPr>
          </a:pPr>
          <a:endParaRPr lang="en-US"/>
        </a:p>
      </c:txPr>
    </c:title>
    <c:autoTitleDeleted val="0"/>
    <c:plotArea>
      <c:layout>
        <c:manualLayout>
          <c:layoutTarget val="inner"/>
          <c:xMode val="edge"/>
          <c:yMode val="edge"/>
          <c:x val="0.14655172413793102"/>
          <c:y val="0.19465685132553698"/>
          <c:w val="0.81465517241379315"/>
          <c:h val="0.57252015095746167"/>
        </c:manualLayout>
      </c:layout>
      <c:barChart>
        <c:barDir val="col"/>
        <c:grouping val="clustered"/>
        <c:varyColors val="1"/>
        <c:ser>
          <c:idx val="0"/>
          <c:order val="0"/>
          <c:spPr>
            <a:solidFill>
              <a:srgbClr val="3366FF"/>
            </a:solidFill>
            <a:ln w="12700">
              <a:solidFill>
                <a:schemeClr val="tx1"/>
              </a:solidFill>
            </a:ln>
          </c:spPr>
          <c:invertIfNegative val="0"/>
          <c:dPt>
            <c:idx val="0"/>
            <c:invertIfNegative val="0"/>
            <c:bubble3D val="0"/>
            <c:extLst>
              <c:ext xmlns:c16="http://schemas.microsoft.com/office/drawing/2014/chart" uri="{C3380CC4-5D6E-409C-BE32-E72D297353CC}">
                <c16:uniqueId val="{00000000-40D4-4E96-8632-F9371C4188E4}"/>
              </c:ext>
            </c:extLst>
          </c:dPt>
          <c:dPt>
            <c:idx val="1"/>
            <c:invertIfNegative val="0"/>
            <c:bubble3D val="0"/>
            <c:spPr>
              <a:solidFill>
                <a:srgbClr val="993300"/>
              </a:solidFill>
              <a:ln w="12700">
                <a:solidFill>
                  <a:schemeClr val="tx1"/>
                </a:solidFill>
              </a:ln>
            </c:spPr>
            <c:extLst>
              <c:ext xmlns:c16="http://schemas.microsoft.com/office/drawing/2014/chart" uri="{C3380CC4-5D6E-409C-BE32-E72D297353CC}">
                <c16:uniqueId val="{00000002-40D4-4E96-8632-F9371C4188E4}"/>
              </c:ext>
            </c:extLst>
          </c:dPt>
          <c:dPt>
            <c:idx val="2"/>
            <c:invertIfNegative val="0"/>
            <c:bubble3D val="0"/>
            <c:spPr>
              <a:solidFill>
                <a:srgbClr val="993300"/>
              </a:solidFill>
              <a:ln w="12700">
                <a:solidFill>
                  <a:schemeClr val="tx1"/>
                </a:solidFill>
              </a:ln>
            </c:spPr>
            <c:extLst>
              <c:ext xmlns:c16="http://schemas.microsoft.com/office/drawing/2014/chart" uri="{C3380CC4-5D6E-409C-BE32-E72D297353CC}">
                <c16:uniqueId val="{00000004-40D4-4E96-8632-F9371C4188E4}"/>
              </c:ext>
            </c:extLst>
          </c:dPt>
          <c:dPt>
            <c:idx val="3"/>
            <c:invertIfNegative val="0"/>
            <c:bubble3D val="0"/>
            <c:spPr>
              <a:solidFill>
                <a:srgbClr val="008000"/>
              </a:solidFill>
              <a:ln w="12700">
                <a:solidFill>
                  <a:schemeClr val="tx1"/>
                </a:solidFill>
              </a:ln>
            </c:spPr>
            <c:extLst>
              <c:ext xmlns:c16="http://schemas.microsoft.com/office/drawing/2014/chart" uri="{C3380CC4-5D6E-409C-BE32-E72D297353CC}">
                <c16:uniqueId val="{00000006-40D4-4E96-8632-F9371C4188E4}"/>
              </c:ext>
            </c:extLst>
          </c:dPt>
          <c:dPt>
            <c:idx val="4"/>
            <c:invertIfNegative val="0"/>
            <c:bubble3D val="0"/>
            <c:spPr>
              <a:solidFill>
                <a:srgbClr val="993300"/>
              </a:solidFill>
              <a:ln w="12700">
                <a:solidFill>
                  <a:schemeClr val="tx1"/>
                </a:solidFill>
              </a:ln>
            </c:spPr>
            <c:extLst>
              <c:ext xmlns:c16="http://schemas.microsoft.com/office/drawing/2014/chart" uri="{C3380CC4-5D6E-409C-BE32-E72D297353CC}">
                <c16:uniqueId val="{00000008-40D4-4E96-8632-F9371C4188E4}"/>
              </c:ext>
            </c:extLst>
          </c:dPt>
          <c:dPt>
            <c:idx val="5"/>
            <c:invertIfNegative val="0"/>
            <c:bubble3D val="0"/>
            <c:spPr>
              <a:solidFill>
                <a:srgbClr val="993300"/>
              </a:solidFill>
              <a:ln w="12700">
                <a:solidFill>
                  <a:schemeClr val="tx1"/>
                </a:solidFill>
              </a:ln>
            </c:spPr>
            <c:extLst>
              <c:ext xmlns:c16="http://schemas.microsoft.com/office/drawing/2014/chart" uri="{C3380CC4-5D6E-409C-BE32-E72D297353CC}">
                <c16:uniqueId val="{0000000A-40D4-4E96-8632-F9371C4188E4}"/>
              </c:ext>
            </c:extLst>
          </c:dPt>
          <c:dPt>
            <c:idx val="6"/>
            <c:invertIfNegative val="0"/>
            <c:bubble3D val="0"/>
            <c:spPr>
              <a:solidFill>
                <a:srgbClr val="993300"/>
              </a:solidFill>
              <a:ln w="12700">
                <a:solidFill>
                  <a:schemeClr val="tx1"/>
                </a:solidFill>
              </a:ln>
            </c:spPr>
            <c:extLst>
              <c:ext xmlns:c16="http://schemas.microsoft.com/office/drawing/2014/chart" uri="{C3380CC4-5D6E-409C-BE32-E72D297353CC}">
                <c16:uniqueId val="{0000000C-40D4-4E96-8632-F9371C4188E4}"/>
              </c:ext>
            </c:extLst>
          </c:dPt>
          <c:dPt>
            <c:idx val="7"/>
            <c:invertIfNegative val="0"/>
            <c:bubble3D val="0"/>
            <c:spPr>
              <a:solidFill>
                <a:srgbClr val="993300"/>
              </a:solidFill>
              <a:ln w="12700">
                <a:solidFill>
                  <a:schemeClr val="tx1"/>
                </a:solidFill>
              </a:ln>
            </c:spPr>
            <c:extLst>
              <c:ext xmlns:c16="http://schemas.microsoft.com/office/drawing/2014/chart" uri="{C3380CC4-5D6E-409C-BE32-E72D297353CC}">
                <c16:uniqueId val="{0000000E-40D4-4E96-8632-F9371C4188E4}"/>
              </c:ext>
            </c:extLst>
          </c:dPt>
          <c:dPt>
            <c:idx val="8"/>
            <c:invertIfNegative val="0"/>
            <c:bubble3D val="0"/>
            <c:spPr>
              <a:solidFill>
                <a:srgbClr val="660066"/>
              </a:solidFill>
              <a:ln w="12700">
                <a:solidFill>
                  <a:schemeClr val="tx1"/>
                </a:solidFill>
              </a:ln>
            </c:spPr>
            <c:extLst>
              <c:ext xmlns:c16="http://schemas.microsoft.com/office/drawing/2014/chart" uri="{C3380CC4-5D6E-409C-BE32-E72D297353CC}">
                <c16:uniqueId val="{00000010-40D4-4E96-8632-F9371C4188E4}"/>
              </c:ext>
            </c:extLst>
          </c:dPt>
          <c:dPt>
            <c:idx val="9"/>
            <c:invertIfNegative val="0"/>
            <c:bubble3D val="0"/>
            <c:spPr>
              <a:solidFill>
                <a:srgbClr val="993300"/>
              </a:solidFill>
              <a:ln w="12700">
                <a:solidFill>
                  <a:schemeClr val="tx1"/>
                </a:solidFill>
              </a:ln>
            </c:spPr>
            <c:extLst>
              <c:ext xmlns:c16="http://schemas.microsoft.com/office/drawing/2014/chart" uri="{C3380CC4-5D6E-409C-BE32-E72D297353CC}">
                <c16:uniqueId val="{00000012-40D4-4E96-8632-F9371C4188E4}"/>
              </c:ext>
            </c:extLst>
          </c:dPt>
          <c:dPt>
            <c:idx val="10"/>
            <c:invertIfNegative val="0"/>
            <c:bubble3D val="0"/>
            <c:spPr>
              <a:solidFill>
                <a:srgbClr val="993300"/>
              </a:solidFill>
              <a:ln w="12700">
                <a:solidFill>
                  <a:schemeClr val="tx1"/>
                </a:solidFill>
              </a:ln>
            </c:spPr>
            <c:extLst>
              <c:ext xmlns:c16="http://schemas.microsoft.com/office/drawing/2014/chart" uri="{C3380CC4-5D6E-409C-BE32-E72D297353CC}">
                <c16:uniqueId val="{00000014-40D4-4E96-8632-F9371C4188E4}"/>
              </c:ext>
            </c:extLst>
          </c:dPt>
          <c:cat>
            <c:strRef>
              <c:f>Summary!$T$29:$T$39</c:f>
              <c:strCache>
                <c:ptCount val="11"/>
                <c:pt idx="0">
                  <c:v>Leakage</c:v>
                </c:pt>
                <c:pt idx="1">
                  <c:v>CLOCK</c:v>
                </c:pt>
                <c:pt idx="2">
                  <c:v>LOGIC</c:v>
                </c:pt>
                <c:pt idx="3">
                  <c:v>IO</c:v>
                </c:pt>
                <c:pt idx="4">
                  <c:v>BRAM</c:v>
                </c:pt>
                <c:pt idx="5">
                  <c:v>DCM</c:v>
                </c:pt>
                <c:pt idx="6">
                  <c:v>DSP</c:v>
                </c:pt>
                <c:pt idx="7">
                  <c:v>PLL</c:v>
                </c:pt>
                <c:pt idx="10">
                  <c:v>MCB</c:v>
                </c:pt>
              </c:strCache>
            </c:strRef>
          </c:cat>
          <c:val>
            <c:numRef>
              <c:f>Summary!$U$29:$U$39</c:f>
              <c:numCache>
                <c:formatCode>General</c:formatCode>
                <c:ptCount val="11"/>
                <c:pt idx="0" formatCode="0.000">
                  <c:v>9.4781308725090219E-2</c:v>
                </c:pt>
                <c:pt idx="1">
                  <c:v>3.1736891352075622E-2</c:v>
                </c:pt>
                <c:pt idx="2">
                  <c:v>0</c:v>
                </c:pt>
                <c:pt idx="3">
                  <c:v>0.34024679642857136</c:v>
                </c:pt>
                <c:pt idx="4">
                  <c:v>0</c:v>
                </c:pt>
                <c:pt idx="5">
                  <c:v>2.127066E-2</c:v>
                </c:pt>
                <c:pt idx="6">
                  <c:v>0</c:v>
                </c:pt>
                <c:pt idx="7">
                  <c:v>0</c:v>
                </c:pt>
                <c:pt idx="8">
                  <c:v>0</c:v>
                </c:pt>
                <c:pt idx="9">
                  <c:v>0</c:v>
                </c:pt>
                <c:pt idx="10">
                  <c:v>0</c:v>
                </c:pt>
              </c:numCache>
            </c:numRef>
          </c:val>
          <c:extLst>
            <c:ext xmlns:c16="http://schemas.microsoft.com/office/drawing/2014/chart" uri="{C3380CC4-5D6E-409C-BE32-E72D297353CC}">
              <c16:uniqueId val="{00000015-40D4-4E96-8632-F9371C4188E4}"/>
            </c:ext>
          </c:extLst>
        </c:ser>
        <c:dLbls>
          <c:showLegendKey val="0"/>
          <c:showVal val="0"/>
          <c:showCatName val="0"/>
          <c:showSerName val="0"/>
          <c:showPercent val="0"/>
          <c:showBubbleSize val="0"/>
        </c:dLbls>
        <c:gapWidth val="150"/>
        <c:axId val="399678176"/>
        <c:axId val="399673280"/>
      </c:barChart>
      <c:catAx>
        <c:axId val="399678176"/>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800" b="0" i="0" u="none" strike="noStrike" baseline="0">
                <a:solidFill>
                  <a:srgbClr val="000000"/>
                </a:solidFill>
                <a:latin typeface="Arial"/>
                <a:ea typeface="Arial"/>
                <a:cs typeface="Arial"/>
              </a:defRPr>
            </a:pPr>
            <a:endParaRPr lang="en-US"/>
          </a:p>
        </c:txPr>
        <c:crossAx val="399673280"/>
        <c:crosses val="autoZero"/>
        <c:auto val="1"/>
        <c:lblAlgn val="ctr"/>
        <c:lblOffset val="100"/>
        <c:tickLblSkip val="1"/>
        <c:tickMarkSkip val="1"/>
        <c:noMultiLvlLbl val="0"/>
      </c:catAx>
      <c:valAx>
        <c:axId val="399673280"/>
        <c:scaling>
          <c:orientation val="minMax"/>
        </c:scaling>
        <c:delete val="0"/>
        <c:axPos val="l"/>
        <c:majorGridlines>
          <c:spPr>
            <a:ln w="3175">
              <a:solidFill>
                <a:srgbClr val="C0C0C0"/>
              </a:solidFill>
            </a:ln>
          </c:spPr>
        </c:majorGridlines>
        <c:title>
          <c:tx>
            <c:rich>
              <a:bodyPr/>
              <a:lstStyle/>
              <a:p>
                <a:pPr>
                  <a:defRPr sz="800" b="1" i="0" u="none" strike="noStrike" baseline="0">
                    <a:solidFill>
                      <a:srgbClr val="000000"/>
                    </a:solidFill>
                    <a:latin typeface="Arial"/>
                    <a:ea typeface="Arial"/>
                    <a:cs typeface="Arial"/>
                  </a:defRPr>
                </a:pPr>
                <a:r>
                  <a:rPr lang="fr-CA"/>
                  <a:t>Power (W)</a:t>
                </a:r>
              </a:p>
            </c:rich>
          </c:tx>
          <c:layout>
            <c:manualLayout>
              <c:xMode val="edge"/>
              <c:yMode val="edge"/>
              <c:x val="2.1551648788422736E-2"/>
              <c:y val="0.36641294712782607"/>
            </c:manualLayout>
          </c:layout>
          <c:overlay val="0"/>
          <c:spPr>
            <a:noFill/>
            <a:ln w="25400">
              <a:noFill/>
            </a:ln>
          </c:spPr>
        </c:title>
        <c:numFmt formatCode="0.0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399678176"/>
        <c:crosses val="autoZero"/>
        <c:crossBetween val="between"/>
      </c:valAx>
      <c:spPr>
        <a:solidFill>
          <a:srgbClr val="FFFFFF"/>
        </a:solidFill>
        <a:ln w="12700">
          <a:solidFill>
            <a:srgbClr val="808080"/>
          </a:solidFill>
          <a:prstDash val="solid"/>
        </a:ln>
      </c:spPr>
    </c:plotArea>
    <c:plotVisOnly val="1"/>
    <c:dispBlanksAs val="gap"/>
    <c:showDLblsOverMax val="0"/>
  </c:chart>
  <c:spPr>
    <a:solidFill>
      <a:srgbClr val="C0C0C0"/>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5.png"/><Relationship Id="rId1" Type="http://schemas.openxmlformats.org/officeDocument/2006/relationships/image" Target="../media/image24.jpeg"/></Relationships>
</file>

<file path=xl/drawings/_rels/drawing4.xml.rels><?xml version="1.0" encoding="UTF-8" standalone="yes"?>
<Relationships xmlns="http://schemas.openxmlformats.org/package/2006/relationships"><Relationship Id="rId3" Type="http://schemas.openxmlformats.org/officeDocument/2006/relationships/image" Target="../media/image34.png"/><Relationship Id="rId2" Type="http://schemas.openxmlformats.org/officeDocument/2006/relationships/image" Target="../media/image33.png"/><Relationship Id="rId1" Type="http://schemas.openxmlformats.org/officeDocument/2006/relationships/image" Target="../media/image32.png"/></Relationships>
</file>

<file path=xl/drawings/_rels/drawing1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1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15.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4" Type="http://schemas.openxmlformats.org/officeDocument/2006/relationships/chart" Target="../charts/chart12.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18" Type="http://schemas.openxmlformats.org/officeDocument/2006/relationships/image" Target="../media/image18.emf"/><Relationship Id="rId3" Type="http://schemas.openxmlformats.org/officeDocument/2006/relationships/image" Target="../media/image3.emf"/><Relationship Id="rId21" Type="http://schemas.openxmlformats.org/officeDocument/2006/relationships/image" Target="../media/image21.emf"/><Relationship Id="rId7" Type="http://schemas.openxmlformats.org/officeDocument/2006/relationships/image" Target="../media/image7.emf"/><Relationship Id="rId12" Type="http://schemas.openxmlformats.org/officeDocument/2006/relationships/image" Target="../media/image12.emf"/><Relationship Id="rId17" Type="http://schemas.openxmlformats.org/officeDocument/2006/relationships/image" Target="../media/image17.emf"/><Relationship Id="rId2" Type="http://schemas.openxmlformats.org/officeDocument/2006/relationships/image" Target="../media/image2.emf"/><Relationship Id="rId16" Type="http://schemas.openxmlformats.org/officeDocument/2006/relationships/image" Target="../media/image16.emf"/><Relationship Id="rId20" Type="http://schemas.openxmlformats.org/officeDocument/2006/relationships/image" Target="../media/image20.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10" Type="http://schemas.openxmlformats.org/officeDocument/2006/relationships/image" Target="../media/image10.emf"/><Relationship Id="rId19" Type="http://schemas.openxmlformats.org/officeDocument/2006/relationships/image" Target="../media/image19.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6.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27.emf"/></Relationships>
</file>

<file path=xl/drawings/_rels/vmlDrawing4.vml.rels><?xml version="1.0" encoding="UTF-8" standalone="yes"?>
<Relationships xmlns="http://schemas.openxmlformats.org/package/2006/relationships"><Relationship Id="rId3" Type="http://schemas.openxmlformats.org/officeDocument/2006/relationships/image" Target="../media/image30.emf"/><Relationship Id="rId2" Type="http://schemas.openxmlformats.org/officeDocument/2006/relationships/image" Target="../media/image29.emf"/><Relationship Id="rId1" Type="http://schemas.openxmlformats.org/officeDocument/2006/relationships/image" Target="../media/image28.emf"/><Relationship Id="rId4" Type="http://schemas.openxmlformats.org/officeDocument/2006/relationships/image" Target="../media/image3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35.emf"/></Relationships>
</file>

<file path=xl/drawings/_rels/vmlDrawing6.vml.rels><?xml version="1.0" encoding="UTF-8" standalone="yes"?>
<Relationships xmlns="http://schemas.openxmlformats.org/package/2006/relationships"><Relationship Id="rId1" Type="http://schemas.openxmlformats.org/officeDocument/2006/relationships/image" Target="../media/image36.emf"/></Relationships>
</file>

<file path=xl/drawings/_rels/vmlDrawing7.vml.rels><?xml version="1.0" encoding="UTF-8" standalone="yes"?>
<Relationships xmlns="http://schemas.openxmlformats.org/package/2006/relationships"><Relationship Id="rId1" Type="http://schemas.openxmlformats.org/officeDocument/2006/relationships/image" Target="../media/image37.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38.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39.emf"/></Relationships>
</file>

<file path=xl/drawings/_rels/vmlDrawing10.vml.rels><?xml version="1.0" encoding="UTF-8" standalone="yes"?>
<Relationships xmlns="http://schemas.openxmlformats.org/package/2006/relationships"><Relationship Id="rId1" Type="http://schemas.openxmlformats.org/officeDocument/2006/relationships/image" Target="../media/image40.emf"/></Relationships>
</file>

<file path=xl/drawings/_rels/vmlDrawing11.vml.rels><?xml version="1.0" encoding="UTF-8" standalone="yes"?>
<Relationships xmlns="http://schemas.openxmlformats.org/package/2006/relationships"><Relationship Id="rId1" Type="http://schemas.openxmlformats.org/officeDocument/2006/relationships/image" Target="../media/image41.emf"/></Relationships>
</file>

<file path=xl/drawings/_rels/vmlDrawing12.vml.rels><?xml version="1.0" encoding="UTF-8" standalone="yes"?>
<Relationships xmlns="http://schemas.openxmlformats.org/package/2006/relationships"><Relationship Id="rId1" Type="http://schemas.openxmlformats.org/officeDocument/2006/relationships/image" Target="../media/image42.emf"/></Relationships>
</file>

<file path=xl/drawings/_rels/vmlDrawing14.vml.rels><?xml version="1.0" encoding="UTF-8" standalone="yes"?>
<Relationships xmlns="http://schemas.openxmlformats.org/package/2006/relationships"><Relationship Id="rId1" Type="http://schemas.openxmlformats.org/officeDocument/2006/relationships/image" Target="../media/image43.emf"/></Relationships>
</file>

<file path=xl/drawings/_rels/vmlDrawing15.vml.rels><?xml version="1.0" encoding="UTF-8" standalone="yes"?>
<Relationships xmlns="http://schemas.openxmlformats.org/package/2006/relationships"><Relationship Id="rId1" Type="http://schemas.openxmlformats.org/officeDocument/2006/relationships/image" Target="../media/image44.emf"/></Relationships>
</file>

<file path=xl/drawings/drawing1.xml><?xml version="1.0" encoding="utf-8"?>
<xdr:wsDr xmlns:xdr="http://schemas.openxmlformats.org/drawingml/2006/spreadsheetDrawing" xmlns:a="http://schemas.openxmlformats.org/drawingml/2006/main">
  <xdr:twoCellAnchor editAs="oneCell">
    <xdr:from>
      <xdr:col>1</xdr:col>
      <xdr:colOff>83127</xdr:colOff>
      <xdr:row>0</xdr:row>
      <xdr:rowOff>66502</xdr:rowOff>
    </xdr:from>
    <xdr:to>
      <xdr:col>2</xdr:col>
      <xdr:colOff>507076</xdr:colOff>
      <xdr:row>1</xdr:row>
      <xdr:rowOff>191193</xdr:rowOff>
    </xdr:to>
    <xdr:pic>
      <xdr:nvPicPr>
        <xdr:cNvPr id="14468466" name="Picture 928" descr="Xilinx_Logo_corp_4C">
          <a:extLst>
            <a:ext uri="{FF2B5EF4-FFF2-40B4-BE49-F238E27FC236}">
              <a16:creationId xmlns:a16="http://schemas.microsoft.com/office/drawing/2014/main" id="{00000000-0008-0000-0000-000072C5DC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007" y="66502"/>
          <a:ext cx="1995055" cy="3657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141316</xdr:colOff>
      <xdr:row>0</xdr:row>
      <xdr:rowOff>66502</xdr:rowOff>
    </xdr:from>
    <xdr:to>
      <xdr:col>15</xdr:col>
      <xdr:colOff>448887</xdr:colOff>
      <xdr:row>1</xdr:row>
      <xdr:rowOff>108065</xdr:rowOff>
    </xdr:to>
    <xdr:pic>
      <xdr:nvPicPr>
        <xdr:cNvPr id="14468467" name="Picture 1024" descr="XPower2">
          <a:extLst>
            <a:ext uri="{FF2B5EF4-FFF2-40B4-BE49-F238E27FC236}">
              <a16:creationId xmlns:a16="http://schemas.microsoft.com/office/drawing/2014/main" id="{00000000-0008-0000-0000-000073C5DC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45484" y="66502"/>
          <a:ext cx="307571" cy="2826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83127</xdr:colOff>
      <xdr:row>5</xdr:row>
      <xdr:rowOff>207818</xdr:rowOff>
    </xdr:from>
    <xdr:to>
      <xdr:col>5</xdr:col>
      <xdr:colOff>83127</xdr:colOff>
      <xdr:row>26</xdr:row>
      <xdr:rowOff>91440</xdr:rowOff>
    </xdr:to>
    <xdr:grpSp>
      <xdr:nvGrpSpPr>
        <xdr:cNvPr id="14468468" name="Group 11704">
          <a:extLst>
            <a:ext uri="{FF2B5EF4-FFF2-40B4-BE49-F238E27FC236}">
              <a16:creationId xmlns:a16="http://schemas.microsoft.com/office/drawing/2014/main" id="{00000000-0008-0000-0000-000074C5DC00}"/>
            </a:ext>
          </a:extLst>
        </xdr:cNvPr>
        <xdr:cNvGrpSpPr>
          <a:grpSpLocks/>
        </xdr:cNvGrpSpPr>
      </xdr:nvGrpSpPr>
      <xdr:grpSpPr bwMode="auto">
        <a:xfrm>
          <a:off x="83127" y="1419398"/>
          <a:ext cx="3413760" cy="5141422"/>
          <a:chOff x="9" y="173"/>
          <a:chExt cx="346" cy="611"/>
        </a:xfrm>
      </xdr:grpSpPr>
      <xdr:sp macro="" textlink="">
        <xdr:nvSpPr>
          <xdr:cNvPr id="14468505" name="Line 11705">
            <a:extLst>
              <a:ext uri="{FF2B5EF4-FFF2-40B4-BE49-F238E27FC236}">
                <a16:creationId xmlns:a16="http://schemas.microsoft.com/office/drawing/2014/main" id="{00000000-0008-0000-0000-000099C5DC00}"/>
              </a:ext>
            </a:extLst>
          </xdr:cNvPr>
          <xdr:cNvSpPr>
            <a:spLocks noChangeShapeType="1"/>
          </xdr:cNvSpPr>
        </xdr:nvSpPr>
        <xdr:spPr bwMode="auto">
          <a:xfrm>
            <a:off x="133" y="173"/>
            <a:ext cx="221"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6" name="Line 11706">
            <a:extLst>
              <a:ext uri="{FF2B5EF4-FFF2-40B4-BE49-F238E27FC236}">
                <a16:creationId xmlns:a16="http://schemas.microsoft.com/office/drawing/2014/main" id="{00000000-0008-0000-0000-00009AC5DC00}"/>
              </a:ext>
            </a:extLst>
          </xdr:cNvPr>
          <xdr:cNvSpPr>
            <a:spLocks noChangeShapeType="1"/>
          </xdr:cNvSpPr>
        </xdr:nvSpPr>
        <xdr:spPr bwMode="auto">
          <a:xfrm flipH="1">
            <a:off x="354" y="173"/>
            <a:ext cx="0" cy="611"/>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7" name="Line 11707">
            <a:extLst>
              <a:ext uri="{FF2B5EF4-FFF2-40B4-BE49-F238E27FC236}">
                <a16:creationId xmlns:a16="http://schemas.microsoft.com/office/drawing/2014/main" id="{00000000-0008-0000-0000-00009BC5DC00}"/>
              </a:ext>
            </a:extLst>
          </xdr:cNvPr>
          <xdr:cNvSpPr>
            <a:spLocks noChangeShapeType="1"/>
          </xdr:cNvSpPr>
        </xdr:nvSpPr>
        <xdr:spPr bwMode="auto">
          <a:xfrm flipH="1">
            <a:off x="9" y="783"/>
            <a:ext cx="34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8" name="Line 11708">
            <a:extLst>
              <a:ext uri="{FF2B5EF4-FFF2-40B4-BE49-F238E27FC236}">
                <a16:creationId xmlns:a16="http://schemas.microsoft.com/office/drawing/2014/main" id="{00000000-0008-0000-0000-00009CC5DC00}"/>
              </a:ext>
            </a:extLst>
          </xdr:cNvPr>
          <xdr:cNvSpPr>
            <a:spLocks noChangeShapeType="1"/>
          </xdr:cNvSpPr>
        </xdr:nvSpPr>
        <xdr:spPr bwMode="auto">
          <a:xfrm flipV="1">
            <a:off x="9" y="173"/>
            <a:ext cx="0" cy="61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9" name="Line 11709">
            <a:extLst>
              <a:ext uri="{FF2B5EF4-FFF2-40B4-BE49-F238E27FC236}">
                <a16:creationId xmlns:a16="http://schemas.microsoft.com/office/drawing/2014/main" id="{00000000-0008-0000-0000-00009DC5DC00}"/>
              </a:ext>
            </a:extLst>
          </xdr:cNvPr>
          <xdr:cNvSpPr>
            <a:spLocks noChangeShapeType="1"/>
          </xdr:cNvSpPr>
        </xdr:nvSpPr>
        <xdr:spPr bwMode="auto">
          <a:xfrm>
            <a:off x="9" y="173"/>
            <a:ext cx="2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10" name="Line 11710">
            <a:extLst>
              <a:ext uri="{FF2B5EF4-FFF2-40B4-BE49-F238E27FC236}">
                <a16:creationId xmlns:a16="http://schemas.microsoft.com/office/drawing/2014/main" id="{00000000-0008-0000-0000-00009EC5DC00}"/>
              </a:ext>
            </a:extLst>
          </xdr:cNvPr>
          <xdr:cNvSpPr>
            <a:spLocks noChangeShapeType="1"/>
          </xdr:cNvSpPr>
        </xdr:nvSpPr>
        <xdr:spPr bwMode="auto">
          <a:xfrm flipH="1">
            <a:off x="355" y="173"/>
            <a:ext cx="0" cy="611"/>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1" name="Line 11711">
            <a:extLst>
              <a:ext uri="{FF2B5EF4-FFF2-40B4-BE49-F238E27FC236}">
                <a16:creationId xmlns:a16="http://schemas.microsoft.com/office/drawing/2014/main" id="{00000000-0008-0000-0000-00009FC5DC00}"/>
              </a:ext>
            </a:extLst>
          </xdr:cNvPr>
          <xdr:cNvSpPr>
            <a:spLocks noChangeShapeType="1"/>
          </xdr:cNvSpPr>
        </xdr:nvSpPr>
        <xdr:spPr bwMode="auto">
          <a:xfrm flipH="1">
            <a:off x="10" y="784"/>
            <a:ext cx="34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2" name="Line 11712">
            <a:extLst>
              <a:ext uri="{FF2B5EF4-FFF2-40B4-BE49-F238E27FC236}">
                <a16:creationId xmlns:a16="http://schemas.microsoft.com/office/drawing/2014/main" id="{00000000-0008-0000-0000-0000A0C5DC00}"/>
              </a:ext>
            </a:extLst>
          </xdr:cNvPr>
          <xdr:cNvSpPr>
            <a:spLocks noChangeShapeType="1"/>
          </xdr:cNvSpPr>
        </xdr:nvSpPr>
        <xdr:spPr bwMode="auto">
          <a:xfrm flipV="1">
            <a:off x="10" y="174"/>
            <a:ext cx="0" cy="608"/>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3" name="Line 11713">
            <a:extLst>
              <a:ext uri="{FF2B5EF4-FFF2-40B4-BE49-F238E27FC236}">
                <a16:creationId xmlns:a16="http://schemas.microsoft.com/office/drawing/2014/main" id="{00000000-0008-0000-0000-0000A1C5DC00}"/>
              </a:ext>
            </a:extLst>
          </xdr:cNvPr>
          <xdr:cNvSpPr>
            <a:spLocks noChangeShapeType="1"/>
          </xdr:cNvSpPr>
        </xdr:nvSpPr>
        <xdr:spPr bwMode="auto">
          <a:xfrm>
            <a:off x="10" y="174"/>
            <a:ext cx="26"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14" name="Line 11714">
            <a:extLst>
              <a:ext uri="{FF2B5EF4-FFF2-40B4-BE49-F238E27FC236}">
                <a16:creationId xmlns:a16="http://schemas.microsoft.com/office/drawing/2014/main" id="{00000000-0008-0000-0000-0000A2C5DC00}"/>
              </a:ext>
            </a:extLst>
          </xdr:cNvPr>
          <xdr:cNvSpPr>
            <a:spLocks noChangeShapeType="1"/>
          </xdr:cNvSpPr>
        </xdr:nvSpPr>
        <xdr:spPr bwMode="auto">
          <a:xfrm>
            <a:off x="132" y="174"/>
            <a:ext cx="221"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390698</xdr:colOff>
      <xdr:row>5</xdr:row>
      <xdr:rowOff>207818</xdr:rowOff>
    </xdr:from>
    <xdr:to>
      <xdr:col>16</xdr:col>
      <xdr:colOff>74815</xdr:colOff>
      <xdr:row>19</xdr:row>
      <xdr:rowOff>99753</xdr:rowOff>
    </xdr:to>
    <xdr:grpSp>
      <xdr:nvGrpSpPr>
        <xdr:cNvPr id="14468469" name="Group 11743">
          <a:extLst>
            <a:ext uri="{FF2B5EF4-FFF2-40B4-BE49-F238E27FC236}">
              <a16:creationId xmlns:a16="http://schemas.microsoft.com/office/drawing/2014/main" id="{00000000-0008-0000-0000-000075C5DC00}"/>
            </a:ext>
          </a:extLst>
        </xdr:cNvPr>
        <xdr:cNvGrpSpPr>
          <a:grpSpLocks/>
        </xdr:cNvGrpSpPr>
      </xdr:nvGrpSpPr>
      <xdr:grpSpPr bwMode="auto">
        <a:xfrm>
          <a:off x="7172498" y="1419398"/>
          <a:ext cx="2175857" cy="3450475"/>
          <a:chOff x="721" y="173"/>
          <a:chExt cx="225" cy="437"/>
        </a:xfrm>
      </xdr:grpSpPr>
      <xdr:sp macro="" textlink="">
        <xdr:nvSpPr>
          <xdr:cNvPr id="14468495" name="Line 11744">
            <a:extLst>
              <a:ext uri="{FF2B5EF4-FFF2-40B4-BE49-F238E27FC236}">
                <a16:creationId xmlns:a16="http://schemas.microsoft.com/office/drawing/2014/main" id="{00000000-0008-0000-0000-00008FC5DC00}"/>
              </a:ext>
            </a:extLst>
          </xdr:cNvPr>
          <xdr:cNvSpPr>
            <a:spLocks noChangeShapeType="1"/>
          </xdr:cNvSpPr>
        </xdr:nvSpPr>
        <xdr:spPr bwMode="auto">
          <a:xfrm>
            <a:off x="875" y="173"/>
            <a:ext cx="70"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6" name="Line 11745">
            <a:extLst>
              <a:ext uri="{FF2B5EF4-FFF2-40B4-BE49-F238E27FC236}">
                <a16:creationId xmlns:a16="http://schemas.microsoft.com/office/drawing/2014/main" id="{00000000-0008-0000-0000-000090C5DC00}"/>
              </a:ext>
            </a:extLst>
          </xdr:cNvPr>
          <xdr:cNvSpPr>
            <a:spLocks noChangeShapeType="1"/>
          </xdr:cNvSpPr>
        </xdr:nvSpPr>
        <xdr:spPr bwMode="auto">
          <a:xfrm flipH="1">
            <a:off x="945"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7" name="Line 11746">
            <a:extLst>
              <a:ext uri="{FF2B5EF4-FFF2-40B4-BE49-F238E27FC236}">
                <a16:creationId xmlns:a16="http://schemas.microsoft.com/office/drawing/2014/main" id="{00000000-0008-0000-0000-000091C5DC00}"/>
              </a:ext>
            </a:extLst>
          </xdr:cNvPr>
          <xdr:cNvSpPr>
            <a:spLocks noChangeShapeType="1"/>
          </xdr:cNvSpPr>
        </xdr:nvSpPr>
        <xdr:spPr bwMode="auto">
          <a:xfrm flipH="1">
            <a:off x="721" y="609"/>
            <a:ext cx="22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8" name="Line 11747">
            <a:extLst>
              <a:ext uri="{FF2B5EF4-FFF2-40B4-BE49-F238E27FC236}">
                <a16:creationId xmlns:a16="http://schemas.microsoft.com/office/drawing/2014/main" id="{00000000-0008-0000-0000-000092C5DC00}"/>
              </a:ext>
            </a:extLst>
          </xdr:cNvPr>
          <xdr:cNvSpPr>
            <a:spLocks noChangeShapeType="1"/>
          </xdr:cNvSpPr>
        </xdr:nvSpPr>
        <xdr:spPr bwMode="auto">
          <a:xfrm flipV="1">
            <a:off x="721"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9" name="Line 11748">
            <a:extLst>
              <a:ext uri="{FF2B5EF4-FFF2-40B4-BE49-F238E27FC236}">
                <a16:creationId xmlns:a16="http://schemas.microsoft.com/office/drawing/2014/main" id="{00000000-0008-0000-0000-000093C5DC00}"/>
              </a:ext>
            </a:extLst>
          </xdr:cNvPr>
          <xdr:cNvSpPr>
            <a:spLocks noChangeShapeType="1"/>
          </xdr:cNvSpPr>
        </xdr:nvSpPr>
        <xdr:spPr bwMode="auto">
          <a:xfrm>
            <a:off x="721" y="173"/>
            <a:ext cx="18"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500" name="Line 11749">
            <a:extLst>
              <a:ext uri="{FF2B5EF4-FFF2-40B4-BE49-F238E27FC236}">
                <a16:creationId xmlns:a16="http://schemas.microsoft.com/office/drawing/2014/main" id="{00000000-0008-0000-0000-000094C5DC00}"/>
              </a:ext>
            </a:extLst>
          </xdr:cNvPr>
          <xdr:cNvSpPr>
            <a:spLocks noChangeShapeType="1"/>
          </xdr:cNvSpPr>
        </xdr:nvSpPr>
        <xdr:spPr bwMode="auto">
          <a:xfrm flipH="1">
            <a:off x="946"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1" name="Line 11750">
            <a:extLst>
              <a:ext uri="{FF2B5EF4-FFF2-40B4-BE49-F238E27FC236}">
                <a16:creationId xmlns:a16="http://schemas.microsoft.com/office/drawing/2014/main" id="{00000000-0008-0000-0000-000095C5DC00}"/>
              </a:ext>
            </a:extLst>
          </xdr:cNvPr>
          <xdr:cNvSpPr>
            <a:spLocks noChangeShapeType="1"/>
          </xdr:cNvSpPr>
        </xdr:nvSpPr>
        <xdr:spPr bwMode="auto">
          <a:xfrm flipH="1">
            <a:off x="721" y="610"/>
            <a:ext cx="2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2" name="Line 11751">
            <a:extLst>
              <a:ext uri="{FF2B5EF4-FFF2-40B4-BE49-F238E27FC236}">
                <a16:creationId xmlns:a16="http://schemas.microsoft.com/office/drawing/2014/main" id="{00000000-0008-0000-0000-000096C5DC00}"/>
              </a:ext>
            </a:extLst>
          </xdr:cNvPr>
          <xdr:cNvSpPr>
            <a:spLocks noChangeShapeType="1"/>
          </xdr:cNvSpPr>
        </xdr:nvSpPr>
        <xdr:spPr bwMode="auto">
          <a:xfrm flipV="1">
            <a:off x="722"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3" name="Line 11752">
            <a:extLst>
              <a:ext uri="{FF2B5EF4-FFF2-40B4-BE49-F238E27FC236}">
                <a16:creationId xmlns:a16="http://schemas.microsoft.com/office/drawing/2014/main" id="{00000000-0008-0000-0000-000097C5DC00}"/>
              </a:ext>
            </a:extLst>
          </xdr:cNvPr>
          <xdr:cNvSpPr>
            <a:spLocks noChangeShapeType="1"/>
          </xdr:cNvSpPr>
        </xdr:nvSpPr>
        <xdr:spPr bwMode="auto">
          <a:xfrm>
            <a:off x="722" y="174"/>
            <a:ext cx="17"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504" name="Line 11753">
            <a:extLst>
              <a:ext uri="{FF2B5EF4-FFF2-40B4-BE49-F238E27FC236}">
                <a16:creationId xmlns:a16="http://schemas.microsoft.com/office/drawing/2014/main" id="{00000000-0008-0000-0000-000098C5DC00}"/>
              </a:ext>
            </a:extLst>
          </xdr:cNvPr>
          <xdr:cNvSpPr>
            <a:spLocks noChangeShapeType="1"/>
          </xdr:cNvSpPr>
        </xdr:nvSpPr>
        <xdr:spPr bwMode="auto">
          <a:xfrm>
            <a:off x="876" y="174"/>
            <a:ext cx="68"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5</xdr:col>
      <xdr:colOff>390698</xdr:colOff>
      <xdr:row>5</xdr:row>
      <xdr:rowOff>207818</xdr:rowOff>
    </xdr:from>
    <xdr:to>
      <xdr:col>11</xdr:col>
      <xdr:colOff>91440</xdr:colOff>
      <xdr:row>19</xdr:row>
      <xdr:rowOff>99753</xdr:rowOff>
    </xdr:to>
    <xdr:grpSp>
      <xdr:nvGrpSpPr>
        <xdr:cNvPr id="14468470" name="Group 11755">
          <a:extLst>
            <a:ext uri="{FF2B5EF4-FFF2-40B4-BE49-F238E27FC236}">
              <a16:creationId xmlns:a16="http://schemas.microsoft.com/office/drawing/2014/main" id="{00000000-0008-0000-0000-000076C5DC00}"/>
            </a:ext>
          </a:extLst>
        </xdr:cNvPr>
        <xdr:cNvGrpSpPr>
          <a:grpSpLocks/>
        </xdr:cNvGrpSpPr>
      </xdr:nvGrpSpPr>
      <xdr:grpSpPr bwMode="auto">
        <a:xfrm>
          <a:off x="3804458" y="1419398"/>
          <a:ext cx="3068782" cy="3450475"/>
          <a:chOff x="374" y="173"/>
          <a:chExt cx="315" cy="437"/>
        </a:xfrm>
      </xdr:grpSpPr>
      <xdr:sp macro="" textlink="">
        <xdr:nvSpPr>
          <xdr:cNvPr id="14468485" name="Line 11756">
            <a:extLst>
              <a:ext uri="{FF2B5EF4-FFF2-40B4-BE49-F238E27FC236}">
                <a16:creationId xmlns:a16="http://schemas.microsoft.com/office/drawing/2014/main" id="{00000000-0008-0000-0000-000085C5DC00}"/>
              </a:ext>
            </a:extLst>
          </xdr:cNvPr>
          <xdr:cNvSpPr>
            <a:spLocks noChangeShapeType="1"/>
          </xdr:cNvSpPr>
        </xdr:nvSpPr>
        <xdr:spPr bwMode="auto">
          <a:xfrm>
            <a:off x="563" y="173"/>
            <a:ext cx="1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6" name="Line 11757">
            <a:extLst>
              <a:ext uri="{FF2B5EF4-FFF2-40B4-BE49-F238E27FC236}">
                <a16:creationId xmlns:a16="http://schemas.microsoft.com/office/drawing/2014/main" id="{00000000-0008-0000-0000-000086C5DC00}"/>
              </a:ext>
            </a:extLst>
          </xdr:cNvPr>
          <xdr:cNvSpPr>
            <a:spLocks noChangeShapeType="1"/>
          </xdr:cNvSpPr>
        </xdr:nvSpPr>
        <xdr:spPr bwMode="auto">
          <a:xfrm flipH="1">
            <a:off x="688" y="173"/>
            <a:ext cx="0" cy="436"/>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7" name="Line 11758">
            <a:extLst>
              <a:ext uri="{FF2B5EF4-FFF2-40B4-BE49-F238E27FC236}">
                <a16:creationId xmlns:a16="http://schemas.microsoft.com/office/drawing/2014/main" id="{00000000-0008-0000-0000-000087C5DC00}"/>
              </a:ext>
            </a:extLst>
          </xdr:cNvPr>
          <xdr:cNvSpPr>
            <a:spLocks noChangeShapeType="1"/>
          </xdr:cNvSpPr>
        </xdr:nvSpPr>
        <xdr:spPr bwMode="auto">
          <a:xfrm flipH="1">
            <a:off x="374" y="609"/>
            <a:ext cx="314"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8" name="Line 11759">
            <a:extLst>
              <a:ext uri="{FF2B5EF4-FFF2-40B4-BE49-F238E27FC236}">
                <a16:creationId xmlns:a16="http://schemas.microsoft.com/office/drawing/2014/main" id="{00000000-0008-0000-0000-000088C5DC00}"/>
              </a:ext>
            </a:extLst>
          </xdr:cNvPr>
          <xdr:cNvSpPr>
            <a:spLocks noChangeShapeType="1"/>
          </xdr:cNvSpPr>
        </xdr:nvSpPr>
        <xdr:spPr bwMode="auto">
          <a:xfrm flipV="1">
            <a:off x="374" y="174"/>
            <a:ext cx="0" cy="435"/>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89" name="Line 11760">
            <a:extLst>
              <a:ext uri="{FF2B5EF4-FFF2-40B4-BE49-F238E27FC236}">
                <a16:creationId xmlns:a16="http://schemas.microsoft.com/office/drawing/2014/main" id="{00000000-0008-0000-0000-000089C5DC00}"/>
              </a:ext>
            </a:extLst>
          </xdr:cNvPr>
          <xdr:cNvSpPr>
            <a:spLocks noChangeShapeType="1"/>
          </xdr:cNvSpPr>
        </xdr:nvSpPr>
        <xdr:spPr bwMode="auto">
          <a:xfrm>
            <a:off x="374" y="173"/>
            <a:ext cx="25" cy="0"/>
          </a:xfrm>
          <a:prstGeom prst="line">
            <a:avLst/>
          </a:prstGeom>
          <a:noFill/>
          <a:ln w="3175">
            <a:solidFill>
              <a:srgbClr val="5F5F5F"/>
            </a:solidFill>
            <a:round/>
            <a:headEnd/>
            <a:tailEnd/>
          </a:ln>
          <a:extLst>
            <a:ext uri="{909E8E84-426E-40DD-AFC4-6F175D3DCCD1}">
              <a14:hiddenFill xmlns:a14="http://schemas.microsoft.com/office/drawing/2010/main">
                <a:noFill/>
              </a14:hiddenFill>
            </a:ext>
          </a:extLst>
        </xdr:spPr>
      </xdr:sp>
      <xdr:sp macro="" textlink="">
        <xdr:nvSpPr>
          <xdr:cNvPr id="14468490" name="Line 11761">
            <a:extLst>
              <a:ext uri="{FF2B5EF4-FFF2-40B4-BE49-F238E27FC236}">
                <a16:creationId xmlns:a16="http://schemas.microsoft.com/office/drawing/2014/main" id="{00000000-0008-0000-0000-00008AC5DC00}"/>
              </a:ext>
            </a:extLst>
          </xdr:cNvPr>
          <xdr:cNvSpPr>
            <a:spLocks noChangeShapeType="1"/>
          </xdr:cNvSpPr>
        </xdr:nvSpPr>
        <xdr:spPr bwMode="auto">
          <a:xfrm flipH="1">
            <a:off x="689" y="173"/>
            <a:ext cx="0" cy="436"/>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1" name="Line 11762">
            <a:extLst>
              <a:ext uri="{FF2B5EF4-FFF2-40B4-BE49-F238E27FC236}">
                <a16:creationId xmlns:a16="http://schemas.microsoft.com/office/drawing/2014/main" id="{00000000-0008-0000-0000-00008BC5DC00}"/>
              </a:ext>
            </a:extLst>
          </xdr:cNvPr>
          <xdr:cNvSpPr>
            <a:spLocks noChangeShapeType="1"/>
          </xdr:cNvSpPr>
        </xdr:nvSpPr>
        <xdr:spPr bwMode="auto">
          <a:xfrm flipH="1">
            <a:off x="374" y="610"/>
            <a:ext cx="31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2" name="Line 11763">
            <a:extLst>
              <a:ext uri="{FF2B5EF4-FFF2-40B4-BE49-F238E27FC236}">
                <a16:creationId xmlns:a16="http://schemas.microsoft.com/office/drawing/2014/main" id="{00000000-0008-0000-0000-00008CC5DC00}"/>
              </a:ext>
            </a:extLst>
          </xdr:cNvPr>
          <xdr:cNvSpPr>
            <a:spLocks noChangeShapeType="1"/>
          </xdr:cNvSpPr>
        </xdr:nvSpPr>
        <xdr:spPr bwMode="auto">
          <a:xfrm flipV="1">
            <a:off x="375" y="174"/>
            <a:ext cx="0" cy="434"/>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3" name="Line 11764">
            <a:extLst>
              <a:ext uri="{FF2B5EF4-FFF2-40B4-BE49-F238E27FC236}">
                <a16:creationId xmlns:a16="http://schemas.microsoft.com/office/drawing/2014/main" id="{00000000-0008-0000-0000-00008DC5DC00}"/>
              </a:ext>
            </a:extLst>
          </xdr:cNvPr>
          <xdr:cNvSpPr>
            <a:spLocks noChangeShapeType="1"/>
          </xdr:cNvSpPr>
        </xdr:nvSpPr>
        <xdr:spPr bwMode="auto">
          <a:xfrm>
            <a:off x="375" y="174"/>
            <a:ext cx="24"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sp macro="" textlink="">
        <xdr:nvSpPr>
          <xdr:cNvPr id="14468494" name="Line 11765">
            <a:extLst>
              <a:ext uri="{FF2B5EF4-FFF2-40B4-BE49-F238E27FC236}">
                <a16:creationId xmlns:a16="http://schemas.microsoft.com/office/drawing/2014/main" id="{00000000-0008-0000-0000-00008EC5DC00}"/>
              </a:ext>
            </a:extLst>
          </xdr:cNvPr>
          <xdr:cNvSpPr>
            <a:spLocks noChangeShapeType="1"/>
          </xdr:cNvSpPr>
        </xdr:nvSpPr>
        <xdr:spPr bwMode="auto">
          <a:xfrm>
            <a:off x="562" y="174"/>
            <a:ext cx="125" cy="0"/>
          </a:xfrm>
          <a:prstGeom prst="line">
            <a:avLst/>
          </a:prstGeom>
          <a:noFill/>
          <a:ln w="3175">
            <a:solidFill>
              <a:srgbClr val="DDDDDD"/>
            </a:solidFill>
            <a:round/>
            <a:headEnd/>
            <a:tailEnd/>
          </a:ln>
          <a:extLst>
            <a:ext uri="{909E8E84-426E-40DD-AFC4-6F175D3DCCD1}">
              <a14:hiddenFill xmlns:a14="http://schemas.microsoft.com/office/drawing/2010/main">
                <a:noFill/>
              </a14:hiddenFill>
            </a:ext>
          </a:extLst>
        </xdr:spPr>
      </xdr:sp>
    </xdr:grpSp>
    <xdr:clientData/>
  </xdr:twoCellAnchor>
  <xdr:twoCellAnchor>
    <xdr:from>
      <xdr:col>11</xdr:col>
      <xdr:colOff>407324</xdr:colOff>
      <xdr:row>20</xdr:row>
      <xdr:rowOff>141316</xdr:rowOff>
    </xdr:from>
    <xdr:to>
      <xdr:col>16</xdr:col>
      <xdr:colOff>49876</xdr:colOff>
      <xdr:row>20</xdr:row>
      <xdr:rowOff>149629</xdr:rowOff>
    </xdr:to>
    <xdr:sp macro="" textlink="">
      <xdr:nvSpPr>
        <xdr:cNvPr id="14468471" name="Line 11767">
          <a:extLst>
            <a:ext uri="{FF2B5EF4-FFF2-40B4-BE49-F238E27FC236}">
              <a16:creationId xmlns:a16="http://schemas.microsoft.com/office/drawing/2014/main" id="{00000000-0008-0000-0000-000077C5DC00}"/>
            </a:ext>
          </a:extLst>
        </xdr:cNvPr>
        <xdr:cNvSpPr>
          <a:spLocks noChangeShapeType="1"/>
        </xdr:cNvSpPr>
      </xdr:nvSpPr>
      <xdr:spPr bwMode="auto">
        <a:xfrm flipV="1">
          <a:off x="6974378" y="5112327"/>
          <a:ext cx="2061557" cy="8313"/>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20</xdr:row>
      <xdr:rowOff>149629</xdr:rowOff>
    </xdr:from>
    <xdr:to>
      <xdr:col>9</xdr:col>
      <xdr:colOff>382385</xdr:colOff>
      <xdr:row>20</xdr:row>
      <xdr:rowOff>149629</xdr:rowOff>
    </xdr:to>
    <xdr:sp macro="" textlink="">
      <xdr:nvSpPr>
        <xdr:cNvPr id="14468472" name="Line 11768">
          <a:extLst>
            <a:ext uri="{FF2B5EF4-FFF2-40B4-BE49-F238E27FC236}">
              <a16:creationId xmlns:a16="http://schemas.microsoft.com/office/drawing/2014/main" id="{00000000-0008-0000-0000-000078C5DC00}"/>
            </a:ext>
          </a:extLst>
        </xdr:cNvPr>
        <xdr:cNvSpPr>
          <a:spLocks noChangeShapeType="1"/>
        </xdr:cNvSpPr>
      </xdr:nvSpPr>
      <xdr:spPr bwMode="auto">
        <a:xfrm>
          <a:off x="3699164" y="5120640"/>
          <a:ext cx="2136371" cy="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390698</xdr:colOff>
      <xdr:row>20</xdr:row>
      <xdr:rowOff>141316</xdr:rowOff>
    </xdr:from>
    <xdr:to>
      <xdr:col>5</xdr:col>
      <xdr:colOff>399011</xdr:colOff>
      <xdr:row>26</xdr:row>
      <xdr:rowOff>74815</xdr:rowOff>
    </xdr:to>
    <xdr:sp macro="" textlink="">
      <xdr:nvSpPr>
        <xdr:cNvPr id="14468473" name="Line 11773">
          <a:extLst>
            <a:ext uri="{FF2B5EF4-FFF2-40B4-BE49-F238E27FC236}">
              <a16:creationId xmlns:a16="http://schemas.microsoft.com/office/drawing/2014/main" id="{00000000-0008-0000-0000-000079C5DC00}"/>
            </a:ext>
          </a:extLst>
        </xdr:cNvPr>
        <xdr:cNvSpPr>
          <a:spLocks noChangeShapeType="1"/>
        </xdr:cNvSpPr>
      </xdr:nvSpPr>
      <xdr:spPr bwMode="auto">
        <a:xfrm flipH="1" flipV="1">
          <a:off x="3690851" y="5112327"/>
          <a:ext cx="8313" cy="1363288"/>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399011</xdr:colOff>
      <xdr:row>26</xdr:row>
      <xdr:rowOff>74815</xdr:rowOff>
    </xdr:from>
    <xdr:to>
      <xdr:col>16</xdr:col>
      <xdr:colOff>58189</xdr:colOff>
      <xdr:row>26</xdr:row>
      <xdr:rowOff>83127</xdr:rowOff>
    </xdr:to>
    <xdr:sp macro="" textlink="">
      <xdr:nvSpPr>
        <xdr:cNvPr id="14468474" name="Line 11774">
          <a:extLst>
            <a:ext uri="{FF2B5EF4-FFF2-40B4-BE49-F238E27FC236}">
              <a16:creationId xmlns:a16="http://schemas.microsoft.com/office/drawing/2014/main" id="{00000000-0008-0000-0000-00007AC5DC00}"/>
            </a:ext>
          </a:extLst>
        </xdr:cNvPr>
        <xdr:cNvSpPr>
          <a:spLocks noChangeShapeType="1"/>
        </xdr:cNvSpPr>
      </xdr:nvSpPr>
      <xdr:spPr bwMode="auto">
        <a:xfrm flipH="1" flipV="1">
          <a:off x="3699164" y="6475615"/>
          <a:ext cx="5345083" cy="8312"/>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16</xdr:col>
      <xdr:colOff>49876</xdr:colOff>
      <xdr:row>20</xdr:row>
      <xdr:rowOff>133004</xdr:rowOff>
    </xdr:from>
    <xdr:to>
      <xdr:col>16</xdr:col>
      <xdr:colOff>49876</xdr:colOff>
      <xdr:row>26</xdr:row>
      <xdr:rowOff>74815</xdr:rowOff>
    </xdr:to>
    <xdr:sp macro="" textlink="">
      <xdr:nvSpPr>
        <xdr:cNvPr id="14468475" name="Line 11775">
          <a:extLst>
            <a:ext uri="{FF2B5EF4-FFF2-40B4-BE49-F238E27FC236}">
              <a16:creationId xmlns:a16="http://schemas.microsoft.com/office/drawing/2014/main" id="{00000000-0008-0000-0000-00007BC5DC00}"/>
            </a:ext>
          </a:extLst>
        </xdr:cNvPr>
        <xdr:cNvSpPr>
          <a:spLocks noChangeShapeType="1"/>
        </xdr:cNvSpPr>
      </xdr:nvSpPr>
      <xdr:spPr bwMode="auto">
        <a:xfrm>
          <a:off x="9035935" y="5104015"/>
          <a:ext cx="0" cy="1371600"/>
        </a:xfrm>
        <a:prstGeom prst="line">
          <a:avLst/>
        </a:prstGeom>
        <a:noFill/>
        <a:ln w="28575">
          <a:solidFill>
            <a:srgbClr val="9933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465513</xdr:colOff>
      <xdr:row>20</xdr:row>
      <xdr:rowOff>224444</xdr:rowOff>
    </xdr:from>
    <xdr:to>
      <xdr:col>15</xdr:col>
      <xdr:colOff>448887</xdr:colOff>
      <xdr:row>26</xdr:row>
      <xdr:rowOff>41564</xdr:rowOff>
    </xdr:to>
    <xdr:graphicFrame macro="">
      <xdr:nvGraphicFramePr>
        <xdr:cNvPr id="14468476" name="Chart 11777">
          <a:extLst>
            <a:ext uri="{FF2B5EF4-FFF2-40B4-BE49-F238E27FC236}">
              <a16:creationId xmlns:a16="http://schemas.microsoft.com/office/drawing/2014/main" id="{00000000-0008-0000-0000-00007CC5D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0</xdr:colOff>
      <xdr:row>38</xdr:row>
      <xdr:rowOff>0</xdr:rowOff>
    </xdr:from>
    <xdr:to>
      <xdr:col>15</xdr:col>
      <xdr:colOff>571500</xdr:colOff>
      <xdr:row>39</xdr:row>
      <xdr:rowOff>0</xdr:rowOff>
    </xdr:to>
    <xdr:sp macro="" textlink="">
      <xdr:nvSpPr>
        <xdr:cNvPr id="3004932" name="TextBox 43">
          <a:extLst>
            <a:ext uri="{FF2B5EF4-FFF2-40B4-BE49-F238E27FC236}">
              <a16:creationId xmlns:a16="http://schemas.microsoft.com/office/drawing/2014/main" id="{00000000-0008-0000-0000-000004DA2D00}"/>
            </a:ext>
          </a:extLst>
        </xdr:cNvPr>
        <xdr:cNvSpPr txBox="1">
          <a:spLocks noChangeArrowheads="1"/>
        </xdr:cNvSpPr>
      </xdr:nvSpPr>
      <xdr:spPr bwMode="auto">
        <a:xfrm>
          <a:off x="1752600" y="8905875"/>
          <a:ext cx="7134225" cy="238125"/>
        </a:xfrm>
        <a:prstGeom prst="rect">
          <a:avLst/>
        </a:prstGeom>
        <a:solidFill>
          <a:srgbClr val="D9D9D9"/>
        </a:solidFill>
        <a:ln w="9525">
          <a:solidFill>
            <a:srgbClr val="A6A6A6"/>
          </a:solidFill>
          <a:miter lim="800000"/>
          <a:headEnd/>
          <a:tailEnd/>
        </a:ln>
      </xdr:spPr>
      <xdr:txBody>
        <a:bodyPr vertOverflow="clip" wrap="square" lIns="45720" tIns="45720" rIns="45720" bIns="45720" anchor="ctr" upright="1"/>
        <a:lstStyle/>
        <a:p>
          <a:pPr algn="l" rtl="0">
            <a:defRPr sz="1000"/>
          </a:pPr>
          <a:r>
            <a:rPr lang="en-US" sz="1000" b="0" i="0" u="none" strike="noStrike" baseline="0">
              <a:solidFill>
                <a:srgbClr val="000000"/>
              </a:solidFill>
              <a:latin typeface="Arial"/>
              <a:cs typeface="Arial"/>
            </a:rPr>
            <a:t>          User Entry              Calculated Value              Summary Value              User Override              Warning              Error</a:t>
          </a:r>
        </a:p>
      </xdr:txBody>
    </xdr:sp>
    <xdr:clientData/>
  </xdr:twoCellAnchor>
  <xdr:twoCellAnchor>
    <xdr:from>
      <xdr:col>2</xdr:col>
      <xdr:colOff>180976</xdr:colOff>
      <xdr:row>38</xdr:row>
      <xdr:rowOff>28575</xdr:rowOff>
    </xdr:from>
    <xdr:to>
      <xdr:col>2</xdr:col>
      <xdr:colOff>363399</xdr:colOff>
      <xdr:row>38</xdr:row>
      <xdr:rowOff>202768</xdr:rowOff>
    </xdr:to>
    <xdr:sp macro="" textlink="">
      <xdr:nvSpPr>
        <xdr:cNvPr id="45" name="Rectangle 44">
          <a:extLst>
            <a:ext uri="{FF2B5EF4-FFF2-40B4-BE49-F238E27FC236}">
              <a16:creationId xmlns:a16="http://schemas.microsoft.com/office/drawing/2014/main" id="{00000000-0008-0000-0000-00002D000000}"/>
            </a:ext>
          </a:extLst>
        </xdr:cNvPr>
        <xdr:cNvSpPr/>
      </xdr:nvSpPr>
      <xdr:spPr>
        <a:xfrm>
          <a:off x="1933576" y="8934450"/>
          <a:ext cx="173736" cy="174193"/>
        </a:xfrm>
        <a:prstGeom prst="rect">
          <a:avLst/>
        </a:prstGeom>
        <a:solidFill>
          <a:schemeClr val="bg1"/>
        </a:solidFill>
        <a:ln w="952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14</xdr:col>
      <xdr:colOff>363162</xdr:colOff>
      <xdr:row>38</xdr:row>
      <xdr:rowOff>38100</xdr:rowOff>
    </xdr:from>
    <xdr:to>
      <xdr:col>14</xdr:col>
      <xdr:colOff>545585</xdr:colOff>
      <xdr:row>38</xdr:row>
      <xdr:rowOff>221208</xdr:rowOff>
    </xdr:to>
    <xdr:sp macro="" textlink="">
      <xdr:nvSpPr>
        <xdr:cNvPr id="46" name="Rectangle 45">
          <a:extLst>
            <a:ext uri="{FF2B5EF4-FFF2-40B4-BE49-F238E27FC236}">
              <a16:creationId xmlns:a16="http://schemas.microsoft.com/office/drawing/2014/main" id="{00000000-0008-0000-0000-00002E000000}"/>
            </a:ext>
          </a:extLst>
        </xdr:cNvPr>
        <xdr:cNvSpPr/>
      </xdr:nvSpPr>
      <xdr:spPr>
        <a:xfrm>
          <a:off x="8143875" y="8943975"/>
          <a:ext cx="173736" cy="174389"/>
        </a:xfrm>
        <a:prstGeom prst="rect">
          <a:avLst/>
        </a:prstGeom>
        <a:solidFill>
          <a:srgbClr val="FF0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12</xdr:col>
      <xdr:colOff>104774</xdr:colOff>
      <xdr:row>38</xdr:row>
      <xdr:rowOff>38099</xdr:rowOff>
    </xdr:from>
    <xdr:to>
      <xdr:col>12</xdr:col>
      <xdr:colOff>296762</xdr:colOff>
      <xdr:row>38</xdr:row>
      <xdr:rowOff>221207</xdr:rowOff>
    </xdr:to>
    <xdr:sp macro="" textlink="">
      <xdr:nvSpPr>
        <xdr:cNvPr id="47" name="Rectangle 46">
          <a:extLst>
            <a:ext uri="{FF2B5EF4-FFF2-40B4-BE49-F238E27FC236}">
              <a16:creationId xmlns:a16="http://schemas.microsoft.com/office/drawing/2014/main" id="{00000000-0008-0000-0000-00002F000000}"/>
            </a:ext>
          </a:extLst>
        </xdr:cNvPr>
        <xdr:cNvSpPr/>
      </xdr:nvSpPr>
      <xdr:spPr>
        <a:xfrm>
          <a:off x="7153274" y="8943974"/>
          <a:ext cx="173736" cy="174389"/>
        </a:xfrm>
        <a:prstGeom prst="rect">
          <a:avLst/>
        </a:prstGeom>
        <a:solidFill>
          <a:srgbClr val="FFC00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9</xdr:col>
      <xdr:colOff>457201</xdr:colOff>
      <xdr:row>38</xdr:row>
      <xdr:rowOff>38100</xdr:rowOff>
    </xdr:from>
    <xdr:to>
      <xdr:col>9</xdr:col>
      <xdr:colOff>631816</xdr:colOff>
      <xdr:row>38</xdr:row>
      <xdr:rowOff>218123</xdr:rowOff>
    </xdr:to>
    <xdr:sp macro="" textlink="">
      <xdr:nvSpPr>
        <xdr:cNvPr id="49" name="Rectangle 48">
          <a:extLst>
            <a:ext uri="{FF2B5EF4-FFF2-40B4-BE49-F238E27FC236}">
              <a16:creationId xmlns:a16="http://schemas.microsoft.com/office/drawing/2014/main" id="{00000000-0008-0000-0000-000031000000}"/>
            </a:ext>
          </a:extLst>
        </xdr:cNvPr>
        <xdr:cNvSpPr/>
      </xdr:nvSpPr>
      <xdr:spPr>
        <a:xfrm>
          <a:off x="5876926" y="8943975"/>
          <a:ext cx="174615" cy="171450"/>
        </a:xfrm>
        <a:prstGeom prst="rect">
          <a:avLst/>
        </a:prstGeom>
        <a:solidFill>
          <a:schemeClr val="tx2">
            <a:lumMod val="40000"/>
            <a:lumOff val="60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6</xdr:col>
      <xdr:colOff>723901</xdr:colOff>
      <xdr:row>38</xdr:row>
      <xdr:rowOff>38099</xdr:rowOff>
    </xdr:from>
    <xdr:to>
      <xdr:col>6</xdr:col>
      <xdr:colOff>889986</xdr:colOff>
      <xdr:row>38</xdr:row>
      <xdr:rowOff>221207</xdr:rowOff>
    </xdr:to>
    <xdr:sp macro="" textlink="">
      <xdr:nvSpPr>
        <xdr:cNvPr id="50" name="Rectangle 49">
          <a:extLst>
            <a:ext uri="{FF2B5EF4-FFF2-40B4-BE49-F238E27FC236}">
              <a16:creationId xmlns:a16="http://schemas.microsoft.com/office/drawing/2014/main" id="{00000000-0008-0000-0000-000032000000}"/>
            </a:ext>
          </a:extLst>
        </xdr:cNvPr>
        <xdr:cNvSpPr/>
      </xdr:nvSpPr>
      <xdr:spPr>
        <a:xfrm>
          <a:off x="4486276" y="8943974"/>
          <a:ext cx="174389" cy="174389"/>
        </a:xfrm>
        <a:prstGeom prst="rect">
          <a:avLst/>
        </a:prstGeom>
        <a:solidFill>
          <a:srgbClr val="92D050"/>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4</xdr:col>
      <xdr:colOff>266698</xdr:colOff>
      <xdr:row>38</xdr:row>
      <xdr:rowOff>38100</xdr:rowOff>
    </xdr:from>
    <xdr:to>
      <xdr:col>4</xdr:col>
      <xdr:colOff>440434</xdr:colOff>
      <xdr:row>38</xdr:row>
      <xdr:rowOff>218121</xdr:rowOff>
    </xdr:to>
    <xdr:sp macro="" textlink="">
      <xdr:nvSpPr>
        <xdr:cNvPr id="51" name="Rectangle 50">
          <a:extLst>
            <a:ext uri="{FF2B5EF4-FFF2-40B4-BE49-F238E27FC236}">
              <a16:creationId xmlns:a16="http://schemas.microsoft.com/office/drawing/2014/main" id="{00000000-0008-0000-0000-000033000000}"/>
            </a:ext>
          </a:extLst>
        </xdr:cNvPr>
        <xdr:cNvSpPr/>
      </xdr:nvSpPr>
      <xdr:spPr>
        <a:xfrm flipH="1">
          <a:off x="3028948" y="8943975"/>
          <a:ext cx="173736" cy="171449"/>
        </a:xfrm>
        <a:prstGeom prst="rect">
          <a:avLst/>
        </a:prstGeom>
        <a:solidFill>
          <a:schemeClr val="bg1">
            <a:lumMod val="65000"/>
          </a:schemeClr>
        </a:solidFill>
        <a:ln w="9525">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fr-CA"/>
        </a:p>
      </xdr:txBody>
    </xdr:sp>
    <xdr:clientData/>
  </xdr:twoCellAnchor>
  <xdr:twoCellAnchor>
    <xdr:from>
      <xdr:col>11</xdr:col>
      <xdr:colOff>157942</xdr:colOff>
      <xdr:row>25</xdr:row>
      <xdr:rowOff>66502</xdr:rowOff>
    </xdr:from>
    <xdr:to>
      <xdr:col>16</xdr:col>
      <xdr:colOff>16625</xdr:colOff>
      <xdr:row>25</xdr:row>
      <xdr:rowOff>66502</xdr:rowOff>
    </xdr:to>
    <xdr:sp macro="" textlink="">
      <xdr:nvSpPr>
        <xdr:cNvPr id="14468484" name="Line 10816">
          <a:extLst>
            <a:ext uri="{FF2B5EF4-FFF2-40B4-BE49-F238E27FC236}">
              <a16:creationId xmlns:a16="http://schemas.microsoft.com/office/drawing/2014/main" id="{00000000-0008-0000-0000-000084C5DC00}"/>
            </a:ext>
          </a:extLst>
        </xdr:cNvPr>
        <xdr:cNvSpPr>
          <a:spLocks noChangeShapeType="1"/>
        </xdr:cNvSpPr>
      </xdr:nvSpPr>
      <xdr:spPr bwMode="auto">
        <a:xfrm>
          <a:off x="6724996" y="6242858"/>
          <a:ext cx="2277688" cy="0"/>
        </a:xfrm>
        <a:prstGeom prst="line">
          <a:avLst/>
        </a:prstGeom>
        <a:noFill/>
        <a:ln w="3175">
          <a:solidFill>
            <a:srgbClr val="808080"/>
          </a:solidFill>
          <a:prstDash val="dashDot"/>
          <a:round/>
          <a:headEnd/>
          <a:tailEn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xdr:from>
          <xdr:col>13</xdr:col>
          <xdr:colOff>22860</xdr:colOff>
          <xdr:row>2</xdr:row>
          <xdr:rowOff>83820</xdr:rowOff>
        </xdr:from>
        <xdr:to>
          <xdr:col>15</xdr:col>
          <xdr:colOff>563880</xdr:colOff>
          <xdr:row>3</xdr:row>
          <xdr:rowOff>114300</xdr:rowOff>
        </xdr:to>
        <xdr:sp macro="" textlink="">
          <xdr:nvSpPr>
            <xdr:cNvPr id="3793" name="SetToggle" hidden="1">
              <a:extLst>
                <a:ext uri="{63B3BB69-23CF-44E3-9099-C40C66FF867C}">
                  <a14:compatExt spid="_x0000_s3793"/>
                </a:ext>
                <a:ext uri="{FF2B5EF4-FFF2-40B4-BE49-F238E27FC236}">
                  <a16:creationId xmlns:a16="http://schemas.microsoft.com/office/drawing/2014/main" id="{00000000-0008-0000-0000-0000D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4</xdr:col>
          <xdr:colOff>563880</xdr:colOff>
          <xdr:row>9</xdr:row>
          <xdr:rowOff>0</xdr:rowOff>
        </xdr:to>
        <xdr:sp macro="" textlink="">
          <xdr:nvSpPr>
            <xdr:cNvPr id="3681" name="Part" hidden="1">
              <a:extLst>
                <a:ext uri="{63B3BB69-23CF-44E3-9099-C40C66FF867C}">
                  <a14:compatExt spid="_x0000_s3681"/>
                </a:ext>
                <a:ext uri="{FF2B5EF4-FFF2-40B4-BE49-F238E27FC236}">
                  <a16:creationId xmlns:a16="http://schemas.microsoft.com/office/drawing/2014/main" id="{00000000-0008-0000-0000-000061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4</xdr:col>
          <xdr:colOff>525780</xdr:colOff>
          <xdr:row>9</xdr:row>
          <xdr:rowOff>243840</xdr:rowOff>
        </xdr:to>
        <xdr:sp macro="" textlink="">
          <xdr:nvSpPr>
            <xdr:cNvPr id="3682" name="Package" hidden="1">
              <a:extLst>
                <a:ext uri="{63B3BB69-23CF-44E3-9099-C40C66FF867C}">
                  <a14:compatExt spid="_x0000_s3682"/>
                </a:ext>
                <a:ext uri="{FF2B5EF4-FFF2-40B4-BE49-F238E27FC236}">
                  <a16:creationId xmlns:a16="http://schemas.microsoft.com/office/drawing/2014/main" id="{00000000-0008-0000-0000-000062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4</xdr:col>
          <xdr:colOff>563880</xdr:colOff>
          <xdr:row>12</xdr:row>
          <xdr:rowOff>0</xdr:rowOff>
        </xdr:to>
        <xdr:sp macro="" textlink="">
          <xdr:nvSpPr>
            <xdr:cNvPr id="3683" name="Grade" hidden="1">
              <a:extLst>
                <a:ext uri="{63B3BB69-23CF-44E3-9099-C40C66FF867C}">
                  <a14:compatExt spid="_x0000_s3683"/>
                </a:ext>
                <a:ext uri="{FF2B5EF4-FFF2-40B4-BE49-F238E27FC236}">
                  <a16:creationId xmlns:a16="http://schemas.microsoft.com/office/drawing/2014/main" id="{00000000-0008-0000-0000-000063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7620</xdr:rowOff>
        </xdr:from>
        <xdr:to>
          <xdr:col>4</xdr:col>
          <xdr:colOff>563880</xdr:colOff>
          <xdr:row>13</xdr:row>
          <xdr:rowOff>7620</xdr:rowOff>
        </xdr:to>
        <xdr:sp macro="" textlink="">
          <xdr:nvSpPr>
            <xdr:cNvPr id="3684" name="Process" hidden="1">
              <a:extLst>
                <a:ext uri="{63B3BB69-23CF-44E3-9099-C40C66FF867C}">
                  <a14:compatExt spid="_x0000_s3684"/>
                </a:ext>
                <a:ext uri="{FF2B5EF4-FFF2-40B4-BE49-F238E27FC236}">
                  <a16:creationId xmlns:a16="http://schemas.microsoft.com/office/drawing/2014/main" id="{00000000-0008-0000-0000-000064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7620</xdr:rowOff>
        </xdr:from>
        <xdr:to>
          <xdr:col>4</xdr:col>
          <xdr:colOff>563880</xdr:colOff>
          <xdr:row>14</xdr:row>
          <xdr:rowOff>7620</xdr:rowOff>
        </xdr:to>
        <xdr:sp macro="" textlink="">
          <xdr:nvSpPr>
            <xdr:cNvPr id="3830" name="PowerMode" hidden="1">
              <a:extLst>
                <a:ext uri="{63B3BB69-23CF-44E3-9099-C40C66FF867C}">
                  <a14:compatExt spid="_x0000_s3830"/>
                </a:ext>
                <a:ext uri="{FF2B5EF4-FFF2-40B4-BE49-F238E27FC236}">
                  <a16:creationId xmlns:a16="http://schemas.microsoft.com/office/drawing/2014/main" id="{00000000-0008-0000-0000-0000F60E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4</xdr:col>
          <xdr:colOff>525780</xdr:colOff>
          <xdr:row>10</xdr:row>
          <xdr:rowOff>243840</xdr:rowOff>
        </xdr:to>
        <xdr:sp macro="" textlink="">
          <xdr:nvSpPr>
            <xdr:cNvPr id="3994" name="Speed" hidden="1">
              <a:extLst>
                <a:ext uri="{63B3BB69-23CF-44E3-9099-C40C66FF867C}">
                  <a14:compatExt spid="_x0000_s3994"/>
                </a:ext>
                <a:ext uri="{FF2B5EF4-FFF2-40B4-BE49-F238E27FC236}">
                  <a16:creationId xmlns:a16="http://schemas.microsoft.com/office/drawing/2014/main" id="{00000000-0008-0000-0000-00009A0F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4</xdr:col>
          <xdr:colOff>563880</xdr:colOff>
          <xdr:row>8</xdr:row>
          <xdr:rowOff>0</xdr:rowOff>
        </xdr:to>
        <xdr:sp macro="" textlink="">
          <xdr:nvSpPr>
            <xdr:cNvPr id="40962" name="Family" hidden="1">
              <a:extLst>
                <a:ext uri="{63B3BB69-23CF-44E3-9099-C40C66FF867C}">
                  <a14:compatExt spid="_x0000_s40962"/>
                </a:ext>
                <a:ext uri="{FF2B5EF4-FFF2-40B4-BE49-F238E27FC236}">
                  <a16:creationId xmlns:a16="http://schemas.microsoft.com/office/drawing/2014/main" id="{00000000-0008-0000-0000-000002A00000}"/>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1">
                  <a:solidFill>
                    <a:srgbClr val="000000" mc:Ignorable="a14" a14:legacySpreadsheetColorIndex="64"/>
                  </a:solid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20</xdr:row>
          <xdr:rowOff>220980</xdr:rowOff>
        </xdr:from>
        <xdr:to>
          <xdr:col>4</xdr:col>
          <xdr:colOff>563880</xdr:colOff>
          <xdr:row>21</xdr:row>
          <xdr:rowOff>243840</xdr:rowOff>
        </xdr:to>
        <xdr:sp macro="" textlink="">
          <xdr:nvSpPr>
            <xdr:cNvPr id="40991" name="Heatsink" hidden="1">
              <a:extLst>
                <a:ext uri="{63B3BB69-23CF-44E3-9099-C40C66FF867C}">
                  <a14:compatExt spid="_x0000_s40991"/>
                </a:ext>
                <a:ext uri="{FF2B5EF4-FFF2-40B4-BE49-F238E27FC236}">
                  <a16:creationId xmlns:a16="http://schemas.microsoft.com/office/drawing/2014/main" id="{00000000-0008-0000-0000-00001FA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17</xdr:row>
          <xdr:rowOff>22860</xdr:rowOff>
        </xdr:from>
        <xdr:to>
          <xdr:col>4</xdr:col>
          <xdr:colOff>0</xdr:colOff>
          <xdr:row>17</xdr:row>
          <xdr:rowOff>228600</xdr:rowOff>
        </xdr:to>
        <xdr:sp macro="" textlink="">
          <xdr:nvSpPr>
            <xdr:cNvPr id="3004852" name="UserTJ" hidden="1">
              <a:extLst>
                <a:ext uri="{63B3BB69-23CF-44E3-9099-C40C66FF867C}">
                  <a14:compatExt spid="_x0000_s3004852"/>
                </a:ext>
                <a:ext uri="{FF2B5EF4-FFF2-40B4-BE49-F238E27FC236}">
                  <a16:creationId xmlns:a16="http://schemas.microsoft.com/office/drawing/2014/main" id="{00000000-0008-0000-0000-0000B4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22860</xdr:colOff>
          <xdr:row>19</xdr:row>
          <xdr:rowOff>22860</xdr:rowOff>
        </xdr:from>
        <xdr:to>
          <xdr:col>4</xdr:col>
          <xdr:colOff>0</xdr:colOff>
          <xdr:row>19</xdr:row>
          <xdr:rowOff>228600</xdr:rowOff>
        </xdr:to>
        <xdr:sp macro="" textlink="">
          <xdr:nvSpPr>
            <xdr:cNvPr id="3004853" name="UserTJA" hidden="1">
              <a:extLst>
                <a:ext uri="{63B3BB69-23CF-44E3-9099-C40C66FF867C}">
                  <a14:compatExt spid="_x0000_s3004853"/>
                </a:ext>
                <a:ext uri="{FF2B5EF4-FFF2-40B4-BE49-F238E27FC236}">
                  <a16:creationId xmlns:a16="http://schemas.microsoft.com/office/drawing/2014/main" id="{00000000-0008-0000-0000-0000B5D92D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9</xdr:row>
          <xdr:rowOff>15240</xdr:rowOff>
        </xdr:from>
        <xdr:to>
          <xdr:col>8</xdr:col>
          <xdr:colOff>449580</xdr:colOff>
          <xdr:row>10</xdr:row>
          <xdr:rowOff>15240</xdr:rowOff>
        </xdr:to>
        <xdr:sp macro="" textlink="">
          <xdr:nvSpPr>
            <xdr:cNvPr id="3004878" name="LOGIC" hidden="1">
              <a:extLst>
                <a:ext uri="{63B3BB69-23CF-44E3-9099-C40C66FF867C}">
                  <a14:compatExt spid="_x0000_s3004878"/>
                </a:ext>
                <a:ext uri="{FF2B5EF4-FFF2-40B4-BE49-F238E27FC236}">
                  <a16:creationId xmlns:a16="http://schemas.microsoft.com/office/drawing/2014/main" id="{00000000-0008-0000-0000-0000CE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10</xdr:row>
          <xdr:rowOff>15240</xdr:rowOff>
        </xdr:from>
        <xdr:to>
          <xdr:col>8</xdr:col>
          <xdr:colOff>449580</xdr:colOff>
          <xdr:row>11</xdr:row>
          <xdr:rowOff>15240</xdr:rowOff>
        </xdr:to>
        <xdr:sp macro="" textlink="">
          <xdr:nvSpPr>
            <xdr:cNvPr id="3004879" name="BRAM" hidden="1">
              <a:extLst>
                <a:ext uri="{63B3BB69-23CF-44E3-9099-C40C66FF867C}">
                  <a14:compatExt spid="_x0000_s3004879"/>
                </a:ext>
                <a:ext uri="{FF2B5EF4-FFF2-40B4-BE49-F238E27FC236}">
                  <a16:creationId xmlns:a16="http://schemas.microsoft.com/office/drawing/2014/main" id="{00000000-0008-0000-0000-0000CF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12</xdr:row>
          <xdr:rowOff>15240</xdr:rowOff>
        </xdr:from>
        <xdr:to>
          <xdr:col>8</xdr:col>
          <xdr:colOff>449580</xdr:colOff>
          <xdr:row>13</xdr:row>
          <xdr:rowOff>15240</xdr:rowOff>
        </xdr:to>
        <xdr:sp macro="" textlink="">
          <xdr:nvSpPr>
            <xdr:cNvPr id="3004880" name="DCM" hidden="1">
              <a:extLst>
                <a:ext uri="{63B3BB69-23CF-44E3-9099-C40C66FF867C}">
                  <a14:compatExt spid="_x0000_s3004880"/>
                </a:ext>
                <a:ext uri="{FF2B5EF4-FFF2-40B4-BE49-F238E27FC236}">
                  <a16:creationId xmlns:a16="http://schemas.microsoft.com/office/drawing/2014/main" id="{00000000-0008-0000-0000-0000D0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16</xdr:row>
          <xdr:rowOff>7620</xdr:rowOff>
        </xdr:from>
        <xdr:to>
          <xdr:col>8</xdr:col>
          <xdr:colOff>449580</xdr:colOff>
          <xdr:row>17</xdr:row>
          <xdr:rowOff>7620</xdr:rowOff>
        </xdr:to>
        <xdr:sp macro="" textlink="">
          <xdr:nvSpPr>
            <xdr:cNvPr id="3004881" name="IO" hidden="1">
              <a:extLst>
                <a:ext uri="{63B3BB69-23CF-44E3-9099-C40C66FF867C}">
                  <a14:compatExt spid="_x0000_s3004881"/>
                </a:ext>
                <a:ext uri="{FF2B5EF4-FFF2-40B4-BE49-F238E27FC236}">
                  <a16:creationId xmlns:a16="http://schemas.microsoft.com/office/drawing/2014/main" id="{00000000-0008-0000-0000-0000D1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11</xdr:row>
          <xdr:rowOff>15240</xdr:rowOff>
        </xdr:from>
        <xdr:to>
          <xdr:col>8</xdr:col>
          <xdr:colOff>449580</xdr:colOff>
          <xdr:row>12</xdr:row>
          <xdr:rowOff>15240</xdr:rowOff>
        </xdr:to>
        <xdr:sp macro="" textlink="">
          <xdr:nvSpPr>
            <xdr:cNvPr id="3004882" name="DSP" hidden="1">
              <a:extLst>
                <a:ext uri="{63B3BB69-23CF-44E3-9099-C40C66FF867C}">
                  <a14:compatExt spid="_x0000_s3004882"/>
                </a:ext>
                <a:ext uri="{FF2B5EF4-FFF2-40B4-BE49-F238E27FC236}">
                  <a16:creationId xmlns:a16="http://schemas.microsoft.com/office/drawing/2014/main" id="{00000000-0008-0000-0000-0000D2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8</xdr:row>
          <xdr:rowOff>15240</xdr:rowOff>
        </xdr:from>
        <xdr:to>
          <xdr:col>8</xdr:col>
          <xdr:colOff>449580</xdr:colOff>
          <xdr:row>9</xdr:row>
          <xdr:rowOff>15240</xdr:rowOff>
        </xdr:to>
        <xdr:sp macro="" textlink="">
          <xdr:nvSpPr>
            <xdr:cNvPr id="3004883" name="CLOCK" hidden="1">
              <a:extLst>
                <a:ext uri="{63B3BB69-23CF-44E3-9099-C40C66FF867C}">
                  <a14:compatExt spid="_x0000_s3004883"/>
                </a:ext>
                <a:ext uri="{FF2B5EF4-FFF2-40B4-BE49-F238E27FC236}">
                  <a16:creationId xmlns:a16="http://schemas.microsoft.com/office/drawing/2014/main" id="{00000000-0008-0000-0000-0000D3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17</xdr:row>
          <xdr:rowOff>7620</xdr:rowOff>
        </xdr:from>
        <xdr:to>
          <xdr:col>8</xdr:col>
          <xdr:colOff>449580</xdr:colOff>
          <xdr:row>18</xdr:row>
          <xdr:rowOff>7620</xdr:rowOff>
        </xdr:to>
        <xdr:sp macro="" textlink="">
          <xdr:nvSpPr>
            <xdr:cNvPr id="3004885" name="GT" hidden="1">
              <a:extLst>
                <a:ext uri="{63B3BB69-23CF-44E3-9099-C40C66FF867C}">
                  <a14:compatExt spid="_x0000_s3004885"/>
                </a:ext>
                <a:ext uri="{FF2B5EF4-FFF2-40B4-BE49-F238E27FC236}">
                  <a16:creationId xmlns:a16="http://schemas.microsoft.com/office/drawing/2014/main" id="{00000000-0008-0000-0000-0000D5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14</xdr:row>
          <xdr:rowOff>0</xdr:rowOff>
        </xdr:from>
        <xdr:to>
          <xdr:col>8</xdr:col>
          <xdr:colOff>449580</xdr:colOff>
          <xdr:row>15</xdr:row>
          <xdr:rowOff>0</xdr:rowOff>
        </xdr:to>
        <xdr:sp macro="" textlink="">
          <xdr:nvSpPr>
            <xdr:cNvPr id="3004886" name="PCIE" hidden="1">
              <a:extLst>
                <a:ext uri="{63B3BB69-23CF-44E3-9099-C40C66FF867C}">
                  <a14:compatExt spid="_x0000_s3004886"/>
                </a:ext>
                <a:ext uri="{FF2B5EF4-FFF2-40B4-BE49-F238E27FC236}">
                  <a16:creationId xmlns:a16="http://schemas.microsoft.com/office/drawing/2014/main" id="{00000000-0008-0000-0000-0000D6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15</xdr:row>
          <xdr:rowOff>0</xdr:rowOff>
        </xdr:from>
        <xdr:to>
          <xdr:col>8</xdr:col>
          <xdr:colOff>449580</xdr:colOff>
          <xdr:row>16</xdr:row>
          <xdr:rowOff>0</xdr:rowOff>
        </xdr:to>
        <xdr:sp macro="" textlink="">
          <xdr:nvSpPr>
            <xdr:cNvPr id="3004887" name="MCB" hidden="1">
              <a:extLst>
                <a:ext uri="{63B3BB69-23CF-44E3-9099-C40C66FF867C}">
                  <a14:compatExt spid="_x0000_s3004887"/>
                </a:ext>
                <a:ext uri="{FF2B5EF4-FFF2-40B4-BE49-F238E27FC236}">
                  <a16:creationId xmlns:a16="http://schemas.microsoft.com/office/drawing/2014/main" id="{00000000-0008-0000-0000-0000D7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13</xdr:row>
          <xdr:rowOff>7620</xdr:rowOff>
        </xdr:from>
        <xdr:to>
          <xdr:col>8</xdr:col>
          <xdr:colOff>449580</xdr:colOff>
          <xdr:row>14</xdr:row>
          <xdr:rowOff>7620</xdr:rowOff>
        </xdr:to>
        <xdr:sp macro="" textlink="">
          <xdr:nvSpPr>
            <xdr:cNvPr id="3004893" name="PLL" hidden="1">
              <a:extLst>
                <a:ext uri="{63B3BB69-23CF-44E3-9099-C40C66FF867C}">
                  <a14:compatExt spid="_x0000_s3004893"/>
                </a:ext>
                <a:ext uri="{FF2B5EF4-FFF2-40B4-BE49-F238E27FC236}">
                  <a16:creationId xmlns:a16="http://schemas.microsoft.com/office/drawing/2014/main" id="{00000000-0008-0000-0000-0000DDD92D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7620</xdr:colOff>
          <xdr:row>18</xdr:row>
          <xdr:rowOff>7620</xdr:rowOff>
        </xdr:from>
        <xdr:to>
          <xdr:col>8</xdr:col>
          <xdr:colOff>449580</xdr:colOff>
          <xdr:row>19</xdr:row>
          <xdr:rowOff>7620</xdr:rowOff>
        </xdr:to>
        <xdr:sp macro="" textlink="">
          <xdr:nvSpPr>
            <xdr:cNvPr id="6760063" name="CommandButton1" hidden="1">
              <a:extLst>
                <a:ext uri="{63B3BB69-23CF-44E3-9099-C40C66FF867C}">
                  <a14:compatExt spid="_x0000_s6760063"/>
                </a:ext>
                <a:ext uri="{FF2B5EF4-FFF2-40B4-BE49-F238E27FC236}">
                  <a16:creationId xmlns:a16="http://schemas.microsoft.com/office/drawing/2014/main" id="{00000000-0008-0000-0000-00007F2667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68580</xdr:colOff>
          <xdr:row>2</xdr:row>
          <xdr:rowOff>83820</xdr:rowOff>
        </xdr:from>
        <xdr:to>
          <xdr:col>11</xdr:col>
          <xdr:colOff>38100</xdr:colOff>
          <xdr:row>3</xdr:row>
          <xdr:rowOff>114300</xdr:rowOff>
        </xdr:to>
        <xdr:sp macro="" textlink="">
          <xdr:nvSpPr>
            <xdr:cNvPr id="3694" name="SetDefault" hidden="1">
              <a:extLst>
                <a:ext uri="{63B3BB69-23CF-44E3-9099-C40C66FF867C}">
                  <a14:compatExt spid="_x0000_s3694"/>
                </a:ext>
                <a:ext uri="{FF2B5EF4-FFF2-40B4-BE49-F238E27FC236}">
                  <a16:creationId xmlns:a16="http://schemas.microsoft.com/office/drawing/2014/main" id="{00000000-0008-0000-0000-00006E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7620</xdr:colOff>
          <xdr:row>2</xdr:row>
          <xdr:rowOff>83820</xdr:rowOff>
        </xdr:from>
        <xdr:to>
          <xdr:col>1</xdr:col>
          <xdr:colOff>1531620</xdr:colOff>
          <xdr:row>3</xdr:row>
          <xdr:rowOff>114300</xdr:rowOff>
        </xdr:to>
        <xdr:sp macro="" textlink="">
          <xdr:nvSpPr>
            <xdr:cNvPr id="3697" name="ImportXPEFileB" hidden="1">
              <a:extLst>
                <a:ext uri="{63B3BB69-23CF-44E3-9099-C40C66FF867C}">
                  <a14:compatExt spid="_x0000_s3697"/>
                </a:ext>
                <a:ext uri="{FF2B5EF4-FFF2-40B4-BE49-F238E27FC236}">
                  <a16:creationId xmlns:a16="http://schemas.microsoft.com/office/drawing/2014/main" id="{00000000-0008-0000-0000-000071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3</xdr:col>
          <xdr:colOff>259080</xdr:colOff>
          <xdr:row>2</xdr:row>
          <xdr:rowOff>83820</xdr:rowOff>
        </xdr:from>
        <xdr:to>
          <xdr:col>6</xdr:col>
          <xdr:colOff>449580</xdr:colOff>
          <xdr:row>3</xdr:row>
          <xdr:rowOff>114300</xdr:rowOff>
        </xdr:to>
        <xdr:sp macro="" textlink="">
          <xdr:nvSpPr>
            <xdr:cNvPr id="3696" name="ExportXPEFileB" hidden="1">
              <a:extLst>
                <a:ext uri="{63B3BB69-23CF-44E3-9099-C40C66FF867C}">
                  <a14:compatExt spid="_x0000_s3696"/>
                </a:ext>
                <a:ext uri="{FF2B5EF4-FFF2-40B4-BE49-F238E27FC236}">
                  <a16:creationId xmlns:a16="http://schemas.microsoft.com/office/drawing/2014/main" id="{00000000-0008-0000-0000-0000700E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510540</xdr:colOff>
          <xdr:row>0</xdr:row>
          <xdr:rowOff>312420</xdr:rowOff>
        </xdr:to>
        <xdr:sp macro="" textlink="">
          <xdr:nvSpPr>
            <xdr:cNvPr id="31751" name="Summary" hidden="1">
              <a:extLst>
                <a:ext uri="{63B3BB69-23CF-44E3-9099-C40C66FF867C}">
                  <a14:compatExt spid="_x0000_s31751"/>
                </a:ext>
                <a:ext uri="{FF2B5EF4-FFF2-40B4-BE49-F238E27FC236}">
                  <a16:creationId xmlns:a16="http://schemas.microsoft.com/office/drawing/2014/main" id="{00000000-0008-0000-0100-0000077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464820</xdr:colOff>
          <xdr:row>0</xdr:row>
          <xdr:rowOff>312420</xdr:rowOff>
        </xdr:to>
        <xdr:sp macro="" textlink="">
          <xdr:nvSpPr>
            <xdr:cNvPr id="4103" name="Summary" hidden="1">
              <a:extLst>
                <a:ext uri="{63B3BB69-23CF-44E3-9099-C40C66FF867C}">
                  <a14:compatExt spid="_x0000_s4103"/>
                </a:ext>
                <a:ext uri="{FF2B5EF4-FFF2-40B4-BE49-F238E27FC236}">
                  <a16:creationId xmlns:a16="http://schemas.microsoft.com/office/drawing/2014/main" id="{00000000-0008-0000-0200-0000071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8</xdr:col>
      <xdr:colOff>257695</xdr:colOff>
      <xdr:row>4</xdr:row>
      <xdr:rowOff>58189</xdr:rowOff>
    </xdr:from>
    <xdr:to>
      <xdr:col>8</xdr:col>
      <xdr:colOff>415636</xdr:colOff>
      <xdr:row>5</xdr:row>
      <xdr:rowOff>133004</xdr:rowOff>
    </xdr:to>
    <xdr:grpSp>
      <xdr:nvGrpSpPr>
        <xdr:cNvPr id="13959585" name="Group 9">
          <a:extLst>
            <a:ext uri="{FF2B5EF4-FFF2-40B4-BE49-F238E27FC236}">
              <a16:creationId xmlns:a16="http://schemas.microsoft.com/office/drawing/2014/main" id="{00000000-0008-0000-0300-0000A101D500}"/>
            </a:ext>
          </a:extLst>
        </xdr:cNvPr>
        <xdr:cNvGrpSpPr>
          <a:grpSpLocks/>
        </xdr:cNvGrpSpPr>
      </xdr:nvGrpSpPr>
      <xdr:grpSpPr bwMode="auto">
        <a:xfrm>
          <a:off x="4860175" y="1003069"/>
          <a:ext cx="157941" cy="288175"/>
          <a:chOff x="8905875" y="1019175"/>
          <a:chExt cx="152400" cy="295275"/>
        </a:xfrm>
      </xdr:grpSpPr>
      <xdr:cxnSp macro="">
        <xdr:nvCxnSpPr>
          <xdr:cNvPr id="3" name="Straight Arrow Connector 2">
            <a:extLst>
              <a:ext uri="{FF2B5EF4-FFF2-40B4-BE49-F238E27FC236}">
                <a16:creationId xmlns:a16="http://schemas.microsoft.com/office/drawing/2014/main" id="{00000000-0008-0000-0300-000003000000}"/>
              </a:ext>
            </a:extLst>
          </xdr:cNvPr>
          <xdr:cNvCxnSpPr/>
        </xdr:nvCxnSpPr>
        <xdr:spPr bwMode="auto">
          <a:xfrm flipV="1">
            <a:off x="8913895" y="1095103"/>
            <a:ext cx="136359" cy="0"/>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300-000004000000}"/>
              </a:ext>
            </a:extLst>
          </xdr:cNvPr>
          <xdr:cNvCxnSpPr/>
        </xdr:nvCxnSpPr>
        <xdr:spPr bwMode="auto">
          <a:xfrm rot="180000" flipV="1">
            <a:off x="8905875" y="1306014"/>
            <a:ext cx="152400" cy="8436"/>
          </a:xfrm>
          <a:prstGeom prst="straightConnector1">
            <a:avLst/>
          </a:prstGeom>
          <a:ln>
            <a:solidFill>
              <a:schemeClr val="bg1"/>
            </a:solidFill>
            <a:tailEnd type="triangle" w="sm" len="sm"/>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300-000005000000}"/>
              </a:ext>
            </a:extLst>
          </xdr:cNvPr>
          <xdr:cNvCxnSpPr/>
        </xdr:nvCxnSpPr>
        <xdr:spPr bwMode="auto">
          <a:xfrm rot="5400000">
            <a:off x="8762455" y="1162595"/>
            <a:ext cx="286839" cy="0"/>
          </a:xfrm>
          <a:prstGeom prst="line">
            <a:avLst/>
          </a:prstGeom>
          <a:ln>
            <a:solidFill>
              <a:schemeClr val="bg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23</xdr:col>
      <xdr:colOff>207818</xdr:colOff>
      <xdr:row>143</xdr:row>
      <xdr:rowOff>16625</xdr:rowOff>
    </xdr:from>
    <xdr:to>
      <xdr:col>29</xdr:col>
      <xdr:colOff>332509</xdr:colOff>
      <xdr:row>147</xdr:row>
      <xdr:rowOff>133004</xdr:rowOff>
    </xdr:to>
    <xdr:pic>
      <xdr:nvPicPr>
        <xdr:cNvPr id="13959586" name="Picture 16691">
          <a:extLst>
            <a:ext uri="{FF2B5EF4-FFF2-40B4-BE49-F238E27FC236}">
              <a16:creationId xmlns:a16="http://schemas.microsoft.com/office/drawing/2014/main" id="{00000000-0008-0000-0300-0000A201D5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657811" y="22477615"/>
          <a:ext cx="739833"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23</xdr:col>
      <xdr:colOff>58189</xdr:colOff>
      <xdr:row>129</xdr:row>
      <xdr:rowOff>216131</xdr:rowOff>
    </xdr:from>
    <xdr:to>
      <xdr:col>29</xdr:col>
      <xdr:colOff>590204</xdr:colOff>
      <xdr:row>134</xdr:row>
      <xdr:rowOff>157942</xdr:rowOff>
    </xdr:to>
    <xdr:pic>
      <xdr:nvPicPr>
        <xdr:cNvPr id="13959587" name="Picture 16692">
          <a:extLst>
            <a:ext uri="{FF2B5EF4-FFF2-40B4-BE49-F238E27FC236}">
              <a16:creationId xmlns:a16="http://schemas.microsoft.com/office/drawing/2014/main" id="{00000000-0008-0000-0300-0000A301D5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8182" y="22477615"/>
          <a:ext cx="1147156"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xdr:twoCellAnchor>
    <xdr:from>
      <xdr:col>17</xdr:col>
      <xdr:colOff>24938</xdr:colOff>
      <xdr:row>130</xdr:row>
      <xdr:rowOff>8313</xdr:rowOff>
    </xdr:from>
    <xdr:to>
      <xdr:col>22</xdr:col>
      <xdr:colOff>540327</xdr:colOff>
      <xdr:row>136</xdr:row>
      <xdr:rowOff>124691</xdr:rowOff>
    </xdr:to>
    <xdr:pic>
      <xdr:nvPicPr>
        <xdr:cNvPr id="13959588" name="Picture 16693">
          <a:extLst>
            <a:ext uri="{FF2B5EF4-FFF2-40B4-BE49-F238E27FC236}">
              <a16:creationId xmlns:a16="http://schemas.microsoft.com/office/drawing/2014/main" id="{00000000-0008-0000-0300-0000A401D5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0232967" y="22477615"/>
          <a:ext cx="3158837"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38100</xdr:colOff>
          <xdr:row>0</xdr:row>
          <xdr:rowOff>53340</xdr:rowOff>
        </xdr:from>
        <xdr:to>
          <xdr:col>2</xdr:col>
          <xdr:colOff>556260</xdr:colOff>
          <xdr:row>0</xdr:row>
          <xdr:rowOff>327660</xdr:rowOff>
        </xdr:to>
        <xdr:sp macro="" textlink="">
          <xdr:nvSpPr>
            <xdr:cNvPr id="34817" name="Summary" hidden="1">
              <a:extLst>
                <a:ext uri="{63B3BB69-23CF-44E3-9099-C40C66FF867C}">
                  <a14:compatExt spid="_x0000_s34817"/>
                </a:ext>
                <a:ext uri="{FF2B5EF4-FFF2-40B4-BE49-F238E27FC236}">
                  <a16:creationId xmlns:a16="http://schemas.microsoft.com/office/drawing/2014/main" id="{00000000-0008-0000-0300-0000018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175260</xdr:colOff>
          <xdr:row>11</xdr:row>
          <xdr:rowOff>175260</xdr:rowOff>
        </xdr:from>
        <xdr:to>
          <xdr:col>4</xdr:col>
          <xdr:colOff>586740</xdr:colOff>
          <xdr:row>12</xdr:row>
          <xdr:rowOff>198120</xdr:rowOff>
        </xdr:to>
        <xdr:sp macro="" textlink="">
          <xdr:nvSpPr>
            <xdr:cNvPr id="35178" name="TerminationCheckBox" hidden="1">
              <a:extLst>
                <a:ext uri="{63B3BB69-23CF-44E3-9099-C40C66FF867C}">
                  <a14:compatExt spid="_x0000_s35178"/>
                </a:ext>
                <a:ext uri="{FF2B5EF4-FFF2-40B4-BE49-F238E27FC236}">
                  <a16:creationId xmlns:a16="http://schemas.microsoft.com/office/drawing/2014/main" id="{00000000-0008-0000-0300-00006A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68580</xdr:colOff>
          <xdr:row>126</xdr:row>
          <xdr:rowOff>76200</xdr:rowOff>
        </xdr:from>
        <xdr:to>
          <xdr:col>2</xdr:col>
          <xdr:colOff>327660</xdr:colOff>
          <xdr:row>127</xdr:row>
          <xdr:rowOff>129540</xdr:rowOff>
        </xdr:to>
        <xdr:sp macro="" textlink="">
          <xdr:nvSpPr>
            <xdr:cNvPr id="35205" name="Add" hidden="1">
              <a:extLst>
                <a:ext uri="{63B3BB69-23CF-44E3-9099-C40C66FF867C}">
                  <a14:compatExt spid="_x0000_s35205"/>
                </a:ext>
                <a:ext uri="{FF2B5EF4-FFF2-40B4-BE49-F238E27FC236}">
                  <a16:creationId xmlns:a16="http://schemas.microsoft.com/office/drawing/2014/main" id="{00000000-0008-0000-0300-000085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350520</xdr:colOff>
          <xdr:row>126</xdr:row>
          <xdr:rowOff>76200</xdr:rowOff>
        </xdr:from>
        <xdr:to>
          <xdr:col>3</xdr:col>
          <xdr:colOff>586740</xdr:colOff>
          <xdr:row>127</xdr:row>
          <xdr:rowOff>129540</xdr:rowOff>
        </xdr:to>
        <xdr:sp macro="" textlink="">
          <xdr:nvSpPr>
            <xdr:cNvPr id="35206" name="Del" hidden="1">
              <a:extLst>
                <a:ext uri="{63B3BB69-23CF-44E3-9099-C40C66FF867C}">
                  <a14:compatExt spid="_x0000_s35206"/>
                </a:ext>
                <a:ext uri="{FF2B5EF4-FFF2-40B4-BE49-F238E27FC236}">
                  <a16:creationId xmlns:a16="http://schemas.microsoft.com/office/drawing/2014/main" id="{00000000-0008-0000-0300-000086890000}"/>
                </a:ext>
              </a:extLst>
            </xdr:cNvPr>
            <xdr:cNvSpPr/>
          </xdr:nvSpPr>
          <xdr:spPr bwMode="auto">
            <a:xfrm>
              <a:off x="0" y="0"/>
              <a:ext cx="0" cy="0"/>
            </a:xfrm>
            <a:prstGeom prst="rect">
              <a:avLst/>
            </a:prstGeom>
            <a:noFill/>
            <a:ln>
              <a:noFill/>
            </a:ln>
            <a:extLst>
              <a:ext uri="{91240B29-F687-4F45-9708-019B960494DF}">
                <a14:hiddenLine w="3175">
                  <a:noFill/>
                  <a:miter lim="800000"/>
                  <a:headEnd/>
                  <a:tailEnd/>
                </a14:hiddenLine>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464820</xdr:colOff>
          <xdr:row>0</xdr:row>
          <xdr:rowOff>312420</xdr:rowOff>
        </xdr:to>
        <xdr:sp macro="" textlink="">
          <xdr:nvSpPr>
            <xdr:cNvPr id="1158" name="Summary" hidden="1">
              <a:extLst>
                <a:ext uri="{63B3BB69-23CF-44E3-9099-C40C66FF867C}">
                  <a14:compatExt spid="_x0000_s1158"/>
                </a:ext>
                <a:ext uri="{FF2B5EF4-FFF2-40B4-BE49-F238E27FC236}">
                  <a16:creationId xmlns:a16="http://schemas.microsoft.com/office/drawing/2014/main" id="{00000000-0008-0000-0400-0000860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335280</xdr:colOff>
          <xdr:row>0</xdr:row>
          <xdr:rowOff>312420</xdr:rowOff>
        </xdr:to>
        <xdr:sp macro="" textlink="">
          <xdr:nvSpPr>
            <xdr:cNvPr id="35841" name="Summary" hidden="1">
              <a:extLst>
                <a:ext uri="{63B3BB69-23CF-44E3-9099-C40C66FF867C}">
                  <a14:compatExt spid="_x0000_s35841"/>
                </a:ext>
                <a:ext uri="{FF2B5EF4-FFF2-40B4-BE49-F238E27FC236}">
                  <a16:creationId xmlns:a16="http://schemas.microsoft.com/office/drawing/2014/main" id="{00000000-0008-0000-0500-0000018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60960</xdr:colOff>
          <xdr:row>0</xdr:row>
          <xdr:rowOff>38100</xdr:rowOff>
        </xdr:from>
        <xdr:to>
          <xdr:col>2</xdr:col>
          <xdr:colOff>373380</xdr:colOff>
          <xdr:row>0</xdr:row>
          <xdr:rowOff>312420</xdr:rowOff>
        </xdr:to>
        <xdr:sp macro="" textlink="">
          <xdr:nvSpPr>
            <xdr:cNvPr id="7171" name="Summary" hidden="1">
              <a:extLst>
                <a:ext uri="{63B3BB69-23CF-44E3-9099-C40C66FF867C}">
                  <a14:compatExt spid="_x0000_s7171"/>
                </a:ext>
                <a:ext uri="{FF2B5EF4-FFF2-40B4-BE49-F238E27FC236}">
                  <a16:creationId xmlns:a16="http://schemas.microsoft.com/office/drawing/2014/main" id="{00000000-0008-0000-0600-0000031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495300</xdr:colOff>
          <xdr:row>0</xdr:row>
          <xdr:rowOff>312420</xdr:rowOff>
        </xdr:to>
        <xdr:sp macro="" textlink="">
          <xdr:nvSpPr>
            <xdr:cNvPr id="9218" name="Summary" hidden="1">
              <a:extLst>
                <a:ext uri="{63B3BB69-23CF-44E3-9099-C40C66FF867C}">
                  <a14:compatExt spid="_x0000_s9218"/>
                </a:ext>
                <a:ext uri="{FF2B5EF4-FFF2-40B4-BE49-F238E27FC236}">
                  <a16:creationId xmlns:a16="http://schemas.microsoft.com/office/drawing/2014/main" id="{00000000-0008-0000-0700-000002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495300</xdr:colOff>
          <xdr:row>0</xdr:row>
          <xdr:rowOff>312420</xdr:rowOff>
        </xdr:to>
        <xdr:sp macro="" textlink="">
          <xdr:nvSpPr>
            <xdr:cNvPr id="36865" name="Summary" hidden="1">
              <a:extLst>
                <a:ext uri="{63B3BB69-23CF-44E3-9099-C40C66FF867C}">
                  <a14:compatExt spid="_x0000_s36865"/>
                </a:ext>
                <a:ext uri="{FF2B5EF4-FFF2-40B4-BE49-F238E27FC236}">
                  <a16:creationId xmlns:a16="http://schemas.microsoft.com/office/drawing/2014/main" id="{00000000-0008-0000-0800-0000019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5</xdr:col>
      <xdr:colOff>856211</xdr:colOff>
      <xdr:row>2</xdr:row>
      <xdr:rowOff>157942</xdr:rowOff>
    </xdr:from>
    <xdr:to>
      <xdr:col>10</xdr:col>
      <xdr:colOff>515389</xdr:colOff>
      <xdr:row>3</xdr:row>
      <xdr:rowOff>216131</xdr:rowOff>
    </xdr:to>
    <xdr:grpSp>
      <xdr:nvGrpSpPr>
        <xdr:cNvPr id="12884655" name="Group 22">
          <a:extLst>
            <a:ext uri="{FF2B5EF4-FFF2-40B4-BE49-F238E27FC236}">
              <a16:creationId xmlns:a16="http://schemas.microsoft.com/office/drawing/2014/main" id="{00000000-0008-0000-0900-0000AF9AC400}"/>
            </a:ext>
          </a:extLst>
        </xdr:cNvPr>
        <xdr:cNvGrpSpPr>
          <a:grpSpLocks/>
        </xdr:cNvGrpSpPr>
      </xdr:nvGrpSpPr>
      <xdr:grpSpPr bwMode="auto">
        <a:xfrm>
          <a:off x="4079471" y="676102"/>
          <a:ext cx="2851958" cy="271549"/>
          <a:chOff x="4048125" y="752476"/>
          <a:chExt cx="2277270" cy="250030"/>
        </a:xfrm>
      </xdr:grpSpPr>
      <xdr:cxnSp macro="">
        <xdr:nvCxnSpPr>
          <xdr:cNvPr id="3" name="Straight Arrow Connector 2">
            <a:extLst>
              <a:ext uri="{FF2B5EF4-FFF2-40B4-BE49-F238E27FC236}">
                <a16:creationId xmlns:a16="http://schemas.microsoft.com/office/drawing/2014/main" id="{00000000-0008-0000-0900-000003000000}"/>
              </a:ext>
            </a:extLst>
          </xdr:cNvPr>
          <xdr:cNvCxnSpPr/>
        </xdr:nvCxnSpPr>
        <xdr:spPr>
          <a:xfrm rot="5400000">
            <a:off x="3983005" y="930528"/>
            <a:ext cx="14395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4" name="Straight Arrow Connector 3">
            <a:extLst>
              <a:ext uri="{FF2B5EF4-FFF2-40B4-BE49-F238E27FC236}">
                <a16:creationId xmlns:a16="http://schemas.microsoft.com/office/drawing/2014/main" id="{00000000-0008-0000-0900-000004000000}"/>
              </a:ext>
            </a:extLst>
          </xdr:cNvPr>
          <xdr:cNvCxnSpPr/>
        </xdr:nvCxnSpPr>
        <xdr:spPr>
          <a:xfrm rot="5400000">
            <a:off x="6264782" y="941893"/>
            <a:ext cx="121227" cy="0"/>
          </a:xfrm>
          <a:prstGeom prst="straightConnector1">
            <a:avLst/>
          </a:prstGeom>
          <a:ln w="3175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5" name="Straight Connector 4">
            <a:extLst>
              <a:ext uri="{FF2B5EF4-FFF2-40B4-BE49-F238E27FC236}">
                <a16:creationId xmlns:a16="http://schemas.microsoft.com/office/drawing/2014/main" id="{00000000-0008-0000-0900-000005000000}"/>
              </a:ext>
            </a:extLst>
          </xdr:cNvPr>
          <xdr:cNvCxnSpPr/>
        </xdr:nvCxnSpPr>
        <xdr:spPr>
          <a:xfrm>
            <a:off x="4048125" y="866126"/>
            <a:ext cx="2277270"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6" name="Straight Connector 5">
            <a:extLst>
              <a:ext uri="{FF2B5EF4-FFF2-40B4-BE49-F238E27FC236}">
                <a16:creationId xmlns:a16="http://schemas.microsoft.com/office/drawing/2014/main" id="{00000000-0008-0000-0900-000006000000}"/>
              </a:ext>
            </a:extLst>
          </xdr:cNvPr>
          <xdr:cNvCxnSpPr/>
        </xdr:nvCxnSpPr>
        <xdr:spPr>
          <a:xfrm rot="5400000" flipH="1" flipV="1">
            <a:off x="5126864" y="805513"/>
            <a:ext cx="106073" cy="0"/>
          </a:xfrm>
          <a:prstGeom prst="line">
            <a:avLst/>
          </a:prstGeom>
          <a:ln w="31750">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266700</xdr:colOff>
          <xdr:row>0</xdr:row>
          <xdr:rowOff>312420</xdr:rowOff>
        </xdr:to>
        <xdr:sp macro="" textlink="">
          <xdr:nvSpPr>
            <xdr:cNvPr id="37889" name="Summary" hidden="1">
              <a:extLst>
                <a:ext uri="{63B3BB69-23CF-44E3-9099-C40C66FF867C}">
                  <a14:compatExt spid="_x0000_s37889"/>
                </a:ext>
                <a:ext uri="{FF2B5EF4-FFF2-40B4-BE49-F238E27FC236}">
                  <a16:creationId xmlns:a16="http://schemas.microsoft.com/office/drawing/2014/main" id="{00000000-0008-0000-0900-0000019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22860</xdr:colOff>
          <xdr:row>0</xdr:row>
          <xdr:rowOff>38100</xdr:rowOff>
        </xdr:from>
        <xdr:to>
          <xdr:col>2</xdr:col>
          <xdr:colOff>495300</xdr:colOff>
          <xdr:row>0</xdr:row>
          <xdr:rowOff>312420</xdr:rowOff>
        </xdr:to>
        <xdr:sp macro="" textlink="">
          <xdr:nvSpPr>
            <xdr:cNvPr id="38913" name="Summary" hidden="1">
              <a:extLst>
                <a:ext uri="{63B3BB69-23CF-44E3-9099-C40C66FF867C}">
                  <a14:compatExt spid="_x0000_s38913"/>
                </a:ext>
                <a:ext uri="{FF2B5EF4-FFF2-40B4-BE49-F238E27FC236}">
                  <a16:creationId xmlns:a16="http://schemas.microsoft.com/office/drawing/2014/main" id="{00000000-0008-0000-0A00-0000019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0</xdr:row>
          <xdr:rowOff>38100</xdr:rowOff>
        </xdr:from>
        <xdr:to>
          <xdr:col>2</xdr:col>
          <xdr:colOff>510540</xdr:colOff>
          <xdr:row>0</xdr:row>
          <xdr:rowOff>312420</xdr:rowOff>
        </xdr:to>
        <xdr:sp macro="" textlink="">
          <xdr:nvSpPr>
            <xdr:cNvPr id="39937" name="Summary" hidden="1">
              <a:extLst>
                <a:ext uri="{63B3BB69-23CF-44E3-9099-C40C66FF867C}">
                  <a14:compatExt spid="_x0000_s39937"/>
                </a:ext>
                <a:ext uri="{FF2B5EF4-FFF2-40B4-BE49-F238E27FC236}">
                  <a16:creationId xmlns:a16="http://schemas.microsoft.com/office/drawing/2014/main" id="{00000000-0008-0000-0B00-0000019C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3.xml><?xml version="1.0" encoding="utf-8"?>
<xdr:wsDr xmlns:xdr="http://schemas.openxmlformats.org/drawingml/2006/spreadsheetDrawing" xmlns:a="http://schemas.openxmlformats.org/drawingml/2006/main">
  <xdr:twoCellAnchor>
    <xdr:from>
      <xdr:col>23</xdr:col>
      <xdr:colOff>324196</xdr:colOff>
      <xdr:row>90</xdr:row>
      <xdr:rowOff>33251</xdr:rowOff>
    </xdr:from>
    <xdr:to>
      <xdr:col>37</xdr:col>
      <xdr:colOff>440575</xdr:colOff>
      <xdr:row>315</xdr:row>
      <xdr:rowOff>0</xdr:rowOff>
    </xdr:to>
    <xdr:graphicFrame macro="">
      <xdr:nvGraphicFramePr>
        <xdr:cNvPr id="12337527" name="Chart 1">
          <a:extLst>
            <a:ext uri="{FF2B5EF4-FFF2-40B4-BE49-F238E27FC236}">
              <a16:creationId xmlns:a16="http://schemas.microsoft.com/office/drawing/2014/main" id="{00000000-0008-0000-0C00-000077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124691</xdr:colOff>
      <xdr:row>332</xdr:row>
      <xdr:rowOff>58189</xdr:rowOff>
    </xdr:from>
    <xdr:to>
      <xdr:col>28</xdr:col>
      <xdr:colOff>307571</xdr:colOff>
      <xdr:row>353</xdr:row>
      <xdr:rowOff>16625</xdr:rowOff>
    </xdr:to>
    <xdr:graphicFrame macro="">
      <xdr:nvGraphicFramePr>
        <xdr:cNvPr id="12337528" name="Chart 12">
          <a:extLst>
            <a:ext uri="{FF2B5EF4-FFF2-40B4-BE49-F238E27FC236}">
              <a16:creationId xmlns:a16="http://schemas.microsoft.com/office/drawing/2014/main" id="{00000000-0008-0000-0C00-00007841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6</xdr:col>
      <xdr:colOff>216131</xdr:colOff>
      <xdr:row>144</xdr:row>
      <xdr:rowOff>133004</xdr:rowOff>
    </xdr:from>
    <xdr:to>
      <xdr:col>15</xdr:col>
      <xdr:colOff>0</xdr:colOff>
      <xdr:row>160</xdr:row>
      <xdr:rowOff>58189</xdr:rowOff>
    </xdr:to>
    <xdr:graphicFrame macro="">
      <xdr:nvGraphicFramePr>
        <xdr:cNvPr id="12380020" name="Chart 14">
          <a:extLst>
            <a:ext uri="{FF2B5EF4-FFF2-40B4-BE49-F238E27FC236}">
              <a16:creationId xmlns:a16="http://schemas.microsoft.com/office/drawing/2014/main" id="{00000000-0008-0000-0D00-000074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224444</xdr:colOff>
      <xdr:row>160</xdr:row>
      <xdr:rowOff>49876</xdr:rowOff>
    </xdr:from>
    <xdr:to>
      <xdr:col>15</xdr:col>
      <xdr:colOff>16625</xdr:colOff>
      <xdr:row>175</xdr:row>
      <xdr:rowOff>141316</xdr:rowOff>
    </xdr:to>
    <xdr:graphicFrame macro="">
      <xdr:nvGraphicFramePr>
        <xdr:cNvPr id="12380021" name="Chart 15">
          <a:extLst>
            <a:ext uri="{FF2B5EF4-FFF2-40B4-BE49-F238E27FC236}">
              <a16:creationId xmlns:a16="http://schemas.microsoft.com/office/drawing/2014/main" id="{00000000-0008-0000-0D00-000075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141316</xdr:colOff>
      <xdr:row>219</xdr:row>
      <xdr:rowOff>83127</xdr:rowOff>
    </xdr:from>
    <xdr:to>
      <xdr:col>22</xdr:col>
      <xdr:colOff>340822</xdr:colOff>
      <xdr:row>254</xdr:row>
      <xdr:rowOff>83127</xdr:rowOff>
    </xdr:to>
    <xdr:graphicFrame macro="">
      <xdr:nvGraphicFramePr>
        <xdr:cNvPr id="12380022" name="Chart 17">
          <a:extLst>
            <a:ext uri="{FF2B5EF4-FFF2-40B4-BE49-F238E27FC236}">
              <a16:creationId xmlns:a16="http://schemas.microsoft.com/office/drawing/2014/main" id="{00000000-0008-0000-0D00-000076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166255</xdr:colOff>
      <xdr:row>286</xdr:row>
      <xdr:rowOff>66502</xdr:rowOff>
    </xdr:from>
    <xdr:to>
      <xdr:col>26</xdr:col>
      <xdr:colOff>116378</xdr:colOff>
      <xdr:row>312</xdr:row>
      <xdr:rowOff>0</xdr:rowOff>
    </xdr:to>
    <xdr:graphicFrame macro="">
      <xdr:nvGraphicFramePr>
        <xdr:cNvPr id="12380023" name="Chart 20">
          <a:extLst>
            <a:ext uri="{FF2B5EF4-FFF2-40B4-BE49-F238E27FC236}">
              <a16:creationId xmlns:a16="http://schemas.microsoft.com/office/drawing/2014/main" id="{00000000-0008-0000-0D00-000077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166255</xdr:colOff>
      <xdr:row>263</xdr:row>
      <xdr:rowOff>16625</xdr:rowOff>
    </xdr:from>
    <xdr:to>
      <xdr:col>26</xdr:col>
      <xdr:colOff>124691</xdr:colOff>
      <xdr:row>286</xdr:row>
      <xdr:rowOff>58189</xdr:rowOff>
    </xdr:to>
    <xdr:graphicFrame macro="">
      <xdr:nvGraphicFramePr>
        <xdr:cNvPr id="12380024" name="Chart 21">
          <a:extLst>
            <a:ext uri="{FF2B5EF4-FFF2-40B4-BE49-F238E27FC236}">
              <a16:creationId xmlns:a16="http://schemas.microsoft.com/office/drawing/2014/main" id="{00000000-0008-0000-0D00-000078E7BC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8</xdr:col>
      <xdr:colOff>74815</xdr:colOff>
      <xdr:row>18</xdr:row>
      <xdr:rowOff>141316</xdr:rowOff>
    </xdr:from>
    <xdr:to>
      <xdr:col>15</xdr:col>
      <xdr:colOff>299258</xdr:colOff>
      <xdr:row>35</xdr:row>
      <xdr:rowOff>108065</xdr:rowOff>
    </xdr:to>
    <xdr:graphicFrame macro="">
      <xdr:nvGraphicFramePr>
        <xdr:cNvPr id="12423862" name="Chart 1">
          <a:extLst>
            <a:ext uri="{FF2B5EF4-FFF2-40B4-BE49-F238E27FC236}">
              <a16:creationId xmlns:a16="http://schemas.microsoft.com/office/drawing/2014/main" id="{00000000-0008-0000-0F00-0000B6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66502</xdr:colOff>
      <xdr:row>2</xdr:row>
      <xdr:rowOff>49876</xdr:rowOff>
    </xdr:from>
    <xdr:to>
      <xdr:col>15</xdr:col>
      <xdr:colOff>282633</xdr:colOff>
      <xdr:row>17</xdr:row>
      <xdr:rowOff>91440</xdr:rowOff>
    </xdr:to>
    <xdr:graphicFrame macro="">
      <xdr:nvGraphicFramePr>
        <xdr:cNvPr id="12423863" name="Chart 2">
          <a:extLst>
            <a:ext uri="{FF2B5EF4-FFF2-40B4-BE49-F238E27FC236}">
              <a16:creationId xmlns:a16="http://schemas.microsoft.com/office/drawing/2014/main" id="{00000000-0008-0000-0F00-0000B7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307571</xdr:colOff>
      <xdr:row>18</xdr:row>
      <xdr:rowOff>141316</xdr:rowOff>
    </xdr:from>
    <xdr:to>
      <xdr:col>7</xdr:col>
      <xdr:colOff>465513</xdr:colOff>
      <xdr:row>35</xdr:row>
      <xdr:rowOff>108065</xdr:rowOff>
    </xdr:to>
    <xdr:graphicFrame macro="">
      <xdr:nvGraphicFramePr>
        <xdr:cNvPr id="12423864" name="Chart 3">
          <a:extLst>
            <a:ext uri="{FF2B5EF4-FFF2-40B4-BE49-F238E27FC236}">
              <a16:creationId xmlns:a16="http://schemas.microsoft.com/office/drawing/2014/main" id="{00000000-0008-0000-0F00-0000B8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324196</xdr:colOff>
      <xdr:row>2</xdr:row>
      <xdr:rowOff>24938</xdr:rowOff>
    </xdr:from>
    <xdr:to>
      <xdr:col>7</xdr:col>
      <xdr:colOff>473825</xdr:colOff>
      <xdr:row>17</xdr:row>
      <xdr:rowOff>91440</xdr:rowOff>
    </xdr:to>
    <xdr:graphicFrame macro="">
      <xdr:nvGraphicFramePr>
        <xdr:cNvPr id="12423865" name="Chart 5">
          <a:extLst>
            <a:ext uri="{FF2B5EF4-FFF2-40B4-BE49-F238E27FC236}">
              <a16:creationId xmlns:a16="http://schemas.microsoft.com/office/drawing/2014/main" id="{00000000-0008-0000-0F00-0000B992BD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0</xdr:col>
          <xdr:colOff>38100</xdr:colOff>
          <xdr:row>0</xdr:row>
          <xdr:rowOff>30480</xdr:rowOff>
        </xdr:from>
        <xdr:to>
          <xdr:col>1</xdr:col>
          <xdr:colOff>533400</xdr:colOff>
          <xdr:row>1</xdr:row>
          <xdr:rowOff>137160</xdr:rowOff>
        </xdr:to>
        <xdr:sp macro="" textlink="">
          <xdr:nvSpPr>
            <xdr:cNvPr id="14340" name="CommandButton1" hidden="1">
              <a:extLst>
                <a:ext uri="{63B3BB69-23CF-44E3-9099-C40C66FF867C}">
                  <a14:compatExt spid="_x0000_s14340"/>
                </a:ext>
                <a:ext uri="{FF2B5EF4-FFF2-40B4-BE49-F238E27FC236}">
                  <a16:creationId xmlns:a16="http://schemas.microsoft.com/office/drawing/2014/main" id="{00000000-0008-0000-0F00-0000043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16.xml><?xml version="1.0" encoding="utf-8"?>
<c:userShapes xmlns:c="http://schemas.openxmlformats.org/drawingml/2006/chart">
  <cdr:relSizeAnchor xmlns:cdr="http://schemas.openxmlformats.org/drawingml/2006/chartDrawing">
    <cdr:from>
      <cdr:x>0.50856</cdr:x>
      <cdr:y>0.51921</cdr:y>
    </cdr:from>
    <cdr:to>
      <cdr:x>0.53719</cdr:x>
      <cdr:y>0.57836</cdr:y>
    </cdr:to>
    <cdr:sp macro="" textlink="">
      <cdr:nvSpPr>
        <cdr:cNvPr id="15361" name="Text Box 1"/>
        <cdr:cNvSpPr txBox="1">
          <a:spLocks xmlns:a="http://schemas.openxmlformats.org/drawingml/2006/main" noChangeArrowheads="1"/>
        </cdr:cNvSpPr>
      </cdr:nvSpPr>
      <cdr:spPr bwMode="auto">
        <a:xfrm xmlns:a="http://schemas.openxmlformats.org/drawingml/2006/main">
          <a:off x="2284079" y="1278463"/>
          <a:ext cx="128716" cy="151216"/>
        </a:xfrm>
        <a:prstGeom xmlns:a="http://schemas.openxmlformats.org/drawingml/2006/main" prst="rect">
          <a:avLst/>
        </a:prstGeom>
        <a:noFill xmlns:a="http://schemas.openxmlformats.org/drawingml/2006/main"/>
        <a:ln xmlns:a="http://schemas.openxmlformats.org/drawingml/2006/main" w="1">
          <a:noFill/>
          <a:miter lim="800000"/>
          <a:headEnd/>
          <a:tailEnd/>
        </a:ln>
        <a:effectLst xmlns:a="http://schemas.openxmlformats.org/drawingml/2006/main"/>
      </cdr:spPr>
      <cdr:txBody>
        <a:bodyPr xmlns:a="http://schemas.openxmlformats.org/drawingml/2006/main"/>
        <a:lstStyle xmlns:a="http://schemas.openxmlformats.org/drawingml/2006/main"/>
        <a:p xmlns:a="http://schemas.openxmlformats.org/drawingml/2006/main">
          <a:endParaRPr lang="fr-CA"/>
        </a:p>
      </cdr:txBody>
    </cdr:sp>
  </cdr:relSizeAnchor>
</c:userShapes>
</file>

<file path=xl/drawings/drawing1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0</xdr:row>
          <xdr:rowOff>38100</xdr:rowOff>
        </xdr:from>
        <xdr:to>
          <xdr:col>1</xdr:col>
          <xdr:colOff>342900</xdr:colOff>
          <xdr:row>0</xdr:row>
          <xdr:rowOff>312420</xdr:rowOff>
        </xdr:to>
        <xdr:sp macro="" textlink="">
          <xdr:nvSpPr>
            <xdr:cNvPr id="26625" name="Summary" hidden="1">
              <a:extLst>
                <a:ext uri="{63B3BB69-23CF-44E3-9099-C40C66FF867C}">
                  <a14:compatExt spid="_x0000_s26625"/>
                </a:ext>
                <a:ext uri="{FF2B5EF4-FFF2-40B4-BE49-F238E27FC236}">
                  <a16:creationId xmlns:a16="http://schemas.microsoft.com/office/drawing/2014/main" id="{00000000-0008-0000-1000-0000016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no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image" Target="../media/image1.emf"/><Relationship Id="rId18" Type="http://schemas.openxmlformats.org/officeDocument/2006/relationships/control" Target="../activeX/activeX4.xml"/><Relationship Id="rId26" Type="http://schemas.openxmlformats.org/officeDocument/2006/relationships/control" Target="../activeX/activeX8.xml"/><Relationship Id="rId39" Type="http://schemas.openxmlformats.org/officeDocument/2006/relationships/image" Target="../media/image14.emf"/><Relationship Id="rId21" Type="http://schemas.openxmlformats.org/officeDocument/2006/relationships/image" Target="../media/image5.emf"/><Relationship Id="rId34" Type="http://schemas.openxmlformats.org/officeDocument/2006/relationships/control" Target="../activeX/activeX12.xml"/><Relationship Id="rId42" Type="http://schemas.openxmlformats.org/officeDocument/2006/relationships/control" Target="../activeX/activeX16.xml"/><Relationship Id="rId47" Type="http://schemas.openxmlformats.org/officeDocument/2006/relationships/image" Target="../media/image18.emf"/><Relationship Id="rId50" Type="http://schemas.openxmlformats.org/officeDocument/2006/relationships/image" Target="../media/image19.emf"/><Relationship Id="rId55" Type="http://schemas.openxmlformats.org/officeDocument/2006/relationships/image" Target="../media/image21.emf"/><Relationship Id="rId7" Type="http://schemas.openxmlformats.org/officeDocument/2006/relationships/hyperlink" Target="http://www.xilinx.com/support/answers/34465.htm" TargetMode="External"/><Relationship Id="rId2" Type="http://schemas.openxmlformats.org/officeDocument/2006/relationships/hyperlink" Target="http://www.origin.xilinx.com/products/design_resources/power_central/ug440.pdf" TargetMode="External"/><Relationship Id="rId16" Type="http://schemas.openxmlformats.org/officeDocument/2006/relationships/control" Target="../activeX/activeX3.xml"/><Relationship Id="rId29" Type="http://schemas.openxmlformats.org/officeDocument/2006/relationships/image" Target="../media/image9.emf"/><Relationship Id="rId11" Type="http://schemas.openxmlformats.org/officeDocument/2006/relationships/vmlDrawing" Target="../drawings/vmlDrawing1.vml"/><Relationship Id="rId24" Type="http://schemas.openxmlformats.org/officeDocument/2006/relationships/control" Target="../activeX/activeX7.xml"/><Relationship Id="rId32" Type="http://schemas.openxmlformats.org/officeDocument/2006/relationships/control" Target="../activeX/activeX11.xml"/><Relationship Id="rId37" Type="http://schemas.openxmlformats.org/officeDocument/2006/relationships/image" Target="../media/image13.emf"/><Relationship Id="rId40" Type="http://schemas.openxmlformats.org/officeDocument/2006/relationships/control" Target="../activeX/activeX15.xml"/><Relationship Id="rId45" Type="http://schemas.openxmlformats.org/officeDocument/2006/relationships/image" Target="../media/image17.emf"/><Relationship Id="rId53" Type="http://schemas.openxmlformats.org/officeDocument/2006/relationships/control" Target="../activeX/activeX22.xml"/><Relationship Id="rId58" Type="http://schemas.openxmlformats.org/officeDocument/2006/relationships/control" Target="../activeX/activeX25.xml"/><Relationship Id="rId5" Type="http://schemas.openxmlformats.org/officeDocument/2006/relationships/hyperlink" Target="http://www.xilinx.com/support/documentation/white_papers/wp353.pdf" TargetMode="External"/><Relationship Id="rId19" Type="http://schemas.openxmlformats.org/officeDocument/2006/relationships/image" Target="../media/image4.emf"/><Relationship Id="rId4" Type="http://schemas.openxmlformats.org/officeDocument/2006/relationships/hyperlink" Target="http://www.xilinx.com/support/documentation/user_guides/ug440.pdf" TargetMode="External"/><Relationship Id="rId9" Type="http://schemas.openxmlformats.org/officeDocument/2006/relationships/printerSettings" Target="../printerSettings/printerSettings1.bin"/><Relationship Id="rId14" Type="http://schemas.openxmlformats.org/officeDocument/2006/relationships/control" Target="../activeX/activeX2.xml"/><Relationship Id="rId22" Type="http://schemas.openxmlformats.org/officeDocument/2006/relationships/control" Target="../activeX/activeX6.xml"/><Relationship Id="rId27" Type="http://schemas.openxmlformats.org/officeDocument/2006/relationships/image" Target="../media/image8.emf"/><Relationship Id="rId30" Type="http://schemas.openxmlformats.org/officeDocument/2006/relationships/control" Target="../activeX/activeX10.xml"/><Relationship Id="rId35" Type="http://schemas.openxmlformats.org/officeDocument/2006/relationships/image" Target="../media/image12.emf"/><Relationship Id="rId43" Type="http://schemas.openxmlformats.org/officeDocument/2006/relationships/image" Target="../media/image16.emf"/><Relationship Id="rId48" Type="http://schemas.openxmlformats.org/officeDocument/2006/relationships/control" Target="../activeX/activeX19.xml"/><Relationship Id="rId56" Type="http://schemas.openxmlformats.org/officeDocument/2006/relationships/control" Target="../activeX/activeX24.xml"/><Relationship Id="rId8" Type="http://schemas.openxmlformats.org/officeDocument/2006/relationships/hyperlink" Target="http://www.xilinx.com/products/technology/power/index.htm" TargetMode="External"/><Relationship Id="rId51" Type="http://schemas.openxmlformats.org/officeDocument/2006/relationships/control" Target="../activeX/activeX21.xml"/><Relationship Id="rId3" Type="http://schemas.openxmlformats.org/officeDocument/2006/relationships/hyperlink" Target="http://www.xilinx.com/support/clearexpress/websupport.htm" TargetMode="External"/><Relationship Id="rId12" Type="http://schemas.openxmlformats.org/officeDocument/2006/relationships/control" Target="../activeX/activeX1.xml"/><Relationship Id="rId17" Type="http://schemas.openxmlformats.org/officeDocument/2006/relationships/image" Target="../media/image3.emf"/><Relationship Id="rId25" Type="http://schemas.openxmlformats.org/officeDocument/2006/relationships/image" Target="../media/image7.emf"/><Relationship Id="rId33" Type="http://schemas.openxmlformats.org/officeDocument/2006/relationships/image" Target="../media/image11.emf"/><Relationship Id="rId38" Type="http://schemas.openxmlformats.org/officeDocument/2006/relationships/control" Target="../activeX/activeX14.xml"/><Relationship Id="rId46" Type="http://schemas.openxmlformats.org/officeDocument/2006/relationships/control" Target="../activeX/activeX18.xml"/><Relationship Id="rId59" Type="http://schemas.openxmlformats.org/officeDocument/2006/relationships/image" Target="../media/image23.emf"/><Relationship Id="rId20" Type="http://schemas.openxmlformats.org/officeDocument/2006/relationships/control" Target="../activeX/activeX5.xml"/><Relationship Id="rId41" Type="http://schemas.openxmlformats.org/officeDocument/2006/relationships/image" Target="../media/image15.emf"/><Relationship Id="rId54" Type="http://schemas.openxmlformats.org/officeDocument/2006/relationships/control" Target="../activeX/activeX23.xml"/><Relationship Id="rId1" Type="http://schemas.openxmlformats.org/officeDocument/2006/relationships/hyperlink" Target="http://www.origin.xilinx.com/products/design_resources/power_central/index.htm" TargetMode="External"/><Relationship Id="rId6" Type="http://schemas.openxmlformats.org/officeDocument/2006/relationships/hyperlink" Target="http://www.xilinx.com/cgi-bin/docs/rdoc?l=en;v=latest;d=ug440-xilinx-power-estimator.pdf" TargetMode="External"/><Relationship Id="rId15" Type="http://schemas.openxmlformats.org/officeDocument/2006/relationships/image" Target="../media/image2.emf"/><Relationship Id="rId23" Type="http://schemas.openxmlformats.org/officeDocument/2006/relationships/image" Target="../media/image6.emf"/><Relationship Id="rId28" Type="http://schemas.openxmlformats.org/officeDocument/2006/relationships/control" Target="../activeX/activeX9.xml"/><Relationship Id="rId36" Type="http://schemas.openxmlformats.org/officeDocument/2006/relationships/control" Target="../activeX/activeX13.xml"/><Relationship Id="rId49" Type="http://schemas.openxmlformats.org/officeDocument/2006/relationships/control" Target="../activeX/activeX20.xml"/><Relationship Id="rId57" Type="http://schemas.openxmlformats.org/officeDocument/2006/relationships/image" Target="../media/image22.emf"/><Relationship Id="rId10" Type="http://schemas.openxmlformats.org/officeDocument/2006/relationships/drawing" Target="../drawings/drawing1.xml"/><Relationship Id="rId31" Type="http://schemas.openxmlformats.org/officeDocument/2006/relationships/image" Target="../media/image10.emf"/><Relationship Id="rId44" Type="http://schemas.openxmlformats.org/officeDocument/2006/relationships/control" Target="../activeX/activeX17.xml"/><Relationship Id="rId52" Type="http://schemas.openxmlformats.org/officeDocument/2006/relationships/image" Target="../media/image20.emf"/><Relationship Id="rId6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image" Target="../media/image26.emf"/><Relationship Id="rId4" Type="http://schemas.openxmlformats.org/officeDocument/2006/relationships/control" Target="../activeX/activeX26.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image" Target="../media/image27.emf"/><Relationship Id="rId4" Type="http://schemas.openxmlformats.org/officeDocument/2006/relationships/control" Target="../activeX/activeX27.xml"/></Relationships>
</file>

<file path=xl/worksheets/_rels/sheet4.xml.rels><?xml version="1.0" encoding="UTF-8" standalone="yes"?>
<Relationships xmlns="http://schemas.openxmlformats.org/package/2006/relationships"><Relationship Id="rId8" Type="http://schemas.openxmlformats.org/officeDocument/2006/relationships/control" Target="../activeX/activeX29.xml"/><Relationship Id="rId13" Type="http://schemas.openxmlformats.org/officeDocument/2006/relationships/image" Target="../media/image31.emf"/><Relationship Id="rId3" Type="http://schemas.openxmlformats.org/officeDocument/2006/relationships/printerSettings" Target="../printerSettings/printerSettings4.bin"/><Relationship Id="rId7" Type="http://schemas.openxmlformats.org/officeDocument/2006/relationships/image" Target="../media/image28.emf"/><Relationship Id="rId12" Type="http://schemas.openxmlformats.org/officeDocument/2006/relationships/control" Target="../activeX/activeX31.xml"/><Relationship Id="rId2" Type="http://schemas.openxmlformats.org/officeDocument/2006/relationships/hyperlink" Target="http://www.xilinx.com/support/documentation/user_guides/ug331.pdf" TargetMode="External"/><Relationship Id="rId1" Type="http://schemas.openxmlformats.org/officeDocument/2006/relationships/hyperlink" Target="http://www.xilinx.com/support/documentation/user_guides/ug381.pdf" TargetMode="External"/><Relationship Id="rId6" Type="http://schemas.openxmlformats.org/officeDocument/2006/relationships/control" Target="../activeX/activeX28.xml"/><Relationship Id="rId11" Type="http://schemas.openxmlformats.org/officeDocument/2006/relationships/image" Target="../media/image30.emf"/><Relationship Id="rId5" Type="http://schemas.openxmlformats.org/officeDocument/2006/relationships/vmlDrawing" Target="../drawings/vmlDrawing4.vml"/><Relationship Id="rId10" Type="http://schemas.openxmlformats.org/officeDocument/2006/relationships/control" Target="../activeX/activeX30.xml"/><Relationship Id="rId4" Type="http://schemas.openxmlformats.org/officeDocument/2006/relationships/drawing" Target="../drawings/drawing4.xml"/><Relationship Id="rId9" Type="http://schemas.openxmlformats.org/officeDocument/2006/relationships/image" Target="../media/image29.emf"/><Relationship Id="rId1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6" Type="http://schemas.openxmlformats.org/officeDocument/2006/relationships/comments" Target="../comments5.xml"/><Relationship Id="rId5" Type="http://schemas.openxmlformats.org/officeDocument/2006/relationships/image" Target="../media/image35.emf"/><Relationship Id="rId4" Type="http://schemas.openxmlformats.org/officeDocument/2006/relationships/control" Target="../activeX/activeX3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6" Type="http://schemas.openxmlformats.org/officeDocument/2006/relationships/comments" Target="../comments6.xml"/><Relationship Id="rId5" Type="http://schemas.openxmlformats.org/officeDocument/2006/relationships/image" Target="../media/image36.emf"/><Relationship Id="rId4" Type="http://schemas.openxmlformats.org/officeDocument/2006/relationships/control" Target="../activeX/activeX33.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6" Type="http://schemas.openxmlformats.org/officeDocument/2006/relationships/comments" Target="../comments7.xml"/><Relationship Id="rId5" Type="http://schemas.openxmlformats.org/officeDocument/2006/relationships/image" Target="../media/image37.emf"/><Relationship Id="rId4" Type="http://schemas.openxmlformats.org/officeDocument/2006/relationships/control" Target="../activeX/activeX34.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6" Type="http://schemas.openxmlformats.org/officeDocument/2006/relationships/comments" Target="../comments8.xml"/><Relationship Id="rId5" Type="http://schemas.openxmlformats.org/officeDocument/2006/relationships/image" Target="../media/image38.emf"/><Relationship Id="rId4" Type="http://schemas.openxmlformats.org/officeDocument/2006/relationships/control" Target="../activeX/activeX3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6" Type="http://schemas.openxmlformats.org/officeDocument/2006/relationships/comments" Target="../comments9.xml"/><Relationship Id="rId5" Type="http://schemas.openxmlformats.org/officeDocument/2006/relationships/image" Target="../media/image39.emf"/><Relationship Id="rId4" Type="http://schemas.openxmlformats.org/officeDocument/2006/relationships/control" Target="../activeX/activeX36.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7" Type="http://schemas.openxmlformats.org/officeDocument/2006/relationships/comments" Target="../comments10.xml"/><Relationship Id="rId2" Type="http://schemas.openxmlformats.org/officeDocument/2006/relationships/printerSettings" Target="../printerSettings/printerSettings10.bin"/><Relationship Id="rId1" Type="http://schemas.openxmlformats.org/officeDocument/2006/relationships/hyperlink" Target="http://www.xilinx.com/support/documentation/user_guides/ug386.pdf" TargetMode="External"/><Relationship Id="rId6" Type="http://schemas.openxmlformats.org/officeDocument/2006/relationships/image" Target="../media/image40.emf"/><Relationship Id="rId5" Type="http://schemas.openxmlformats.org/officeDocument/2006/relationships/control" Target="../activeX/activeX37.xml"/><Relationship Id="rId4"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6" Type="http://schemas.openxmlformats.org/officeDocument/2006/relationships/comments" Target="../comments11.xml"/><Relationship Id="rId5" Type="http://schemas.openxmlformats.org/officeDocument/2006/relationships/image" Target="../media/image41.emf"/><Relationship Id="rId4" Type="http://schemas.openxmlformats.org/officeDocument/2006/relationships/control" Target="../activeX/activeX3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6" Type="http://schemas.openxmlformats.org/officeDocument/2006/relationships/comments" Target="../comments12.xml"/><Relationship Id="rId5" Type="http://schemas.openxmlformats.org/officeDocument/2006/relationships/image" Target="../media/image42.emf"/><Relationship Id="rId4" Type="http://schemas.openxmlformats.org/officeDocument/2006/relationships/control" Target="../activeX/activeX39.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printerSettings" Target="../printerSettings/printerSettings16.bin"/><Relationship Id="rId5" Type="http://schemas.openxmlformats.org/officeDocument/2006/relationships/image" Target="../media/image43.emf"/><Relationship Id="rId4" Type="http://schemas.openxmlformats.org/officeDocument/2006/relationships/control" Target="../activeX/activeX40.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printerSettings" Target="../printerSettings/printerSettings17.bin"/><Relationship Id="rId5" Type="http://schemas.openxmlformats.org/officeDocument/2006/relationships/image" Target="../media/image44.emf"/><Relationship Id="rId4" Type="http://schemas.openxmlformats.org/officeDocument/2006/relationships/control" Target="../activeX/activeX4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AT250"/>
  <sheetViews>
    <sheetView workbookViewId="0">
      <selection activeCell="P10" sqref="P10"/>
    </sheetView>
  </sheetViews>
  <sheetFormatPr baseColWidth="10" defaultColWidth="9" defaultRowHeight="13.2" x14ac:dyDescent="0.25"/>
  <cols>
    <col min="1" max="1" width="2.77734375" customWidth="1"/>
    <col min="2" max="2" width="23.6640625" customWidth="1"/>
    <col min="3" max="3" width="8.77734375" customWidth="1"/>
    <col min="4" max="4" width="5.77734375" customWidth="1"/>
    <col min="5" max="5" width="8.77734375" customWidth="1"/>
    <col min="6" max="6" width="7.21875" customWidth="1"/>
    <col min="7" max="7" width="14.21875" customWidth="1"/>
    <col min="8" max="8" width="4.21875" customWidth="1"/>
    <col min="9" max="9" width="6.6640625" customWidth="1"/>
    <col min="10" max="10" width="9.6640625" customWidth="1"/>
    <col min="11" max="11" width="7.109375" customWidth="1"/>
    <col min="12" max="12" width="7.21875" customWidth="1"/>
    <col min="13" max="13" width="5.77734375" customWidth="1"/>
    <col min="14" max="14" width="5.33203125" customWidth="1"/>
    <col min="15" max="15" width="9.21875" customWidth="1"/>
    <col min="16" max="16" width="8.77734375" customWidth="1"/>
    <col min="17" max="41" width="8.77734375" style="23" customWidth="1"/>
    <col min="42" max="42" width="8.77734375" style="27" customWidth="1"/>
    <col min="43" max="43" width="6.77734375" customWidth="1"/>
  </cols>
  <sheetData>
    <row r="1" spans="1:46" ht="19.5" customHeight="1" x14ac:dyDescent="0.25">
      <c r="A1" s="247"/>
      <c r="B1" s="610"/>
      <c r="C1" s="246"/>
      <c r="D1" s="246"/>
      <c r="E1" s="615" t="str">
        <f>"Xilinx Power Estimator (XPE) - " &amp; VERSION</f>
        <v>Xilinx Power Estimator (XPE) - 14.3</v>
      </c>
      <c r="F1" s="615"/>
      <c r="G1" s="615"/>
      <c r="H1" s="615"/>
      <c r="I1" s="615"/>
      <c r="J1" s="615"/>
      <c r="K1" s="615"/>
      <c r="L1" s="615"/>
      <c r="M1" s="25"/>
      <c r="N1" s="25"/>
      <c r="O1" s="25"/>
      <c r="P1" s="328"/>
      <c r="Q1" s="332"/>
      <c r="R1" s="332"/>
      <c r="S1" s="332">
        <f>VCCINT/1.2</f>
        <v>1</v>
      </c>
      <c r="T1" s="333">
        <f ca="1">$L60</f>
        <v>6.8451844300507422E-3</v>
      </c>
      <c r="U1" s="334">
        <v>125</v>
      </c>
      <c r="V1" s="333">
        <f>IF(RIGHT(PART,1)="N",1,0)</f>
        <v>0</v>
      </c>
      <c r="W1" s="335" t="s">
        <v>648</v>
      </c>
      <c r="X1" s="335" t="s">
        <v>649</v>
      </c>
      <c r="Y1" s="335" t="s">
        <v>56</v>
      </c>
      <c r="Z1" s="335" t="s">
        <v>57</v>
      </c>
      <c r="AA1" s="335" t="s">
        <v>58</v>
      </c>
      <c r="AB1" s="335" t="s">
        <v>59</v>
      </c>
      <c r="AC1" s="308" t="s">
        <v>219</v>
      </c>
      <c r="AD1" s="308" t="s">
        <v>61</v>
      </c>
      <c r="AE1" s="308" t="s">
        <v>60</v>
      </c>
      <c r="AF1" s="308" t="s">
        <v>220</v>
      </c>
      <c r="AG1" s="308" t="s">
        <v>39</v>
      </c>
      <c r="AH1" s="308" t="s">
        <v>62</v>
      </c>
      <c r="AI1" s="308" t="s">
        <v>558</v>
      </c>
      <c r="AJ1" s="308" t="s">
        <v>83</v>
      </c>
      <c r="AK1" s="308" t="s">
        <v>71</v>
      </c>
      <c r="AL1" s="308" t="s">
        <v>84</v>
      </c>
      <c r="AM1" s="309" t="s">
        <v>85</v>
      </c>
      <c r="AN1" s="308" t="s">
        <v>86</v>
      </c>
      <c r="AO1" s="308" t="s">
        <v>87</v>
      </c>
      <c r="AP1" s="308" t="s">
        <v>88</v>
      </c>
      <c r="AQ1" s="308" t="s">
        <v>89</v>
      </c>
      <c r="AR1" s="136"/>
      <c r="AS1" s="24"/>
      <c r="AT1" s="10"/>
    </row>
    <row r="2" spans="1:46" ht="19.5" customHeight="1" x14ac:dyDescent="0.25">
      <c r="A2" s="248"/>
      <c r="B2" s="611"/>
      <c r="C2" s="43"/>
      <c r="D2" s="43"/>
      <c r="E2" s="612" t="s">
        <v>811</v>
      </c>
      <c r="F2" s="612"/>
      <c r="G2" s="612"/>
      <c r="H2" s="612"/>
      <c r="I2" s="612"/>
      <c r="J2" s="612"/>
      <c r="K2" s="612"/>
      <c r="L2" s="612"/>
      <c r="M2" s="605"/>
      <c r="N2" s="606"/>
      <c r="O2" s="330" t="str">
        <f>"Release: " &amp; TEXT(RELEASE_DATE,"d-mmm-yyyy")</f>
        <v>Release: 16-Oct-2012</v>
      </c>
      <c r="P2" s="327"/>
      <c r="Q2" s="336"/>
      <c r="R2" s="336"/>
      <c r="S2" s="336">
        <v>1</v>
      </c>
      <c r="T2" s="334">
        <v>3.5999999999999997E-2</v>
      </c>
      <c r="U2" s="337">
        <v>1</v>
      </c>
      <c r="V2" s="334">
        <v>-8.0000000000000002E-3</v>
      </c>
      <c r="W2" s="334">
        <v>24</v>
      </c>
      <c r="X2" s="334">
        <v>28</v>
      </c>
      <c r="Y2" s="334">
        <v>63288</v>
      </c>
      <c r="Z2" s="334">
        <v>126576</v>
      </c>
      <c r="AA2" s="334">
        <v>268</v>
      </c>
      <c r="AB2" s="334">
        <v>12</v>
      </c>
      <c r="AC2" s="174">
        <v>6</v>
      </c>
      <c r="AD2" s="174">
        <v>180</v>
      </c>
      <c r="AE2" s="174">
        <v>0</v>
      </c>
      <c r="AF2" s="174">
        <v>0</v>
      </c>
      <c r="AG2" s="174">
        <v>0</v>
      </c>
      <c r="AH2" s="174">
        <v>0</v>
      </c>
      <c r="AI2" s="174">
        <v>4</v>
      </c>
      <c r="AJ2" s="174">
        <v>480</v>
      </c>
      <c r="AK2" s="174">
        <v>4</v>
      </c>
      <c r="AL2" s="310">
        <v>15</v>
      </c>
      <c r="AM2" s="174">
        <v>6.6</v>
      </c>
      <c r="AN2" s="174">
        <v>4</v>
      </c>
      <c r="AO2" s="174">
        <v>11</v>
      </c>
      <c r="AP2" s="174">
        <v>9.6</v>
      </c>
      <c r="AQ2" s="174">
        <v>9.1</v>
      </c>
      <c r="AR2" s="136"/>
      <c r="AS2" s="24"/>
      <c r="AT2" s="10"/>
    </row>
    <row r="3" spans="1:46" ht="19.5" customHeight="1" x14ac:dyDescent="0.25">
      <c r="A3" s="248"/>
      <c r="B3" s="250"/>
      <c r="C3" s="250"/>
      <c r="D3" s="250"/>
      <c r="E3" s="251"/>
      <c r="F3" s="251"/>
      <c r="G3" s="252"/>
      <c r="H3" s="252"/>
      <c r="I3" s="252"/>
      <c r="J3" s="252"/>
      <c r="K3" s="252"/>
      <c r="L3" s="252"/>
      <c r="M3" s="252"/>
      <c r="N3" s="252"/>
      <c r="O3" s="253"/>
      <c r="P3" s="253"/>
      <c r="Q3" s="334"/>
      <c r="R3" s="334"/>
      <c r="S3" s="334">
        <v>1</v>
      </c>
      <c r="T3" s="333">
        <f ca="1">$N60</f>
        <v>9.7683096881530079E-3</v>
      </c>
      <c r="U3" s="337">
        <v>1.1080000000000001</v>
      </c>
      <c r="V3" s="337">
        <v>0</v>
      </c>
      <c r="W3" s="334"/>
      <c r="X3" s="334"/>
      <c r="Y3" s="334"/>
      <c r="Z3" s="334"/>
      <c r="AA3" s="334"/>
      <c r="AB3" s="334"/>
      <c r="AC3" s="174"/>
      <c r="AD3" s="174"/>
      <c r="AE3" s="174"/>
      <c r="AF3" s="174"/>
      <c r="AG3" s="174"/>
      <c r="AH3" s="174"/>
      <c r="AI3" s="174"/>
      <c r="AJ3" s="310"/>
      <c r="AK3" s="174"/>
      <c r="AL3" s="174"/>
      <c r="AM3" s="174"/>
      <c r="AN3" s="174"/>
      <c r="AO3" s="174"/>
      <c r="AP3" s="136"/>
      <c r="AQ3" s="174"/>
      <c r="AR3" s="173"/>
    </row>
    <row r="4" spans="1:46" ht="18.899999999999999" customHeight="1" x14ac:dyDescent="0.25">
      <c r="A4" s="248"/>
      <c r="B4" s="250"/>
      <c r="C4" s="250"/>
      <c r="D4" s="250"/>
      <c r="E4" s="250"/>
      <c r="F4" s="250"/>
      <c r="G4" s="253"/>
      <c r="H4" s="253"/>
      <c r="I4" s="253"/>
      <c r="J4" s="253"/>
      <c r="K4" s="253"/>
      <c r="L4" s="253"/>
      <c r="M4" s="253"/>
      <c r="N4" s="253"/>
      <c r="O4" s="253"/>
      <c r="P4" s="253"/>
      <c r="Q4" s="334"/>
      <c r="R4" s="334"/>
      <c r="S4" s="334">
        <v>1</v>
      </c>
      <c r="T4" s="333"/>
      <c r="U4" s="337">
        <v>3.5999999999999997E-2</v>
      </c>
      <c r="V4" s="333">
        <f>IF(ISERROR(MATCH(PART,TEMP_FACTORS_LIST,FALSE)),IF(OR(LEFT(PART,4)="XA6S",LEFT(PART,4)="XQ6S"),MATCH(REPLACE(PART,1,2,"XC"),TEMP_FACTORS_LIST,FALSE),1),MATCH(PART,TEMP_FACTORS_LIST,FALSE))</f>
        <v>8</v>
      </c>
      <c r="W4" s="334"/>
      <c r="X4" s="334"/>
      <c r="Y4" s="334"/>
      <c r="Z4" s="334"/>
      <c r="AA4" s="334"/>
      <c r="AB4" s="334"/>
      <c r="AC4" s="174"/>
      <c r="AD4" s="174"/>
      <c r="AE4" s="174"/>
      <c r="AF4" s="174"/>
      <c r="AG4" s="174"/>
      <c r="AH4" s="174"/>
      <c r="AI4" s="174"/>
      <c r="AJ4" s="310"/>
      <c r="AK4" s="174"/>
      <c r="AL4" s="174"/>
      <c r="AM4" s="174"/>
      <c r="AN4" s="174"/>
      <c r="AO4" s="174"/>
      <c r="AP4" s="136"/>
      <c r="AQ4" s="174"/>
      <c r="AR4" s="173"/>
    </row>
    <row r="5" spans="1:46" ht="19.5" customHeight="1" x14ac:dyDescent="0.25">
      <c r="A5" s="248"/>
      <c r="B5" s="307" t="s">
        <v>1211</v>
      </c>
      <c r="C5" s="613"/>
      <c r="D5" s="613"/>
      <c r="E5" s="613"/>
      <c r="F5" s="613"/>
      <c r="G5" s="613"/>
      <c r="H5" s="613"/>
      <c r="I5" s="613"/>
      <c r="J5" s="613"/>
      <c r="K5" s="613"/>
      <c r="L5" s="613"/>
      <c r="M5" s="613"/>
      <c r="N5" s="613"/>
      <c r="O5" s="613"/>
      <c r="P5" s="614"/>
      <c r="Q5" s="334">
        <v>5.4678914442966263E-2</v>
      </c>
      <c r="R5" s="334">
        <v>7.9903752080059641E-3</v>
      </c>
      <c r="S5" s="334">
        <v>8.9870167119153133E-2</v>
      </c>
      <c r="T5" s="333"/>
      <c r="U5" s="337">
        <v>97.106180618763275</v>
      </c>
      <c r="V5" s="333">
        <f ca="1">OFFSET(TEMP_FACTORS,TEMP_FACTOR_ROW,9+IF(SPEEDGRADE=-2,1,0))</f>
        <v>2.6599999999999999E-2</v>
      </c>
      <c r="W5" s="334"/>
      <c r="X5" s="334"/>
      <c r="Y5" s="334"/>
      <c r="Z5" s="334"/>
      <c r="AA5" s="334"/>
      <c r="AB5" s="334"/>
      <c r="AC5" s="174"/>
      <c r="AD5" s="174"/>
      <c r="AE5" s="174"/>
      <c r="AF5" s="174"/>
      <c r="AG5" s="174"/>
      <c r="AH5" s="174"/>
      <c r="AI5" s="174"/>
      <c r="AJ5" s="310"/>
      <c r="AK5" s="174"/>
      <c r="AL5" s="174"/>
      <c r="AM5" s="174"/>
      <c r="AN5" s="174"/>
      <c r="AO5" s="174"/>
      <c r="AP5" s="136"/>
      <c r="AQ5" s="174"/>
      <c r="AR5" s="173"/>
    </row>
    <row r="6" spans="1:46" ht="24" customHeight="1" thickBot="1" x14ac:dyDescent="0.35">
      <c r="A6" s="124"/>
      <c r="B6" s="271" t="s">
        <v>1180</v>
      </c>
      <c r="C6" s="254"/>
      <c r="D6" s="254"/>
      <c r="E6" s="255"/>
      <c r="F6" s="333"/>
      <c r="G6" s="271" t="s">
        <v>1181</v>
      </c>
      <c r="H6" s="256"/>
      <c r="I6" s="257"/>
      <c r="J6" s="258"/>
      <c r="K6" s="125"/>
      <c r="L6" s="131"/>
      <c r="M6" s="271" t="s">
        <v>1189</v>
      </c>
      <c r="N6" s="259"/>
      <c r="O6" s="259"/>
      <c r="P6" s="259"/>
      <c r="Q6" s="174"/>
      <c r="R6" s="174"/>
      <c r="S6" s="174">
        <v>1</v>
      </c>
      <c r="T6" s="136">
        <f ca="1">ICCINTQ_TEMP+(MIN(125,TEMP_ESTIMATE)-85)*GRADE_FACTOR*(IF(AND(TEMP_ESTIMATE&gt;100,QGRADE_FACTOR&gt;0),QGRADE_FACTOR*(TEMP_ESTIMATE-100)+1,1))/PROCESS_FACTOR</f>
        <v>0.44389804665754584</v>
      </c>
      <c r="U6" s="136"/>
      <c r="V6" s="136">
        <f ca="1">OFFSET(TEMP_FACTORS,TEMP_FACTOR_ROW,11+IF(SPEEDGRADE=-2,1,0))</f>
        <v>1.6800000000000001E-3</v>
      </c>
      <c r="W6" s="334"/>
      <c r="X6" s="334"/>
      <c r="Y6" s="334"/>
      <c r="Z6" s="334"/>
      <c r="AA6" s="334"/>
      <c r="AB6" s="334"/>
      <c r="AC6" s="174"/>
      <c r="AD6" s="174"/>
      <c r="AE6" s="174"/>
      <c r="AF6" s="174"/>
      <c r="AG6" s="174"/>
      <c r="AH6" s="174"/>
      <c r="AI6" s="174"/>
      <c r="AJ6" s="310"/>
      <c r="AK6" s="174"/>
      <c r="AL6" s="174"/>
      <c r="AM6" s="174"/>
      <c r="AN6" s="174"/>
      <c r="AO6" s="174"/>
      <c r="AP6" s="136"/>
      <c r="AQ6" s="174"/>
      <c r="AR6" s="173"/>
    </row>
    <row r="7" spans="1:46" ht="19.5" customHeight="1" x14ac:dyDescent="0.25">
      <c r="A7" s="124"/>
      <c r="B7" s="607" t="s">
        <v>215</v>
      </c>
      <c r="C7" s="608"/>
      <c r="D7" s="608"/>
      <c r="E7" s="609"/>
      <c r="F7" s="333"/>
      <c r="G7" s="596" t="s">
        <v>1182</v>
      </c>
      <c r="H7" s="597"/>
      <c r="I7" s="598"/>
      <c r="J7" s="585" t="s">
        <v>1115</v>
      </c>
      <c r="K7" s="586"/>
      <c r="L7" s="174"/>
      <c r="M7" s="587" t="s">
        <v>18</v>
      </c>
      <c r="N7" s="588"/>
      <c r="O7" s="284" t="s">
        <v>16</v>
      </c>
      <c r="P7" s="285" t="s">
        <v>141</v>
      </c>
      <c r="Q7" s="174"/>
      <c r="R7" s="174"/>
      <c r="S7" s="438"/>
      <c r="T7" s="174">
        <v>5.0000000000000001E-3</v>
      </c>
      <c r="U7" s="136"/>
      <c r="V7" s="136"/>
      <c r="W7" s="334"/>
      <c r="X7" s="334"/>
      <c r="Y7" s="334"/>
      <c r="Z7" s="334"/>
      <c r="AA7" s="334"/>
      <c r="AB7" s="334"/>
      <c r="AC7" s="174"/>
      <c r="AD7" s="174"/>
      <c r="AE7" s="174"/>
      <c r="AF7" s="174"/>
      <c r="AG7" s="174"/>
      <c r="AH7" s="174"/>
      <c r="AI7" s="174"/>
      <c r="AJ7" s="310"/>
      <c r="AK7" s="174"/>
      <c r="AL7" s="174"/>
      <c r="AM7" s="174"/>
      <c r="AN7" s="174"/>
      <c r="AO7" s="174"/>
      <c r="AP7" s="136"/>
      <c r="AQ7" s="174"/>
      <c r="AR7" s="173"/>
    </row>
    <row r="8" spans="1:46" ht="19.5" customHeight="1" thickBot="1" x14ac:dyDescent="0.3">
      <c r="A8" s="124"/>
      <c r="B8" s="261" t="s">
        <v>790</v>
      </c>
      <c r="C8" s="347" t="s">
        <v>560</v>
      </c>
      <c r="D8" s="346"/>
      <c r="E8" s="347"/>
      <c r="F8" s="333"/>
      <c r="G8" s="273"/>
      <c r="H8" s="274"/>
      <c r="I8" s="275" t="s">
        <v>1183</v>
      </c>
      <c r="J8" s="276" t="s">
        <v>1184</v>
      </c>
      <c r="K8" s="277" t="s">
        <v>1185</v>
      </c>
      <c r="L8" s="174"/>
      <c r="M8" s="589"/>
      <c r="N8" s="590"/>
      <c r="O8" s="286" t="s">
        <v>1190</v>
      </c>
      <c r="P8" s="287" t="s">
        <v>1191</v>
      </c>
      <c r="Q8" s="174"/>
      <c r="R8" s="174"/>
      <c r="S8" s="174"/>
      <c r="T8" s="174">
        <v>8.9999999999999993E-3</v>
      </c>
      <c r="U8" s="174"/>
      <c r="V8" s="174"/>
      <c r="W8" s="334"/>
      <c r="X8" s="334"/>
      <c r="Y8" s="334"/>
      <c r="Z8" s="334"/>
      <c r="AA8" s="334"/>
      <c r="AB8" s="334"/>
      <c r="AC8" s="174"/>
      <c r="AD8" s="174"/>
      <c r="AE8" s="174"/>
      <c r="AF8" s="174"/>
      <c r="AG8" s="174"/>
      <c r="AH8" s="174"/>
      <c r="AI8" s="174"/>
      <c r="AJ8" s="174"/>
      <c r="AK8" s="174"/>
      <c r="AL8" s="174"/>
      <c r="AM8" s="174"/>
      <c r="AN8" s="174"/>
      <c r="AO8" s="174"/>
      <c r="AP8" s="136"/>
      <c r="AQ8" s="174"/>
      <c r="AR8" s="173"/>
    </row>
    <row r="9" spans="1:46" ht="20.100000000000001" customHeight="1" x14ac:dyDescent="0.35">
      <c r="A9" s="124"/>
      <c r="B9" s="261" t="s">
        <v>215</v>
      </c>
      <c r="C9" s="347" t="s">
        <v>642</v>
      </c>
      <c r="D9" s="346">
        <f>IF(EXACT(LEFT(GRADE, 3),"Low"),MATCH(PART,PARTLIST,FALSE)+32,MATCH(PART,PARTLIST,FALSE))</f>
        <v>19</v>
      </c>
      <c r="E9" s="347"/>
      <c r="F9" s="333">
        <f>IF(EXACT(LEFT(GRADE, 3),"Low"),MATCH(PART,PARTLIST,FALSE)+23,MATCH(PART,PARTLIST,FALSE))</f>
        <v>19</v>
      </c>
      <c r="G9" s="594" t="s">
        <v>1186</v>
      </c>
      <c r="H9" s="125"/>
      <c r="I9" s="125"/>
      <c r="J9" s="280">
        <f ca="1">IF(EXACT(POWERMODE,"Active"),CLOCK_POWER,0)</f>
        <v>3.1736891352075622E-2</v>
      </c>
      <c r="K9" s="272">
        <f t="shared" ref="K9:K19" ca="1" si="0">IF(AND(ISNUMBER(J9),J9&gt;0),J9/TOTAL_POWER,0)*100</f>
        <v>6.5029861914817966</v>
      </c>
      <c r="L9" s="174">
        <v>1.2</v>
      </c>
      <c r="M9" s="576" t="s">
        <v>1192</v>
      </c>
      <c r="N9" s="577"/>
      <c r="O9" s="544">
        <v>1.2</v>
      </c>
      <c r="P9" s="430">
        <f ca="1">IF(POWERMODE="Hibernate",0,(ICCINT + ICCINTQ))</f>
        <v>8.7070513950159995E-2</v>
      </c>
      <c r="Q9" s="154">
        <f ca="1">IF(POWERMODE="Hibernate",0,IF(AND(VCCINT&gt;0,EXACT(POWERMODE,"Active")),(CLOCK_POWER+BRAM_POWER+LOGIC_POWER+IOINT_POWER+IF((LEFT(PART,5)="XC3SD")+(ISSTA=1),DSP_POWER,MULT_POWER)+DCMINT_POWER+IF(ISSTA=1,PLLINT_POWER+MGTINT_POWER+PCIE_POWER+MCB_POWER,0)) / VCCINT,0))</f>
        <v>4.4225329460063009E-2</v>
      </c>
      <c r="R9" s="154">
        <f ca="1">IF(POWERMODE="Hibernate",0,((ICCINTQ_D + IF(AND(PROCESS_FACTOR&gt;1,TEMP_ESTIMATE&gt;85),$T6,ICCINTQ_TEMP)) * PROCESS_FACTOR*$J$42))</f>
        <v>4.2845184490096985E-2</v>
      </c>
      <c r="S9" s="527"/>
      <c r="T9" s="174">
        <v>10</v>
      </c>
      <c r="U9" s="411">
        <v>4.4448940577003312E-2</v>
      </c>
      <c r="V9" s="174"/>
      <c r="W9" s="338" t="s">
        <v>63</v>
      </c>
      <c r="X9" s="339" t="s">
        <v>71</v>
      </c>
      <c r="Y9" s="334"/>
      <c r="Z9" s="334"/>
      <c r="AA9" s="334"/>
      <c r="AB9" s="334"/>
      <c r="AC9" s="174"/>
      <c r="AD9" s="174"/>
      <c r="AE9" s="174"/>
      <c r="AF9" s="174"/>
      <c r="AG9" s="174"/>
      <c r="AH9" s="174"/>
      <c r="AI9" s="174"/>
      <c r="AJ9" s="174"/>
      <c r="AK9" s="174"/>
      <c r="AL9" s="174"/>
      <c r="AM9" s="174"/>
      <c r="AN9" s="174"/>
      <c r="AO9" s="174"/>
      <c r="AP9" s="136"/>
      <c r="AQ9" s="174"/>
      <c r="AR9" s="173"/>
    </row>
    <row r="10" spans="1:46" ht="20.100000000000001" customHeight="1" x14ac:dyDescent="0.35">
      <c r="A10" s="249"/>
      <c r="B10" s="261" t="s">
        <v>93</v>
      </c>
      <c r="C10" s="347" t="s">
        <v>620</v>
      </c>
      <c r="D10" s="346">
        <f>MATCH(PART&amp;":"&amp;PACKAGE,IF(ISSTA=1,S6PARTS,S3PARTS),FALSE)+IF(ISSTA=1,ROWS(S3PARTS),0)</f>
        <v>53</v>
      </c>
      <c r="E10" s="347"/>
      <c r="F10" s="333">
        <f>MATCH(PART&amp;":"&amp;PACKAGE,IF(ISSTA=1,S6PARTS,S3PARTS),FALSE)+IF(ISSTA=1,ROWS(S3PARTS),0)</f>
        <v>53</v>
      </c>
      <c r="G10" s="595"/>
      <c r="H10" s="125"/>
      <c r="I10" s="125"/>
      <c r="J10" s="280">
        <f ca="1">IF(EXACT(POWERMODE,"Active"),LOGIC_POWER,0)</f>
        <v>0</v>
      </c>
      <c r="K10" s="272">
        <f t="shared" ca="1" si="0"/>
        <v>0</v>
      </c>
      <c r="L10" s="174">
        <v>2.5</v>
      </c>
      <c r="M10" s="576" t="s">
        <v>1193</v>
      </c>
      <c r="N10" s="577"/>
      <c r="O10" s="431">
        <v>3.3</v>
      </c>
      <c r="P10" s="432">
        <f ca="1">IF(POWERMODE="Hibernate",0,(ICCAUX + ICCAUXQ))</f>
        <v>5.582152720168037E-2</v>
      </c>
      <c r="Q10" s="154">
        <f ca="1">IF(POWERMODE="Hibernate",0,IF(AND(VCCAUX&gt;0,EXACT(POWERMODE,"Active")),(SUM(IO!AX17:AX126)+SUM(IO!AY17:AY126))/1000 + (DCMAUX_POWER+IF(NUM_PLLS&gt;0,PLLAUX_POWER,0)) / VCCAUX,IF(EXACT(POWERMODE,"Suspend"),SUM(IO!AY17:AY126)/1000,0)))</f>
        <v>4.4952712857142849E-2</v>
      </c>
      <c r="R10" s="154">
        <f ca="1">IF(POWERMODE="Hibernate",0,IF(EXACT(POWERMODE,"Active"),(ICCAUXQ_TEMP+IF(AND(PROCESS_FACTOR&gt;1,TEMP_ESTIMATE&gt;100,QGRADE_FACTORAUX&gt;0),ICCAUXQ_D*(TEMP_ESTIMATE-100)*(TEMP_ESTIMATE-100)*QGRADE_FACTORAUX,0))*$I$42,IF(EXACT(POWERMODE,"Suspend"),IF(EXACT(PROCESS,"Typical"),0.001,0.003),0)))</f>
        <v>1.0868814344537523E-2</v>
      </c>
      <c r="S10" s="174">
        <v>12.5</v>
      </c>
      <c r="T10" s="136">
        <v>25</v>
      </c>
      <c r="U10" s="411">
        <v>6.569583205568047E-2</v>
      </c>
      <c r="V10" s="174"/>
      <c r="W10" s="334" t="s">
        <v>1024</v>
      </c>
      <c r="X10" s="333"/>
      <c r="Y10" s="334"/>
      <c r="Z10" s="334"/>
      <c r="AA10" s="334"/>
      <c r="AB10" s="334"/>
      <c r="AC10" s="174"/>
      <c r="AD10" s="174"/>
      <c r="AE10" s="174"/>
      <c r="AF10" s="174"/>
      <c r="AG10" s="174"/>
      <c r="AH10" s="174"/>
      <c r="AI10" s="174"/>
      <c r="AJ10" s="174"/>
      <c r="AK10" s="174"/>
      <c r="AL10" s="174"/>
      <c r="AM10" s="174"/>
      <c r="AN10" s="174"/>
      <c r="AO10" s="174"/>
      <c r="AP10" s="136"/>
      <c r="AQ10" s="174"/>
      <c r="AR10" s="173"/>
    </row>
    <row r="11" spans="1:46" ht="20.100000000000001" customHeight="1" x14ac:dyDescent="0.35">
      <c r="A11" s="124"/>
      <c r="B11" s="261" t="s">
        <v>684</v>
      </c>
      <c r="C11" s="347">
        <v>-3</v>
      </c>
      <c r="D11" s="346"/>
      <c r="E11" s="347"/>
      <c r="F11" s="334"/>
      <c r="G11" s="595"/>
      <c r="H11" s="125"/>
      <c r="I11" s="125"/>
      <c r="J11" s="280">
        <f ca="1">IF(EXACT(POWERMODE,"Active"),BRAM_POWER,0)</f>
        <v>0</v>
      </c>
      <c r="K11" s="272">
        <f t="shared" ca="1" si="0"/>
        <v>0</v>
      </c>
      <c r="L11" s="127"/>
      <c r="M11" s="576" t="s">
        <v>1212</v>
      </c>
      <c r="N11" s="577"/>
      <c r="O11" s="433">
        <v>3.3</v>
      </c>
      <c r="P11" s="432">
        <f ca="1">IF(POWERMODE="Hibernate",0,IO!G7+ICCOQ33)</f>
        <v>0</v>
      </c>
      <c r="Q11" s="154">
        <f ca="1">IF(POWERMODE="Hibernate",0,IO!G7)</f>
        <v>0</v>
      </c>
      <c r="R11" s="154">
        <f ca="1">IF(POWERMODE="Hibernate",0,IF(IO!AO130&gt;0,ICCOQ_D,0))</f>
        <v>0</v>
      </c>
      <c r="S11" s="174">
        <v>200</v>
      </c>
      <c r="T11" s="136">
        <v>40</v>
      </c>
      <c r="U11" s="411">
        <v>9.8555761135233441E-2</v>
      </c>
      <c r="V11" s="174"/>
      <c r="W11" s="334" t="s">
        <v>619</v>
      </c>
      <c r="X11" s="333">
        <v>0</v>
      </c>
      <c r="Y11" s="334"/>
      <c r="Z11" s="334"/>
      <c r="AA11" s="334"/>
      <c r="AB11" s="334"/>
      <c r="AC11" s="174"/>
      <c r="AD11" s="174"/>
      <c r="AE11" s="174"/>
      <c r="AF11" s="174"/>
      <c r="AG11" s="174"/>
      <c r="AH11" s="174"/>
      <c r="AI11" s="174"/>
      <c r="AJ11" s="174"/>
      <c r="AK11" s="174"/>
      <c r="AL11" s="174"/>
      <c r="AM11" s="174"/>
      <c r="AN11" s="174"/>
      <c r="AO11" s="174"/>
      <c r="AP11" s="136"/>
      <c r="AQ11" s="174"/>
      <c r="AR11" s="173"/>
    </row>
    <row r="12" spans="1:46" ht="20.100000000000001" customHeight="1" x14ac:dyDescent="0.35">
      <c r="A12" s="124"/>
      <c r="B12" s="261" t="s">
        <v>1289</v>
      </c>
      <c r="C12" s="348" t="s">
        <v>118</v>
      </c>
      <c r="D12" s="346"/>
      <c r="E12" s="348"/>
      <c r="F12" s="333"/>
      <c r="G12" s="595"/>
      <c r="H12" s="125"/>
      <c r="I12" s="125"/>
      <c r="J12" s="280">
        <f ca="1">IF(EXACT(POWERMODE,"Active"),IF((LEFT(PART,5)="XC3SD")+(ISSTA=1),DSP_POWER,MULT_POWER),0)</f>
        <v>0</v>
      </c>
      <c r="K12" s="272">
        <f t="shared" ca="1" si="0"/>
        <v>0</v>
      </c>
      <c r="L12" s="127"/>
      <c r="M12" s="576" t="s">
        <v>1194</v>
      </c>
      <c r="N12" s="577"/>
      <c r="O12" s="433">
        <v>2.5</v>
      </c>
      <c r="P12" s="432">
        <f ca="1">IF(POWERMODE="Hibernate",0,IO!G8+ICCOQ25)</f>
        <v>0</v>
      </c>
      <c r="Q12" s="154">
        <f ca="1">IF(POWERMODE="Hibernate",0,IO!G8)</f>
        <v>0</v>
      </c>
      <c r="R12" s="154">
        <f ca="1">IF(POWERMODE="Hibernate",0,IF(IO!AO131&gt;0,ICCOQ_D,0))</f>
        <v>0</v>
      </c>
      <c r="S12" s="136"/>
      <c r="T12" s="136">
        <v>55</v>
      </c>
      <c r="U12" s="411">
        <v>0.14986777876329976</v>
      </c>
      <c r="V12" s="174"/>
      <c r="W12" s="334" t="s">
        <v>620</v>
      </c>
      <c r="X12" s="333">
        <v>1</v>
      </c>
      <c r="Y12" s="334"/>
      <c r="Z12" s="334"/>
      <c r="AA12" s="334"/>
      <c r="AB12" s="334"/>
      <c r="AC12" s="174"/>
      <c r="AD12" s="174"/>
      <c r="AE12" s="174"/>
      <c r="AF12" s="174"/>
      <c r="AG12" s="174"/>
      <c r="AH12" s="174"/>
      <c r="AI12" s="174"/>
      <c r="AJ12" s="174"/>
      <c r="AK12" s="174"/>
      <c r="AL12" s="174"/>
      <c r="AM12" s="174"/>
      <c r="AN12" s="174"/>
      <c r="AO12" s="174"/>
      <c r="AP12" s="136"/>
      <c r="AQ12" s="174"/>
      <c r="AR12" s="173"/>
    </row>
    <row r="13" spans="1:46" ht="20.100000000000001" customHeight="1" x14ac:dyDescent="0.35">
      <c r="A13" s="124"/>
      <c r="B13" s="261" t="s">
        <v>95</v>
      </c>
      <c r="C13" s="347" t="s">
        <v>120</v>
      </c>
      <c r="D13" s="346"/>
      <c r="E13" s="347"/>
      <c r="F13" s="333"/>
      <c r="G13" s="595"/>
      <c r="H13" s="125"/>
      <c r="I13" s="125"/>
      <c r="J13" s="280">
        <f ca="1">IF(EXACT(POWERMODE,"Active"),DCM_POWER,0)</f>
        <v>2.127066E-2</v>
      </c>
      <c r="K13" s="272">
        <f t="shared" ca="1" si="0"/>
        <v>4.3584233480591896</v>
      </c>
      <c r="L13" s="127"/>
      <c r="M13" s="576" t="s">
        <v>1195</v>
      </c>
      <c r="N13" s="577"/>
      <c r="O13" s="433">
        <v>1.8</v>
      </c>
      <c r="P13" s="432">
        <f ca="1">IF(POWERMODE="Hibernate",0,IO!G9+ICCOQ18)</f>
        <v>0</v>
      </c>
      <c r="Q13" s="154">
        <f ca="1">IF(POWERMODE="Hibernate",0,IO!G9)</f>
        <v>0</v>
      </c>
      <c r="R13" s="154">
        <f ca="1">IF(POWERMODE="Hibernate",0,IF(IO!AO132&gt;0,ICCOQ_D,0))</f>
        <v>0</v>
      </c>
      <c r="S13" s="136"/>
      <c r="T13" s="136">
        <v>70</v>
      </c>
      <c r="U13" s="411">
        <v>0.23064362988749337</v>
      </c>
      <c r="V13" s="174"/>
      <c r="W13" s="334"/>
      <c r="X13" s="333">
        <v>2</v>
      </c>
      <c r="Y13" s="334"/>
      <c r="Z13" s="334"/>
      <c r="AA13" s="334"/>
      <c r="AB13" s="334"/>
      <c r="AC13" s="174"/>
      <c r="AD13" s="174"/>
      <c r="AE13" s="174"/>
      <c r="AF13" s="174"/>
      <c r="AG13" s="174"/>
      <c r="AH13" s="174"/>
      <c r="AI13" s="174"/>
      <c r="AJ13" s="174"/>
      <c r="AK13" s="174"/>
      <c r="AL13" s="174"/>
      <c r="AM13" s="174"/>
      <c r="AN13" s="174"/>
      <c r="AO13" s="174"/>
      <c r="AP13" s="136"/>
      <c r="AQ13" s="174"/>
      <c r="AR13" s="173"/>
    </row>
    <row r="14" spans="1:46" ht="20.100000000000001" customHeight="1" thickBot="1" x14ac:dyDescent="0.4">
      <c r="A14" s="124"/>
      <c r="B14" s="262" t="s">
        <v>380</v>
      </c>
      <c r="C14" s="381" t="s">
        <v>382</v>
      </c>
      <c r="D14" s="349"/>
      <c r="E14" s="350"/>
      <c r="F14" s="333"/>
      <c r="G14" s="595"/>
      <c r="H14" s="125"/>
      <c r="I14" s="125"/>
      <c r="J14" s="280">
        <f ca="1">IF(NUM_PLLS&gt;0,IF(EXACT(POWERMODE,"Active"),PLL_POWER,0),"")</f>
        <v>0</v>
      </c>
      <c r="K14" s="272">
        <f t="shared" ca="1" si="0"/>
        <v>0</v>
      </c>
      <c r="L14" s="127"/>
      <c r="M14" s="576" t="s">
        <v>1196</v>
      </c>
      <c r="N14" s="577"/>
      <c r="O14" s="433">
        <v>1.5</v>
      </c>
      <c r="P14" s="432">
        <f ca="1">IF(POWERMODE="Hibernate",0,IO!G10+ICCOQ15)</f>
        <v>0.13289333333333334</v>
      </c>
      <c r="Q14" s="154">
        <f ca="1">IF(POWERMODE="Hibernate",0,IO!G10)</f>
        <v>0.12789333333333333</v>
      </c>
      <c r="R14" s="154">
        <f ca="1">IF(POWERMODE="Hibernate",0,IF(IO!AO133&gt;0,ICCOQ_D,0))</f>
        <v>5.0000000000000001E-3</v>
      </c>
      <c r="S14" s="136"/>
      <c r="T14" s="136">
        <v>85</v>
      </c>
      <c r="U14" s="411">
        <v>0.358653373664231</v>
      </c>
      <c r="V14" s="174"/>
      <c r="W14" s="334"/>
      <c r="X14" s="333">
        <v>3</v>
      </c>
      <c r="Y14" s="334"/>
      <c r="Z14" s="334"/>
      <c r="AA14" s="334"/>
      <c r="AB14" s="334"/>
      <c r="AC14" s="174"/>
      <c r="AD14" s="174"/>
      <c r="AE14" s="174"/>
      <c r="AF14" s="174"/>
      <c r="AG14" s="174"/>
      <c r="AH14" s="174"/>
      <c r="AI14" s="174"/>
      <c r="AJ14" s="174"/>
      <c r="AK14" s="174"/>
      <c r="AL14" s="174"/>
      <c r="AM14" s="174"/>
      <c r="AN14" s="174"/>
      <c r="AO14" s="174"/>
      <c r="AP14" s="136"/>
      <c r="AQ14" s="174"/>
      <c r="AR14" s="173"/>
    </row>
    <row r="15" spans="1:46" ht="20.100000000000001" customHeight="1" thickBot="1" x14ac:dyDescent="0.4">
      <c r="A15" s="124"/>
      <c r="B15" s="260" t="s">
        <v>788</v>
      </c>
      <c r="C15" s="599" t="s">
        <v>1332</v>
      </c>
      <c r="D15" s="600"/>
      <c r="E15" s="601"/>
      <c r="F15" s="333"/>
      <c r="G15" s="595"/>
      <c r="H15" s="125"/>
      <c r="I15" s="125"/>
      <c r="J15" s="280" t="str">
        <f>IF(NUM_PCIES&gt;0,IF(EXACT(POWERMODE,"Active"),PCIE_POWER,0),"")</f>
        <v/>
      </c>
      <c r="K15" s="272">
        <f t="shared" si="0"/>
        <v>0</v>
      </c>
      <c r="L15" s="127"/>
      <c r="M15" s="576" t="s">
        <v>1197</v>
      </c>
      <c r="N15" s="577"/>
      <c r="O15" s="433">
        <v>1.2</v>
      </c>
      <c r="P15" s="432">
        <f ca="1">IF(POWERMODE="Hibernate",0,IO!G11+ICCOQ12)</f>
        <v>0</v>
      </c>
      <c r="Q15" s="154">
        <f ca="1">IF(POWERMODE="Hibernate",0,IO!G11)</f>
        <v>0</v>
      </c>
      <c r="R15" s="154">
        <f ca="1">IF(POWERMODE="Hibernate",0,IF(IO!AO134&gt;0,ICCOQ_D,0))</f>
        <v>0</v>
      </c>
      <c r="S15" s="136"/>
      <c r="T15" s="136">
        <v>100</v>
      </c>
      <c r="U15" s="411">
        <v>0.56262369754676089</v>
      </c>
      <c r="V15" s="174"/>
      <c r="W15" s="334"/>
      <c r="X15" s="333">
        <v>5</v>
      </c>
      <c r="Y15" s="334"/>
      <c r="Z15" s="334"/>
      <c r="AA15" s="334"/>
      <c r="AB15" s="334"/>
      <c r="AC15" s="174"/>
      <c r="AD15" s="174"/>
      <c r="AE15" s="174"/>
      <c r="AF15" s="174"/>
      <c r="AG15" s="174"/>
      <c r="AH15" s="174"/>
      <c r="AI15" s="174"/>
      <c r="AJ15" s="174"/>
      <c r="AK15" s="174"/>
      <c r="AL15" s="174"/>
      <c r="AM15" s="174"/>
      <c r="AN15" s="174"/>
      <c r="AO15" s="174"/>
      <c r="AP15" s="136"/>
      <c r="AQ15" s="174"/>
      <c r="AR15" s="173"/>
    </row>
    <row r="16" spans="1:46" ht="20.100000000000001" customHeight="1" thickBot="1" x14ac:dyDescent="0.3">
      <c r="A16" s="124"/>
      <c r="B16" s="125"/>
      <c r="C16" s="125"/>
      <c r="D16" s="125"/>
      <c r="E16" s="125"/>
      <c r="F16" s="136"/>
      <c r="G16" s="595"/>
      <c r="H16" s="125"/>
      <c r="I16" s="125"/>
      <c r="J16" s="280">
        <f ca="1">IF(AND(NUM_MCBS&gt;0,SPEEDGRADE&lt;&gt;"-3N"),IF(EXACT(POWERMODE,"Active"),MCB_POWER,0)," ")</f>
        <v>0</v>
      </c>
      <c r="K16" s="272">
        <f t="shared" ca="1" si="0"/>
        <v>0</v>
      </c>
      <c r="L16" s="127"/>
      <c r="M16" s="578" t="s">
        <v>1328</v>
      </c>
      <c r="N16" s="577"/>
      <c r="O16" s="434">
        <v>1.2</v>
      </c>
      <c r="P16" s="432" t="str">
        <f>IF(NUM_GTS=0,"",(AICC+AICCQ))</f>
        <v/>
      </c>
      <c r="Q16" s="154" t="str">
        <f>IF(NUM_GTS=0,"          -",MGTAVCC_POWER/AVCC)</f>
        <v xml:space="preserve">          -</v>
      </c>
      <c r="R16" s="154" t="str">
        <f>IF(NUM_GTS=0,"          -",IF(POWERMODE="Active",AVCCQ,0))</f>
        <v xml:space="preserve">          -</v>
      </c>
      <c r="S16" s="136"/>
      <c r="T16" s="136"/>
      <c r="U16" s="411"/>
      <c r="V16" s="174"/>
      <c r="W16" s="334"/>
      <c r="X16" s="333">
        <v>6</v>
      </c>
      <c r="Y16" s="334"/>
      <c r="Z16" s="334"/>
      <c r="AA16" s="334"/>
      <c r="AB16" s="334"/>
      <c r="AC16" s="174"/>
      <c r="AD16" s="174"/>
      <c r="AE16" s="174"/>
      <c r="AF16" s="174"/>
      <c r="AG16" s="174"/>
      <c r="AH16" s="174"/>
      <c r="AI16" s="174"/>
      <c r="AJ16" s="174"/>
      <c r="AK16" s="174"/>
      <c r="AL16" s="174"/>
      <c r="AM16" s="174"/>
      <c r="AN16" s="174"/>
      <c r="AO16" s="174"/>
      <c r="AP16" s="136"/>
      <c r="AQ16" s="174"/>
      <c r="AR16" s="173"/>
    </row>
    <row r="17" spans="1:44" ht="20.100000000000001" customHeight="1" thickBot="1" x14ac:dyDescent="0.3">
      <c r="A17" s="124"/>
      <c r="B17" s="591" t="s">
        <v>1179</v>
      </c>
      <c r="C17" s="592"/>
      <c r="D17" s="592"/>
      <c r="E17" s="593"/>
      <c r="F17" s="131"/>
      <c r="G17" s="278" t="s">
        <v>1187</v>
      </c>
      <c r="H17" s="125"/>
      <c r="I17" s="125"/>
      <c r="J17" s="280">
        <f ca="1">IO_POWER</f>
        <v>0.34024679642857136</v>
      </c>
      <c r="K17" s="272">
        <f t="shared" ca="1" si="0"/>
        <v>69.717610156743021</v>
      </c>
      <c r="L17" s="127"/>
      <c r="M17" s="578" t="s">
        <v>1328</v>
      </c>
      <c r="N17" s="577"/>
      <c r="O17" s="434">
        <v>1.2</v>
      </c>
      <c r="P17" s="435" t="str">
        <f>IF(NUM_GTS=0," ",(AICCPLL+AICCPLLQ))</f>
        <v xml:space="preserve"> </v>
      </c>
      <c r="Q17" s="154" t="str">
        <f>IF(NUM_GTS=0,"          -",MGTVCCPLL_POWER/AVCCPLL)</f>
        <v xml:space="preserve">          -</v>
      </c>
      <c r="R17" s="154" t="str">
        <f>IF(NUM_GTS=0,"          -",IF(POWERMODE="Active",AVCCPLLQ,0))</f>
        <v xml:space="preserve">          -</v>
      </c>
      <c r="S17" s="136"/>
      <c r="T17" s="136">
        <f>IF(SPEEDGRADE="-1L", 0.95,1.14)</f>
        <v>1.1399999999999999</v>
      </c>
      <c r="U17" s="411">
        <v>5.7610245836335089E-2</v>
      </c>
      <c r="V17" s="136"/>
      <c r="W17" s="334"/>
      <c r="X17" s="333">
        <v>7</v>
      </c>
      <c r="Y17" s="334"/>
      <c r="Z17" s="334"/>
      <c r="AA17" s="334"/>
      <c r="AB17" s="334"/>
      <c r="AC17" s="174"/>
      <c r="AD17" s="174"/>
      <c r="AE17" s="174"/>
      <c r="AF17" s="174"/>
      <c r="AG17" s="174"/>
      <c r="AH17" s="174"/>
      <c r="AI17" s="174"/>
      <c r="AJ17" s="174"/>
      <c r="AK17" s="174"/>
      <c r="AL17" s="174"/>
      <c r="AM17" s="174"/>
      <c r="AN17" s="174"/>
      <c r="AO17" s="174"/>
      <c r="AP17" s="136"/>
      <c r="AQ17" s="174"/>
      <c r="AR17" s="173"/>
    </row>
    <row r="18" spans="1:44" ht="20.100000000000001" customHeight="1" thickBot="1" x14ac:dyDescent="0.3">
      <c r="A18" s="124"/>
      <c r="B18" s="263" t="s">
        <v>1175</v>
      </c>
      <c r="C18" s="582"/>
      <c r="D18" s="582"/>
      <c r="E18" s="265">
        <f ca="1">JUNCTION_TEMP</f>
        <v>30.368392221563109</v>
      </c>
      <c r="F18" s="136"/>
      <c r="G18" s="279" t="s">
        <v>578</v>
      </c>
      <c r="H18" s="125"/>
      <c r="I18" s="125"/>
      <c r="J18" s="280">
        <f>IF(NUM_GTS&gt;0,IF(EXACT(POWERMODE,"Active"),MGT_POWER,0),0)</f>
        <v>0</v>
      </c>
      <c r="K18" s="272">
        <f t="shared" si="0"/>
        <v>0</v>
      </c>
      <c r="L18" s="269"/>
      <c r="M18" s="578" t="s">
        <v>1328</v>
      </c>
      <c r="N18" s="577"/>
      <c r="O18" s="434">
        <v>1.2</v>
      </c>
      <c r="P18" s="435" t="str">
        <f>IF(NUM_GTS=0,"",IF(AVTTTX&gt;0,(AITTTX+ITTTXQ),0))</f>
        <v/>
      </c>
      <c r="Q18" s="154" t="str">
        <f>IF(NUM_GTS=0,"          -",IF(AVTTTX&gt;0,MGTVTTTX_POWER/AVTTTX,0))</f>
        <v xml:space="preserve">          -</v>
      </c>
      <c r="R18" s="154" t="str">
        <f>IF(NUM_GTS=0,"          -",IF(AND(POWERMODE="Active",AVTTTX&gt;0),AVTTTXQ,0))</f>
        <v xml:space="preserve">          -</v>
      </c>
      <c r="S18" s="136"/>
      <c r="T18" s="136">
        <f>IF(SPEEDGRADE="-1L", 0.975,1.17)</f>
        <v>1.17</v>
      </c>
      <c r="U18" s="411">
        <v>6.2033836266020714E-2</v>
      </c>
      <c r="V18" s="136"/>
      <c r="W18" s="334"/>
      <c r="X18" s="333">
        <v>8</v>
      </c>
      <c r="Y18" s="334"/>
      <c r="Z18" s="334"/>
      <c r="AA18" s="334"/>
      <c r="AB18" s="334"/>
      <c r="AC18" s="174"/>
      <c r="AD18" s="174"/>
      <c r="AE18" s="174"/>
      <c r="AF18" s="174"/>
      <c r="AG18" s="174"/>
      <c r="AH18" s="174"/>
      <c r="AI18" s="174"/>
      <c r="AJ18" s="174"/>
      <c r="AK18" s="174"/>
      <c r="AL18" s="174"/>
      <c r="AM18" s="174"/>
      <c r="AN18" s="174"/>
      <c r="AO18" s="174"/>
      <c r="AP18" s="136"/>
      <c r="AQ18" s="174"/>
      <c r="AR18" s="173"/>
    </row>
    <row r="19" spans="1:44" ht="20.100000000000001" customHeight="1" thickBot="1" x14ac:dyDescent="0.3">
      <c r="A19" s="124"/>
      <c r="B19" s="264" t="s">
        <v>1176</v>
      </c>
      <c r="C19" s="602">
        <v>25</v>
      </c>
      <c r="D19" s="603"/>
      <c r="E19" s="604"/>
      <c r="F19" s="136"/>
      <c r="G19" s="391" t="s">
        <v>1188</v>
      </c>
      <c r="H19" s="581" t="s">
        <v>1117</v>
      </c>
      <c r="I19" s="581"/>
      <c r="J19" s="281">
        <f ca="1">IF(POWERMODE="Hibernate",0,ICCINTQ*VCCINT+ICCAUXQ*VCCAUX+ICCOQ33*VCCO33+ICCOQ25*VCCO25+ICCOQ18*VCCO18+ICCOQ15*VCCO15+ICCOQ12*VCCO12+IF(AND(NUM_GTS&gt;0,POWERMODE="Active"),GTP_LEAKAGE,0))</f>
        <v>9.4781308725090219E-2</v>
      </c>
      <c r="K19" s="282">
        <f t="shared" ca="1" si="0"/>
        <v>19.420980303715986</v>
      </c>
      <c r="L19" s="269"/>
      <c r="M19" s="579" t="s">
        <v>1328</v>
      </c>
      <c r="N19" s="580"/>
      <c r="O19" s="436">
        <v>1.2</v>
      </c>
      <c r="P19" s="437" t="str">
        <f>IF(NUM_GTS=0,"",IF(AVTTRX&gt;0,(AITTRX+ITTRXQ),0))</f>
        <v/>
      </c>
      <c r="Q19" s="154" t="str">
        <f>IF(NUM_GTS=0,"          -",IF(AVTTRX&gt;0,MGTVTTRX_POWER/AVTTRX,0))</f>
        <v xml:space="preserve">          -</v>
      </c>
      <c r="R19" s="154" t="str">
        <f>IF(NUM_GTS=0,"          -",IF(AND(POWERMODE="Active",AVTTRX&gt;0),AVTTRXQ,0))</f>
        <v xml:space="preserve">          -</v>
      </c>
      <c r="S19" s="136"/>
      <c r="T19" s="136">
        <f>IF(SPEEDGRADE="-1L",1,1.2)</f>
        <v>1.2</v>
      </c>
      <c r="U19" s="411">
        <v>6.6995399956039467E-2</v>
      </c>
      <c r="V19" s="136"/>
      <c r="W19" s="334"/>
      <c r="X19" s="333">
        <v>9</v>
      </c>
      <c r="Y19" s="334"/>
      <c r="Z19" s="334"/>
      <c r="AA19" s="334"/>
      <c r="AB19" s="334"/>
      <c r="AC19" s="174"/>
      <c r="AD19" s="174"/>
      <c r="AE19" s="174"/>
      <c r="AF19" s="174"/>
      <c r="AG19" s="174"/>
      <c r="AH19" s="174"/>
      <c r="AI19" s="174"/>
      <c r="AJ19" s="174"/>
      <c r="AK19" s="174"/>
      <c r="AL19" s="174"/>
      <c r="AM19" s="174"/>
      <c r="AN19" s="174"/>
      <c r="AO19" s="174"/>
      <c r="AP19" s="136"/>
      <c r="AQ19" s="174"/>
      <c r="AR19" s="173"/>
    </row>
    <row r="20" spans="1:44" ht="20.100000000000001" customHeight="1" x14ac:dyDescent="0.25">
      <c r="A20" s="124"/>
      <c r="B20" s="264" t="s">
        <v>1177</v>
      </c>
      <c r="C20" s="583"/>
      <c r="D20" s="584"/>
      <c r="E20" s="329">
        <f ca="1">TJA</f>
        <v>11</v>
      </c>
      <c r="F20" s="136"/>
      <c r="G20" s="127"/>
      <c r="H20" s="127"/>
      <c r="I20" s="127"/>
      <c r="J20" s="127"/>
      <c r="K20" s="127"/>
      <c r="L20" s="269"/>
      <c r="M20" s="269"/>
      <c r="N20" s="269"/>
      <c r="O20" s="269"/>
      <c r="P20" s="269"/>
      <c r="Q20" s="136"/>
      <c r="R20" s="136"/>
      <c r="S20" s="136"/>
      <c r="T20" s="136">
        <f>IF(SPEEDGRADE="-1L",1.025,1.23)</f>
        <v>1.23</v>
      </c>
      <c r="U20" s="411">
        <v>7.2560479230599592E-2</v>
      </c>
      <c r="V20" s="136"/>
      <c r="W20" s="334"/>
      <c r="X20" s="333">
        <v>10</v>
      </c>
      <c r="Y20" s="334"/>
      <c r="Z20" s="334"/>
      <c r="AA20" s="334"/>
      <c r="AB20" s="334"/>
      <c r="AC20" s="174"/>
      <c r="AD20" s="174"/>
      <c r="AE20" s="174"/>
      <c r="AF20" s="174"/>
      <c r="AG20" s="174"/>
      <c r="AH20" s="174"/>
      <c r="AI20" s="174"/>
      <c r="AJ20" s="174"/>
      <c r="AK20" s="174"/>
      <c r="AL20" s="174"/>
      <c r="AM20" s="174"/>
      <c r="AN20" s="174"/>
      <c r="AO20" s="174"/>
      <c r="AP20" s="136"/>
      <c r="AQ20" s="174"/>
      <c r="AR20" s="173"/>
    </row>
    <row r="21" spans="1:44" ht="19.5" customHeight="1" x14ac:dyDescent="0.25">
      <c r="A21" s="124"/>
      <c r="B21" s="264" t="s">
        <v>1084</v>
      </c>
      <c r="C21" s="650">
        <v>250</v>
      </c>
      <c r="D21" s="651"/>
      <c r="E21" s="652"/>
      <c r="F21" s="136"/>
      <c r="G21" s="625" t="s">
        <v>1157</v>
      </c>
      <c r="H21" s="625"/>
      <c r="I21" s="625"/>
      <c r="J21" s="625"/>
      <c r="K21" s="625"/>
      <c r="L21" s="625"/>
      <c r="M21" s="625"/>
      <c r="N21" s="625"/>
      <c r="O21" s="625"/>
      <c r="P21" s="625"/>
      <c r="Q21" s="136"/>
      <c r="R21" s="136"/>
      <c r="S21" s="136"/>
      <c r="T21" s="136">
        <f>IF(SPEEDGRADE="-1L", 1.05,1.26)</f>
        <v>1.26</v>
      </c>
      <c r="U21" s="411">
        <v>7.8803031624739617E-2</v>
      </c>
      <c r="V21" s="136"/>
      <c r="W21" s="334"/>
      <c r="X21" s="333">
        <v>11</v>
      </c>
      <c r="Y21" s="334"/>
      <c r="Z21" s="334"/>
      <c r="AA21" s="334"/>
      <c r="AB21" s="334"/>
      <c r="AC21" s="174"/>
      <c r="AD21" s="174"/>
      <c r="AE21" s="174"/>
      <c r="AF21" s="174"/>
      <c r="AG21" s="174"/>
      <c r="AH21" s="174"/>
      <c r="AI21" s="174"/>
      <c r="AJ21" s="174"/>
      <c r="AK21" s="174"/>
      <c r="AL21" s="174"/>
      <c r="AM21" s="174"/>
      <c r="AN21" s="174"/>
      <c r="AO21" s="174"/>
      <c r="AP21" s="136"/>
      <c r="AQ21" s="174"/>
      <c r="AR21" s="173"/>
    </row>
    <row r="22" spans="1:44" ht="19.5" customHeight="1" x14ac:dyDescent="0.3">
      <c r="A22" s="124"/>
      <c r="B22" s="264" t="s">
        <v>1062</v>
      </c>
      <c r="C22" s="382" t="s">
        <v>458</v>
      </c>
      <c r="D22" s="266"/>
      <c r="E22" s="267"/>
      <c r="F22" s="136"/>
      <c r="G22" s="632" t="s">
        <v>1175</v>
      </c>
      <c r="H22" s="633"/>
      <c r="I22" s="634"/>
      <c r="J22" s="639">
        <f ca="1">IF(ISBLANK(USER_TJ),IF(TJA*TOTAL_POWER+AMBIENT_TEMP &gt; 125, "125+",TJA*TOTAL_POWER+AMBIENT_TEMP),USER_TJ)</f>
        <v>30.368392221563109</v>
      </c>
      <c r="K22" s="640"/>
      <c r="L22" s="295"/>
      <c r="M22" s="372">
        <f ca="1">IF((TOTAL_POWER&gt;0)*(ISNUMBER(P22)),P22/TOTAL_POWER,0)</f>
        <v>0</v>
      </c>
      <c r="N22" s="297" t="s">
        <v>1203</v>
      </c>
      <c r="O22" s="298"/>
      <c r="P22" s="302">
        <f>J18</f>
        <v>0</v>
      </c>
      <c r="Q22" s="341"/>
      <c r="R22" s="341"/>
      <c r="S22" s="341"/>
      <c r="T22" s="333"/>
      <c r="U22" s="340"/>
      <c r="V22" s="333"/>
      <c r="W22" s="341"/>
      <c r="X22" s="333">
        <v>12</v>
      </c>
      <c r="Y22" s="334"/>
      <c r="Z22" s="334"/>
      <c r="AA22" s="334"/>
      <c r="AB22" s="334"/>
      <c r="AC22" s="174"/>
      <c r="AD22" s="174"/>
      <c r="AE22" s="174"/>
      <c r="AF22" s="174"/>
      <c r="AG22" s="174"/>
      <c r="AH22" s="174"/>
      <c r="AI22" s="174"/>
      <c r="AJ22" s="174"/>
      <c r="AK22" s="174"/>
      <c r="AL22" s="174"/>
      <c r="AM22" s="174"/>
      <c r="AN22" s="174"/>
      <c r="AO22" s="174"/>
      <c r="AP22" s="136"/>
      <c r="AQ22" s="174"/>
      <c r="AR22" s="173"/>
    </row>
    <row r="23" spans="1:44" ht="19.5" customHeight="1" thickBot="1" x14ac:dyDescent="0.3">
      <c r="A23" s="124"/>
      <c r="B23" s="268" t="s">
        <v>1178</v>
      </c>
      <c r="C23" s="636">
        <v>8</v>
      </c>
      <c r="D23" s="637"/>
      <c r="E23" s="638"/>
      <c r="F23" s="136"/>
      <c r="G23" s="628" t="s">
        <v>1198</v>
      </c>
      <c r="H23" s="629"/>
      <c r="I23" s="629"/>
      <c r="J23" s="644">
        <f ca="1">SUM(J9:J19)</f>
        <v>0.48803565650573721</v>
      </c>
      <c r="K23" s="645"/>
      <c r="L23" s="296"/>
      <c r="M23" s="372">
        <f ca="1">IF(TOTAL_POWER&gt;0,P23/TOTAL_POWER,0)</f>
        <v>0.69717610156743026</v>
      </c>
      <c r="N23" s="297" t="s">
        <v>1204</v>
      </c>
      <c r="O23" s="298"/>
      <c r="P23" s="302">
        <f ca="1">J17</f>
        <v>0.34024679642857136</v>
      </c>
      <c r="Q23" s="341"/>
      <c r="R23" s="341"/>
      <c r="S23" s="341"/>
      <c r="T23" s="333"/>
      <c r="U23" s="340"/>
      <c r="V23" s="333"/>
      <c r="W23" s="341"/>
      <c r="X23" s="333">
        <v>13</v>
      </c>
      <c r="Y23" s="334"/>
      <c r="Z23" s="334"/>
      <c r="AA23" s="334"/>
      <c r="AB23" s="334"/>
      <c r="AC23" s="174"/>
      <c r="AD23" s="174"/>
      <c r="AE23" s="174"/>
      <c r="AF23" s="174"/>
      <c r="AG23" s="174"/>
      <c r="AH23" s="174"/>
      <c r="AI23" s="174"/>
      <c r="AJ23" s="174"/>
      <c r="AK23" s="174"/>
      <c r="AL23" s="174"/>
      <c r="AM23" s="174"/>
      <c r="AN23" s="174"/>
      <c r="AO23" s="174"/>
      <c r="AP23" s="136"/>
      <c r="AQ23" s="174"/>
      <c r="AR23" s="127"/>
    </row>
    <row r="24" spans="1:44" ht="19.5" customHeight="1" thickBot="1" x14ac:dyDescent="0.3">
      <c r="A24" s="124"/>
      <c r="B24" s="269"/>
      <c r="C24" s="269"/>
      <c r="D24" s="269"/>
      <c r="E24" s="269"/>
      <c r="F24" s="136"/>
      <c r="G24" s="630"/>
      <c r="H24" s="631"/>
      <c r="I24" s="631"/>
      <c r="J24" s="646"/>
      <c r="K24" s="647"/>
      <c r="L24" s="296"/>
      <c r="M24" s="372">
        <f ca="1">IF(TOTAL_POWER&gt;0,P24/TOTAL_POWER,0)</f>
        <v>0.10861409539540985</v>
      </c>
      <c r="N24" s="295" t="s">
        <v>1205</v>
      </c>
      <c r="O24" s="296"/>
      <c r="P24" s="302">
        <f ca="1">SUM(J9:J16)</f>
        <v>5.3007551352075619E-2</v>
      </c>
      <c r="Q24" s="341"/>
      <c r="R24" s="341"/>
      <c r="S24" s="341"/>
      <c r="T24" s="333"/>
      <c r="U24" s="333"/>
      <c r="V24" s="333"/>
      <c r="W24" s="334"/>
      <c r="X24" s="333">
        <v>14</v>
      </c>
      <c r="Y24" s="334"/>
      <c r="Z24" s="334"/>
      <c r="AA24" s="334"/>
      <c r="AB24" s="334"/>
      <c r="AC24" s="174"/>
      <c r="AD24" s="174"/>
      <c r="AE24" s="174"/>
      <c r="AF24" s="174"/>
      <c r="AG24" s="174"/>
      <c r="AH24" s="174"/>
      <c r="AI24" s="174"/>
      <c r="AJ24" s="174"/>
      <c r="AK24" s="174"/>
      <c r="AL24" s="174"/>
      <c r="AM24" s="174"/>
      <c r="AN24" s="174"/>
      <c r="AO24" s="174"/>
      <c r="AP24" s="136"/>
      <c r="AQ24" s="174"/>
      <c r="AR24" s="127"/>
    </row>
    <row r="25" spans="1:44" ht="19.5" customHeight="1" x14ac:dyDescent="0.25">
      <c r="A25" s="124"/>
      <c r="B25" s="641" t="s">
        <v>789</v>
      </c>
      <c r="C25" s="642"/>
      <c r="D25" s="642"/>
      <c r="E25" s="643"/>
      <c r="F25" s="136"/>
      <c r="G25" s="648" t="s">
        <v>1200</v>
      </c>
      <c r="H25" s="649"/>
      <c r="I25" s="649"/>
      <c r="J25" s="492">
        <f ca="1">TJ_MAX - (TJA*TOTAL_POWER+AMBIENT_TEMP)</f>
        <v>54.631607778436887</v>
      </c>
      <c r="K25" s="288">
        <f ca="1">IF(THERMAL_MARGIN_C/TJA+TOTAL_POWER&gt;=0,(MAX_AMBIENT - AMBIENT_TEMP)/TJA,"")</f>
        <v>4.6762716673559703</v>
      </c>
      <c r="L25" s="296"/>
      <c r="M25" s="372">
        <f ca="1">IF(TOTAL_POWER&gt;0,P25/TOTAL_POWER,0)</f>
        <v>0.19420980303715984</v>
      </c>
      <c r="N25" s="295" t="s">
        <v>1206</v>
      </c>
      <c r="O25" s="299"/>
      <c r="P25" s="302">
        <f ca="1">J19</f>
        <v>9.4781308725090219E-2</v>
      </c>
      <c r="Q25" s="341"/>
      <c r="R25" s="341"/>
      <c r="S25" s="341"/>
      <c r="T25" s="333"/>
      <c r="U25" s="333">
        <v>25</v>
      </c>
      <c r="V25" s="333">
        <v>85</v>
      </c>
      <c r="W25" s="334">
        <v>100</v>
      </c>
      <c r="X25" s="333">
        <v>15</v>
      </c>
      <c r="Y25" s="334"/>
      <c r="Z25" s="334"/>
      <c r="AA25" s="334"/>
      <c r="AB25" s="334"/>
      <c r="AC25" s="174"/>
      <c r="AD25" s="174"/>
      <c r="AE25" s="174"/>
      <c r="AF25" s="174"/>
      <c r="AG25" s="174"/>
      <c r="AH25" s="174"/>
      <c r="AI25" s="174"/>
      <c r="AJ25" s="174"/>
      <c r="AK25" s="174"/>
      <c r="AL25" s="174"/>
      <c r="AM25" s="174"/>
      <c r="AN25" s="174"/>
      <c r="AO25" s="174"/>
      <c r="AP25" s="136"/>
      <c r="AQ25" s="174"/>
      <c r="AR25" s="127"/>
    </row>
    <row r="26" spans="1:44" ht="18" customHeight="1" thickBot="1" x14ac:dyDescent="0.3">
      <c r="A26" s="124"/>
      <c r="B26" s="268" t="s">
        <v>457</v>
      </c>
      <c r="C26" s="662" t="s">
        <v>1213</v>
      </c>
      <c r="D26" s="663"/>
      <c r="E26" s="664"/>
      <c r="F26" s="136">
        <f>IF(C26="Timing Performance",1.05,IF(C26="Power Optimization",0.92,IF(C26="Area Reduction",0.95,IF(C26="Minimum Runtime",1.03,1))))</f>
        <v>1</v>
      </c>
      <c r="G26" s="659" t="s">
        <v>1201</v>
      </c>
      <c r="H26" s="660"/>
      <c r="I26" s="661"/>
      <c r="J26" s="670">
        <f ca="1">IF(USER_THETAJA&gt;0,USER_THETAJA,$U48)</f>
        <v>11</v>
      </c>
      <c r="K26" s="671"/>
      <c r="L26" s="392" t="s">
        <v>1207</v>
      </c>
      <c r="M26" s="301"/>
      <c r="N26" s="300"/>
      <c r="O26" s="300"/>
      <c r="P26" s="302">
        <f>IO!L9</f>
        <v>0</v>
      </c>
      <c r="Q26" s="341"/>
      <c r="R26" s="341"/>
      <c r="S26" s="341"/>
      <c r="T26" s="342" t="str">
        <f>"Typical (" &amp; IF(SPEEDGRADE="-1L","1.0","1.2") &amp; "V)"</f>
        <v>Typical (1.2V)</v>
      </c>
      <c r="U26" s="334">
        <v>6.569583205568047E-2</v>
      </c>
      <c r="V26" s="334">
        <v>0.358653373664231</v>
      </c>
      <c r="W26" s="334">
        <v>0.56262369754676089</v>
      </c>
      <c r="X26" s="333">
        <v>16</v>
      </c>
      <c r="Y26" s="334"/>
      <c r="Z26" s="334"/>
      <c r="AA26" s="334"/>
      <c r="AB26" s="334"/>
      <c r="AC26" s="174"/>
      <c r="AD26" s="174"/>
      <c r="AE26" s="174"/>
      <c r="AF26" s="174"/>
      <c r="AG26" s="174"/>
      <c r="AH26" s="174"/>
      <c r="AI26" s="174"/>
      <c r="AJ26" s="174"/>
      <c r="AK26" s="174"/>
      <c r="AL26" s="174"/>
      <c r="AM26" s="174"/>
      <c r="AN26" s="174"/>
      <c r="AO26" s="174"/>
      <c r="AP26" s="136"/>
      <c r="AQ26" s="174"/>
      <c r="AR26" s="127"/>
    </row>
    <row r="27" spans="1:44" ht="12" customHeight="1" x14ac:dyDescent="0.25">
      <c r="A27" s="127"/>
      <c r="B27" s="269"/>
      <c r="C27" s="269"/>
      <c r="D27" s="269"/>
      <c r="E27" s="269"/>
      <c r="F27" s="136"/>
      <c r="G27" s="289"/>
      <c r="H27" s="289"/>
      <c r="I27" s="269"/>
      <c r="J27" s="269"/>
      <c r="K27" s="269"/>
      <c r="L27" s="269"/>
      <c r="M27" s="672"/>
      <c r="N27" s="673"/>
      <c r="O27" s="127"/>
      <c r="P27" s="127"/>
      <c r="Q27" s="341"/>
      <c r="R27" s="341"/>
      <c r="S27" s="341"/>
      <c r="T27" s="526" t="str">
        <f>"Maximum (" &amp; IF(SPEEDGRADE="-1L","1.05","1.26") &amp; "V)"</f>
        <v>Maximum (1.26V)</v>
      </c>
      <c r="U27" s="340">
        <v>0.15127910751698964</v>
      </c>
      <c r="V27" s="340">
        <v>0.95777791388842493</v>
      </c>
      <c r="W27" s="334">
        <v>1.3556451636121056</v>
      </c>
      <c r="X27" s="333">
        <v>17</v>
      </c>
      <c r="Y27" s="334"/>
      <c r="Z27" s="334"/>
      <c r="AA27" s="334"/>
      <c r="AB27" s="334"/>
      <c r="AC27" s="174"/>
      <c r="AD27" s="174"/>
      <c r="AE27" s="174"/>
      <c r="AF27" s="174"/>
      <c r="AG27" s="174"/>
      <c r="AH27" s="174"/>
      <c r="AI27" s="174"/>
      <c r="AJ27" s="174"/>
      <c r="AK27" s="174"/>
      <c r="AL27" s="174"/>
      <c r="AM27" s="174"/>
      <c r="AN27" s="174"/>
      <c r="AO27" s="174"/>
      <c r="AP27" s="136"/>
      <c r="AQ27" s="174"/>
      <c r="AR27" s="127"/>
    </row>
    <row r="28" spans="1:44" ht="12.75" customHeight="1" thickBot="1" x14ac:dyDescent="0.3">
      <c r="A28" s="127"/>
      <c r="B28" s="127"/>
      <c r="C28" s="127"/>
      <c r="D28" s="127"/>
      <c r="E28" s="127"/>
      <c r="F28" s="136"/>
      <c r="G28" s="179"/>
      <c r="H28" s="136"/>
      <c r="I28" s="136"/>
      <c r="J28" s="136"/>
      <c r="K28" s="136"/>
      <c r="L28" s="136"/>
      <c r="M28" s="655"/>
      <c r="N28" s="655"/>
      <c r="O28" s="127"/>
      <c r="P28" s="127"/>
      <c r="Q28" s="341"/>
      <c r="R28" s="343"/>
      <c r="S28" s="341"/>
      <c r="T28" s="333">
        <f>IF(MID(PART,3,2)="6S",1,0)</f>
        <v>1</v>
      </c>
      <c r="U28" s="340"/>
      <c r="V28" s="340"/>
      <c r="W28" s="341"/>
      <c r="X28" s="333"/>
      <c r="Y28" s="334"/>
      <c r="Z28" s="334"/>
      <c r="AA28" s="334"/>
      <c r="AB28" s="334"/>
      <c r="AC28" s="174"/>
      <c r="AD28" s="174"/>
      <c r="AE28" s="174"/>
      <c r="AF28" s="174"/>
      <c r="AG28" s="174"/>
      <c r="AH28" s="174"/>
      <c r="AI28" s="174"/>
      <c r="AJ28" s="174"/>
      <c r="AK28" s="174"/>
      <c r="AL28" s="174"/>
      <c r="AM28" s="174"/>
      <c r="AN28" s="174"/>
      <c r="AO28" s="174"/>
      <c r="AP28" s="136"/>
      <c r="AQ28" s="174"/>
      <c r="AR28" s="127"/>
    </row>
    <row r="29" spans="1:44" ht="15.75" customHeight="1" x14ac:dyDescent="0.25">
      <c r="A29" s="127"/>
      <c r="B29" s="620" t="s">
        <v>1202</v>
      </c>
      <c r="C29" s="656" t="str">
        <f ca="1">IF(ISERROR(IO_POWER),"ERROR: Unsupported I/O standard(s) for target device.","")</f>
        <v/>
      </c>
      <c r="D29" s="657"/>
      <c r="E29" s="657"/>
      <c r="F29" s="657"/>
      <c r="G29" s="657"/>
      <c r="H29" s="657"/>
      <c r="I29" s="657"/>
      <c r="J29" s="657"/>
      <c r="K29" s="657"/>
      <c r="L29" s="657"/>
      <c r="M29" s="657"/>
      <c r="N29" s="657"/>
      <c r="O29" s="657"/>
      <c r="P29" s="658"/>
      <c r="Q29" s="341"/>
      <c r="R29" s="341"/>
      <c r="S29" s="341"/>
      <c r="T29" s="333" t="s">
        <v>1282</v>
      </c>
      <c r="U29" s="344">
        <f ca="1">$J19</f>
        <v>9.4781308725090219E-2</v>
      </c>
      <c r="V29" s="341"/>
      <c r="W29" s="341"/>
      <c r="X29" s="333"/>
      <c r="Y29" s="333"/>
      <c r="Z29" s="333"/>
      <c r="AA29" s="333"/>
      <c r="AB29" s="333"/>
      <c r="AC29" s="136"/>
      <c r="AD29" s="136"/>
      <c r="AE29" s="136"/>
      <c r="AF29" s="136"/>
      <c r="AG29" s="136"/>
      <c r="AH29" s="136"/>
      <c r="AI29" s="136"/>
      <c r="AJ29" s="136"/>
      <c r="AK29" s="136"/>
      <c r="AL29" s="136"/>
      <c r="AM29" s="136"/>
      <c r="AN29" s="136"/>
      <c r="AO29" s="136"/>
      <c r="AP29" s="136"/>
      <c r="AQ29" s="127"/>
      <c r="AR29" s="127"/>
    </row>
    <row r="30" spans="1:44" ht="15.75" customHeight="1" x14ac:dyDescent="0.25">
      <c r="A30" s="127"/>
      <c r="B30" s="621"/>
      <c r="C30" s="674" t="str">
        <f>"Warning:  Maximum startup current "&amp;POWERUP&amp;"A exceeds total estimated Iccint.  See:"</f>
        <v>Warning:  Maximum startup current 0A exceeds total estimated Iccint.  See:</v>
      </c>
      <c r="D30" s="674"/>
      <c r="E30" s="674"/>
      <c r="F30" s="674"/>
      <c r="G30" s="674"/>
      <c r="H30" s="674"/>
      <c r="I30" s="674"/>
      <c r="J30" s="674"/>
      <c r="K30" s="674"/>
      <c r="L30" s="665" t="s">
        <v>1108</v>
      </c>
      <c r="M30" s="665"/>
      <c r="N30" s="427"/>
      <c r="O30" s="428"/>
      <c r="P30" s="429"/>
      <c r="Q30" s="341"/>
      <c r="R30" s="341"/>
      <c r="S30" s="341"/>
      <c r="T30" s="333" t="s">
        <v>415</v>
      </c>
      <c r="U30" s="333">
        <f ca="1">CLOCK_POWER</f>
        <v>3.1736891352075622E-2</v>
      </c>
      <c r="V30" s="333"/>
      <c r="W30" s="333"/>
      <c r="X30" s="333"/>
      <c r="Y30" s="333"/>
      <c r="Z30" s="333"/>
      <c r="AA30" s="333"/>
      <c r="AB30" s="333"/>
      <c r="AC30" s="136"/>
      <c r="AD30" s="136"/>
      <c r="AE30" s="136"/>
      <c r="AF30" s="136"/>
      <c r="AG30" s="136"/>
      <c r="AH30" s="136"/>
      <c r="AI30" s="136"/>
      <c r="AJ30" s="136"/>
      <c r="AK30" s="136"/>
      <c r="AL30" s="136"/>
      <c r="AM30" s="136"/>
      <c r="AN30" s="136"/>
      <c r="AO30" s="136"/>
      <c r="AP30" s="136"/>
      <c r="AQ30" s="127"/>
      <c r="AR30" s="127"/>
    </row>
    <row r="31" spans="1:44" ht="15.75" customHeight="1" thickBot="1" x14ac:dyDescent="0.3">
      <c r="A31" s="290"/>
      <c r="B31" s="622"/>
      <c r="C31" s="675"/>
      <c r="D31" s="675"/>
      <c r="E31" s="675"/>
      <c r="F31" s="675"/>
      <c r="G31" s="675"/>
      <c r="H31" s="675"/>
      <c r="I31" s="675"/>
      <c r="J31" s="675"/>
      <c r="K31" s="675"/>
      <c r="L31" s="675"/>
      <c r="M31" s="675"/>
      <c r="N31" s="675"/>
      <c r="O31" s="675"/>
      <c r="P31" s="676"/>
      <c r="Q31" s="341"/>
      <c r="R31" s="341"/>
      <c r="S31" s="341"/>
      <c r="T31" s="333" t="s">
        <v>317</v>
      </c>
      <c r="U31" s="333">
        <f ca="1">LOGIC_POWER</f>
        <v>0</v>
      </c>
      <c r="V31" s="333"/>
      <c r="W31" s="333"/>
      <c r="X31" s="333"/>
      <c r="Y31" s="333"/>
      <c r="Z31" s="333"/>
      <c r="AA31" s="333"/>
      <c r="AB31" s="333"/>
      <c r="AC31" s="136"/>
      <c r="AD31" s="136"/>
      <c r="AE31" s="136"/>
      <c r="AF31" s="136"/>
      <c r="AG31" s="136"/>
      <c r="AH31" s="136"/>
      <c r="AI31" s="136"/>
      <c r="AJ31" s="136"/>
      <c r="AK31" s="136"/>
      <c r="AL31" s="136"/>
      <c r="AM31" s="136"/>
      <c r="AN31" s="136"/>
      <c r="AO31" s="136"/>
      <c r="AP31" s="136"/>
      <c r="AQ31" s="127"/>
      <c r="AR31" s="127"/>
    </row>
    <row r="32" spans="1:44" ht="13.65" customHeight="1" thickBot="1" x14ac:dyDescent="0.3">
      <c r="A32" s="125"/>
      <c r="B32" s="291"/>
      <c r="C32" s="291"/>
      <c r="D32" s="291"/>
      <c r="E32" s="127"/>
      <c r="F32" s="127"/>
      <c r="G32" s="127"/>
      <c r="H32" s="127"/>
      <c r="I32" s="127"/>
      <c r="J32" s="127"/>
      <c r="K32" s="127"/>
      <c r="L32" s="127"/>
      <c r="M32" s="127"/>
      <c r="N32" s="127"/>
      <c r="O32" s="283"/>
      <c r="P32" s="283"/>
      <c r="Q32" s="341"/>
      <c r="R32" s="341"/>
      <c r="S32" s="341"/>
      <c r="T32" s="333" t="s">
        <v>208</v>
      </c>
      <c r="U32" s="333">
        <f ca="1">IO_POWER</f>
        <v>0.34024679642857136</v>
      </c>
      <c r="V32" s="333"/>
      <c r="W32" s="333"/>
      <c r="X32" s="333"/>
      <c r="Y32" s="333"/>
      <c r="Z32" s="333"/>
      <c r="AA32" s="333"/>
      <c r="AB32" s="333"/>
      <c r="AC32" s="136"/>
      <c r="AD32" s="136"/>
      <c r="AE32" s="136"/>
      <c r="AF32" s="136"/>
      <c r="AG32" s="136"/>
      <c r="AH32" s="136"/>
      <c r="AI32" s="136"/>
      <c r="AJ32" s="136"/>
      <c r="AK32" s="136"/>
      <c r="AL32" s="136"/>
      <c r="AM32" s="136"/>
      <c r="AN32" s="136"/>
      <c r="AO32" s="136"/>
      <c r="AP32" s="136"/>
      <c r="AQ32" s="127"/>
      <c r="AR32" s="127"/>
    </row>
    <row r="33" spans="1:44" x14ac:dyDescent="0.25">
      <c r="A33" s="125"/>
      <c r="B33" s="620" t="s">
        <v>138</v>
      </c>
      <c r="C33" s="666"/>
      <c r="D33" s="666"/>
      <c r="E33" s="666"/>
      <c r="F33" s="666"/>
      <c r="G33" s="666"/>
      <c r="H33" s="666"/>
      <c r="I33" s="666"/>
      <c r="J33" s="666"/>
      <c r="K33" s="666"/>
      <c r="L33" s="666"/>
      <c r="M33" s="666"/>
      <c r="N33" s="666"/>
      <c r="O33" s="666"/>
      <c r="P33" s="667"/>
      <c r="Q33" s="341"/>
      <c r="R33" s="341"/>
      <c r="S33" s="341"/>
      <c r="T33" s="333" t="s">
        <v>58</v>
      </c>
      <c r="U33" s="333">
        <f ca="1">BRAM_POWER</f>
        <v>0</v>
      </c>
      <c r="V33" s="333"/>
      <c r="W33" s="333"/>
      <c r="X33" s="333"/>
      <c r="Y33" s="333"/>
      <c r="Z33" s="333"/>
      <c r="AA33" s="333"/>
      <c r="AB33" s="333"/>
      <c r="AC33" s="136"/>
      <c r="AD33" s="136"/>
      <c r="AE33" s="136"/>
      <c r="AF33" s="136"/>
      <c r="AG33" s="136"/>
      <c r="AH33" s="136"/>
      <c r="AI33" s="136"/>
      <c r="AJ33" s="136"/>
      <c r="AK33" s="136"/>
      <c r="AL33" s="136"/>
      <c r="AM33" s="136"/>
      <c r="AN33" s="136"/>
      <c r="AO33" s="136"/>
      <c r="AP33" s="136"/>
      <c r="AQ33" s="127"/>
      <c r="AR33" s="127"/>
    </row>
    <row r="34" spans="1:44" ht="16.5" customHeight="1" thickBot="1" x14ac:dyDescent="0.3">
      <c r="A34" s="125"/>
      <c r="B34" s="635"/>
      <c r="C34" s="668"/>
      <c r="D34" s="668"/>
      <c r="E34" s="668"/>
      <c r="F34" s="668"/>
      <c r="G34" s="668"/>
      <c r="H34" s="668"/>
      <c r="I34" s="668"/>
      <c r="J34" s="668"/>
      <c r="K34" s="668"/>
      <c r="L34" s="668"/>
      <c r="M34" s="668"/>
      <c r="N34" s="668"/>
      <c r="O34" s="668"/>
      <c r="P34" s="669"/>
      <c r="Q34" s="341"/>
      <c r="R34" s="341"/>
      <c r="S34" s="341"/>
      <c r="T34" s="333" t="s">
        <v>59</v>
      </c>
      <c r="U34" s="333">
        <f ca="1">DCM_POWER</f>
        <v>2.127066E-2</v>
      </c>
      <c r="V34" s="333"/>
      <c r="W34" s="333"/>
      <c r="X34" s="333"/>
      <c r="Y34" s="333"/>
      <c r="Z34" s="333"/>
      <c r="AA34" s="333"/>
      <c r="AB34" s="333"/>
      <c r="AC34" s="136"/>
      <c r="AD34" s="136"/>
      <c r="AE34" s="136"/>
      <c r="AF34" s="136"/>
      <c r="AG34" s="136"/>
      <c r="AH34" s="136"/>
      <c r="AI34" s="136"/>
      <c r="AJ34" s="136"/>
      <c r="AK34" s="136"/>
      <c r="AL34" s="136"/>
      <c r="AM34" s="136"/>
      <c r="AN34" s="136"/>
      <c r="AO34" s="136"/>
      <c r="AP34" s="136"/>
      <c r="AQ34" s="127"/>
      <c r="AR34" s="127"/>
    </row>
    <row r="35" spans="1:44" ht="13.8" x14ac:dyDescent="0.25">
      <c r="A35" s="125"/>
      <c r="B35" s="127"/>
      <c r="C35" s="292"/>
      <c r="D35" s="292"/>
      <c r="E35" s="292"/>
      <c r="F35" s="292"/>
      <c r="G35" s="292"/>
      <c r="H35" s="292"/>
      <c r="I35" s="292"/>
      <c r="J35" s="292"/>
      <c r="K35" s="292"/>
      <c r="L35" s="292"/>
      <c r="M35" s="292"/>
      <c r="N35" s="292"/>
      <c r="O35" s="292"/>
      <c r="P35" s="292"/>
      <c r="Q35" s="345"/>
      <c r="R35" s="345"/>
      <c r="S35" s="345"/>
      <c r="T35" s="333" t="str">
        <f>IF((LEFT(PART,5)="XC3SD")+(ISSTA=1),"DSP","MULT")</f>
        <v>DSP</v>
      </c>
      <c r="U35" s="333">
        <f ca="1">IF((LEFT(PART,5)="XC3SD")+(ISSTA=1),DSP_POWER,MULT_POWER)</f>
        <v>0</v>
      </c>
      <c r="V35" s="333"/>
      <c r="W35" s="333"/>
      <c r="X35" s="333"/>
      <c r="Y35" s="333"/>
      <c r="Z35" s="333"/>
      <c r="AA35" s="333"/>
      <c r="AB35" s="333"/>
      <c r="AC35" s="136"/>
      <c r="AD35" s="136"/>
      <c r="AE35" s="136"/>
      <c r="AF35" s="136"/>
      <c r="AG35" s="136"/>
      <c r="AH35" s="136"/>
      <c r="AI35" s="136"/>
      <c r="AJ35" s="136"/>
      <c r="AK35" s="136"/>
      <c r="AL35" s="136"/>
      <c r="AM35" s="136"/>
      <c r="AN35" s="136"/>
      <c r="AO35" s="136"/>
      <c r="AP35" s="136"/>
      <c r="AQ35" s="127"/>
      <c r="AR35" s="127"/>
    </row>
    <row r="36" spans="1:44" x14ac:dyDescent="0.25">
      <c r="A36" s="125"/>
      <c r="B36" s="626" t="s">
        <v>1356</v>
      </c>
      <c r="C36" s="626"/>
      <c r="D36" s="626"/>
      <c r="E36" s="627"/>
      <c r="F36" s="623" t="s">
        <v>1208</v>
      </c>
      <c r="G36" s="624"/>
      <c r="H36" s="624"/>
      <c r="I36" s="624"/>
      <c r="J36" s="290"/>
      <c r="K36" s="290"/>
      <c r="L36" s="125"/>
      <c r="M36" s="653" t="s">
        <v>1358</v>
      </c>
      <c r="N36" s="654"/>
      <c r="O36" s="654"/>
      <c r="P36" s="654"/>
      <c r="Q36" s="341"/>
      <c r="R36" s="341"/>
      <c r="S36" s="341"/>
      <c r="T36" s="333" t="str">
        <f>IF(ISSTA=1,"PLL","")</f>
        <v>PLL</v>
      </c>
      <c r="U36" s="333">
        <f ca="1">IF(ISSTA=1,PLL_POWER,0)</f>
        <v>0</v>
      </c>
      <c r="V36" s="333"/>
      <c r="W36" s="333"/>
      <c r="X36" s="333"/>
      <c r="Y36" s="333"/>
      <c r="Z36" s="333"/>
      <c r="AA36" s="333"/>
      <c r="AB36" s="333"/>
      <c r="AC36" s="136"/>
      <c r="AD36" s="136"/>
      <c r="AE36" s="136"/>
      <c r="AF36" s="136"/>
      <c r="AG36" s="136"/>
      <c r="AH36" s="136"/>
      <c r="AI36" s="136"/>
      <c r="AJ36" s="136"/>
      <c r="AK36" s="136"/>
      <c r="AL36" s="136"/>
      <c r="AM36" s="136"/>
      <c r="AN36" s="136"/>
      <c r="AO36" s="136"/>
      <c r="AP36" s="136"/>
      <c r="AQ36" s="127"/>
      <c r="AR36" s="127"/>
    </row>
    <row r="37" spans="1:44" x14ac:dyDescent="0.25">
      <c r="A37" s="125"/>
      <c r="B37" s="392" t="s">
        <v>0</v>
      </c>
      <c r="C37" s="293"/>
      <c r="D37" s="293"/>
      <c r="E37" s="125"/>
      <c r="F37" s="294"/>
      <c r="G37" s="294"/>
      <c r="H37" s="270"/>
      <c r="I37" s="270"/>
      <c r="J37" s="653" t="s">
        <v>1209</v>
      </c>
      <c r="K37" s="654"/>
      <c r="L37" s="654"/>
      <c r="M37" s="654"/>
      <c r="N37" s="654"/>
      <c r="O37" s="654"/>
      <c r="P37" s="654"/>
      <c r="Q37" s="341"/>
      <c r="R37" s="341"/>
      <c r="S37" s="341"/>
      <c r="T37" s="341" t="str">
        <f>IF((ISSTA=1)*(NUM_GTS&gt;0),"GTP","")</f>
        <v/>
      </c>
      <c r="U37" s="341">
        <f>IF(NUM_GTS&gt;0,MGT_POWER,0)</f>
        <v>0</v>
      </c>
      <c r="V37" s="333"/>
      <c r="W37" s="333"/>
      <c r="X37" s="333"/>
      <c r="Y37" s="333"/>
      <c r="Z37" s="333"/>
      <c r="AA37" s="333"/>
      <c r="AB37" s="333"/>
      <c r="AC37" s="136"/>
      <c r="AD37" s="136"/>
      <c r="AE37" s="136"/>
      <c r="AF37" s="136"/>
      <c r="AG37" s="136"/>
      <c r="AH37" s="136"/>
      <c r="AI37" s="136"/>
      <c r="AJ37" s="136"/>
      <c r="AK37" s="136"/>
      <c r="AL37" s="136"/>
      <c r="AM37" s="136"/>
      <c r="AN37" s="136"/>
      <c r="AO37" s="136"/>
      <c r="AP37" s="136"/>
      <c r="AQ37" s="127"/>
      <c r="AR37" s="127"/>
    </row>
    <row r="38" spans="1:44" x14ac:dyDescent="0.25">
      <c r="A38" s="125"/>
      <c r="B38" s="295"/>
      <c r="C38" s="295"/>
      <c r="D38" s="295"/>
      <c r="E38" s="303"/>
      <c r="F38" s="293"/>
      <c r="G38" s="293"/>
      <c r="H38" s="270"/>
      <c r="I38" s="270"/>
      <c r="J38" s="270"/>
      <c r="K38" s="270"/>
      <c r="L38" s="270"/>
      <c r="M38" s="270"/>
      <c r="N38" s="270"/>
      <c r="O38" s="270"/>
      <c r="P38" s="270"/>
      <c r="Q38" s="341"/>
      <c r="R38" s="341"/>
      <c r="S38" s="341"/>
      <c r="T38" s="333" t="str">
        <f>IF((ISSTA=1)*(NUM_PCIES&gt;0),"PCIE","")</f>
        <v/>
      </c>
      <c r="U38" s="333">
        <f>IF(NUM_PCIES&gt;0,PCIE_POWER,0)</f>
        <v>0</v>
      </c>
      <c r="V38" s="333"/>
      <c r="W38" s="333"/>
      <c r="X38" s="333"/>
      <c r="Y38" s="333"/>
      <c r="Z38" s="333"/>
      <c r="AA38" s="333"/>
      <c r="AB38" s="333"/>
      <c r="AC38" s="136"/>
      <c r="AD38" s="136"/>
      <c r="AE38" s="136"/>
      <c r="AF38" s="136"/>
      <c r="AG38" s="136"/>
      <c r="AH38" s="136"/>
      <c r="AI38" s="136"/>
      <c r="AJ38" s="136"/>
      <c r="AK38" s="136"/>
      <c r="AL38" s="136"/>
      <c r="AM38" s="136"/>
      <c r="AN38" s="136"/>
      <c r="AO38" s="136"/>
      <c r="AP38" s="136"/>
      <c r="AQ38" s="127"/>
      <c r="AR38" s="127"/>
    </row>
    <row r="39" spans="1:44" ht="20.25" customHeight="1" x14ac:dyDescent="0.25">
      <c r="A39" s="125"/>
      <c r="B39" s="406" t="s">
        <v>1210</v>
      </c>
      <c r="C39" s="295"/>
      <c r="D39" s="295"/>
      <c r="E39" s="127"/>
      <c r="F39" s="125"/>
      <c r="G39" s="125"/>
      <c r="H39" s="270"/>
      <c r="I39" s="270"/>
      <c r="J39" s="270"/>
      <c r="K39" s="270"/>
      <c r="L39" s="270"/>
      <c r="M39" s="270"/>
      <c r="N39" s="270"/>
      <c r="O39" s="270"/>
      <c r="P39" s="270"/>
      <c r="Q39" s="341"/>
      <c r="R39" s="341"/>
      <c r="S39" s="341"/>
      <c r="T39" s="333" t="str">
        <f>IF((ISSTA=1)*(NUM_MCBS&gt;0)*(SPEEDGRADE&lt;&gt;"-3N"),"MCB","")</f>
        <v>MCB</v>
      </c>
      <c r="U39" s="333">
        <f ca="1">IF(NUM_MCBS&gt;0,MCB_POWER,0)</f>
        <v>0</v>
      </c>
      <c r="V39" s="333"/>
      <c r="W39" s="333"/>
      <c r="X39" s="333"/>
      <c r="Y39" s="333"/>
      <c r="Z39" s="333"/>
      <c r="AA39" s="333"/>
      <c r="AB39" s="333"/>
      <c r="AC39" s="136"/>
      <c r="AD39" s="136"/>
      <c r="AE39" s="136"/>
      <c r="AF39" s="136"/>
      <c r="AG39" s="136"/>
      <c r="AH39" s="136"/>
      <c r="AI39" s="136"/>
      <c r="AJ39" s="136"/>
      <c r="AK39" s="136"/>
      <c r="AL39" s="136"/>
      <c r="AM39" s="136"/>
      <c r="AN39" s="136"/>
      <c r="AO39" s="136"/>
      <c r="AP39" s="136"/>
      <c r="AQ39" s="127"/>
      <c r="AR39" s="127"/>
    </row>
    <row r="40" spans="1:44" x14ac:dyDescent="0.25">
      <c r="A40" s="125"/>
      <c r="B40" s="127"/>
      <c r="C40" s="127"/>
      <c r="D40" s="127"/>
      <c r="E40" s="127"/>
      <c r="F40" s="127"/>
      <c r="G40" s="127"/>
      <c r="H40" s="127"/>
      <c r="I40" s="127"/>
      <c r="J40" s="127"/>
      <c r="K40" s="127"/>
      <c r="L40" s="127"/>
      <c r="M40" s="127"/>
      <c r="N40" s="127"/>
      <c r="O40" s="127"/>
      <c r="P40" s="127"/>
      <c r="Q40" s="341"/>
      <c r="R40" s="341"/>
      <c r="S40" s="341"/>
      <c r="T40" s="333" t="s">
        <v>1084</v>
      </c>
      <c r="U40" s="333">
        <f>IF(AIRFLOW=250,2,IF(AIRFLOW=500,3,1))</f>
        <v>2</v>
      </c>
      <c r="V40" s="333"/>
      <c r="W40" s="333"/>
      <c r="X40" s="333"/>
      <c r="Y40" s="333"/>
      <c r="Z40" s="333"/>
      <c r="AA40" s="333"/>
      <c r="AB40" s="333"/>
      <c r="AC40" s="136"/>
      <c r="AD40" s="136"/>
      <c r="AE40" s="136"/>
      <c r="AF40" s="136"/>
      <c r="AG40" s="136"/>
      <c r="AH40" s="136"/>
      <c r="AI40" s="136"/>
      <c r="AJ40" s="136"/>
      <c r="AK40" s="136"/>
      <c r="AL40" s="136"/>
      <c r="AM40" s="136"/>
      <c r="AN40" s="136"/>
      <c r="AO40" s="136"/>
      <c r="AP40" s="136"/>
      <c r="AQ40" s="127"/>
      <c r="AR40" s="127"/>
    </row>
    <row r="41" spans="1:44" ht="18.899999999999999" customHeight="1" x14ac:dyDescent="0.25">
      <c r="A41" s="125"/>
      <c r="B41" s="127"/>
      <c r="C41" s="127"/>
      <c r="D41" s="127"/>
      <c r="E41" s="127"/>
      <c r="F41" s="127"/>
      <c r="G41" s="341"/>
      <c r="H41" s="441"/>
      <c r="I41" s="441" t="s">
        <v>1283</v>
      </c>
      <c r="J41" s="441" t="s">
        <v>947</v>
      </c>
      <c r="K41" s="441" t="s">
        <v>755</v>
      </c>
      <c r="L41" s="441">
        <v>0</v>
      </c>
      <c r="M41" s="441" t="s">
        <v>754</v>
      </c>
      <c r="N41" s="441">
        <v>0</v>
      </c>
      <c r="O41" s="441"/>
      <c r="P41" s="441"/>
      <c r="Q41" s="441"/>
      <c r="R41" s="341"/>
      <c r="S41" s="341"/>
      <c r="T41" s="333" t="s">
        <v>1063</v>
      </c>
      <c r="U41" s="333">
        <f ca="1">OFFSET(Data!$A$641,MATCH(PACKAGE,PKG_MAP,FALSE),2)</f>
        <v>4</v>
      </c>
      <c r="V41" s="333"/>
      <c r="W41" s="333"/>
      <c r="X41" s="333"/>
      <c r="Y41" s="333"/>
      <c r="Z41" s="333"/>
      <c r="AA41" s="333"/>
      <c r="AB41" s="333"/>
      <c r="AC41" s="136"/>
      <c r="AD41" s="136"/>
      <c r="AE41" s="136"/>
      <c r="AF41" s="136"/>
      <c r="AG41" s="136"/>
      <c r="AH41" s="136"/>
      <c r="AI41" s="136"/>
      <c r="AJ41" s="136"/>
      <c r="AK41" s="136"/>
      <c r="AL41" s="136"/>
      <c r="AM41" s="136"/>
      <c r="AN41" s="136"/>
      <c r="AO41" s="136"/>
      <c r="AP41" s="136"/>
      <c r="AQ41" s="127"/>
      <c r="AR41" s="127"/>
    </row>
    <row r="42" spans="1:44" x14ac:dyDescent="0.25">
      <c r="A42" s="125"/>
      <c r="B42" s="127"/>
      <c r="C42" s="127"/>
      <c r="D42" s="127"/>
      <c r="E42" s="127"/>
      <c r="F42" s="127"/>
      <c r="G42" s="341"/>
      <c r="H42" s="441"/>
      <c r="I42" s="441">
        <f>IF(ISSTA=1,IF(VCCAUX&gt;2.3,0.7162*EXP(VCCAUX*0.1335),1),1)</f>
        <v>1.1126607050265007</v>
      </c>
      <c r="J42" s="441">
        <f>IF(ISSTA=1,IF(VCCINT&gt;0,0.025862532*EXP(3.0458*VCCINT),0),(VCCINT*VCCINT/1.44))</f>
        <v>1.0000000014014701</v>
      </c>
      <c r="K42" s="441" t="s">
        <v>750</v>
      </c>
      <c r="L42" s="441" t="s">
        <v>751</v>
      </c>
      <c r="M42" s="441" t="s">
        <v>752</v>
      </c>
      <c r="N42" s="441" t="s">
        <v>753</v>
      </c>
      <c r="O42" s="441" t="s">
        <v>1216</v>
      </c>
      <c r="P42" s="441">
        <f ca="1">IF(POWERMODE="Hibernate",0,IF(IO!AO130&gt;0,ICCOQ_D, 0)*VCCO33+IF(IO!AO131&gt;0,ICCOQ_D, 0)*VCCO25+IF(IO!AO132&gt;0,ICCOQ_D, 0)*VCCO18+IF(IO!AO133&gt;0,ICCOQ_D, 0)*VCCO15+IF(IO!AO134&gt;0,ICCOQ_D, 0)*VCCO12+IF(AND(NUM_GTS&gt;0,POWERMODE="Active"),GTP_LEAKAGE,0))</f>
        <v>7.4999999999999997E-3</v>
      </c>
      <c r="Q42" s="441"/>
      <c r="R42" s="341"/>
      <c r="S42" s="341"/>
      <c r="T42" s="333" t="s">
        <v>1076</v>
      </c>
      <c r="U42" s="333">
        <f ca="1">OFFSET(Data!$A$641,MATCH(PACKAGE,PKG_MAP,FALSE),3)</f>
        <v>729</v>
      </c>
      <c r="V42" s="333"/>
      <c r="W42" s="333"/>
      <c r="X42" s="333"/>
      <c r="Y42" s="333"/>
      <c r="Z42" s="333"/>
      <c r="AA42" s="333"/>
      <c r="AB42" s="333"/>
      <c r="AC42" s="136"/>
      <c r="AD42" s="136"/>
      <c r="AE42" s="136"/>
      <c r="AF42" s="136"/>
      <c r="AG42" s="136"/>
      <c r="AH42" s="136"/>
      <c r="AI42" s="136"/>
      <c r="AJ42" s="136"/>
      <c r="AK42" s="136"/>
      <c r="AL42" s="136"/>
      <c r="AM42" s="136"/>
      <c r="AN42" s="136"/>
      <c r="AO42" s="136"/>
      <c r="AP42" s="136"/>
      <c r="AQ42" s="127"/>
      <c r="AR42" s="127"/>
    </row>
    <row r="43" spans="1:44" x14ac:dyDescent="0.25">
      <c r="A43" s="269"/>
      <c r="B43" s="127"/>
      <c r="C43" s="127"/>
      <c r="D43" s="127"/>
      <c r="E43" s="127"/>
      <c r="F43" s="127"/>
      <c r="G43" s="341"/>
      <c r="H43" s="441"/>
      <c r="I43" s="441"/>
      <c r="J43" s="441"/>
      <c r="K43" s="442">
        <f ca="1">MIN(125,IF(USER_TJ&gt;0,USER_TJ,TJA*(IF(USER_DYNAMIC&gt;0, USER_DYNAMIC+ICCINTQ_D*PROCESS_FACTOR*VCCINT*$J$42,SUM($J$9:$J$18)+ ($N$41+ICCAUXQ_D)*VCCAUX*$I$42 + ($L$41+ICCINTQ_D*PROCESS_FACTOR)*VCCINT*$J$42+$P$42))+AMBIENT_TEMP))</f>
        <v>30.247004078585253</v>
      </c>
      <c r="L43" s="442">
        <f t="shared" ref="L43:L60" ca="1" si="1">(ICCINTQ_D/OFFSET(TEMP_FACTORS,TEMP_FACTOR_ROW,1))*EXP(MIN(125,$K43)/OFFSET(TEMP_FACTORS,TEMP_FACTOR_ROW,2))*IF($K43&gt;101,Q_GradeInt*($K43-100)/($K43-100),1)-ICCINTQ_D</f>
        <v>6.6768353706360348E-3</v>
      </c>
      <c r="M43" s="441">
        <f ca="1">MIN(125,IF(USER_TJ&gt;0,USER_TJ,TJA*(IF(USER_DYNAMIC&gt;0, USER_DYNAMIC,(SUM($J$9:$J$18)+($L$41+(ICCINTQ_D+IF(AND(ISSTA=1,$K43&gt;85,PROCESS_FACTOR&gt;1),$L43+($K43-85)*GRADE_FACTOR*IF(AND($K43&gt;100,QGRADE_FACTOR&gt;0),QGRADE_FACTOR*($K43-100)+1,1)/PROCESS_FACTOR,$L43))*PROCESS_FACTOR)*VCCINT*$J$42+($N$41+ICCAUXQ_D)*VCCAUX*$I$42+$P$42)))+AMBIENT_TEMP))</f>
        <v>30.335138305601166</v>
      </c>
      <c r="N43" s="441">
        <f t="shared" ref="N43:N60" ca="1" si="2">IF(ISSTA=1,(ICCAUXQ_D/OFFSET(TEMP_FACTORS,TEMP_FACTOR_ROW,5))*EXP(MIN(125,$M43)/OFFSET(TEMP_FACTORS,TEMP_FACTOR_ROW,6))*IF($M43&gt;102,Q_GradeAux*($M43-100)/($M43-100),1),ICCAUXQ_D)</f>
        <v>9.763350202480512E-3</v>
      </c>
      <c r="O43" s="441"/>
      <c r="P43" s="441"/>
      <c r="Q43" s="441"/>
      <c r="R43" s="341"/>
      <c r="S43" s="341"/>
      <c r="T43" s="333" t="s">
        <v>1067</v>
      </c>
      <c r="U43" s="333">
        <f ca="1">1/(6*$U42*0.000001)</f>
        <v>228.62368541380891</v>
      </c>
      <c r="V43" s="333"/>
      <c r="W43" s="333"/>
      <c r="X43" s="333"/>
      <c r="Y43" s="333"/>
      <c r="Z43" s="333"/>
      <c r="AA43" s="333"/>
      <c r="AB43" s="333"/>
      <c r="AC43" s="136"/>
      <c r="AD43" s="136"/>
      <c r="AE43" s="136"/>
      <c r="AF43" s="136"/>
      <c r="AG43" s="136"/>
      <c r="AH43" s="136"/>
      <c r="AI43" s="136"/>
      <c r="AJ43" s="136"/>
      <c r="AK43" s="136"/>
      <c r="AL43" s="136"/>
      <c r="AM43" s="136"/>
      <c r="AN43" s="136"/>
      <c r="AO43" s="136"/>
      <c r="AP43" s="136"/>
      <c r="AQ43" s="127"/>
      <c r="AR43" s="127"/>
    </row>
    <row r="44" spans="1:44" x14ac:dyDescent="0.25">
      <c r="A44" s="269"/>
      <c r="B44" s="269"/>
      <c r="C44" s="269"/>
      <c r="D44" s="269"/>
      <c r="E44" s="269"/>
      <c r="F44" s="269"/>
      <c r="G44" s="341"/>
      <c r="H44" s="441"/>
      <c r="I44" s="441"/>
      <c r="J44" s="441"/>
      <c r="K44" s="442">
        <f t="shared" ref="K44:K60" ca="1" si="3">MIN(125,IF(USER_TJ&gt;0,USER_TJ,TJA*(IF(USER_DYNAMIC&gt;0, USER_DYNAMIC+(ICCINTQ_D+$L43)*PROCESS_FACTOR*VCCINT*$J$42,SUM($J$9:$J$18)+ (($N$41+$N43)*VCCAUX*$I$42) + ($L$41+(ICCINTQ_D+IF(AND(ISSTA=1,$M43&gt;85,PROCESS_FACTOR&gt;1),$L43+($M43-85)*GRADE_FACTOR*IF(AND($M43&gt;100,QGRADE_FACTOR&gt;0),QGRADE_FACTOR*($M43-100)+1,1)/PROCESS_FACTOR,$L43))*PROCESS_FACTOR)*VCCINT*$J$42+$P$42))+AMBIENT_TEMP))</f>
        <v>30.365969702414574</v>
      </c>
      <c r="L44" s="442">
        <f t="shared" ca="1" si="1"/>
        <v>6.8418182355333562E-3</v>
      </c>
      <c r="M44" s="441">
        <f t="shared" ref="M44:M59" ca="1" si="4">MIN(125,IF(USER_TJ&gt;0,USER_TJ,TJA*(IF(USER_DYNAMIC&gt;0, USER_DYNAMIC,(SUM($J$9:$J$18)+($L$41+(ICCINTQ_D+IF(AND(ISSTA=1,$K44&gt;85,PROCESS_FACTOR&gt;1),$L44+($K44-85)*GRADE_FACTOR*IF(AND($K44&gt;100,QGRADE_FACTOR&gt;0),QGRADE_FACTOR*($K44-100)+1,1)/PROCESS_FACTOR,$L44))*PROCESS_FACTOR)*VCCINT*$J$42+($N$41+$N43)*VCCAUX*$I$42+$P$42)))+AMBIENT_TEMP))</f>
        <v>30.368147476234274</v>
      </c>
      <c r="N44" s="441">
        <f t="shared" ca="1" si="2"/>
        <v>9.7682731776583768E-3</v>
      </c>
      <c r="O44" s="441"/>
      <c r="P44" s="441"/>
      <c r="Q44" s="441"/>
      <c r="R44" s="341"/>
      <c r="S44" s="341"/>
      <c r="T44" s="333" t="s">
        <v>84</v>
      </c>
      <c r="U44" s="333">
        <f>IF(AIRFLOW=250,THETAJA250,IF(AIRFLOW=500,THETAJA500,THETAJA))</f>
        <v>11</v>
      </c>
      <c r="V44" s="333"/>
      <c r="W44" s="333"/>
      <c r="X44" s="333"/>
      <c r="Y44" s="333"/>
      <c r="Z44" s="333"/>
      <c r="AA44" s="333"/>
      <c r="AB44" s="333"/>
      <c r="AC44" s="136"/>
      <c r="AD44" s="136"/>
      <c r="AE44" s="136"/>
      <c r="AF44" s="136"/>
      <c r="AG44" s="136"/>
      <c r="AH44" s="136"/>
      <c r="AI44" s="136"/>
      <c r="AJ44" s="136"/>
      <c r="AK44" s="136"/>
      <c r="AL44" s="136"/>
      <c r="AM44" s="136"/>
      <c r="AN44" s="136"/>
      <c r="AO44" s="136"/>
      <c r="AP44" s="136"/>
      <c r="AQ44" s="127"/>
      <c r="AR44" s="127"/>
    </row>
    <row r="45" spans="1:44" x14ac:dyDescent="0.25">
      <c r="A45" s="269"/>
      <c r="B45" s="269"/>
      <c r="C45" s="269"/>
      <c r="D45" s="269"/>
      <c r="E45" s="269"/>
      <c r="F45" s="269"/>
      <c r="G45" s="341"/>
      <c r="H45" s="441"/>
      <c r="I45" s="441"/>
      <c r="J45" s="441"/>
      <c r="K45" s="442">
        <f t="shared" ca="1" si="3"/>
        <v>30.368346313151743</v>
      </c>
      <c r="L45" s="442">
        <f t="shared" ca="1" si="1"/>
        <v>6.8451206358806499E-3</v>
      </c>
      <c r="M45" s="441">
        <f t="shared" ca="1" si="4"/>
        <v>30.368389904836388</v>
      </c>
      <c r="N45" s="441">
        <f t="shared" ca="1" si="2"/>
        <v>9.7683093425488827E-3</v>
      </c>
      <c r="O45" s="441"/>
      <c r="P45" s="441"/>
      <c r="Q45" s="441"/>
      <c r="R45" s="341"/>
      <c r="S45" s="341"/>
      <c r="T45" s="333" t="s">
        <v>1068</v>
      </c>
      <c r="U45" s="333">
        <f ca="1">$U44*(THETAJC+$U43)/(THETAJC+$U43-$U44)</f>
        <v>11.545970525551331</v>
      </c>
      <c r="V45" s="333"/>
      <c r="W45" s="333"/>
      <c r="X45" s="333"/>
      <c r="Y45" s="333"/>
      <c r="Z45" s="333"/>
      <c r="AA45" s="333"/>
      <c r="AB45" s="333"/>
      <c r="AC45" s="136"/>
      <c r="AD45" s="136"/>
      <c r="AE45" s="136"/>
      <c r="AF45" s="136"/>
      <c r="AG45" s="136"/>
      <c r="AH45" s="136"/>
      <c r="AI45" s="136"/>
      <c r="AJ45" s="136"/>
      <c r="AK45" s="136"/>
      <c r="AL45" s="136"/>
      <c r="AM45" s="136"/>
      <c r="AN45" s="136"/>
      <c r="AO45" s="136"/>
      <c r="AP45" s="136"/>
      <c r="AQ45" s="127"/>
      <c r="AR45" s="127"/>
    </row>
    <row r="46" spans="1:44" x14ac:dyDescent="0.25">
      <c r="A46" s="269"/>
      <c r="B46" s="269"/>
      <c r="C46" s="269"/>
      <c r="D46" s="269"/>
      <c r="E46" s="269"/>
      <c r="F46" s="269"/>
      <c r="G46" s="341"/>
      <c r="H46" s="441"/>
      <c r="I46" s="441"/>
      <c r="J46" s="441"/>
      <c r="K46" s="442">
        <f t="shared" ca="1" si="3"/>
        <v>30.368391365521255</v>
      </c>
      <c r="L46" s="442">
        <f t="shared" ca="1" si="1"/>
        <v>6.8451832404970644E-3</v>
      </c>
      <c r="M46" s="441">
        <f t="shared" ca="1" si="4"/>
        <v>30.368392191902196</v>
      </c>
      <c r="N46" s="441">
        <f t="shared" ca="1" si="2"/>
        <v>9.7683096837282591E-3</v>
      </c>
      <c r="O46" s="441"/>
      <c r="P46" s="441"/>
      <c r="Q46" s="441"/>
      <c r="R46" s="341"/>
      <c r="S46" s="341"/>
      <c r="T46" s="333" t="s">
        <v>1070</v>
      </c>
      <c r="U46" s="333">
        <f ca="1">IF((HEATSINK="Custom")*(CUSTOMTSA&gt;0),CUSTOMTSA,IF(OR(HEATSINK="None",(HS_INDEX&lt;0)),0,OFFSET(HEATSINK_DATA,HS_INDEX,1+$U40)))</f>
        <v>0</v>
      </c>
      <c r="V46" s="333"/>
      <c r="W46" s="333"/>
      <c r="X46" s="333"/>
      <c r="Y46" s="333"/>
      <c r="Z46" s="333"/>
      <c r="AA46" s="333"/>
      <c r="AB46" s="333"/>
      <c r="AC46" s="136"/>
      <c r="AD46" s="136"/>
      <c r="AE46" s="136"/>
      <c r="AF46" s="136"/>
      <c r="AG46" s="136"/>
      <c r="AH46" s="136"/>
      <c r="AI46" s="136"/>
      <c r="AJ46" s="136"/>
      <c r="AK46" s="136"/>
      <c r="AL46" s="136"/>
      <c r="AM46" s="136"/>
      <c r="AN46" s="136"/>
      <c r="AO46" s="136"/>
      <c r="AP46" s="136"/>
      <c r="AQ46" s="127"/>
      <c r="AR46" s="127"/>
    </row>
    <row r="47" spans="1:44" x14ac:dyDescent="0.25">
      <c r="A47" s="269"/>
      <c r="B47" s="269"/>
      <c r="C47" s="269"/>
      <c r="D47" s="269"/>
      <c r="E47" s="269"/>
      <c r="F47" s="269"/>
      <c r="G47" s="341"/>
      <c r="H47" s="441"/>
      <c r="I47" s="441"/>
      <c r="J47" s="441"/>
      <c r="K47" s="442">
        <f t="shared" ca="1" si="3"/>
        <v>30.368392205682287</v>
      </c>
      <c r="L47" s="442">
        <f t="shared" ca="1" si="1"/>
        <v>6.8451844079827906E-3</v>
      </c>
      <c r="M47" s="441">
        <f t="shared" ca="1" si="4"/>
        <v>30.368392221093099</v>
      </c>
      <c r="N47" s="441">
        <f t="shared" ca="1" si="2"/>
        <v>9.7683096880828938E-3</v>
      </c>
      <c r="O47" s="441"/>
      <c r="P47" s="441"/>
      <c r="Q47" s="441"/>
      <c r="R47" s="341"/>
      <c r="S47" s="341"/>
      <c r="T47" s="333" t="s">
        <v>1077</v>
      </c>
      <c r="U47" s="333">
        <v>0.1</v>
      </c>
      <c r="V47" s="333"/>
      <c r="W47" s="333"/>
      <c r="X47" s="333"/>
      <c r="Y47" s="333"/>
      <c r="Z47" s="333"/>
      <c r="AA47" s="333"/>
      <c r="AB47" s="333"/>
      <c r="AC47" s="136"/>
      <c r="AD47" s="136"/>
      <c r="AE47" s="136"/>
      <c r="AF47" s="136"/>
      <c r="AG47" s="136"/>
      <c r="AH47" s="136"/>
      <c r="AI47" s="136"/>
      <c r="AJ47" s="136"/>
      <c r="AK47" s="136"/>
      <c r="AL47" s="136"/>
      <c r="AM47" s="136"/>
      <c r="AN47" s="136"/>
      <c r="AO47" s="136"/>
      <c r="AP47" s="136"/>
      <c r="AQ47" s="127"/>
      <c r="AR47" s="127"/>
    </row>
    <row r="48" spans="1:44" x14ac:dyDescent="0.25">
      <c r="A48" s="269"/>
      <c r="B48" s="269"/>
      <c r="C48" s="269"/>
      <c r="D48" s="269"/>
      <c r="E48" s="269"/>
      <c r="F48" s="269"/>
      <c r="G48" s="341"/>
      <c r="H48" s="441"/>
      <c r="I48" s="441"/>
      <c r="J48" s="441"/>
      <c r="K48" s="442">
        <f t="shared" ca="1" si="3"/>
        <v>30.36839222126898</v>
      </c>
      <c r="L48" s="442">
        <f t="shared" ca="1" si="1"/>
        <v>6.8451844296420206E-3</v>
      </c>
      <c r="M48" s="441">
        <f t="shared" ca="1" si="4"/>
        <v>30.368392221554881</v>
      </c>
      <c r="N48" s="441">
        <f t="shared" ca="1" si="2"/>
        <v>9.7683096881517814E-3</v>
      </c>
      <c r="O48" s="441"/>
      <c r="P48" s="441"/>
      <c r="Q48" s="441"/>
      <c r="R48" s="341"/>
      <c r="S48" s="341"/>
      <c r="T48" s="333" t="s">
        <v>1069</v>
      </c>
      <c r="U48" s="333">
        <f ca="1">IF($U46&gt;0,$U45*(THETAJC+$U46+$U47)/($U45+(THETAJC+$U46+$U47)),$U44)</f>
        <v>11</v>
      </c>
      <c r="V48" s="333"/>
      <c r="W48" s="333"/>
      <c r="X48" s="333"/>
      <c r="Y48" s="333"/>
      <c r="Z48" s="333"/>
      <c r="AA48" s="333"/>
      <c r="AB48" s="333"/>
      <c r="AC48" s="136"/>
      <c r="AD48" s="136"/>
      <c r="AE48" s="136"/>
      <c r="AF48" s="136"/>
      <c r="AG48" s="136"/>
      <c r="AH48" s="136"/>
      <c r="AI48" s="136"/>
      <c r="AJ48" s="136"/>
      <c r="AK48" s="136"/>
      <c r="AL48" s="136"/>
      <c r="AM48" s="136"/>
      <c r="AN48" s="136"/>
      <c r="AO48" s="136"/>
      <c r="AP48" s="136"/>
      <c r="AQ48" s="127"/>
      <c r="AR48" s="127"/>
    </row>
    <row r="49" spans="1:44" x14ac:dyDescent="0.25">
      <c r="A49" s="269"/>
      <c r="B49" s="269"/>
      <c r="C49" s="269"/>
      <c r="D49" s="269"/>
      <c r="E49" s="269"/>
      <c r="F49" s="269"/>
      <c r="G49" s="341"/>
      <c r="H49" s="441"/>
      <c r="I49" s="441"/>
      <c r="J49" s="441"/>
      <c r="K49" s="442">
        <f t="shared" ca="1" si="3"/>
        <v>30.368392221557663</v>
      </c>
      <c r="L49" s="442">
        <f t="shared" ca="1" si="1"/>
        <v>6.8451844300431719E-3</v>
      </c>
      <c r="M49" s="441">
        <f t="shared" ca="1" si="4"/>
        <v>30.36839222156296</v>
      </c>
      <c r="N49" s="441">
        <f t="shared" ca="1" si="2"/>
        <v>9.7683096881529853E-3</v>
      </c>
      <c r="O49" s="441"/>
      <c r="P49" s="441"/>
      <c r="Q49" s="441"/>
      <c r="R49" s="341"/>
      <c r="S49" s="341"/>
      <c r="T49" s="333"/>
      <c r="U49" s="333"/>
      <c r="V49" s="333"/>
      <c r="W49" s="333"/>
      <c r="X49" s="333"/>
      <c r="Y49" s="333"/>
      <c r="Z49" s="333"/>
      <c r="AA49" s="333"/>
      <c r="AB49" s="333"/>
      <c r="AC49" s="136"/>
      <c r="AD49" s="136"/>
      <c r="AE49" s="136"/>
      <c r="AF49" s="136"/>
      <c r="AG49" s="136"/>
      <c r="AH49" s="136"/>
      <c r="AI49" s="136"/>
      <c r="AJ49" s="136"/>
      <c r="AK49" s="136"/>
      <c r="AL49" s="136"/>
      <c r="AM49" s="136"/>
      <c r="AN49" s="136"/>
      <c r="AO49" s="136"/>
      <c r="AP49" s="136"/>
      <c r="AQ49" s="127"/>
      <c r="AR49" s="127"/>
    </row>
    <row r="50" spans="1:44" x14ac:dyDescent="0.25">
      <c r="A50" s="269"/>
      <c r="B50" s="269"/>
      <c r="C50" s="269"/>
      <c r="D50" s="269"/>
      <c r="E50" s="269"/>
      <c r="F50" s="269"/>
      <c r="G50" s="341"/>
      <c r="H50" s="441"/>
      <c r="I50" s="441"/>
      <c r="J50" s="441"/>
      <c r="K50" s="442">
        <f t="shared" ca="1" si="3"/>
        <v>30.36839222156301</v>
      </c>
      <c r="L50" s="442">
        <f t="shared" ca="1" si="1"/>
        <v>6.8451844300506035E-3</v>
      </c>
      <c r="M50" s="441">
        <f t="shared" ca="1" si="4"/>
        <v>30.368392221563106</v>
      </c>
      <c r="N50" s="441">
        <f t="shared" ca="1" si="2"/>
        <v>9.7683096881530079E-3</v>
      </c>
      <c r="O50" s="441"/>
      <c r="P50" s="441"/>
      <c r="Q50" s="441"/>
      <c r="R50" s="341"/>
      <c r="S50" s="341"/>
      <c r="T50" s="333"/>
      <c r="U50" s="333"/>
      <c r="V50" s="333"/>
      <c r="W50" s="333"/>
      <c r="X50" s="333"/>
      <c r="Y50" s="333"/>
      <c r="Z50" s="333"/>
      <c r="AA50" s="333"/>
      <c r="AB50" s="333"/>
      <c r="AC50" s="136"/>
      <c r="AD50" s="136"/>
      <c r="AE50" s="136"/>
      <c r="AF50" s="136"/>
      <c r="AG50" s="136"/>
      <c r="AH50" s="136"/>
      <c r="AI50" s="136"/>
      <c r="AJ50" s="136"/>
      <c r="AK50" s="136"/>
      <c r="AL50" s="136"/>
      <c r="AM50" s="136"/>
      <c r="AN50" s="136"/>
      <c r="AO50" s="136"/>
      <c r="AP50" s="136"/>
      <c r="AQ50" s="127"/>
      <c r="AR50" s="127"/>
    </row>
    <row r="51" spans="1:44" x14ac:dyDescent="0.25">
      <c r="A51" s="269"/>
      <c r="B51" s="269"/>
      <c r="C51" s="269"/>
      <c r="D51" s="269"/>
      <c r="E51" s="269"/>
      <c r="F51" s="269"/>
      <c r="G51" s="341"/>
      <c r="H51" s="441"/>
      <c r="I51" s="441"/>
      <c r="J51" s="441"/>
      <c r="K51" s="442">
        <f t="shared" ca="1" si="3"/>
        <v>30.368392221563106</v>
      </c>
      <c r="L51" s="442">
        <f t="shared" ca="1" si="1"/>
        <v>6.8451844300507422E-3</v>
      </c>
      <c r="M51" s="441">
        <f t="shared" ca="1" si="4"/>
        <v>30.368392221563109</v>
      </c>
      <c r="N51" s="441">
        <f t="shared" ca="1" si="2"/>
        <v>9.7683096881530079E-3</v>
      </c>
      <c r="O51" s="441"/>
      <c r="P51" s="441"/>
      <c r="Q51" s="441"/>
      <c r="R51" s="341"/>
      <c r="S51" s="341"/>
      <c r="T51" s="341" t="s">
        <v>1104</v>
      </c>
      <c r="U51" s="333">
        <f>IF(AND(PROCESS="Maximum",GRADE="Commercial",SPEEDGRADE=-2,OR(PART="XC6SLX16",PART="XC6SLX45")),IF(PART="XC6SLX16",0.4,0.48),0)</f>
        <v>0</v>
      </c>
      <c r="V51" s="333" t="str">
        <f ca="1">IF(AND(IO_POWER&gt;0,LOGIC_POWER&gt;0,CLOCK_POWER&gt;0,ICCINT&lt;POWERUP),"bad","good")</f>
        <v>good</v>
      </c>
      <c r="W51" s="341"/>
      <c r="X51" s="341"/>
      <c r="Y51" s="341"/>
      <c r="Z51" s="341"/>
      <c r="AA51" s="341"/>
      <c r="AB51" s="341"/>
      <c r="AC51" s="127"/>
      <c r="AD51" s="127"/>
      <c r="AE51" s="127"/>
      <c r="AF51" s="127"/>
      <c r="AG51" s="127"/>
      <c r="AH51" s="127"/>
      <c r="AI51" s="127"/>
      <c r="AJ51" s="127"/>
      <c r="AK51" s="127"/>
      <c r="AL51" s="127"/>
      <c r="AM51" s="127"/>
      <c r="AN51" s="127"/>
      <c r="AO51" s="127"/>
      <c r="AP51" s="127"/>
      <c r="AQ51" s="127"/>
      <c r="AR51" s="127"/>
    </row>
    <row r="52" spans="1:44" x14ac:dyDescent="0.25">
      <c r="A52" s="269"/>
      <c r="B52" s="269"/>
      <c r="C52" s="269"/>
      <c r="D52" s="269"/>
      <c r="E52" s="269"/>
      <c r="F52" s="269"/>
      <c r="G52" s="341"/>
      <c r="H52" s="441"/>
      <c r="I52" s="441"/>
      <c r="J52" s="441"/>
      <c r="K52" s="442">
        <f t="shared" ca="1" si="3"/>
        <v>30.368392221563109</v>
      </c>
      <c r="L52" s="442">
        <f t="shared" ca="1" si="1"/>
        <v>6.8451844300507422E-3</v>
      </c>
      <c r="M52" s="441">
        <f t="shared" ca="1" si="4"/>
        <v>30.368392221563109</v>
      </c>
      <c r="N52" s="441">
        <f t="shared" ca="1" si="2"/>
        <v>9.7683096881530079E-3</v>
      </c>
      <c r="O52" s="441" t="s">
        <v>1334</v>
      </c>
      <c r="P52" s="575">
        <v>1</v>
      </c>
      <c r="Q52" s="441"/>
      <c r="R52" s="341"/>
      <c r="S52" s="341"/>
      <c r="T52" s="341"/>
      <c r="U52" s="341"/>
      <c r="V52" s="341"/>
      <c r="W52" s="341"/>
      <c r="X52" s="341"/>
      <c r="Y52" s="341"/>
      <c r="Z52" s="341"/>
      <c r="AA52" s="341"/>
      <c r="AB52" s="341"/>
      <c r="AC52" s="127"/>
      <c r="AD52" s="127"/>
      <c r="AE52" s="127"/>
      <c r="AF52" s="127"/>
      <c r="AG52" s="127"/>
      <c r="AH52" s="127"/>
      <c r="AI52" s="127"/>
      <c r="AJ52" s="127"/>
      <c r="AK52" s="127"/>
      <c r="AL52" s="127"/>
      <c r="AM52" s="127"/>
      <c r="AN52" s="127"/>
      <c r="AO52" s="127"/>
      <c r="AP52" s="127"/>
      <c r="AQ52" s="127"/>
      <c r="AR52" s="127"/>
    </row>
    <row r="53" spans="1:44" x14ac:dyDescent="0.25">
      <c r="A53" s="269"/>
      <c r="B53" s="269"/>
      <c r="C53" s="269"/>
      <c r="D53" s="269"/>
      <c r="E53" s="269"/>
      <c r="F53" s="269"/>
      <c r="G53" s="341"/>
      <c r="H53" s="441"/>
      <c r="I53" s="441"/>
      <c r="J53" s="441"/>
      <c r="K53" s="442">
        <f t="shared" ca="1" si="3"/>
        <v>30.368392221563109</v>
      </c>
      <c r="L53" s="442">
        <f t="shared" ca="1" si="1"/>
        <v>6.8451844300507422E-3</v>
      </c>
      <c r="M53" s="441">
        <f t="shared" ca="1" si="4"/>
        <v>30.368392221563109</v>
      </c>
      <c r="N53" s="441">
        <f t="shared" ca="1" si="2"/>
        <v>9.7683096881530079E-3</v>
      </c>
      <c r="O53" s="441" t="s">
        <v>1335</v>
      </c>
      <c r="P53" s="575">
        <v>1</v>
      </c>
      <c r="Q53" s="441"/>
      <c r="R53" s="341"/>
      <c r="S53" s="341"/>
      <c r="T53" s="341"/>
      <c r="U53" s="341"/>
      <c r="V53" s="341"/>
      <c r="W53" s="341"/>
      <c r="X53" s="341"/>
      <c r="Y53" s="341"/>
      <c r="Z53" s="341"/>
      <c r="AA53" s="341"/>
      <c r="AB53" s="341"/>
      <c r="AC53" s="127"/>
      <c r="AD53" s="127"/>
      <c r="AE53" s="127"/>
      <c r="AF53" s="127"/>
      <c r="AG53" s="127"/>
      <c r="AH53" s="127"/>
      <c r="AI53" s="127"/>
      <c r="AJ53" s="127"/>
      <c r="AK53" s="127"/>
      <c r="AL53" s="127"/>
      <c r="AM53" s="127"/>
      <c r="AN53" s="127"/>
      <c r="AO53" s="127"/>
      <c r="AP53" s="127"/>
      <c r="AQ53" s="127"/>
      <c r="AR53" s="127"/>
    </row>
    <row r="54" spans="1:44" x14ac:dyDescent="0.25">
      <c r="A54" s="269"/>
      <c r="B54" s="269"/>
      <c r="C54" s="269"/>
      <c r="D54" s="269"/>
      <c r="E54" s="269"/>
      <c r="F54" s="269"/>
      <c r="G54" s="341"/>
      <c r="H54" s="441"/>
      <c r="I54" s="441"/>
      <c r="J54" s="441"/>
      <c r="K54" s="442">
        <f t="shared" ca="1" si="3"/>
        <v>30.368392221563109</v>
      </c>
      <c r="L54" s="442">
        <f t="shared" ca="1" si="1"/>
        <v>6.8451844300507422E-3</v>
      </c>
      <c r="M54" s="441">
        <f t="shared" ca="1" si="4"/>
        <v>30.368392221563109</v>
      </c>
      <c r="N54" s="441">
        <f t="shared" ca="1" si="2"/>
        <v>9.7683096881530079E-3</v>
      </c>
      <c r="O54" s="441"/>
      <c r="P54" s="441"/>
      <c r="Q54" s="441"/>
      <c r="R54" s="341"/>
      <c r="S54" s="341"/>
      <c r="T54" s="341"/>
      <c r="U54" s="341"/>
      <c r="V54" s="341"/>
      <c r="W54" s="341"/>
      <c r="X54" s="341"/>
      <c r="Y54" s="341"/>
      <c r="Z54" s="341"/>
      <c r="AA54" s="341"/>
      <c r="AB54" s="341"/>
      <c r="AC54" s="127"/>
      <c r="AD54" s="127"/>
      <c r="AE54" s="127"/>
      <c r="AF54" s="127"/>
      <c r="AG54" s="127"/>
      <c r="AH54" s="127"/>
      <c r="AI54" s="127"/>
      <c r="AJ54" s="127"/>
      <c r="AK54" s="127"/>
      <c r="AL54" s="127"/>
      <c r="AM54" s="127"/>
      <c r="AN54" s="127"/>
      <c r="AO54" s="127"/>
      <c r="AP54" s="127"/>
      <c r="AQ54" s="127"/>
      <c r="AR54" s="127"/>
    </row>
    <row r="55" spans="1:44" x14ac:dyDescent="0.25">
      <c r="A55" s="269"/>
      <c r="B55" s="269"/>
      <c r="C55" s="269"/>
      <c r="D55" s="269"/>
      <c r="E55" s="269"/>
      <c r="F55" s="269"/>
      <c r="G55" s="341"/>
      <c r="H55" s="441"/>
      <c r="I55" s="441"/>
      <c r="J55" s="441"/>
      <c r="K55" s="442">
        <f t="shared" ca="1" si="3"/>
        <v>30.368392221563109</v>
      </c>
      <c r="L55" s="442">
        <f t="shared" ca="1" si="1"/>
        <v>6.8451844300507422E-3</v>
      </c>
      <c r="M55" s="441">
        <f t="shared" ca="1" si="4"/>
        <v>30.368392221563109</v>
      </c>
      <c r="N55" s="441">
        <f t="shared" ca="1" si="2"/>
        <v>9.7683096881530079E-3</v>
      </c>
      <c r="O55" s="441" t="s">
        <v>1325</v>
      </c>
      <c r="P55" s="441">
        <f ca="1">IF(POWERMODE="Hibernate",0,(ICCINTQ_D/OFFSET(TEMP_FACTORS,TEMP_FACTOR_ROW,1))*EXP(TJ_MAX/OFFSET(TEMP_FACTORS,TEMP_FACTOR_ROW,2))*IF(TJ_MAX&gt;101,Q_GradeInt*(TJ_MAX-100)/(TJ_MAX-100),1)+ IF(AND(PROCESS_FACTOR&gt;1,TJ_MAX&gt;85),(TJ_MAX-85)*GRADE_FACTOR*IF(TJ_MAX&gt;101,QGRADE_FACTOR*(TJ_MAX-100)+1,1),0)/PROCESS_FACTOR)*$J42*PROCESS_FACTOR*VCCINT</f>
        <v>0.30240929804832173</v>
      </c>
      <c r="Q55" s="441"/>
      <c r="R55" s="341"/>
      <c r="S55" s="341"/>
      <c r="T55" s="341"/>
      <c r="U55" s="341"/>
      <c r="V55" s="341"/>
      <c r="W55" s="341"/>
      <c r="X55" s="341"/>
      <c r="Y55" s="341"/>
      <c r="Z55" s="341"/>
      <c r="AA55" s="341"/>
      <c r="AB55" s="341"/>
      <c r="AC55" s="127"/>
      <c r="AD55" s="127"/>
      <c r="AE55" s="127"/>
      <c r="AF55" s="127"/>
      <c r="AG55" s="127"/>
      <c r="AH55" s="127"/>
      <c r="AI55" s="127"/>
      <c r="AJ55" s="127"/>
      <c r="AK55" s="127"/>
      <c r="AL55" s="127"/>
      <c r="AM55" s="127"/>
      <c r="AN55" s="127"/>
      <c r="AO55" s="127"/>
      <c r="AP55" s="127"/>
      <c r="AQ55" s="127"/>
      <c r="AR55" s="127"/>
    </row>
    <row r="56" spans="1:44" x14ac:dyDescent="0.25">
      <c r="A56" s="269"/>
      <c r="B56" s="269"/>
      <c r="C56" s="269"/>
      <c r="D56" s="269"/>
      <c r="E56" s="269"/>
      <c r="F56" s="269"/>
      <c r="G56" s="341"/>
      <c r="H56" s="441"/>
      <c r="I56" s="441"/>
      <c r="J56" s="441"/>
      <c r="K56" s="442">
        <f t="shared" ca="1" si="3"/>
        <v>30.368392221563109</v>
      </c>
      <c r="L56" s="442">
        <f t="shared" ca="1" si="1"/>
        <v>6.8451844300507422E-3</v>
      </c>
      <c r="M56" s="441">
        <f t="shared" ca="1" si="4"/>
        <v>30.368392221563109</v>
      </c>
      <c r="N56" s="441">
        <f t="shared" ca="1" si="2"/>
        <v>9.7683096881530079E-3</v>
      </c>
      <c r="O56" s="441" t="s">
        <v>1324</v>
      </c>
      <c r="P56" s="441">
        <f ca="1">IF(ISSTA=1,(ICCAUXQ_D/OFFSET(TEMP_FACTORS,TEMP_FACTOR_ROW,5))*EXP(TJ_MAX/OFFSET(TEMP_FACTORS,TEMP_FACTOR_ROW,6))*IF(TJ_MAX&gt;102,Q_GradeAux*(TJ_MAX-100)/(TJ_MAX-100),1)+IF(AND(PROCESS_FACTOR&gt;1,TJ_MAX&gt;100,QGRADE_FACTORAUX&gt;0),ICCAUXQ_D*(TJ_MAX-100)*(TJ_MAX-100)*QGRADE_FACTORAUX,0),ICCAUXQ_D)*$I$42*VCCAUX</f>
        <v>8.2610141360516337E-2</v>
      </c>
      <c r="Q56" s="441"/>
      <c r="R56" s="341"/>
      <c r="S56" s="341"/>
      <c r="T56" s="341"/>
      <c r="U56" s="341"/>
      <c r="V56" s="341"/>
      <c r="W56" s="341"/>
      <c r="X56" s="331"/>
      <c r="Y56" s="331"/>
      <c r="Z56" s="331"/>
      <c r="AA56" s="331"/>
      <c r="AB56" s="127"/>
      <c r="AC56" s="127"/>
      <c r="AD56" s="127"/>
      <c r="AE56" s="127"/>
      <c r="AF56" s="127"/>
      <c r="AG56" s="127"/>
      <c r="AH56" s="127"/>
      <c r="AI56" s="127"/>
      <c r="AJ56" s="127"/>
      <c r="AK56" s="127"/>
      <c r="AL56" s="127"/>
      <c r="AM56" s="127"/>
      <c r="AN56" s="127"/>
      <c r="AO56" s="127"/>
      <c r="AP56" s="127"/>
      <c r="AQ56" s="127"/>
      <c r="AR56" s="127"/>
    </row>
    <row r="57" spans="1:44" x14ac:dyDescent="0.25">
      <c r="A57" s="269"/>
      <c r="B57" s="269"/>
      <c r="C57" s="269"/>
      <c r="D57" s="269"/>
      <c r="E57" s="269"/>
      <c r="F57" s="269"/>
      <c r="G57" s="341"/>
      <c r="H57" s="441"/>
      <c r="I57" s="441"/>
      <c r="J57" s="441"/>
      <c r="K57" s="442">
        <f t="shared" ca="1" si="3"/>
        <v>30.368392221563109</v>
      </c>
      <c r="L57" s="442">
        <f t="shared" ca="1" si="1"/>
        <v>6.8451844300507422E-3</v>
      </c>
      <c r="M57" s="441">
        <f t="shared" ca="1" si="4"/>
        <v>30.368392221563109</v>
      </c>
      <c r="N57" s="441">
        <f t="shared" ca="1" si="2"/>
        <v>9.7683096881530079E-3</v>
      </c>
      <c r="O57" s="441" t="s">
        <v>1199</v>
      </c>
      <c r="P57" s="441">
        <f ca="1">TJ_MAX-(TJA*(SUM(P55:P56)+SUM(J9:J18)+GTP_LEAKAGE))</f>
        <v>76.438988340915671</v>
      </c>
      <c r="Q57" s="441"/>
      <c r="R57" s="341"/>
      <c r="S57" s="341"/>
      <c r="T57" s="341"/>
      <c r="U57" s="341"/>
      <c r="V57" s="341"/>
      <c r="W57" s="341"/>
      <c r="X57" s="331"/>
      <c r="Y57" s="331"/>
      <c r="Z57" s="331"/>
      <c r="AA57" s="331"/>
      <c r="AB57" s="127"/>
      <c r="AC57" s="127"/>
      <c r="AD57" s="127"/>
      <c r="AE57" s="127"/>
      <c r="AF57" s="127"/>
      <c r="AG57" s="127"/>
      <c r="AH57" s="127"/>
      <c r="AI57" s="127"/>
      <c r="AJ57" s="127"/>
      <c r="AK57" s="127"/>
      <c r="AL57" s="127"/>
      <c r="AM57" s="127"/>
      <c r="AN57" s="127"/>
      <c r="AO57" s="127"/>
      <c r="AP57" s="127"/>
      <c r="AQ57" s="127"/>
      <c r="AR57" s="127"/>
    </row>
    <row r="58" spans="1:44" x14ac:dyDescent="0.25">
      <c r="A58" s="269"/>
      <c r="B58" s="269"/>
      <c r="C58" s="269"/>
      <c r="D58" s="269"/>
      <c r="E58" s="269"/>
      <c r="F58" s="269"/>
      <c r="G58" s="341"/>
      <c r="H58" s="441"/>
      <c r="I58" s="441"/>
      <c r="J58" s="441"/>
      <c r="K58" s="442">
        <f t="shared" ca="1" si="3"/>
        <v>30.368392221563109</v>
      </c>
      <c r="L58" s="442">
        <f t="shared" ca="1" si="1"/>
        <v>6.8451844300507422E-3</v>
      </c>
      <c r="M58" s="441">
        <f t="shared" ca="1" si="4"/>
        <v>30.368392221563109</v>
      </c>
      <c r="N58" s="441">
        <f t="shared" ca="1" si="2"/>
        <v>9.7683096881530079E-3</v>
      </c>
      <c r="O58" s="441"/>
      <c r="P58" s="441"/>
      <c r="Q58" s="441"/>
      <c r="R58" s="341"/>
      <c r="S58" s="341"/>
      <c r="T58" s="341"/>
      <c r="U58" s="341"/>
      <c r="V58" s="341"/>
      <c r="W58" s="341"/>
      <c r="X58" s="331"/>
      <c r="Y58" s="331"/>
      <c r="Z58" s="331"/>
      <c r="AA58" s="331"/>
      <c r="AB58" s="127"/>
      <c r="AC58" s="127"/>
      <c r="AD58" s="127"/>
      <c r="AE58" s="127"/>
      <c r="AF58" s="127"/>
      <c r="AG58" s="127"/>
      <c r="AH58" s="127"/>
      <c r="AI58" s="127"/>
      <c r="AJ58" s="127"/>
      <c r="AK58" s="127"/>
      <c r="AL58" s="127"/>
      <c r="AM58" s="127"/>
      <c r="AN58" s="127"/>
      <c r="AO58" s="127"/>
      <c r="AP58" s="127"/>
      <c r="AQ58" s="127"/>
      <c r="AR58" s="127"/>
    </row>
    <row r="59" spans="1:44" x14ac:dyDescent="0.25">
      <c r="A59" s="269"/>
      <c r="B59" s="269"/>
      <c r="C59" s="269"/>
      <c r="D59" s="269"/>
      <c r="E59" s="269"/>
      <c r="F59" s="269"/>
      <c r="G59" s="341"/>
      <c r="H59" s="441"/>
      <c r="I59" s="441"/>
      <c r="J59" s="441"/>
      <c r="K59" s="442">
        <f t="shared" ca="1" si="3"/>
        <v>30.368392221563109</v>
      </c>
      <c r="L59" s="442">
        <f t="shared" ca="1" si="1"/>
        <v>6.8451844300507422E-3</v>
      </c>
      <c r="M59" s="441">
        <f t="shared" ca="1" si="4"/>
        <v>30.368392221563109</v>
      </c>
      <c r="N59" s="441">
        <f t="shared" ca="1" si="2"/>
        <v>9.7683096881530079E-3</v>
      </c>
      <c r="O59" s="441"/>
      <c r="P59" s="441"/>
      <c r="Q59" s="441"/>
      <c r="R59" s="341"/>
      <c r="S59" s="341"/>
      <c r="T59" s="341"/>
      <c r="U59" s="341"/>
      <c r="V59" s="341"/>
      <c r="W59" s="341"/>
      <c r="X59" s="331"/>
      <c r="Y59" s="331"/>
      <c r="Z59" s="331"/>
      <c r="AA59" s="331"/>
      <c r="AB59" s="127"/>
      <c r="AC59" s="127"/>
      <c r="AD59" s="127"/>
      <c r="AE59" s="127"/>
      <c r="AF59" s="127"/>
      <c r="AG59" s="127"/>
      <c r="AH59" s="127"/>
      <c r="AI59" s="127"/>
      <c r="AJ59" s="127"/>
      <c r="AK59" s="127"/>
      <c r="AL59" s="127"/>
      <c r="AM59" s="127"/>
      <c r="AN59" s="127"/>
      <c r="AO59" s="127"/>
      <c r="AP59" s="127"/>
      <c r="AQ59" s="127"/>
      <c r="AR59" s="127"/>
    </row>
    <row r="60" spans="1:44" x14ac:dyDescent="0.25">
      <c r="A60" s="269"/>
      <c r="B60" s="269"/>
      <c r="C60" s="269"/>
      <c r="D60" s="269"/>
      <c r="E60" s="269"/>
      <c r="F60" s="269"/>
      <c r="G60" s="341"/>
      <c r="H60" s="441"/>
      <c r="I60" s="441"/>
      <c r="J60" s="441"/>
      <c r="K60" s="442">
        <f t="shared" ca="1" si="3"/>
        <v>30.368392221563109</v>
      </c>
      <c r="L60" s="442">
        <f t="shared" ca="1" si="1"/>
        <v>6.8451844300507422E-3</v>
      </c>
      <c r="M60" s="441">
        <f ca="1">$K60</f>
        <v>30.368392221563109</v>
      </c>
      <c r="N60" s="441">
        <f t="shared" ca="1" si="2"/>
        <v>9.7683096881530079E-3</v>
      </c>
      <c r="O60" s="441"/>
      <c r="P60" s="441"/>
      <c r="Q60" s="441"/>
      <c r="R60" s="341"/>
      <c r="S60" s="341"/>
      <c r="T60" s="341"/>
      <c r="U60" s="341"/>
      <c r="V60" s="341"/>
      <c r="W60" s="341"/>
      <c r="X60" s="127"/>
      <c r="Y60" s="127"/>
      <c r="Z60" s="127"/>
      <c r="AA60" s="127"/>
      <c r="AB60" s="127"/>
      <c r="AC60" s="127"/>
      <c r="AD60" s="127"/>
      <c r="AE60" s="127"/>
      <c r="AF60" s="127"/>
      <c r="AG60" s="127"/>
      <c r="AH60" s="127"/>
      <c r="AI60" s="127"/>
      <c r="AJ60" s="127"/>
      <c r="AK60" s="127"/>
      <c r="AL60" s="127"/>
      <c r="AM60" s="127"/>
      <c r="AN60" s="127"/>
      <c r="AO60" s="127"/>
      <c r="AP60" s="127"/>
      <c r="AQ60" s="127"/>
      <c r="AR60" s="127"/>
    </row>
    <row r="61" spans="1:44" x14ac:dyDescent="0.25">
      <c r="A61" s="269"/>
      <c r="B61" s="269"/>
      <c r="C61" s="269"/>
      <c r="D61" s="269"/>
      <c r="E61" s="269"/>
      <c r="F61" s="269"/>
      <c r="G61" s="269"/>
      <c r="H61" s="269"/>
      <c r="I61" s="441"/>
      <c r="J61" s="441"/>
      <c r="K61" s="441"/>
      <c r="L61" s="441"/>
      <c r="M61" s="441"/>
      <c r="N61" s="441"/>
      <c r="O61" s="441"/>
      <c r="P61" s="441"/>
      <c r="Q61" s="441"/>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c r="AR61" s="127"/>
    </row>
    <row r="62" spans="1:44" x14ac:dyDescent="0.25">
      <c r="A62" s="269"/>
      <c r="B62" s="269"/>
      <c r="C62" s="269"/>
      <c r="D62" s="269"/>
      <c r="E62" s="269"/>
      <c r="F62" s="269"/>
      <c r="G62" s="269"/>
      <c r="H62" s="269"/>
      <c r="I62" s="269"/>
      <c r="J62" s="493"/>
      <c r="K62" s="493"/>
      <c r="L62" s="493"/>
      <c r="M62" s="493"/>
      <c r="N62" s="493"/>
      <c r="O62" s="493"/>
      <c r="P62" s="493"/>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c r="AR62" s="127"/>
    </row>
    <row r="63" spans="1:44" x14ac:dyDescent="0.25">
      <c r="A63" s="269"/>
      <c r="B63" s="269"/>
      <c r="C63" s="269"/>
      <c r="D63" s="269"/>
      <c r="E63" s="269"/>
      <c r="F63" s="269"/>
      <c r="G63" s="269"/>
      <c r="H63" s="269"/>
      <c r="I63" s="269"/>
      <c r="J63" s="269"/>
      <c r="K63" s="269"/>
      <c r="L63" s="269"/>
      <c r="M63" s="269"/>
      <c r="N63" s="269"/>
      <c r="O63" s="269"/>
      <c r="P63" s="269"/>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c r="AR63" s="127"/>
    </row>
    <row r="64" spans="1:44" x14ac:dyDescent="0.25">
      <c r="A64" s="269"/>
      <c r="B64" s="269"/>
      <c r="C64" s="269"/>
      <c r="D64" s="269"/>
      <c r="E64" s="269"/>
      <c r="F64" s="269"/>
      <c r="G64" s="269"/>
      <c r="H64" s="269"/>
      <c r="I64" s="269"/>
      <c r="J64" s="269"/>
      <c r="K64" s="269"/>
      <c r="L64" s="269"/>
      <c r="M64" s="269"/>
      <c r="N64" s="269"/>
      <c r="O64" s="269"/>
      <c r="P64" s="269"/>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c r="AR64" s="127"/>
    </row>
    <row r="65" spans="1:44" x14ac:dyDescent="0.25">
      <c r="A65" s="269"/>
      <c r="B65" s="269"/>
      <c r="C65" s="269"/>
      <c r="D65" s="269"/>
      <c r="E65" s="269"/>
      <c r="F65" s="269"/>
      <c r="G65" s="269"/>
      <c r="H65" s="269"/>
      <c r="I65" s="269"/>
      <c r="J65" s="269"/>
      <c r="K65" s="269"/>
      <c r="L65" s="269"/>
      <c r="M65" s="269"/>
      <c r="N65" s="269"/>
      <c r="O65" s="269"/>
      <c r="P65" s="269"/>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c r="AR65" s="127"/>
    </row>
    <row r="66" spans="1:44" x14ac:dyDescent="0.25">
      <c r="A66" s="269"/>
      <c r="B66" s="269"/>
      <c r="C66" s="269"/>
      <c r="D66" s="269"/>
      <c r="E66" s="269"/>
      <c r="F66" s="269"/>
      <c r="G66" s="269"/>
      <c r="H66" s="269"/>
      <c r="I66" s="269"/>
      <c r="J66" s="269"/>
      <c r="K66" s="269"/>
      <c r="L66" s="269"/>
      <c r="M66" s="269"/>
      <c r="N66" s="269"/>
      <c r="O66" s="269"/>
      <c r="P66" s="269"/>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c r="AR66" s="127"/>
    </row>
    <row r="67" spans="1:44" x14ac:dyDescent="0.25">
      <c r="A67" s="269"/>
      <c r="B67" s="269"/>
      <c r="C67" s="269"/>
      <c r="D67" s="269"/>
      <c r="E67" s="269"/>
      <c r="F67" s="269"/>
      <c r="G67" s="269"/>
      <c r="H67" s="269"/>
      <c r="I67" s="269"/>
      <c r="J67" s="269"/>
      <c r="K67" s="269"/>
      <c r="L67" s="269"/>
      <c r="M67" s="269"/>
      <c r="N67" s="269"/>
      <c r="O67" s="269"/>
      <c r="P67" s="269"/>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c r="AR67" s="127"/>
    </row>
    <row r="68" spans="1:44" x14ac:dyDescent="0.25">
      <c r="A68" s="269"/>
      <c r="B68" s="269"/>
      <c r="C68" s="269"/>
      <c r="D68" s="269"/>
      <c r="E68" s="269"/>
      <c r="F68" s="269"/>
      <c r="G68" s="269"/>
      <c r="H68" s="269"/>
      <c r="I68" s="269"/>
      <c r="J68" s="269"/>
      <c r="K68" s="269"/>
      <c r="L68" s="269"/>
      <c r="M68" s="269"/>
      <c r="N68" s="269"/>
      <c r="O68" s="269"/>
      <c r="P68" s="269"/>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c r="AR68" s="127"/>
    </row>
    <row r="69" spans="1:44" x14ac:dyDescent="0.25">
      <c r="A69" s="269"/>
      <c r="B69" s="269"/>
      <c r="C69" s="269"/>
      <c r="D69" s="269"/>
      <c r="E69" s="269"/>
      <c r="F69" s="269"/>
      <c r="G69" s="269"/>
      <c r="H69" s="269"/>
      <c r="I69" s="269"/>
      <c r="J69" s="269"/>
      <c r="K69" s="269"/>
      <c r="L69" s="269"/>
      <c r="M69" s="269"/>
      <c r="N69" s="269"/>
      <c r="O69" s="269"/>
      <c r="P69" s="269"/>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c r="AR69" s="127"/>
    </row>
    <row r="70" spans="1:44" x14ac:dyDescent="0.25">
      <c r="A70" s="269"/>
      <c r="B70" s="269"/>
      <c r="C70" s="269"/>
      <c r="D70" s="269"/>
      <c r="E70" s="269"/>
      <c r="F70" s="269"/>
      <c r="G70" s="269"/>
      <c r="H70" s="269"/>
      <c r="I70" s="269"/>
      <c r="J70" s="269"/>
      <c r="K70" s="269"/>
      <c r="L70" s="269"/>
      <c r="M70" s="269"/>
      <c r="N70" s="269"/>
      <c r="O70" s="269"/>
      <c r="P70" s="269"/>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c r="AR70" s="127"/>
    </row>
    <row r="71" spans="1:44" x14ac:dyDescent="0.25">
      <c r="A71" s="269"/>
      <c r="B71" s="269"/>
      <c r="C71" s="269"/>
      <c r="D71" s="269"/>
      <c r="E71" s="269"/>
      <c r="F71" s="269"/>
      <c r="G71" s="269"/>
      <c r="H71" s="269"/>
      <c r="I71" s="269"/>
      <c r="J71" s="269"/>
      <c r="K71" s="269"/>
      <c r="L71" s="269"/>
      <c r="M71" s="269"/>
      <c r="N71" s="269"/>
      <c r="O71" s="269"/>
      <c r="P71" s="269"/>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c r="AR71" s="127"/>
    </row>
    <row r="72" spans="1:44" x14ac:dyDescent="0.25">
      <c r="A72" s="269"/>
      <c r="B72" s="269"/>
      <c r="C72" s="269"/>
      <c r="D72" s="269"/>
      <c r="E72" s="269"/>
      <c r="F72" s="269"/>
      <c r="G72" s="269"/>
      <c r="H72" s="269"/>
      <c r="I72" s="269"/>
      <c r="J72" s="269"/>
      <c r="K72" s="269"/>
      <c r="L72" s="269"/>
      <c r="M72" s="269"/>
      <c r="N72" s="269"/>
      <c r="O72" s="269"/>
      <c r="P72" s="269"/>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c r="AR72" s="127"/>
    </row>
    <row r="73" spans="1:44" x14ac:dyDescent="0.25">
      <c r="A73" s="269"/>
      <c r="B73" s="269"/>
      <c r="C73" s="269"/>
      <c r="D73" s="269"/>
      <c r="E73" s="269"/>
      <c r="F73" s="269"/>
      <c r="G73" s="269"/>
      <c r="H73" s="269"/>
      <c r="I73" s="269"/>
      <c r="J73" s="269"/>
      <c r="K73" s="269"/>
      <c r="L73" s="269"/>
      <c r="M73" s="269"/>
      <c r="N73" s="269"/>
      <c r="O73" s="269"/>
      <c r="P73" s="269"/>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c r="AR73" s="127"/>
    </row>
    <row r="74" spans="1:44" x14ac:dyDescent="0.25">
      <c r="A74" s="269"/>
      <c r="B74" s="269"/>
      <c r="C74" s="269"/>
      <c r="D74" s="269"/>
      <c r="E74" s="269"/>
      <c r="F74" s="269"/>
      <c r="G74" s="269"/>
      <c r="H74" s="269"/>
      <c r="I74" s="269"/>
      <c r="J74" s="269"/>
      <c r="K74" s="269"/>
      <c r="L74" s="269"/>
      <c r="M74" s="269"/>
      <c r="N74" s="269"/>
      <c r="O74" s="269"/>
      <c r="P74" s="269"/>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c r="AR74" s="127"/>
    </row>
    <row r="75" spans="1:44" ht="17.399999999999999" x14ac:dyDescent="0.25">
      <c r="A75" s="269"/>
      <c r="B75" s="619"/>
      <c r="C75" s="619"/>
      <c r="D75" s="617"/>
      <c r="E75" s="617"/>
      <c r="F75" s="269"/>
      <c r="G75" s="269"/>
      <c r="H75" s="269"/>
      <c r="I75" s="269"/>
      <c r="J75" s="269"/>
      <c r="K75" s="269"/>
      <c r="L75" s="269"/>
      <c r="M75" s="269"/>
      <c r="N75" s="269"/>
      <c r="O75" s="269"/>
      <c r="P75" s="269"/>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c r="AR75" s="127"/>
    </row>
    <row r="76" spans="1:44" ht="15" x14ac:dyDescent="0.25">
      <c r="A76" s="269"/>
      <c r="B76" s="305"/>
      <c r="C76" s="305"/>
      <c r="D76" s="618"/>
      <c r="E76" s="618"/>
      <c r="F76" s="269"/>
      <c r="G76" s="269"/>
      <c r="H76" s="269"/>
      <c r="I76" s="269"/>
      <c r="J76" s="269"/>
      <c r="K76" s="269"/>
      <c r="L76" s="269"/>
      <c r="M76" s="269"/>
      <c r="N76" s="269"/>
      <c r="O76" s="269"/>
      <c r="P76" s="269"/>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c r="AR76" s="127"/>
    </row>
    <row r="77" spans="1:44" x14ac:dyDescent="0.25">
      <c r="A77" s="269"/>
      <c r="B77" s="306"/>
      <c r="C77" s="269"/>
      <c r="D77" s="269"/>
      <c r="E77" s="269"/>
      <c r="F77" s="269"/>
      <c r="G77" s="269"/>
      <c r="H77" s="269"/>
      <c r="I77" s="269"/>
      <c r="J77" s="269"/>
      <c r="K77" s="269"/>
      <c r="L77" s="269"/>
      <c r="M77" s="269"/>
      <c r="N77" s="269"/>
      <c r="O77" s="269"/>
      <c r="P77" s="269"/>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c r="AR77" s="127"/>
    </row>
    <row r="78" spans="1:44" x14ac:dyDescent="0.25">
      <c r="A78" s="269"/>
      <c r="B78" s="306"/>
      <c r="C78" s="269"/>
      <c r="D78" s="269"/>
      <c r="E78" s="269"/>
      <c r="F78" s="617"/>
      <c r="G78" s="269"/>
      <c r="H78" s="269"/>
      <c r="I78" s="269"/>
      <c r="J78" s="269"/>
      <c r="K78" s="269"/>
      <c r="L78" s="269"/>
      <c r="M78" s="269"/>
      <c r="N78" s="269"/>
      <c r="O78" s="269"/>
      <c r="P78" s="269"/>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c r="AR78" s="127"/>
    </row>
    <row r="79" spans="1:44" x14ac:dyDescent="0.25">
      <c r="A79" s="269"/>
      <c r="B79" s="306"/>
      <c r="C79" s="269"/>
      <c r="D79" s="269"/>
      <c r="E79" s="269"/>
      <c r="F79" s="618"/>
      <c r="G79" s="269"/>
      <c r="H79" s="269"/>
      <c r="I79" s="269"/>
      <c r="J79" s="269"/>
      <c r="K79" s="269"/>
      <c r="L79" s="269"/>
      <c r="M79" s="269"/>
      <c r="N79" s="269"/>
      <c r="O79" s="269"/>
      <c r="P79" s="269"/>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c r="AR79" s="127"/>
    </row>
    <row r="80" spans="1:44" x14ac:dyDescent="0.25">
      <c r="A80" s="269"/>
      <c r="B80" s="306"/>
      <c r="C80" s="269"/>
      <c r="D80" s="269"/>
      <c r="E80" s="269"/>
      <c r="F80" s="269"/>
      <c r="G80" s="269"/>
      <c r="H80" s="269"/>
      <c r="I80" s="269"/>
      <c r="J80" s="269"/>
      <c r="K80" s="269"/>
      <c r="L80" s="269"/>
      <c r="M80" s="269"/>
      <c r="N80" s="269"/>
      <c r="O80" s="269"/>
      <c r="P80" s="269"/>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c r="AR80" s="127"/>
    </row>
    <row r="81" spans="1:44" x14ac:dyDescent="0.25">
      <c r="A81" s="269"/>
      <c r="B81" s="306"/>
      <c r="C81" s="269"/>
      <c r="D81" s="269"/>
      <c r="E81" s="269"/>
      <c r="F81" s="269"/>
      <c r="G81" s="269"/>
      <c r="H81" s="269"/>
      <c r="I81" s="269"/>
      <c r="J81" s="269"/>
      <c r="K81" s="269"/>
      <c r="L81" s="269"/>
      <c r="M81" s="269"/>
      <c r="N81" s="269"/>
      <c r="O81" s="269"/>
      <c r="P81" s="269"/>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c r="AR81" s="127"/>
    </row>
    <row r="82" spans="1:44" x14ac:dyDescent="0.25">
      <c r="A82" s="269"/>
      <c r="B82" s="306"/>
      <c r="C82" s="269"/>
      <c r="D82" s="269"/>
      <c r="E82" s="269"/>
      <c r="F82" s="269"/>
      <c r="G82" s="269"/>
      <c r="H82" s="269"/>
      <c r="I82" s="269"/>
      <c r="J82" s="269"/>
      <c r="K82" s="269"/>
      <c r="L82" s="269"/>
      <c r="M82" s="269"/>
      <c r="N82" s="269"/>
      <c r="O82" s="269"/>
      <c r="P82" s="269"/>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c r="AR82" s="127"/>
    </row>
    <row r="83" spans="1:44" x14ac:dyDescent="0.25">
      <c r="A83" s="269"/>
      <c r="B83" s="306"/>
      <c r="C83" s="269"/>
      <c r="D83" s="269"/>
      <c r="E83" s="269"/>
      <c r="F83" s="269"/>
      <c r="G83" s="269"/>
      <c r="H83" s="269"/>
      <c r="I83" s="269"/>
      <c r="J83" s="269"/>
      <c r="K83" s="269"/>
      <c r="L83" s="269"/>
      <c r="M83" s="269"/>
      <c r="N83" s="269"/>
      <c r="O83" s="269"/>
      <c r="P83" s="269"/>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c r="AR83" s="127"/>
    </row>
    <row r="84" spans="1:44" x14ac:dyDescent="0.25">
      <c r="A84" s="269"/>
      <c r="B84" s="306"/>
      <c r="C84" s="269"/>
      <c r="D84" s="269"/>
      <c r="E84" s="269"/>
      <c r="F84" s="269"/>
      <c r="G84" s="269"/>
      <c r="H84" s="269"/>
      <c r="I84" s="269"/>
      <c r="J84" s="269"/>
      <c r="K84" s="269"/>
      <c r="L84" s="269"/>
      <c r="M84" s="269"/>
      <c r="N84" s="269"/>
      <c r="O84" s="269"/>
      <c r="P84" s="269"/>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c r="AR84" s="127"/>
    </row>
    <row r="85" spans="1:44" x14ac:dyDescent="0.25">
      <c r="A85" s="269"/>
      <c r="B85" s="306"/>
      <c r="C85" s="269"/>
      <c r="D85" s="269"/>
      <c r="E85" s="269"/>
      <c r="F85" s="269"/>
      <c r="G85" s="269"/>
      <c r="H85" s="269"/>
      <c r="I85" s="269"/>
      <c r="J85" s="269"/>
      <c r="K85" s="269"/>
      <c r="L85" s="269"/>
      <c r="M85" s="269"/>
      <c r="N85" s="269"/>
      <c r="O85" s="269"/>
      <c r="P85" s="269"/>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c r="AR85" s="127"/>
    </row>
    <row r="86" spans="1:44" x14ac:dyDescent="0.25">
      <c r="A86" s="269"/>
      <c r="B86" s="306"/>
      <c r="C86" s="269"/>
      <c r="D86" s="269"/>
      <c r="E86" s="269"/>
      <c r="F86" s="269"/>
      <c r="G86" s="269"/>
      <c r="H86" s="269"/>
      <c r="I86" s="269"/>
      <c r="J86" s="269"/>
      <c r="K86" s="269"/>
      <c r="L86" s="269"/>
      <c r="M86" s="269"/>
      <c r="N86" s="269"/>
      <c r="O86" s="269"/>
      <c r="P86" s="269"/>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c r="AR86" s="127"/>
    </row>
    <row r="87" spans="1:44" x14ac:dyDescent="0.25">
      <c r="A87" s="269"/>
      <c r="B87" s="306"/>
      <c r="C87" s="269"/>
      <c r="D87" s="269"/>
      <c r="E87" s="269"/>
      <c r="F87" s="269"/>
      <c r="G87" s="269"/>
      <c r="H87" s="269"/>
      <c r="I87" s="269"/>
      <c r="J87" s="269"/>
      <c r="K87" s="269"/>
      <c r="L87" s="269"/>
      <c r="M87" s="269"/>
      <c r="N87" s="269"/>
      <c r="O87" s="269"/>
      <c r="P87" s="269"/>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c r="AR87" s="127"/>
    </row>
    <row r="88" spans="1:44" x14ac:dyDescent="0.25">
      <c r="A88" s="269"/>
      <c r="B88" s="269"/>
      <c r="C88" s="269"/>
      <c r="D88" s="304"/>
      <c r="E88" s="269"/>
      <c r="F88" s="269"/>
      <c r="G88" s="269"/>
      <c r="H88" s="269"/>
      <c r="I88" s="269"/>
      <c r="J88" s="269"/>
      <c r="K88" s="269"/>
      <c r="L88" s="269"/>
      <c r="M88" s="269"/>
      <c r="N88" s="269"/>
      <c r="O88" s="269"/>
      <c r="P88" s="269"/>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c r="AR88" s="127"/>
    </row>
    <row r="89" spans="1:44" ht="15" x14ac:dyDescent="0.25">
      <c r="A89" s="269"/>
      <c r="B89" s="616"/>
      <c r="C89" s="616"/>
      <c r="D89" s="305"/>
      <c r="E89" s="305"/>
      <c r="F89" s="269"/>
      <c r="G89" s="269"/>
      <c r="H89" s="269"/>
      <c r="I89" s="269"/>
      <c r="J89" s="269"/>
      <c r="K89" s="269"/>
      <c r="L89" s="269"/>
      <c r="M89" s="269"/>
      <c r="N89" s="269"/>
      <c r="O89" s="269"/>
      <c r="P89" s="269"/>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c r="AR89" s="127"/>
    </row>
    <row r="90" spans="1:44" x14ac:dyDescent="0.25">
      <c r="A90" s="269"/>
      <c r="B90" s="616"/>
      <c r="C90" s="616"/>
      <c r="D90" s="306"/>
      <c r="E90" s="306"/>
      <c r="F90" s="269"/>
      <c r="G90" s="269"/>
      <c r="H90" s="269"/>
      <c r="I90" s="269"/>
      <c r="J90" s="269"/>
      <c r="K90" s="269"/>
      <c r="L90" s="269"/>
      <c r="M90" s="269"/>
      <c r="N90" s="269"/>
      <c r="O90" s="269"/>
      <c r="P90" s="269"/>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c r="AR90" s="127"/>
    </row>
    <row r="91" spans="1:44" x14ac:dyDescent="0.25">
      <c r="A91" s="269"/>
      <c r="B91" s="269"/>
      <c r="C91" s="269"/>
      <c r="D91" s="269"/>
      <c r="E91" s="269"/>
      <c r="F91" s="269"/>
      <c r="G91" s="269"/>
      <c r="H91" s="269"/>
      <c r="I91" s="269"/>
      <c r="J91" s="269"/>
      <c r="K91" s="269"/>
      <c r="L91" s="269"/>
      <c r="M91" s="269"/>
      <c r="N91" s="269"/>
      <c r="O91" s="269"/>
      <c r="P91" s="269"/>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c r="AR91" s="127"/>
    </row>
    <row r="92" spans="1:44" ht="15" x14ac:dyDescent="0.25">
      <c r="A92" s="269"/>
      <c r="B92" s="269"/>
      <c r="C92" s="269"/>
      <c r="D92" s="269"/>
      <c r="E92" s="269"/>
      <c r="F92" s="305"/>
      <c r="G92" s="269"/>
      <c r="H92" s="269"/>
      <c r="I92" s="269"/>
      <c r="J92" s="269"/>
      <c r="K92" s="269"/>
      <c r="L92" s="269"/>
      <c r="M92" s="269"/>
      <c r="N92" s="269"/>
      <c r="O92" s="269"/>
      <c r="P92" s="269"/>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c r="AR92" s="127"/>
    </row>
    <row r="93" spans="1:44" x14ac:dyDescent="0.25">
      <c r="A93" s="269"/>
      <c r="B93" s="269"/>
      <c r="C93" s="269"/>
      <c r="D93" s="269"/>
      <c r="E93" s="269"/>
      <c r="F93" s="306"/>
      <c r="G93" s="269"/>
      <c r="H93" s="269"/>
      <c r="I93" s="269"/>
      <c r="J93" s="269"/>
      <c r="K93" s="269"/>
      <c r="L93" s="269"/>
      <c r="M93" s="269"/>
      <c r="N93" s="269"/>
      <c r="O93" s="269"/>
      <c r="P93" s="269"/>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c r="AR93" s="127"/>
    </row>
    <row r="94" spans="1:44" x14ac:dyDescent="0.25">
      <c r="A94" s="269"/>
      <c r="B94" s="269"/>
      <c r="C94" s="269"/>
      <c r="D94" s="269"/>
      <c r="E94" s="269"/>
      <c r="F94" s="269"/>
      <c r="G94" s="269"/>
      <c r="H94" s="269"/>
      <c r="I94" s="269"/>
      <c r="J94" s="269"/>
      <c r="K94" s="269"/>
      <c r="L94" s="269"/>
      <c r="M94" s="269"/>
      <c r="N94" s="269"/>
      <c r="O94" s="269"/>
      <c r="P94" s="269"/>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c r="AR94" s="127"/>
    </row>
    <row r="95" spans="1:44" x14ac:dyDescent="0.25">
      <c r="A95" s="269"/>
      <c r="B95" s="269"/>
      <c r="C95" s="269"/>
      <c r="D95" s="269"/>
      <c r="E95" s="269"/>
      <c r="F95" s="269"/>
      <c r="G95" s="269"/>
      <c r="H95" s="269"/>
      <c r="I95" s="269"/>
      <c r="J95" s="269"/>
      <c r="K95" s="269"/>
      <c r="L95" s="269"/>
      <c r="M95" s="269"/>
      <c r="N95" s="269"/>
      <c r="O95" s="269"/>
      <c r="P95" s="269"/>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c r="AR95" s="127"/>
    </row>
    <row r="96" spans="1:44" x14ac:dyDescent="0.25">
      <c r="A96" s="269"/>
      <c r="B96" s="269"/>
      <c r="C96" s="269"/>
      <c r="D96" s="269"/>
      <c r="E96" s="269"/>
      <c r="F96" s="269"/>
      <c r="G96" s="269"/>
      <c r="H96" s="269"/>
      <c r="I96" s="269"/>
      <c r="J96" s="269"/>
      <c r="K96" s="269"/>
      <c r="L96" s="269"/>
      <c r="M96" s="269"/>
      <c r="N96" s="269"/>
      <c r="O96" s="269"/>
      <c r="P96" s="269"/>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c r="AR96" s="127"/>
    </row>
    <row r="97" spans="1:44" x14ac:dyDescent="0.25">
      <c r="A97" s="269"/>
      <c r="B97" s="269"/>
      <c r="C97" s="269"/>
      <c r="D97" s="269"/>
      <c r="E97" s="269"/>
      <c r="F97" s="269"/>
      <c r="G97" s="269"/>
      <c r="H97" s="269"/>
      <c r="I97" s="269"/>
      <c r="J97" s="269"/>
      <c r="K97" s="269"/>
      <c r="L97" s="269"/>
      <c r="M97" s="269"/>
      <c r="N97" s="269"/>
      <c r="O97" s="269"/>
      <c r="P97" s="269"/>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c r="AR97" s="127"/>
    </row>
    <row r="98" spans="1:44" x14ac:dyDescent="0.25">
      <c r="A98" s="269"/>
      <c r="B98" s="269"/>
      <c r="C98" s="269"/>
      <c r="D98" s="269"/>
      <c r="E98" s="269"/>
      <c r="F98" s="269"/>
      <c r="G98" s="269"/>
      <c r="H98" s="269"/>
      <c r="I98" s="269"/>
      <c r="J98" s="269"/>
      <c r="K98" s="269"/>
      <c r="L98" s="269"/>
      <c r="M98" s="269"/>
      <c r="N98" s="269"/>
      <c r="O98" s="269"/>
      <c r="P98" s="269"/>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c r="AR98" s="127"/>
    </row>
    <row r="99" spans="1:44" x14ac:dyDescent="0.25">
      <c r="A99" s="269"/>
      <c r="B99" s="269"/>
      <c r="C99" s="269"/>
      <c r="D99" s="269"/>
      <c r="E99" s="269"/>
      <c r="F99" s="269"/>
      <c r="G99" s="269"/>
      <c r="H99" s="269"/>
      <c r="I99" s="269"/>
      <c r="J99" s="269"/>
      <c r="K99" s="269"/>
      <c r="L99" s="269"/>
      <c r="M99" s="269"/>
      <c r="N99" s="269"/>
      <c r="O99" s="269"/>
      <c r="P99" s="269"/>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c r="AR99" s="127"/>
    </row>
    <row r="100" spans="1:44" x14ac:dyDescent="0.25">
      <c r="A100" s="269"/>
      <c r="B100" s="269"/>
      <c r="C100" s="269"/>
      <c r="D100" s="269"/>
      <c r="E100" s="269"/>
      <c r="F100" s="269"/>
      <c r="G100" s="269"/>
      <c r="H100" s="269"/>
      <c r="I100" s="269"/>
      <c r="J100" s="269"/>
      <c r="K100" s="269"/>
      <c r="L100" s="269"/>
      <c r="M100" s="269"/>
      <c r="N100" s="269"/>
      <c r="O100" s="269"/>
      <c r="P100" s="269"/>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c r="AR100" s="127"/>
    </row>
    <row r="101" spans="1:44" x14ac:dyDescent="0.25">
      <c r="A101" s="269"/>
      <c r="B101" s="269"/>
      <c r="C101" s="269"/>
      <c r="D101" s="269"/>
      <c r="E101" s="269"/>
      <c r="F101" s="269"/>
      <c r="G101" s="269"/>
      <c r="H101" s="269"/>
      <c r="I101" s="269"/>
      <c r="J101" s="269"/>
      <c r="K101" s="269"/>
      <c r="L101" s="269"/>
      <c r="M101" s="269"/>
      <c r="N101" s="269"/>
      <c r="O101" s="269"/>
      <c r="P101" s="269"/>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c r="AR101" s="127"/>
    </row>
    <row r="102" spans="1:44" x14ac:dyDescent="0.25">
      <c r="A102" s="311"/>
      <c r="B102" s="311"/>
      <c r="C102" s="311"/>
      <c r="D102" s="311"/>
      <c r="E102" s="311"/>
      <c r="F102" s="311"/>
      <c r="G102" s="311"/>
      <c r="H102" s="311"/>
      <c r="I102" s="311"/>
      <c r="J102" s="311"/>
      <c r="K102" s="311"/>
      <c r="L102" s="311"/>
      <c r="M102" s="311"/>
      <c r="N102" s="311"/>
      <c r="O102" s="311"/>
      <c r="P102" s="311"/>
      <c r="Q102" s="311"/>
      <c r="R102" s="311"/>
      <c r="S102" s="311"/>
      <c r="T102" s="311"/>
      <c r="U102" s="311"/>
      <c r="V102" s="27"/>
      <c r="W102" s="27"/>
      <c r="X102" s="27"/>
      <c r="Y102" s="27"/>
      <c r="Z102" s="27"/>
      <c r="AA102" s="27"/>
      <c r="AB102" s="27"/>
      <c r="AC102" s="27"/>
      <c r="AD102" s="27"/>
      <c r="AE102" s="27"/>
      <c r="AF102" s="27"/>
      <c r="AG102" s="27"/>
      <c r="AH102" s="27"/>
      <c r="AI102" s="27"/>
      <c r="AJ102" s="27"/>
      <c r="AK102" s="27"/>
      <c r="AL102" s="27"/>
      <c r="AM102" s="27"/>
      <c r="AN102" s="27"/>
      <c r="AO102" s="27"/>
    </row>
    <row r="103" spans="1:44" x14ac:dyDescent="0.25">
      <c r="A103" s="311"/>
      <c r="B103" s="311"/>
      <c r="C103" s="311"/>
      <c r="D103" s="311"/>
      <c r="E103" s="311"/>
      <c r="F103" s="311"/>
      <c r="G103" s="311"/>
      <c r="H103" s="311"/>
      <c r="I103" s="311"/>
      <c r="J103" s="311"/>
      <c r="K103" s="311"/>
      <c r="L103" s="311"/>
      <c r="M103" s="311"/>
      <c r="N103" s="311"/>
      <c r="O103" s="311"/>
      <c r="P103" s="311"/>
      <c r="Q103" s="311"/>
      <c r="R103" s="311"/>
      <c r="S103" s="311"/>
      <c r="T103" s="311"/>
      <c r="U103" s="311"/>
      <c r="V103" s="27"/>
      <c r="W103" s="27"/>
      <c r="X103" s="27"/>
      <c r="Y103" s="27"/>
      <c r="Z103" s="27"/>
      <c r="AA103" s="27"/>
      <c r="AB103" s="27"/>
      <c r="AC103" s="27"/>
      <c r="AD103" s="27"/>
      <c r="AE103" s="27"/>
      <c r="AF103" s="27"/>
      <c r="AG103" s="27"/>
      <c r="AH103" s="27"/>
      <c r="AI103" s="27"/>
      <c r="AJ103" s="27"/>
      <c r="AK103" s="27"/>
      <c r="AL103" s="27"/>
      <c r="AM103" s="27"/>
      <c r="AN103" s="27"/>
      <c r="AO103" s="27"/>
    </row>
    <row r="104" spans="1:44" x14ac:dyDescent="0.25">
      <c r="A104" s="311"/>
      <c r="B104" s="311"/>
      <c r="C104" s="311"/>
      <c r="D104" s="311"/>
      <c r="E104" s="311"/>
      <c r="F104" s="311"/>
      <c r="G104" s="311"/>
      <c r="H104" s="311"/>
      <c r="I104" s="311"/>
      <c r="J104" s="311"/>
      <c r="K104" s="311"/>
      <c r="L104" s="311"/>
      <c r="M104" s="311"/>
      <c r="N104" s="311"/>
      <c r="O104" s="311"/>
      <c r="P104" s="311"/>
      <c r="Q104" s="311"/>
      <c r="R104" s="311"/>
      <c r="S104" s="311"/>
      <c r="T104" s="311"/>
      <c r="U104" s="311"/>
      <c r="V104" s="27"/>
      <c r="W104" s="27"/>
      <c r="X104" s="27"/>
      <c r="Y104" s="27"/>
      <c r="Z104" s="27"/>
      <c r="AA104" s="27"/>
      <c r="AB104" s="27"/>
      <c r="AC104" s="27"/>
      <c r="AD104" s="27"/>
      <c r="AE104" s="27"/>
      <c r="AF104" s="27"/>
      <c r="AG104" s="27"/>
      <c r="AH104" s="27"/>
      <c r="AI104" s="27"/>
      <c r="AJ104" s="27"/>
      <c r="AK104" s="27"/>
      <c r="AL104" s="27"/>
      <c r="AM104" s="27"/>
      <c r="AN104" s="27"/>
      <c r="AO104" s="27"/>
    </row>
    <row r="105" spans="1:44" x14ac:dyDescent="0.25">
      <c r="A105" s="311"/>
      <c r="B105" s="311"/>
      <c r="C105" s="311"/>
      <c r="D105" s="311"/>
      <c r="E105" s="311"/>
      <c r="F105" s="311"/>
      <c r="G105" s="311"/>
      <c r="H105" s="311"/>
      <c r="I105" s="311"/>
      <c r="J105" s="311"/>
      <c r="K105" s="311"/>
      <c r="L105" s="311"/>
      <c r="M105" s="311"/>
      <c r="N105" s="311"/>
      <c r="O105" s="311"/>
      <c r="P105" s="311"/>
      <c r="Q105" s="311"/>
      <c r="R105" s="311"/>
      <c r="S105" s="311"/>
      <c r="T105" s="311"/>
      <c r="U105" s="311"/>
      <c r="V105" s="27"/>
      <c r="W105" s="27"/>
      <c r="X105" s="27"/>
      <c r="Y105" s="27"/>
      <c r="Z105" s="27"/>
      <c r="AA105" s="27"/>
      <c r="AB105" s="27"/>
      <c r="AC105" s="27"/>
      <c r="AD105" s="27"/>
      <c r="AE105" s="27"/>
      <c r="AF105" s="27"/>
      <c r="AG105" s="27"/>
      <c r="AH105" s="27"/>
      <c r="AI105" s="27"/>
      <c r="AJ105" s="27"/>
      <c r="AK105" s="27"/>
      <c r="AL105" s="27"/>
      <c r="AM105" s="27"/>
      <c r="AN105" s="27"/>
      <c r="AO105" s="27"/>
    </row>
    <row r="106" spans="1:44" x14ac:dyDescent="0.25">
      <c r="A106" s="311"/>
      <c r="B106" s="311"/>
      <c r="C106" s="311"/>
      <c r="D106" s="311"/>
      <c r="E106" s="311"/>
      <c r="F106" s="311"/>
      <c r="G106" s="311"/>
      <c r="H106" s="311"/>
      <c r="I106" s="311"/>
      <c r="J106" s="311"/>
      <c r="K106" s="311"/>
      <c r="L106" s="311"/>
      <c r="M106" s="311"/>
      <c r="N106" s="311"/>
      <c r="O106" s="311"/>
      <c r="P106" s="311"/>
      <c r="Q106" s="311"/>
      <c r="R106" s="311"/>
      <c r="S106" s="311"/>
      <c r="T106" s="311"/>
      <c r="U106" s="311"/>
      <c r="V106" s="27"/>
      <c r="W106" s="27"/>
      <c r="X106" s="27"/>
      <c r="Y106" s="27"/>
      <c r="Z106" s="27"/>
      <c r="AA106" s="27"/>
      <c r="AB106" s="27"/>
      <c r="AC106" s="27"/>
      <c r="AD106" s="27"/>
      <c r="AE106" s="27"/>
      <c r="AF106" s="27"/>
      <c r="AG106" s="27"/>
      <c r="AH106" s="27"/>
      <c r="AI106" s="27"/>
      <c r="AJ106" s="27"/>
      <c r="AK106" s="27"/>
      <c r="AL106" s="27"/>
      <c r="AM106" s="27"/>
      <c r="AN106" s="27"/>
      <c r="AO106" s="27"/>
    </row>
    <row r="107" spans="1:44" x14ac:dyDescent="0.25">
      <c r="A107" s="311"/>
      <c r="B107" s="311"/>
      <c r="C107" s="311"/>
      <c r="D107" s="311"/>
      <c r="E107" s="311"/>
      <c r="F107" s="311"/>
      <c r="G107" s="311"/>
      <c r="H107" s="311"/>
      <c r="I107" s="311"/>
      <c r="J107" s="311"/>
      <c r="K107" s="311"/>
      <c r="L107" s="311"/>
      <c r="M107" s="311"/>
      <c r="N107" s="311"/>
      <c r="O107" s="311"/>
      <c r="P107" s="311"/>
      <c r="Q107" s="311"/>
      <c r="R107" s="311"/>
      <c r="S107" s="311"/>
      <c r="T107" s="311"/>
      <c r="U107" s="311"/>
      <c r="V107" s="27"/>
      <c r="W107" s="27"/>
      <c r="X107" s="27"/>
      <c r="Y107" s="27"/>
      <c r="Z107" s="27"/>
      <c r="AA107" s="27"/>
      <c r="AB107" s="27"/>
      <c r="AC107" s="27"/>
      <c r="AD107" s="27"/>
      <c r="AE107" s="27"/>
      <c r="AF107" s="27"/>
      <c r="AG107" s="27"/>
      <c r="AH107" s="27"/>
      <c r="AI107" s="27"/>
      <c r="AJ107" s="27"/>
      <c r="AK107" s="27"/>
      <c r="AL107" s="27"/>
      <c r="AM107" s="27"/>
      <c r="AN107" s="27"/>
      <c r="AO107" s="27"/>
    </row>
    <row r="108" spans="1:44" x14ac:dyDescent="0.25">
      <c r="A108" s="27"/>
      <c r="B108" s="27"/>
      <c r="C108" s="27"/>
      <c r="D108" s="27"/>
      <c r="E108" s="27"/>
      <c r="F108" s="27"/>
      <c r="G108" s="27"/>
      <c r="H108" s="27"/>
      <c r="I108" s="27"/>
      <c r="J108" s="27"/>
      <c r="K108" s="27"/>
      <c r="L108" s="27"/>
      <c r="M108" s="27"/>
      <c r="N108" s="27"/>
      <c r="O108" s="27"/>
      <c r="P108" s="27"/>
      <c r="Q108" s="27"/>
      <c r="R108" s="27"/>
      <c r="S108" s="27"/>
      <c r="T108" s="27"/>
      <c r="U108" s="27"/>
      <c r="V108" s="27"/>
      <c r="W108" s="27"/>
      <c r="X108" s="27"/>
      <c r="Y108" s="27"/>
      <c r="Z108" s="27"/>
      <c r="AA108" s="27"/>
      <c r="AB108" s="27"/>
      <c r="AC108" s="27"/>
      <c r="AD108" s="27"/>
      <c r="AE108" s="27"/>
      <c r="AF108" s="27"/>
      <c r="AG108" s="27"/>
      <c r="AH108" s="27"/>
      <c r="AI108" s="27"/>
      <c r="AJ108" s="27"/>
      <c r="AK108" s="27"/>
      <c r="AL108" s="27"/>
      <c r="AM108" s="27"/>
      <c r="AN108" s="27"/>
      <c r="AO108" s="27"/>
    </row>
    <row r="109" spans="1:44" x14ac:dyDescent="0.25">
      <c r="A109" s="27"/>
      <c r="B109" s="27"/>
      <c r="C109" s="27"/>
      <c r="D109" s="27"/>
      <c r="E109" s="27"/>
      <c r="F109" s="27"/>
      <c r="G109" s="27"/>
      <c r="H109" s="27"/>
      <c r="I109" s="27"/>
      <c r="J109" s="27"/>
      <c r="K109" s="27"/>
      <c r="L109" s="27"/>
      <c r="M109" s="27"/>
      <c r="N109" s="27"/>
      <c r="O109" s="27"/>
      <c r="P109" s="27"/>
      <c r="Q109" s="27"/>
      <c r="R109" s="27"/>
      <c r="S109" s="27"/>
      <c r="T109" s="27"/>
      <c r="U109" s="27"/>
      <c r="V109" s="27"/>
      <c r="W109" s="27"/>
      <c r="X109" s="27"/>
      <c r="Y109" s="27"/>
      <c r="Z109" s="27"/>
      <c r="AA109" s="27"/>
      <c r="AB109" s="27"/>
      <c r="AC109" s="27"/>
      <c r="AD109" s="27"/>
      <c r="AE109" s="27"/>
      <c r="AF109" s="27"/>
      <c r="AG109" s="27"/>
      <c r="AH109" s="27"/>
      <c r="AI109" s="27"/>
      <c r="AJ109" s="27"/>
      <c r="AK109" s="27"/>
      <c r="AL109" s="27"/>
      <c r="AM109" s="27"/>
      <c r="AN109" s="27"/>
      <c r="AO109" s="27"/>
    </row>
    <row r="110" spans="1:44" x14ac:dyDescent="0.25">
      <c r="A110" s="27"/>
      <c r="B110" s="27"/>
      <c r="C110" s="27"/>
      <c r="D110" s="27"/>
      <c r="E110" s="27"/>
      <c r="F110" s="27"/>
      <c r="G110" s="27"/>
      <c r="H110" s="27"/>
      <c r="I110" s="27"/>
      <c r="J110" s="27"/>
      <c r="K110" s="27"/>
      <c r="L110" s="27"/>
      <c r="M110" s="27"/>
      <c r="N110" s="27"/>
      <c r="O110" s="27"/>
      <c r="P110" s="27"/>
      <c r="Q110" s="27"/>
      <c r="R110" s="27"/>
      <c r="S110" s="27"/>
      <c r="T110" s="27"/>
      <c r="U110" s="27"/>
      <c r="V110" s="27"/>
      <c r="W110" s="27"/>
      <c r="X110" s="27"/>
      <c r="Y110" s="27"/>
      <c r="Z110" s="27"/>
      <c r="AA110" s="27"/>
      <c r="AB110" s="27"/>
      <c r="AC110" s="27"/>
      <c r="AD110" s="27"/>
      <c r="AE110" s="27"/>
      <c r="AF110" s="27"/>
      <c r="AG110" s="27"/>
      <c r="AH110" s="27"/>
      <c r="AI110" s="27"/>
      <c r="AJ110" s="27"/>
      <c r="AK110" s="27"/>
      <c r="AL110" s="27"/>
      <c r="AM110" s="27"/>
      <c r="AN110" s="27"/>
      <c r="AO110" s="27"/>
    </row>
    <row r="111" spans="1:44" x14ac:dyDescent="0.25">
      <c r="A111" s="27"/>
      <c r="B111" s="27"/>
      <c r="C111" s="27"/>
      <c r="D111" s="27"/>
      <c r="E111" s="27"/>
      <c r="F111" s="27"/>
      <c r="G111" s="27"/>
      <c r="H111" s="27"/>
      <c r="I111" s="27"/>
      <c r="J111" s="27"/>
      <c r="K111" s="27"/>
      <c r="L111" s="27"/>
      <c r="M111" s="27"/>
      <c r="N111" s="27"/>
      <c r="O111" s="27"/>
      <c r="P111" s="27"/>
      <c r="Q111" s="27"/>
      <c r="R111" s="27"/>
      <c r="S111" s="27"/>
      <c r="T111" s="27"/>
      <c r="U111" s="27"/>
      <c r="V111" s="27"/>
      <c r="W111" s="27"/>
      <c r="X111" s="27"/>
      <c r="Y111" s="27"/>
      <c r="Z111" s="27"/>
      <c r="AA111" s="27"/>
      <c r="AB111" s="27"/>
      <c r="AC111" s="27"/>
      <c r="AD111" s="27"/>
      <c r="AE111" s="27"/>
      <c r="AF111" s="27"/>
      <c r="AG111" s="27"/>
      <c r="AH111" s="27"/>
      <c r="AI111" s="27"/>
      <c r="AJ111" s="27"/>
      <c r="AK111" s="27"/>
      <c r="AL111" s="27"/>
      <c r="AM111" s="27"/>
      <c r="AN111" s="27"/>
      <c r="AO111" s="27"/>
    </row>
    <row r="112" spans="1:44" x14ac:dyDescent="0.25">
      <c r="A112" s="27"/>
      <c r="B112" s="27"/>
      <c r="C112" s="27"/>
      <c r="D112" s="27"/>
      <c r="E112" s="27"/>
      <c r="F112" s="27"/>
      <c r="G112" s="27"/>
      <c r="H112" s="27"/>
      <c r="I112" s="27"/>
      <c r="J112" s="27"/>
      <c r="K112" s="27"/>
      <c r="L112" s="27"/>
      <c r="M112" s="27"/>
      <c r="N112" s="27"/>
      <c r="O112" s="27"/>
      <c r="P112" s="27"/>
      <c r="Q112" s="27"/>
      <c r="R112" s="27"/>
      <c r="S112" s="27"/>
      <c r="T112" s="27"/>
      <c r="U112" s="27"/>
      <c r="V112" s="27"/>
      <c r="W112" s="27"/>
      <c r="X112" s="27"/>
      <c r="Y112" s="27"/>
      <c r="Z112" s="27"/>
      <c r="AA112" s="27"/>
      <c r="AB112" s="27"/>
      <c r="AC112" s="27"/>
      <c r="AD112" s="27"/>
      <c r="AE112" s="27"/>
      <c r="AF112" s="27"/>
      <c r="AG112" s="27"/>
      <c r="AH112" s="27"/>
      <c r="AI112" s="27"/>
      <c r="AJ112" s="27"/>
      <c r="AK112" s="27"/>
      <c r="AL112" s="27"/>
      <c r="AM112" s="27"/>
      <c r="AN112" s="27"/>
      <c r="AO112" s="27"/>
    </row>
    <row r="113" spans="1:41" x14ac:dyDescent="0.25">
      <c r="A113" s="27"/>
      <c r="B113" s="27"/>
      <c r="C113" s="27"/>
      <c r="D113" s="27"/>
      <c r="E113" s="27"/>
      <c r="F113" s="27"/>
      <c r="G113" s="27"/>
      <c r="H113" s="27"/>
      <c r="I113" s="27"/>
      <c r="J113" s="27"/>
      <c r="K113" s="27"/>
      <c r="L113" s="27"/>
      <c r="M113" s="27"/>
      <c r="N113" s="27"/>
      <c r="O113" s="27"/>
      <c r="P113" s="27"/>
      <c r="Q113" s="27"/>
      <c r="R113" s="27"/>
      <c r="S113" s="27"/>
      <c r="T113" s="27"/>
      <c r="U113" s="27"/>
      <c r="V113" s="27"/>
      <c r="W113" s="27"/>
      <c r="X113" s="27"/>
      <c r="Y113" s="27"/>
      <c r="Z113" s="27"/>
      <c r="AA113" s="27"/>
      <c r="AB113" s="27"/>
      <c r="AC113" s="27"/>
      <c r="AD113" s="27"/>
      <c r="AE113" s="27"/>
      <c r="AF113" s="27"/>
      <c r="AG113" s="27"/>
      <c r="AH113" s="27"/>
      <c r="AI113" s="27"/>
      <c r="AJ113" s="27"/>
      <c r="AK113" s="27"/>
      <c r="AL113" s="27"/>
      <c r="AM113" s="27"/>
      <c r="AN113" s="27"/>
      <c r="AO113" s="27"/>
    </row>
    <row r="114" spans="1:41" x14ac:dyDescent="0.25">
      <c r="A114" s="27"/>
      <c r="B114" s="27"/>
      <c r="C114" s="27"/>
      <c r="D114" s="27"/>
      <c r="E114" s="27"/>
      <c r="F114" s="27"/>
      <c r="G114" s="27"/>
      <c r="H114" s="27"/>
      <c r="I114" s="27"/>
      <c r="J114" s="27"/>
      <c r="K114" s="27"/>
      <c r="L114" s="27"/>
      <c r="M114" s="27"/>
      <c r="N114" s="27"/>
      <c r="O114" s="27"/>
      <c r="P114" s="27"/>
      <c r="Q114" s="27"/>
      <c r="R114" s="27"/>
      <c r="S114" s="27"/>
      <c r="T114" s="27"/>
      <c r="U114" s="27"/>
      <c r="V114" s="27"/>
      <c r="W114" s="27"/>
      <c r="X114" s="27"/>
      <c r="Y114" s="27"/>
      <c r="Z114" s="27"/>
      <c r="AA114" s="27"/>
      <c r="AB114" s="27"/>
      <c r="AC114" s="27"/>
      <c r="AD114" s="27"/>
      <c r="AE114" s="27"/>
      <c r="AF114" s="27"/>
      <c r="AG114" s="27"/>
      <c r="AH114" s="27"/>
      <c r="AI114" s="27"/>
      <c r="AJ114" s="27"/>
      <c r="AK114" s="27"/>
      <c r="AL114" s="27"/>
      <c r="AM114" s="27"/>
      <c r="AN114" s="27"/>
      <c r="AO114" s="27"/>
    </row>
    <row r="115" spans="1:41" x14ac:dyDescent="0.25">
      <c r="A115" s="27"/>
      <c r="B115" s="27"/>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c r="AA115" s="27"/>
      <c r="AB115" s="27"/>
      <c r="AC115" s="27"/>
      <c r="AD115" s="27"/>
      <c r="AE115" s="27"/>
      <c r="AF115" s="27"/>
      <c r="AG115" s="27"/>
      <c r="AH115" s="27"/>
      <c r="AI115" s="27"/>
      <c r="AJ115" s="27"/>
      <c r="AK115" s="27"/>
      <c r="AL115" s="27"/>
      <c r="AM115" s="27"/>
      <c r="AN115" s="27"/>
      <c r="AO115" s="27"/>
    </row>
    <row r="116" spans="1:41" x14ac:dyDescent="0.25">
      <c r="A116" s="27"/>
      <c r="B116" s="27"/>
      <c r="C116" s="27"/>
      <c r="D116" s="27"/>
      <c r="E116" s="27"/>
      <c r="F116" s="27"/>
      <c r="G116" s="27"/>
      <c r="H116" s="27"/>
      <c r="I116" s="27"/>
      <c r="J116" s="27"/>
      <c r="K116" s="27"/>
      <c r="L116" s="27"/>
      <c r="M116" s="27"/>
      <c r="N116" s="27"/>
      <c r="O116" s="27"/>
      <c r="P116" s="27"/>
      <c r="Q116" s="27"/>
      <c r="R116" s="27"/>
      <c r="S116" s="27"/>
      <c r="T116" s="27"/>
      <c r="U116" s="27"/>
      <c r="V116" s="27"/>
      <c r="W116" s="27"/>
      <c r="X116" s="27"/>
      <c r="Y116" s="27"/>
      <c r="Z116" s="27"/>
      <c r="AA116" s="27"/>
      <c r="AB116" s="27"/>
      <c r="AC116" s="27"/>
      <c r="AD116" s="27"/>
      <c r="AE116" s="27"/>
      <c r="AF116" s="27"/>
      <c r="AG116" s="27"/>
      <c r="AH116" s="27"/>
      <c r="AI116" s="27"/>
      <c r="AJ116" s="27"/>
      <c r="AK116" s="27"/>
      <c r="AL116" s="27"/>
      <c r="AM116" s="27"/>
      <c r="AN116" s="27"/>
      <c r="AO116" s="27"/>
    </row>
    <row r="117" spans="1:41" x14ac:dyDescent="0.25">
      <c r="A117" s="27"/>
      <c r="B117" s="27"/>
      <c r="C117" s="27"/>
      <c r="D117" s="27"/>
      <c r="E117" s="27"/>
      <c r="F117" s="27"/>
      <c r="G117" s="27"/>
      <c r="H117" s="27"/>
      <c r="I117" s="27"/>
      <c r="J117" s="27"/>
      <c r="K117" s="27"/>
      <c r="L117" s="27"/>
      <c r="M117" s="27"/>
      <c r="N117" s="27"/>
      <c r="O117" s="27"/>
      <c r="P117" s="27"/>
      <c r="Q117" s="27"/>
      <c r="R117" s="27"/>
      <c r="S117" s="27"/>
      <c r="T117" s="27"/>
      <c r="U117" s="27"/>
      <c r="V117" s="27"/>
      <c r="W117" s="27"/>
      <c r="X117" s="27"/>
      <c r="Y117" s="27"/>
      <c r="Z117" s="27"/>
      <c r="AA117" s="27"/>
      <c r="AB117" s="27"/>
      <c r="AC117" s="27"/>
      <c r="AD117" s="27"/>
      <c r="AE117" s="27"/>
      <c r="AF117" s="27"/>
      <c r="AG117" s="27"/>
      <c r="AH117" s="27"/>
      <c r="AI117" s="27"/>
      <c r="AJ117" s="27"/>
      <c r="AK117" s="27"/>
      <c r="AL117" s="27"/>
      <c r="AM117" s="27"/>
      <c r="AN117" s="27"/>
      <c r="AO117" s="27"/>
    </row>
    <row r="118" spans="1:41" x14ac:dyDescent="0.25">
      <c r="A118" s="27"/>
      <c r="B118" s="27"/>
      <c r="C118" s="27"/>
      <c r="D118" s="27"/>
      <c r="E118" s="27"/>
      <c r="F118" s="27"/>
      <c r="G118" s="27"/>
      <c r="H118" s="27"/>
      <c r="I118" s="27"/>
      <c r="J118" s="27"/>
      <c r="K118" s="27"/>
      <c r="L118" s="27"/>
      <c r="M118" s="27"/>
      <c r="N118" s="27"/>
      <c r="O118" s="27"/>
      <c r="P118" s="27"/>
      <c r="Q118" s="27"/>
      <c r="R118" s="27"/>
      <c r="S118" s="27"/>
      <c r="T118" s="27"/>
      <c r="U118" s="27"/>
      <c r="V118" s="27"/>
      <c r="W118" s="27"/>
      <c r="X118" s="27"/>
      <c r="Y118" s="27"/>
      <c r="Z118" s="27"/>
      <c r="AA118" s="27"/>
      <c r="AB118" s="27"/>
      <c r="AC118" s="27"/>
      <c r="AD118" s="27"/>
      <c r="AE118" s="27"/>
      <c r="AF118" s="27"/>
      <c r="AG118" s="27"/>
      <c r="AH118" s="27"/>
      <c r="AI118" s="27"/>
      <c r="AJ118" s="27"/>
      <c r="AK118" s="27"/>
      <c r="AL118" s="27"/>
      <c r="AM118" s="27"/>
      <c r="AN118" s="27"/>
      <c r="AO118" s="27"/>
    </row>
    <row r="119" spans="1:41" x14ac:dyDescent="0.25">
      <c r="A119" s="27"/>
      <c r="B119" s="27"/>
      <c r="C119" s="27"/>
      <c r="D119" s="27"/>
      <c r="E119" s="27"/>
      <c r="F119" s="27"/>
      <c r="G119" s="27"/>
      <c r="H119" s="27"/>
      <c r="I119" s="27"/>
      <c r="J119" s="27"/>
      <c r="K119" s="27"/>
      <c r="L119" s="27"/>
      <c r="M119" s="27"/>
      <c r="N119" s="27"/>
      <c r="O119" s="27"/>
      <c r="P119" s="27"/>
      <c r="Q119" s="27"/>
      <c r="R119" s="27"/>
      <c r="S119" s="27"/>
      <c r="T119" s="27"/>
      <c r="U119" s="27"/>
      <c r="V119" s="27"/>
      <c r="W119" s="27"/>
      <c r="X119" s="27"/>
      <c r="Y119" s="27"/>
      <c r="Z119" s="27"/>
      <c r="AA119" s="27"/>
      <c r="AB119" s="27"/>
      <c r="AC119" s="27"/>
      <c r="AD119" s="27"/>
      <c r="AE119" s="27"/>
      <c r="AF119" s="27"/>
      <c r="AG119" s="27"/>
      <c r="AH119" s="27"/>
      <c r="AI119" s="27"/>
      <c r="AJ119" s="27"/>
      <c r="AK119" s="27"/>
      <c r="AL119" s="27"/>
      <c r="AM119" s="27"/>
      <c r="AN119" s="27"/>
      <c r="AO119" s="27"/>
    </row>
    <row r="120" spans="1:41" x14ac:dyDescent="0.25">
      <c r="A120" s="27"/>
      <c r="B120" s="27"/>
      <c r="C120" s="27"/>
      <c r="D120" s="27"/>
      <c r="E120" s="27"/>
      <c r="F120" s="27"/>
      <c r="G120" s="27"/>
      <c r="H120" s="27"/>
      <c r="I120" s="27"/>
      <c r="J120" s="27"/>
      <c r="K120" s="27"/>
      <c r="L120" s="27"/>
      <c r="M120" s="27"/>
      <c r="N120" s="27"/>
      <c r="O120" s="27"/>
      <c r="P120" s="27"/>
      <c r="Q120" s="27"/>
      <c r="R120" s="27"/>
      <c r="S120" s="27"/>
      <c r="T120" s="27"/>
      <c r="U120" s="27"/>
      <c r="V120" s="27"/>
      <c r="W120" s="27"/>
      <c r="X120" s="27"/>
      <c r="Y120" s="27"/>
      <c r="Z120" s="27"/>
      <c r="AA120" s="27"/>
      <c r="AB120" s="27"/>
      <c r="AC120" s="27"/>
      <c r="AD120" s="27"/>
      <c r="AE120" s="27"/>
      <c r="AF120" s="27"/>
      <c r="AG120" s="27"/>
      <c r="AH120" s="27"/>
      <c r="AI120" s="27"/>
      <c r="AJ120" s="27"/>
      <c r="AK120" s="27"/>
      <c r="AL120" s="27"/>
      <c r="AM120" s="27"/>
      <c r="AN120" s="27"/>
      <c r="AO120" s="27"/>
    </row>
    <row r="121" spans="1:41" x14ac:dyDescent="0.25">
      <c r="A121" s="27"/>
      <c r="B121" s="27"/>
      <c r="C121" s="27"/>
      <c r="D121" s="27"/>
      <c r="E121" s="27"/>
      <c r="F121" s="27"/>
      <c r="G121" s="27"/>
      <c r="H121" s="27"/>
      <c r="I121" s="27"/>
      <c r="J121" s="27"/>
      <c r="K121" s="27"/>
      <c r="L121" s="27"/>
      <c r="M121" s="27"/>
      <c r="N121" s="27"/>
      <c r="O121" s="27"/>
      <c r="P121" s="27"/>
      <c r="Q121" s="27"/>
      <c r="R121" s="27"/>
      <c r="S121" s="27"/>
      <c r="T121" s="27"/>
      <c r="U121" s="27"/>
      <c r="V121" s="27"/>
      <c r="W121" s="27"/>
      <c r="X121" s="27"/>
      <c r="Y121" s="27"/>
      <c r="Z121" s="27"/>
      <c r="AA121" s="27"/>
      <c r="AB121" s="27"/>
      <c r="AC121" s="27"/>
      <c r="AD121" s="27"/>
      <c r="AE121" s="27"/>
      <c r="AF121" s="27"/>
      <c r="AG121" s="27"/>
      <c r="AH121" s="27"/>
      <c r="AI121" s="27"/>
      <c r="AJ121" s="27"/>
      <c r="AK121" s="27"/>
      <c r="AL121" s="27"/>
      <c r="AM121" s="27"/>
      <c r="AN121" s="27"/>
      <c r="AO121" s="27"/>
    </row>
    <row r="122" spans="1:41" x14ac:dyDescent="0.25">
      <c r="A122" s="27"/>
      <c r="B122" s="27"/>
      <c r="C122" s="27"/>
      <c r="D122" s="27"/>
      <c r="E122" s="27"/>
      <c r="F122" s="27"/>
      <c r="G122" s="27"/>
      <c r="H122" s="27"/>
      <c r="I122" s="27"/>
      <c r="J122" s="27"/>
      <c r="K122" s="27"/>
      <c r="L122" s="27"/>
      <c r="M122" s="27"/>
      <c r="N122" s="27"/>
      <c r="O122" s="27"/>
      <c r="P122" s="27"/>
      <c r="Q122" s="27"/>
      <c r="R122" s="27"/>
      <c r="S122" s="27"/>
      <c r="T122" s="27"/>
      <c r="U122" s="27"/>
      <c r="V122" s="27"/>
      <c r="W122" s="27"/>
      <c r="X122" s="27"/>
      <c r="Y122" s="27"/>
      <c r="Z122" s="27"/>
      <c r="AA122" s="27"/>
      <c r="AB122" s="27"/>
      <c r="AC122" s="27"/>
      <c r="AD122" s="27"/>
      <c r="AE122" s="27"/>
      <c r="AF122" s="27"/>
      <c r="AG122" s="27"/>
      <c r="AH122" s="27"/>
      <c r="AI122" s="27"/>
      <c r="AJ122" s="27"/>
      <c r="AK122" s="27"/>
      <c r="AL122" s="27"/>
      <c r="AM122" s="27"/>
      <c r="AN122" s="27"/>
      <c r="AO122" s="27"/>
    </row>
    <row r="123" spans="1:41" x14ac:dyDescent="0.25">
      <c r="A123" s="27"/>
      <c r="B123" s="27"/>
      <c r="C123" s="27"/>
      <c r="D123" s="27"/>
      <c r="E123" s="27"/>
      <c r="F123" s="27"/>
      <c r="G123" s="27"/>
      <c r="H123" s="27"/>
      <c r="I123" s="27"/>
      <c r="J123" s="27"/>
      <c r="K123" s="27"/>
      <c r="L123" s="27"/>
      <c r="M123" s="27"/>
      <c r="N123" s="27"/>
      <c r="O123" s="27"/>
      <c r="P123" s="27"/>
      <c r="Q123" s="27"/>
      <c r="R123" s="27"/>
      <c r="S123" s="27"/>
      <c r="T123" s="27"/>
      <c r="U123" s="27"/>
      <c r="V123" s="27"/>
      <c r="W123" s="27"/>
      <c r="X123" s="27"/>
      <c r="Y123" s="27"/>
      <c r="Z123" s="27"/>
      <c r="AA123" s="27"/>
      <c r="AB123" s="27"/>
      <c r="AC123" s="27"/>
      <c r="AD123" s="27"/>
      <c r="AE123" s="27"/>
      <c r="AF123" s="27"/>
      <c r="AG123" s="27"/>
      <c r="AH123" s="27"/>
      <c r="AI123" s="27"/>
      <c r="AJ123" s="27"/>
      <c r="AK123" s="27"/>
      <c r="AL123" s="27"/>
      <c r="AM123" s="27"/>
      <c r="AN123" s="27"/>
      <c r="AO123" s="27"/>
    </row>
    <row r="124" spans="1:41" x14ac:dyDescent="0.25">
      <c r="A124" s="27"/>
      <c r="B124" s="27"/>
      <c r="C124" s="27"/>
      <c r="D124" s="27"/>
      <c r="E124" s="27"/>
      <c r="F124" s="27"/>
      <c r="G124" s="27"/>
      <c r="H124" s="27"/>
      <c r="I124" s="27"/>
      <c r="J124" s="27"/>
      <c r="K124" s="27"/>
      <c r="L124" s="27"/>
      <c r="M124" s="27"/>
      <c r="N124" s="27"/>
      <c r="O124" s="27"/>
      <c r="P124" s="27"/>
      <c r="Q124" s="27"/>
      <c r="R124" s="27"/>
      <c r="S124" s="27"/>
      <c r="T124" s="27"/>
      <c r="U124" s="27"/>
      <c r="V124" s="27"/>
      <c r="W124" s="27"/>
      <c r="X124" s="27"/>
      <c r="Y124" s="27"/>
      <c r="Z124" s="27"/>
      <c r="AA124" s="27"/>
      <c r="AB124" s="27"/>
      <c r="AC124" s="27"/>
      <c r="AD124" s="27"/>
      <c r="AE124" s="27"/>
      <c r="AF124" s="27"/>
      <c r="AG124" s="27"/>
      <c r="AH124" s="27"/>
      <c r="AI124" s="27"/>
      <c r="AJ124" s="27"/>
      <c r="AK124" s="27"/>
      <c r="AL124" s="27"/>
      <c r="AM124" s="27"/>
      <c r="AN124" s="27"/>
      <c r="AO124" s="27"/>
    </row>
    <row r="125" spans="1:41" x14ac:dyDescent="0.25">
      <c r="A125" s="27"/>
      <c r="B125" s="27"/>
      <c r="C125" s="27"/>
      <c r="D125" s="27"/>
      <c r="E125" s="27"/>
      <c r="F125" s="27"/>
      <c r="G125" s="27"/>
      <c r="H125" s="27"/>
      <c r="I125" s="27"/>
      <c r="J125" s="27"/>
      <c r="K125" s="27"/>
      <c r="L125" s="27"/>
      <c r="M125" s="27"/>
      <c r="N125" s="27"/>
      <c r="O125" s="27"/>
      <c r="P125" s="27"/>
      <c r="Q125" s="27"/>
      <c r="R125" s="27"/>
      <c r="S125" s="27"/>
      <c r="T125" s="27"/>
      <c r="U125" s="27"/>
      <c r="V125" s="27"/>
      <c r="W125" s="27"/>
      <c r="X125" s="27"/>
      <c r="Y125" s="27"/>
      <c r="Z125" s="27"/>
      <c r="AA125" s="27"/>
      <c r="AB125" s="27"/>
      <c r="AC125" s="27"/>
      <c r="AD125" s="27"/>
      <c r="AE125" s="27"/>
      <c r="AF125" s="27"/>
      <c r="AG125" s="27"/>
      <c r="AH125" s="27"/>
      <c r="AI125" s="27"/>
      <c r="AJ125" s="27"/>
      <c r="AK125" s="27"/>
      <c r="AL125" s="27"/>
      <c r="AM125" s="27"/>
      <c r="AN125" s="27"/>
      <c r="AO125" s="27"/>
    </row>
    <row r="126" spans="1:41" x14ac:dyDescent="0.25">
      <c r="A126" s="27"/>
      <c r="B126" s="27"/>
      <c r="C126" s="27"/>
      <c r="D126" s="27"/>
      <c r="E126" s="27"/>
      <c r="F126" s="27"/>
      <c r="G126" s="27"/>
      <c r="H126" s="27"/>
      <c r="I126" s="27"/>
      <c r="J126" s="27"/>
      <c r="K126" s="27"/>
      <c r="L126" s="27"/>
      <c r="M126" s="27"/>
      <c r="N126" s="27"/>
      <c r="O126" s="27"/>
      <c r="P126" s="27"/>
      <c r="Q126" s="27"/>
      <c r="R126" s="27"/>
      <c r="S126" s="27"/>
      <c r="T126" s="27"/>
      <c r="U126" s="27"/>
      <c r="V126" s="27"/>
      <c r="W126" s="27"/>
      <c r="X126" s="27"/>
      <c r="Y126" s="27"/>
      <c r="Z126" s="27"/>
      <c r="AA126" s="27"/>
      <c r="AB126" s="27"/>
      <c r="AC126" s="27"/>
      <c r="AD126" s="27"/>
      <c r="AE126" s="27"/>
      <c r="AF126" s="27"/>
      <c r="AG126" s="27"/>
      <c r="AH126" s="27"/>
      <c r="AI126" s="27"/>
      <c r="AJ126" s="27"/>
      <c r="AK126" s="27"/>
      <c r="AL126" s="27"/>
      <c r="AM126" s="27"/>
      <c r="AN126" s="27"/>
      <c r="AO126" s="27"/>
    </row>
    <row r="127" spans="1:41" x14ac:dyDescent="0.25">
      <c r="A127" s="27"/>
      <c r="B127" s="27"/>
      <c r="C127" s="27"/>
      <c r="D127" s="27"/>
      <c r="E127" s="27"/>
      <c r="F127" s="27"/>
      <c r="G127" s="27"/>
      <c r="H127" s="27"/>
      <c r="I127" s="27"/>
      <c r="J127" s="27"/>
      <c r="K127" s="27"/>
      <c r="L127" s="27"/>
      <c r="M127" s="27"/>
      <c r="N127" s="27"/>
      <c r="O127" s="27"/>
      <c r="P127" s="27"/>
      <c r="Q127" s="27"/>
      <c r="R127" s="27"/>
      <c r="S127" s="27"/>
      <c r="T127" s="27"/>
      <c r="U127" s="27"/>
      <c r="V127" s="27"/>
      <c r="W127" s="27"/>
      <c r="X127" s="27"/>
      <c r="Y127" s="27"/>
      <c r="Z127" s="27"/>
      <c r="AA127" s="27"/>
      <c r="AB127" s="27"/>
      <c r="AC127" s="27"/>
      <c r="AD127" s="27"/>
      <c r="AE127" s="27"/>
      <c r="AF127" s="27"/>
      <c r="AG127" s="27"/>
      <c r="AH127" s="27"/>
      <c r="AI127" s="27"/>
      <c r="AJ127" s="27"/>
      <c r="AK127" s="27"/>
      <c r="AL127" s="27"/>
      <c r="AM127" s="27"/>
      <c r="AN127" s="27"/>
      <c r="AO127" s="27"/>
    </row>
    <row r="128" spans="1:41" x14ac:dyDescent="0.25">
      <c r="A128" s="27"/>
      <c r="B128" s="27"/>
      <c r="C128" s="27"/>
      <c r="D128" s="27"/>
      <c r="E128" s="27"/>
      <c r="F128" s="27"/>
      <c r="G128" s="27"/>
      <c r="H128" s="27"/>
      <c r="I128" s="27"/>
      <c r="J128" s="27"/>
      <c r="K128" s="27"/>
      <c r="L128" s="27"/>
      <c r="M128" s="27"/>
      <c r="N128" s="27"/>
      <c r="O128" s="27"/>
      <c r="P128" s="27"/>
      <c r="Q128" s="27"/>
      <c r="R128" s="27"/>
      <c r="S128" s="27"/>
      <c r="T128" s="27"/>
      <c r="U128" s="27"/>
      <c r="V128" s="27"/>
      <c r="W128" s="27"/>
      <c r="X128" s="27"/>
      <c r="Y128" s="27"/>
      <c r="Z128" s="27"/>
      <c r="AA128" s="27"/>
      <c r="AB128" s="27"/>
      <c r="AC128" s="27"/>
      <c r="AD128" s="27"/>
      <c r="AE128" s="27"/>
      <c r="AF128" s="27"/>
      <c r="AG128" s="27"/>
      <c r="AH128" s="27"/>
      <c r="AI128" s="27"/>
      <c r="AJ128" s="27"/>
      <c r="AK128" s="27"/>
      <c r="AL128" s="27"/>
      <c r="AM128" s="27"/>
      <c r="AN128" s="27"/>
      <c r="AO128" s="27"/>
    </row>
    <row r="129" spans="1:41" x14ac:dyDescent="0.25">
      <c r="A129" s="27"/>
      <c r="B129" s="27"/>
      <c r="C129" s="27"/>
      <c r="D129" s="27"/>
      <c r="E129" s="27"/>
      <c r="F129" s="27"/>
      <c r="G129" s="27"/>
      <c r="H129" s="27"/>
      <c r="I129" s="27"/>
      <c r="J129" s="27"/>
      <c r="K129" s="27"/>
      <c r="L129" s="27"/>
      <c r="M129" s="27"/>
      <c r="N129" s="27"/>
      <c r="O129" s="27"/>
      <c r="P129" s="27"/>
      <c r="Q129" s="27"/>
      <c r="R129" s="27"/>
      <c r="S129" s="27"/>
      <c r="T129" s="27"/>
      <c r="U129" s="27"/>
      <c r="V129" s="27"/>
      <c r="W129" s="27"/>
      <c r="X129" s="27"/>
      <c r="Y129" s="27"/>
      <c r="Z129" s="27"/>
      <c r="AA129" s="27"/>
      <c r="AB129" s="27"/>
      <c r="AC129" s="27"/>
      <c r="AD129" s="27"/>
      <c r="AE129" s="27"/>
      <c r="AF129" s="27"/>
      <c r="AG129" s="27"/>
      <c r="AH129" s="27"/>
      <c r="AI129" s="27"/>
      <c r="AJ129" s="27"/>
      <c r="AK129" s="27"/>
      <c r="AL129" s="27"/>
      <c r="AM129" s="27"/>
      <c r="AN129" s="27"/>
      <c r="AO129" s="27"/>
    </row>
    <row r="130" spans="1:41" x14ac:dyDescent="0.25">
      <c r="A130" s="27"/>
      <c r="B130" s="27"/>
      <c r="C130" s="27"/>
      <c r="D130" s="27"/>
      <c r="E130" s="27"/>
      <c r="F130" s="27"/>
      <c r="G130" s="27"/>
      <c r="H130" s="27"/>
      <c r="I130" s="27"/>
      <c r="J130" s="27"/>
      <c r="K130" s="27"/>
      <c r="L130" s="27"/>
      <c r="M130" s="27"/>
      <c r="N130" s="27"/>
      <c r="O130" s="27"/>
      <c r="P130" s="27"/>
      <c r="Q130" s="27"/>
      <c r="R130" s="27"/>
      <c r="S130" s="27"/>
      <c r="T130" s="27"/>
      <c r="U130" s="27"/>
      <c r="V130" s="27"/>
      <c r="W130" s="27"/>
      <c r="X130" s="27"/>
      <c r="Y130" s="27"/>
      <c r="Z130" s="27"/>
      <c r="AA130" s="27"/>
      <c r="AB130" s="27"/>
      <c r="AC130" s="27"/>
      <c r="AD130" s="27"/>
      <c r="AE130" s="27"/>
      <c r="AF130" s="27"/>
      <c r="AG130" s="27"/>
      <c r="AH130" s="27"/>
      <c r="AI130" s="27"/>
      <c r="AJ130" s="27"/>
      <c r="AK130" s="27"/>
      <c r="AL130" s="27"/>
      <c r="AM130" s="27"/>
      <c r="AN130" s="27"/>
      <c r="AO130" s="27"/>
    </row>
    <row r="131" spans="1:41" x14ac:dyDescent="0.25">
      <c r="A131" s="27"/>
      <c r="B131" s="27"/>
      <c r="C131" s="27"/>
      <c r="D131" s="27"/>
      <c r="E131" s="27"/>
      <c r="F131" s="27"/>
      <c r="G131" s="27"/>
      <c r="H131" s="27"/>
      <c r="I131" s="27"/>
      <c r="J131" s="27"/>
      <c r="K131" s="27"/>
      <c r="L131" s="27"/>
      <c r="M131" s="27"/>
      <c r="N131" s="27"/>
      <c r="O131" s="27"/>
      <c r="P131" s="27"/>
      <c r="Q131" s="27"/>
      <c r="R131" s="27"/>
      <c r="S131" s="27"/>
      <c r="T131" s="27"/>
      <c r="U131" s="27"/>
      <c r="V131" s="27"/>
      <c r="W131" s="27"/>
      <c r="X131" s="27"/>
      <c r="Y131" s="27"/>
      <c r="Z131" s="27"/>
      <c r="AA131" s="27"/>
      <c r="AB131" s="27"/>
      <c r="AC131" s="27"/>
      <c r="AD131" s="27"/>
      <c r="AE131" s="27"/>
      <c r="AF131" s="27"/>
      <c r="AG131" s="27"/>
      <c r="AH131" s="27"/>
      <c r="AI131" s="27"/>
      <c r="AJ131" s="27"/>
      <c r="AK131" s="27"/>
      <c r="AL131" s="27"/>
      <c r="AM131" s="27"/>
      <c r="AN131" s="27"/>
      <c r="AO131" s="27"/>
    </row>
    <row r="132" spans="1:41" x14ac:dyDescent="0.25">
      <c r="A132" s="27"/>
      <c r="B132" s="27"/>
      <c r="C132" s="27"/>
      <c r="D132" s="27"/>
      <c r="E132" s="27"/>
      <c r="F132" s="27"/>
      <c r="G132" s="27"/>
      <c r="H132" s="27"/>
      <c r="I132" s="27"/>
      <c r="J132" s="27"/>
      <c r="K132" s="27"/>
      <c r="L132" s="27"/>
      <c r="M132" s="27"/>
      <c r="N132" s="27"/>
      <c r="O132" s="27"/>
      <c r="P132" s="27"/>
      <c r="Q132" s="27"/>
      <c r="R132" s="27"/>
      <c r="S132" s="27"/>
      <c r="T132" s="27"/>
      <c r="U132" s="27"/>
      <c r="V132" s="27"/>
      <c r="W132" s="27"/>
      <c r="X132" s="27"/>
      <c r="Y132" s="27"/>
      <c r="Z132" s="27"/>
      <c r="AA132" s="27"/>
      <c r="AB132" s="27"/>
      <c r="AC132" s="27"/>
      <c r="AD132" s="27"/>
      <c r="AE132" s="27"/>
      <c r="AF132" s="27"/>
      <c r="AG132" s="27"/>
      <c r="AH132" s="27"/>
      <c r="AI132" s="27"/>
      <c r="AJ132" s="27"/>
      <c r="AK132" s="27"/>
      <c r="AL132" s="27"/>
      <c r="AM132" s="27"/>
      <c r="AN132" s="27"/>
      <c r="AO132" s="27"/>
    </row>
    <row r="133" spans="1:41" x14ac:dyDescent="0.25">
      <c r="A133" s="27"/>
      <c r="B133" s="27"/>
      <c r="C133" s="27"/>
      <c r="D133" s="27"/>
      <c r="E133" s="27"/>
      <c r="F133" s="27"/>
      <c r="G133" s="27"/>
      <c r="H133" s="27"/>
      <c r="I133" s="27"/>
      <c r="J133" s="27"/>
      <c r="K133" s="27"/>
      <c r="L133" s="27"/>
      <c r="M133" s="27"/>
      <c r="N133" s="27"/>
      <c r="O133" s="27"/>
      <c r="P133" s="27"/>
      <c r="Q133" s="27"/>
      <c r="R133" s="27"/>
      <c r="S133" s="27"/>
      <c r="T133" s="27"/>
      <c r="U133" s="27"/>
      <c r="V133" s="27"/>
      <c r="W133" s="27"/>
      <c r="X133" s="27"/>
      <c r="Y133" s="27"/>
      <c r="Z133" s="27"/>
      <c r="AA133" s="27"/>
      <c r="AB133" s="27"/>
      <c r="AC133" s="27"/>
      <c r="AD133" s="27"/>
      <c r="AE133" s="27"/>
      <c r="AF133" s="27"/>
      <c r="AG133" s="27"/>
      <c r="AH133" s="27"/>
      <c r="AI133" s="27"/>
      <c r="AJ133" s="27"/>
      <c r="AK133" s="27"/>
      <c r="AL133" s="27"/>
      <c r="AM133" s="27"/>
      <c r="AN133" s="27"/>
      <c r="AO133" s="27"/>
    </row>
    <row r="134" spans="1:41" x14ac:dyDescent="0.25">
      <c r="A134" s="27"/>
      <c r="B134" s="27"/>
      <c r="C134" s="27"/>
      <c r="D134" s="27"/>
      <c r="E134" s="27"/>
      <c r="F134" s="27"/>
      <c r="G134" s="27"/>
      <c r="H134" s="27"/>
      <c r="I134" s="27"/>
      <c r="J134" s="27"/>
      <c r="K134" s="27"/>
      <c r="L134" s="27"/>
      <c r="M134" s="27"/>
      <c r="N134" s="27"/>
      <c r="O134" s="27"/>
      <c r="P134" s="27"/>
      <c r="Q134" s="27"/>
      <c r="R134" s="27"/>
      <c r="S134" s="27"/>
      <c r="T134" s="27"/>
      <c r="U134" s="27"/>
      <c r="V134" s="27"/>
      <c r="W134" s="27"/>
      <c r="X134" s="27"/>
      <c r="Y134" s="27"/>
      <c r="Z134" s="27"/>
      <c r="AA134" s="27"/>
      <c r="AB134" s="27"/>
      <c r="AC134" s="27"/>
      <c r="AD134" s="27"/>
      <c r="AE134" s="27"/>
      <c r="AF134" s="27"/>
      <c r="AG134" s="27"/>
      <c r="AH134" s="27"/>
      <c r="AI134" s="27"/>
      <c r="AJ134" s="27"/>
      <c r="AK134" s="27"/>
      <c r="AL134" s="27"/>
      <c r="AM134" s="27"/>
      <c r="AN134" s="27"/>
      <c r="AO134" s="27"/>
    </row>
    <row r="135" spans="1:41" x14ac:dyDescent="0.25">
      <c r="A135" s="27"/>
      <c r="B135" s="27"/>
      <c r="C135" s="27"/>
      <c r="D135" s="27"/>
      <c r="E135" s="27"/>
      <c r="F135" s="27"/>
      <c r="G135" s="27"/>
      <c r="H135" s="27"/>
      <c r="I135" s="27"/>
      <c r="J135" s="27"/>
      <c r="K135" s="27"/>
      <c r="L135" s="27"/>
      <c r="M135" s="27"/>
      <c r="N135" s="27"/>
      <c r="O135" s="27"/>
      <c r="P135" s="27"/>
      <c r="Q135" s="27"/>
      <c r="R135" s="27"/>
      <c r="S135" s="27"/>
      <c r="T135" s="27"/>
      <c r="U135" s="27"/>
      <c r="V135" s="27"/>
      <c r="W135" s="27"/>
      <c r="X135" s="27"/>
      <c r="Y135" s="27"/>
      <c r="Z135" s="27"/>
      <c r="AA135" s="27"/>
      <c r="AB135" s="27"/>
      <c r="AC135" s="27"/>
      <c r="AD135" s="27"/>
      <c r="AE135" s="27"/>
      <c r="AF135" s="27"/>
      <c r="AG135" s="27"/>
      <c r="AH135" s="27"/>
      <c r="AI135" s="27"/>
      <c r="AJ135" s="27"/>
      <c r="AK135" s="27"/>
      <c r="AL135" s="27"/>
      <c r="AM135" s="27"/>
      <c r="AN135" s="27"/>
      <c r="AO135" s="27"/>
    </row>
    <row r="136" spans="1:41" x14ac:dyDescent="0.25">
      <c r="A136" s="27"/>
      <c r="B136" s="27"/>
      <c r="C136" s="27"/>
      <c r="D136" s="27"/>
      <c r="E136" s="27"/>
      <c r="F136" s="27"/>
      <c r="G136" s="27"/>
      <c r="H136" s="27"/>
      <c r="I136" s="27"/>
      <c r="J136" s="27"/>
      <c r="K136" s="27"/>
      <c r="L136" s="27"/>
      <c r="M136" s="27"/>
      <c r="N136" s="27"/>
      <c r="O136" s="27"/>
      <c r="P136" s="27"/>
      <c r="Q136" s="27"/>
      <c r="R136" s="27"/>
      <c r="S136" s="27"/>
      <c r="T136" s="27"/>
      <c r="U136" s="27"/>
      <c r="V136" s="27"/>
      <c r="W136" s="27"/>
      <c r="X136" s="27"/>
      <c r="Y136" s="27"/>
      <c r="Z136" s="27"/>
      <c r="AA136" s="27"/>
      <c r="AB136" s="27"/>
      <c r="AC136" s="27"/>
      <c r="AD136" s="27"/>
      <c r="AE136" s="27"/>
      <c r="AF136" s="27"/>
      <c r="AG136" s="27"/>
      <c r="AH136" s="27"/>
      <c r="AI136" s="27"/>
      <c r="AJ136" s="27"/>
      <c r="AK136" s="27"/>
      <c r="AL136" s="27"/>
      <c r="AM136" s="27"/>
      <c r="AN136" s="27"/>
      <c r="AO136" s="27"/>
    </row>
    <row r="137" spans="1:41" x14ac:dyDescent="0.25">
      <c r="A137" s="27"/>
      <c r="B137" s="27"/>
      <c r="C137" s="27"/>
      <c r="D137" s="27"/>
      <c r="E137" s="27"/>
      <c r="F137" s="27"/>
      <c r="G137" s="27"/>
      <c r="H137" s="27"/>
      <c r="I137" s="27"/>
      <c r="J137" s="27"/>
      <c r="K137" s="27"/>
      <c r="L137" s="27"/>
      <c r="M137" s="27"/>
      <c r="N137" s="27"/>
      <c r="O137" s="27"/>
      <c r="P137" s="27"/>
      <c r="Q137" s="27"/>
      <c r="R137" s="27"/>
      <c r="S137" s="27"/>
      <c r="T137" s="27"/>
      <c r="U137" s="27"/>
      <c r="V137" s="27"/>
      <c r="W137" s="27"/>
      <c r="X137" s="27"/>
      <c r="Y137" s="27"/>
      <c r="Z137" s="27"/>
      <c r="AA137" s="27"/>
      <c r="AB137" s="27"/>
      <c r="AC137" s="27"/>
      <c r="AD137" s="27"/>
      <c r="AE137" s="27"/>
      <c r="AF137" s="27"/>
      <c r="AG137" s="27"/>
      <c r="AH137" s="27"/>
      <c r="AI137" s="27"/>
      <c r="AJ137" s="27"/>
      <c r="AK137" s="27"/>
      <c r="AL137" s="27"/>
      <c r="AM137" s="27"/>
      <c r="AN137" s="27"/>
      <c r="AO137" s="27"/>
    </row>
    <row r="138" spans="1:41" x14ac:dyDescent="0.25">
      <c r="A138" s="27"/>
      <c r="B138" s="27"/>
      <c r="C138" s="27"/>
      <c r="D138" s="27"/>
      <c r="E138" s="27"/>
      <c r="F138" s="27"/>
      <c r="G138" s="27"/>
      <c r="H138" s="27"/>
      <c r="I138" s="27"/>
      <c r="J138" s="27"/>
      <c r="K138" s="27"/>
      <c r="L138" s="27"/>
      <c r="M138" s="27"/>
      <c r="N138" s="27"/>
      <c r="O138" s="27"/>
      <c r="P138" s="27"/>
      <c r="Q138" s="27"/>
      <c r="R138" s="27"/>
      <c r="S138" s="27"/>
      <c r="T138" s="27"/>
      <c r="U138" s="27"/>
      <c r="V138" s="27"/>
      <c r="W138" s="27"/>
      <c r="X138" s="27"/>
      <c r="Y138" s="27"/>
      <c r="Z138" s="27"/>
      <c r="AA138" s="27"/>
      <c r="AB138" s="27"/>
      <c r="AC138" s="27"/>
      <c r="AD138" s="27"/>
      <c r="AE138" s="27"/>
      <c r="AF138" s="27"/>
      <c r="AG138" s="27"/>
      <c r="AH138" s="27"/>
      <c r="AI138" s="27"/>
      <c r="AJ138" s="27"/>
      <c r="AK138" s="27"/>
      <c r="AL138" s="27"/>
      <c r="AM138" s="27"/>
      <c r="AN138" s="27"/>
      <c r="AO138" s="27"/>
    </row>
    <row r="139" spans="1:41" x14ac:dyDescent="0.25">
      <c r="A139" s="27"/>
      <c r="B139" s="27"/>
      <c r="C139" s="27"/>
      <c r="D139" s="27"/>
      <c r="E139" s="27"/>
      <c r="F139" s="27"/>
      <c r="G139" s="27"/>
      <c r="H139" s="27"/>
      <c r="I139" s="27"/>
      <c r="J139" s="27"/>
      <c r="K139" s="27"/>
      <c r="L139" s="27"/>
      <c r="M139" s="27"/>
      <c r="N139" s="27"/>
      <c r="O139" s="27"/>
      <c r="P139" s="27"/>
      <c r="Q139" s="27"/>
      <c r="R139" s="27"/>
      <c r="S139" s="27"/>
      <c r="T139" s="27"/>
      <c r="U139" s="27"/>
      <c r="V139" s="27"/>
      <c r="W139" s="27"/>
      <c r="X139" s="27"/>
      <c r="Y139" s="27"/>
      <c r="Z139" s="27"/>
      <c r="AA139" s="27"/>
      <c r="AB139" s="27"/>
      <c r="AC139" s="27"/>
      <c r="AD139" s="27"/>
      <c r="AE139" s="27"/>
      <c r="AF139" s="27"/>
      <c r="AG139" s="27"/>
      <c r="AH139" s="27"/>
      <c r="AI139" s="27"/>
      <c r="AJ139" s="27"/>
      <c r="AK139" s="27"/>
      <c r="AL139" s="27"/>
      <c r="AM139" s="27"/>
      <c r="AN139" s="27"/>
      <c r="AO139" s="27"/>
    </row>
    <row r="140" spans="1:41" x14ac:dyDescent="0.25">
      <c r="A140" s="27"/>
      <c r="B140" s="27"/>
      <c r="C140" s="27"/>
      <c r="D140" s="27"/>
      <c r="E140" s="27"/>
      <c r="F140" s="27"/>
      <c r="G140" s="27"/>
      <c r="H140" s="27"/>
      <c r="I140" s="27"/>
      <c r="J140" s="27"/>
      <c r="K140" s="27"/>
      <c r="L140" s="27"/>
      <c r="M140" s="27"/>
      <c r="N140" s="27"/>
      <c r="O140" s="27"/>
      <c r="P140" s="27"/>
      <c r="Q140" s="27"/>
      <c r="R140" s="27"/>
      <c r="S140" s="27"/>
      <c r="T140" s="27"/>
      <c r="U140" s="27"/>
      <c r="V140" s="27"/>
      <c r="W140" s="27"/>
      <c r="X140" s="27"/>
      <c r="Y140" s="27"/>
      <c r="Z140" s="27"/>
      <c r="AA140" s="27"/>
      <c r="AB140" s="27"/>
      <c r="AC140" s="27"/>
      <c r="AD140" s="27"/>
      <c r="AE140" s="27"/>
      <c r="AF140" s="27"/>
      <c r="AG140" s="27"/>
      <c r="AH140" s="27"/>
      <c r="AI140" s="27"/>
      <c r="AJ140" s="27"/>
      <c r="AK140" s="27"/>
      <c r="AL140" s="27"/>
      <c r="AM140" s="27"/>
      <c r="AN140" s="27"/>
      <c r="AO140" s="27"/>
    </row>
    <row r="141" spans="1:41" x14ac:dyDescent="0.25">
      <c r="A141" s="27"/>
      <c r="B141" s="27"/>
      <c r="C141" s="27"/>
      <c r="D141" s="27"/>
      <c r="E141" s="27"/>
      <c r="F141" s="27"/>
      <c r="G141" s="27"/>
      <c r="H141" s="27"/>
      <c r="I141" s="27"/>
      <c r="J141" s="27"/>
      <c r="K141" s="27"/>
      <c r="L141" s="27"/>
      <c r="M141" s="27"/>
      <c r="N141" s="27"/>
      <c r="O141" s="27"/>
      <c r="P141" s="27"/>
      <c r="Q141" s="27"/>
      <c r="R141" s="27"/>
      <c r="S141" s="27"/>
      <c r="T141" s="27"/>
      <c r="U141" s="27"/>
      <c r="V141" s="27"/>
      <c r="W141" s="27"/>
      <c r="X141" s="27"/>
      <c r="Y141" s="27"/>
      <c r="Z141" s="27"/>
      <c r="AA141" s="27"/>
      <c r="AB141" s="27"/>
      <c r="AC141" s="27"/>
      <c r="AD141" s="27"/>
      <c r="AE141" s="27"/>
      <c r="AF141" s="27"/>
      <c r="AG141" s="27"/>
      <c r="AH141" s="27"/>
      <c r="AI141" s="27"/>
      <c r="AJ141" s="27"/>
      <c r="AK141" s="27"/>
      <c r="AL141" s="27"/>
      <c r="AM141" s="27"/>
      <c r="AN141" s="27"/>
      <c r="AO141" s="27"/>
    </row>
    <row r="142" spans="1:41" x14ac:dyDescent="0.25">
      <c r="A142" s="27"/>
      <c r="B142" s="27"/>
      <c r="C142" s="27"/>
      <c r="D142" s="27"/>
      <c r="E142" s="27"/>
      <c r="F142" s="27"/>
      <c r="G142" s="27"/>
      <c r="H142" s="27"/>
      <c r="I142" s="27"/>
      <c r="J142" s="27"/>
      <c r="K142" s="27"/>
      <c r="L142" s="27"/>
      <c r="M142" s="27"/>
      <c r="N142" s="27"/>
      <c r="O142" s="27"/>
      <c r="P142" s="27"/>
      <c r="Q142" s="27"/>
      <c r="R142" s="27"/>
      <c r="S142" s="27"/>
      <c r="T142" s="27"/>
      <c r="U142" s="27"/>
      <c r="V142" s="27"/>
      <c r="W142" s="27"/>
      <c r="X142" s="27"/>
      <c r="Y142" s="27"/>
      <c r="Z142" s="27"/>
      <c r="AA142" s="27"/>
      <c r="AB142" s="27"/>
      <c r="AC142" s="27"/>
      <c r="AD142" s="27"/>
      <c r="AE142" s="27"/>
      <c r="AF142" s="27"/>
      <c r="AG142" s="27"/>
      <c r="AH142" s="27"/>
      <c r="AI142" s="27"/>
      <c r="AJ142" s="27"/>
      <c r="AK142" s="27"/>
      <c r="AL142" s="27"/>
      <c r="AM142" s="27"/>
      <c r="AN142" s="27"/>
      <c r="AO142" s="27"/>
    </row>
    <row r="143" spans="1:41" x14ac:dyDescent="0.25">
      <c r="A143" s="27"/>
      <c r="B143" s="27"/>
      <c r="C143" s="27"/>
      <c r="D143" s="27"/>
      <c r="E143" s="27"/>
      <c r="F143" s="27"/>
      <c r="G143" s="27"/>
      <c r="H143" s="27"/>
      <c r="I143" s="27"/>
      <c r="J143" s="27"/>
      <c r="K143" s="27"/>
      <c r="L143" s="27"/>
      <c r="M143" s="27"/>
      <c r="N143" s="27"/>
      <c r="O143" s="27"/>
      <c r="P143" s="27"/>
      <c r="Q143" s="27"/>
      <c r="R143" s="27"/>
      <c r="S143" s="27"/>
      <c r="T143" s="27"/>
      <c r="U143" s="27"/>
      <c r="V143" s="27"/>
      <c r="W143" s="27"/>
      <c r="X143" s="27"/>
      <c r="Y143" s="27"/>
      <c r="Z143" s="27"/>
      <c r="AA143" s="27"/>
      <c r="AB143" s="27"/>
      <c r="AC143" s="27"/>
      <c r="AD143" s="27"/>
      <c r="AE143" s="27"/>
      <c r="AF143" s="27"/>
      <c r="AG143" s="27"/>
      <c r="AH143" s="27"/>
      <c r="AI143" s="27"/>
      <c r="AJ143" s="27"/>
      <c r="AK143" s="27"/>
      <c r="AL143" s="27"/>
      <c r="AM143" s="27"/>
      <c r="AN143" s="27"/>
      <c r="AO143" s="27"/>
    </row>
    <row r="144" spans="1:41" x14ac:dyDescent="0.25">
      <c r="A144" s="27"/>
      <c r="B144" s="27"/>
      <c r="C144" s="27"/>
      <c r="D144" s="27"/>
      <c r="E144" s="27"/>
      <c r="F144" s="27"/>
      <c r="G144" s="27"/>
      <c r="H144" s="27"/>
      <c r="I144" s="27"/>
      <c r="J144" s="27"/>
      <c r="K144" s="27"/>
      <c r="L144" s="27"/>
      <c r="M144" s="27"/>
      <c r="N144" s="27"/>
      <c r="O144" s="27"/>
      <c r="P144" s="27"/>
      <c r="Q144" s="27"/>
      <c r="R144" s="27"/>
      <c r="S144" s="27"/>
      <c r="T144" s="27"/>
      <c r="U144" s="27"/>
      <c r="V144" s="27"/>
      <c r="W144" s="27"/>
      <c r="X144" s="27"/>
      <c r="Y144" s="27"/>
      <c r="Z144" s="27"/>
      <c r="AA144" s="27"/>
      <c r="AB144" s="27"/>
      <c r="AC144" s="27"/>
      <c r="AD144" s="27"/>
      <c r="AE144" s="27"/>
      <c r="AF144" s="27"/>
      <c r="AG144" s="27"/>
      <c r="AH144" s="27"/>
      <c r="AI144" s="27"/>
      <c r="AJ144" s="27"/>
      <c r="AK144" s="27"/>
      <c r="AL144" s="27"/>
      <c r="AM144" s="27"/>
      <c r="AN144" s="27"/>
      <c r="AO144" s="27"/>
    </row>
    <row r="145" spans="1:41" x14ac:dyDescent="0.25">
      <c r="A145" s="27"/>
      <c r="B145" s="27"/>
      <c r="C145" s="27"/>
      <c r="D145" s="27"/>
      <c r="E145" s="27"/>
      <c r="F145" s="27"/>
      <c r="G145" s="27"/>
      <c r="H145" s="27"/>
      <c r="I145" s="27"/>
      <c r="J145" s="27"/>
      <c r="K145" s="27"/>
      <c r="L145" s="27"/>
      <c r="M145" s="27"/>
      <c r="N145" s="27"/>
      <c r="O145" s="27"/>
      <c r="P145" s="27"/>
      <c r="Q145" s="27"/>
      <c r="R145" s="27"/>
      <c r="S145" s="27"/>
      <c r="T145" s="27"/>
      <c r="U145" s="27"/>
      <c r="V145" s="27"/>
      <c r="W145" s="27"/>
      <c r="X145" s="27"/>
      <c r="Y145" s="27"/>
      <c r="Z145" s="27"/>
      <c r="AA145" s="27"/>
      <c r="AB145" s="27"/>
      <c r="AC145" s="27"/>
      <c r="AD145" s="27"/>
      <c r="AE145" s="27"/>
      <c r="AF145" s="27"/>
      <c r="AG145" s="27"/>
      <c r="AH145" s="27"/>
      <c r="AI145" s="27"/>
      <c r="AJ145" s="27"/>
      <c r="AK145" s="27"/>
      <c r="AL145" s="27"/>
      <c r="AM145" s="27"/>
      <c r="AN145" s="27"/>
      <c r="AO145" s="27"/>
    </row>
    <row r="146" spans="1:41" x14ac:dyDescent="0.25">
      <c r="A146" s="27"/>
      <c r="B146" s="27"/>
      <c r="C146" s="27"/>
      <c r="D146" s="27"/>
      <c r="E146" s="27"/>
      <c r="F146" s="27"/>
      <c r="G146" s="27"/>
      <c r="H146" s="27"/>
      <c r="I146" s="27"/>
      <c r="J146" s="27"/>
      <c r="K146" s="27"/>
      <c r="L146" s="27"/>
      <c r="M146" s="27"/>
      <c r="N146" s="27"/>
      <c r="O146" s="27"/>
      <c r="P146" s="27"/>
      <c r="Q146" s="27"/>
      <c r="R146" s="27"/>
      <c r="S146" s="27"/>
      <c r="T146" s="27"/>
      <c r="U146" s="27"/>
      <c r="V146" s="27"/>
      <c r="W146" s="27"/>
      <c r="X146" s="27"/>
      <c r="Y146" s="27"/>
      <c r="Z146" s="27"/>
      <c r="AA146" s="27"/>
      <c r="AB146" s="27"/>
      <c r="AC146" s="27"/>
      <c r="AD146" s="27"/>
      <c r="AE146" s="27"/>
      <c r="AF146" s="27"/>
      <c r="AG146" s="27"/>
      <c r="AH146" s="27"/>
      <c r="AI146" s="27"/>
      <c r="AJ146" s="27"/>
      <c r="AK146" s="27"/>
      <c r="AL146" s="27"/>
      <c r="AM146" s="27"/>
      <c r="AN146" s="27"/>
      <c r="AO146" s="27"/>
    </row>
    <row r="147" spans="1:41" x14ac:dyDescent="0.25">
      <c r="A147" s="27"/>
      <c r="B147" s="27"/>
      <c r="C147" s="27"/>
      <c r="D147" s="27"/>
      <c r="E147" s="27"/>
      <c r="F147" s="27"/>
      <c r="G147" s="27"/>
      <c r="H147" s="27"/>
      <c r="I147" s="27"/>
      <c r="J147" s="27"/>
      <c r="K147" s="27"/>
      <c r="L147" s="27"/>
      <c r="M147" s="27"/>
      <c r="N147" s="27"/>
      <c r="O147" s="27"/>
      <c r="P147" s="27"/>
      <c r="Q147" s="27"/>
      <c r="R147" s="27"/>
      <c r="S147" s="27"/>
      <c r="T147" s="27"/>
      <c r="U147" s="27"/>
      <c r="V147" s="27"/>
      <c r="W147" s="27"/>
      <c r="X147" s="27"/>
      <c r="Y147" s="27"/>
      <c r="Z147" s="27"/>
      <c r="AA147" s="27"/>
      <c r="AB147" s="27"/>
      <c r="AC147" s="27"/>
      <c r="AD147" s="27"/>
      <c r="AE147" s="27"/>
      <c r="AF147" s="27"/>
      <c r="AG147" s="27"/>
      <c r="AH147" s="27"/>
      <c r="AI147" s="27"/>
      <c r="AJ147" s="27"/>
      <c r="AK147" s="27"/>
      <c r="AL147" s="27"/>
      <c r="AM147" s="27"/>
      <c r="AN147" s="27"/>
      <c r="AO147" s="27"/>
    </row>
    <row r="148" spans="1:41" x14ac:dyDescent="0.25">
      <c r="A148" s="27"/>
      <c r="B148" s="27"/>
      <c r="C148" s="27"/>
      <c r="D148" s="27"/>
      <c r="E148" s="27"/>
      <c r="F148" s="27"/>
      <c r="G148" s="27"/>
      <c r="H148" s="27"/>
      <c r="I148" s="27"/>
      <c r="J148" s="27"/>
      <c r="K148" s="27"/>
      <c r="L148" s="27"/>
      <c r="M148" s="27"/>
      <c r="N148" s="27"/>
      <c r="O148" s="27"/>
      <c r="P148" s="27"/>
      <c r="Q148" s="27"/>
      <c r="R148" s="27"/>
      <c r="S148" s="27"/>
      <c r="T148" s="27"/>
      <c r="U148" s="27"/>
      <c r="V148" s="27"/>
      <c r="W148" s="27"/>
      <c r="X148" s="27"/>
      <c r="Y148" s="27"/>
      <c r="Z148" s="27"/>
      <c r="AA148" s="27"/>
      <c r="AB148" s="27"/>
      <c r="AC148" s="27"/>
      <c r="AD148" s="27"/>
      <c r="AE148" s="27"/>
      <c r="AF148" s="27"/>
      <c r="AG148" s="27"/>
      <c r="AH148" s="27"/>
      <c r="AI148" s="27"/>
      <c r="AJ148" s="27"/>
      <c r="AK148" s="27"/>
      <c r="AL148" s="27"/>
      <c r="AM148" s="27"/>
      <c r="AN148" s="27"/>
      <c r="AO148" s="27"/>
    </row>
    <row r="149" spans="1:41" x14ac:dyDescent="0.25">
      <c r="A149" s="27"/>
      <c r="B149" s="27"/>
      <c r="C149" s="27"/>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row>
    <row r="150" spans="1:41" x14ac:dyDescent="0.25">
      <c r="A150" s="27"/>
      <c r="B150" s="27"/>
      <c r="C150" s="27"/>
      <c r="D150" s="27"/>
      <c r="E150" s="27"/>
      <c r="F150" s="27"/>
      <c r="G150" s="27"/>
      <c r="H150" s="27"/>
      <c r="I150" s="27"/>
      <c r="J150" s="27"/>
      <c r="K150" s="27"/>
      <c r="L150" s="27"/>
      <c r="M150" s="27"/>
      <c r="N150" s="27"/>
      <c r="O150" s="27"/>
      <c r="P150" s="27"/>
      <c r="Q150" s="27"/>
      <c r="R150" s="27"/>
      <c r="S150" s="27"/>
      <c r="T150" s="27"/>
      <c r="U150" s="27"/>
      <c r="V150" s="27"/>
      <c r="W150" s="27"/>
      <c r="X150" s="27"/>
      <c r="Y150" s="27"/>
      <c r="Z150" s="27"/>
      <c r="AA150" s="27"/>
      <c r="AB150" s="27"/>
      <c r="AC150" s="27"/>
      <c r="AD150" s="27"/>
      <c r="AE150" s="27"/>
      <c r="AF150" s="27"/>
      <c r="AG150" s="27"/>
      <c r="AH150" s="27"/>
      <c r="AI150" s="27"/>
      <c r="AJ150" s="27"/>
      <c r="AK150" s="27"/>
      <c r="AL150" s="27"/>
      <c r="AM150" s="27"/>
      <c r="AN150" s="27"/>
      <c r="AO150" s="27"/>
    </row>
    <row r="151" spans="1:41" x14ac:dyDescent="0.25">
      <c r="A151" s="27"/>
      <c r="B151" s="27"/>
      <c r="C151" s="27"/>
      <c r="D151" s="27"/>
      <c r="E151" s="27"/>
      <c r="F151" s="27"/>
      <c r="G151" s="27"/>
      <c r="H151" s="27"/>
      <c r="I151" s="27"/>
      <c r="J151" s="27"/>
      <c r="K151" s="27"/>
      <c r="L151" s="27"/>
      <c r="M151" s="27"/>
      <c r="N151" s="27"/>
      <c r="O151" s="27"/>
      <c r="P151" s="27"/>
      <c r="Q151" s="27"/>
      <c r="R151" s="27"/>
      <c r="S151" s="27"/>
      <c r="T151" s="27"/>
      <c r="U151" s="27"/>
      <c r="V151" s="27"/>
      <c r="W151" s="27"/>
      <c r="X151" s="27"/>
      <c r="Y151" s="27"/>
      <c r="Z151" s="27"/>
      <c r="AA151" s="27"/>
      <c r="AB151" s="27"/>
      <c r="AC151" s="27"/>
      <c r="AD151" s="27"/>
      <c r="AE151" s="27"/>
      <c r="AF151" s="27"/>
      <c r="AG151" s="27"/>
      <c r="AH151" s="27"/>
      <c r="AI151" s="27"/>
      <c r="AJ151" s="27"/>
      <c r="AK151" s="27"/>
      <c r="AL151" s="27"/>
      <c r="AM151" s="27"/>
      <c r="AN151" s="27"/>
      <c r="AO151" s="27"/>
    </row>
    <row r="152" spans="1:41" x14ac:dyDescent="0.25">
      <c r="A152" s="27"/>
      <c r="B152" s="27"/>
      <c r="C152" s="27"/>
      <c r="D152" s="27"/>
      <c r="E152" s="27"/>
      <c r="F152" s="27"/>
      <c r="G152" s="27"/>
      <c r="H152" s="27"/>
      <c r="I152" s="27"/>
      <c r="J152" s="27"/>
      <c r="K152" s="27"/>
      <c r="L152" s="27"/>
      <c r="M152" s="27"/>
      <c r="N152" s="27"/>
      <c r="O152" s="27"/>
      <c r="P152" s="27"/>
      <c r="Q152" s="27"/>
      <c r="R152" s="27"/>
      <c r="S152" s="27"/>
      <c r="T152" s="27"/>
      <c r="U152" s="27"/>
      <c r="V152" s="27"/>
      <c r="W152" s="27"/>
      <c r="X152" s="27"/>
      <c r="Y152" s="27"/>
      <c r="Z152" s="27"/>
      <c r="AA152" s="27"/>
      <c r="AB152" s="27"/>
      <c r="AC152" s="27"/>
      <c r="AD152" s="27"/>
      <c r="AE152" s="27"/>
      <c r="AF152" s="27"/>
      <c r="AG152" s="27"/>
      <c r="AH152" s="27"/>
      <c r="AI152" s="27"/>
      <c r="AJ152" s="27"/>
      <c r="AK152" s="27"/>
      <c r="AL152" s="27"/>
      <c r="AM152" s="27"/>
      <c r="AN152" s="27"/>
      <c r="AO152" s="27"/>
    </row>
    <row r="153" spans="1:41" x14ac:dyDescent="0.25">
      <c r="A153" s="27"/>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27"/>
      <c r="AD153" s="27"/>
      <c r="AE153" s="27"/>
      <c r="AF153" s="27"/>
      <c r="AG153" s="27"/>
      <c r="AH153" s="27"/>
      <c r="AI153" s="27"/>
      <c r="AJ153" s="27"/>
      <c r="AK153" s="27"/>
      <c r="AL153" s="27"/>
      <c r="AM153" s="27"/>
      <c r="AN153" s="27"/>
      <c r="AO153" s="27"/>
    </row>
    <row r="154" spans="1:41" x14ac:dyDescent="0.25">
      <c r="A154" s="27"/>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c r="AC154" s="27"/>
      <c r="AD154" s="27"/>
      <c r="AE154" s="27"/>
      <c r="AF154" s="27"/>
      <c r="AG154" s="27"/>
      <c r="AH154" s="27"/>
      <c r="AI154" s="27"/>
      <c r="AJ154" s="27"/>
      <c r="AK154" s="27"/>
      <c r="AL154" s="27"/>
      <c r="AM154" s="27"/>
      <c r="AN154" s="27"/>
      <c r="AO154" s="27"/>
    </row>
    <row r="155" spans="1:41" x14ac:dyDescent="0.25">
      <c r="A155" s="27"/>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c r="AC155" s="27"/>
      <c r="AD155" s="27"/>
      <c r="AE155" s="27"/>
      <c r="AF155" s="27"/>
      <c r="AG155" s="27"/>
      <c r="AH155" s="27"/>
      <c r="AI155" s="27"/>
      <c r="AJ155" s="27"/>
      <c r="AK155" s="27"/>
      <c r="AL155" s="27"/>
      <c r="AM155" s="27"/>
      <c r="AN155" s="27"/>
      <c r="AO155" s="27"/>
    </row>
    <row r="156" spans="1:41" x14ac:dyDescent="0.25">
      <c r="A156" s="27"/>
      <c r="B156" s="27"/>
      <c r="C156" s="27"/>
      <c r="D156" s="27"/>
      <c r="E156" s="27"/>
      <c r="F156" s="27"/>
      <c r="G156" s="27"/>
      <c r="H156" s="27"/>
      <c r="I156" s="27"/>
      <c r="J156" s="27"/>
      <c r="K156" s="27"/>
      <c r="L156" s="27"/>
      <c r="M156" s="27"/>
      <c r="N156" s="27"/>
      <c r="O156" s="27"/>
      <c r="P156" s="27"/>
      <c r="Q156" s="27"/>
      <c r="R156" s="27"/>
      <c r="S156" s="27"/>
      <c r="T156" s="27"/>
      <c r="U156" s="27"/>
      <c r="V156" s="27"/>
      <c r="W156" s="27"/>
      <c r="X156" s="27"/>
      <c r="Y156" s="27"/>
      <c r="Z156" s="27"/>
      <c r="AA156" s="27"/>
      <c r="AB156" s="27"/>
      <c r="AC156" s="27"/>
      <c r="AD156" s="27"/>
      <c r="AE156" s="27"/>
      <c r="AF156" s="27"/>
      <c r="AG156" s="27"/>
      <c r="AH156" s="27"/>
      <c r="AI156" s="27"/>
      <c r="AJ156" s="27"/>
      <c r="AK156" s="27"/>
      <c r="AL156" s="27"/>
      <c r="AM156" s="27"/>
      <c r="AN156" s="27"/>
      <c r="AO156" s="27"/>
    </row>
    <row r="157" spans="1:41" x14ac:dyDescent="0.25">
      <c r="A157" s="27"/>
      <c r="B157" s="27"/>
      <c r="C157" s="27"/>
      <c r="D157" s="27"/>
      <c r="E157" s="27"/>
      <c r="F157" s="27"/>
      <c r="G157" s="27"/>
      <c r="H157" s="27"/>
      <c r="I157" s="27"/>
      <c r="J157" s="27"/>
      <c r="K157" s="27"/>
      <c r="L157" s="27"/>
      <c r="M157" s="27"/>
      <c r="N157" s="27"/>
      <c r="O157" s="27"/>
      <c r="P157" s="27"/>
      <c r="Q157" s="27"/>
      <c r="R157" s="27"/>
      <c r="S157" s="27"/>
      <c r="T157" s="27"/>
      <c r="U157" s="27"/>
      <c r="V157" s="27"/>
      <c r="W157" s="27"/>
      <c r="X157" s="27"/>
      <c r="Y157" s="27"/>
      <c r="Z157" s="27"/>
      <c r="AA157" s="27"/>
      <c r="AB157" s="27"/>
      <c r="AC157" s="27"/>
      <c r="AD157" s="27"/>
      <c r="AE157" s="27"/>
      <c r="AF157" s="27"/>
      <c r="AG157" s="27"/>
      <c r="AH157" s="27"/>
      <c r="AI157" s="27"/>
      <c r="AJ157" s="27"/>
      <c r="AK157" s="27"/>
      <c r="AL157" s="27"/>
      <c r="AM157" s="27"/>
      <c r="AN157" s="27"/>
      <c r="AO157" s="27"/>
    </row>
    <row r="158" spans="1:41" x14ac:dyDescent="0.25">
      <c r="A158" s="27"/>
      <c r="B158" s="27"/>
      <c r="C158" s="27"/>
      <c r="D158" s="27"/>
      <c r="E158" s="27"/>
      <c r="F158" s="27"/>
      <c r="G158" s="27"/>
      <c r="H158" s="27"/>
      <c r="I158" s="27"/>
      <c r="J158" s="27"/>
      <c r="K158" s="27"/>
      <c r="L158" s="27"/>
      <c r="M158" s="27"/>
      <c r="N158" s="27"/>
      <c r="O158" s="27"/>
      <c r="P158" s="27"/>
      <c r="Q158" s="27"/>
      <c r="R158" s="27"/>
      <c r="S158" s="27"/>
      <c r="T158" s="27"/>
      <c r="U158" s="27"/>
      <c r="V158" s="27"/>
      <c r="W158" s="27"/>
      <c r="X158" s="27"/>
      <c r="Y158" s="27"/>
      <c r="Z158" s="27"/>
      <c r="AA158" s="27"/>
      <c r="AB158" s="27"/>
      <c r="AC158" s="27"/>
      <c r="AD158" s="27"/>
      <c r="AE158" s="27"/>
      <c r="AF158" s="27"/>
      <c r="AG158" s="27"/>
      <c r="AH158" s="27"/>
      <c r="AI158" s="27"/>
      <c r="AJ158" s="27"/>
      <c r="AK158" s="27"/>
      <c r="AL158" s="27"/>
      <c r="AM158" s="27"/>
      <c r="AN158" s="27"/>
      <c r="AO158" s="27"/>
    </row>
    <row r="159" spans="1:41" x14ac:dyDescent="0.25">
      <c r="A159" s="27"/>
      <c r="B159" s="27"/>
      <c r="C159" s="27"/>
      <c r="D159" s="27"/>
      <c r="E159" s="27"/>
      <c r="F159" s="27"/>
      <c r="G159" s="27"/>
      <c r="H159" s="27"/>
      <c r="I159" s="27"/>
      <c r="J159" s="27"/>
      <c r="K159" s="27"/>
      <c r="L159" s="27"/>
      <c r="M159" s="27"/>
      <c r="N159" s="27"/>
      <c r="O159" s="27"/>
      <c r="P159" s="27"/>
      <c r="Q159" s="27"/>
      <c r="R159" s="27"/>
      <c r="S159" s="27"/>
      <c r="T159" s="27"/>
      <c r="U159" s="27"/>
      <c r="V159" s="27"/>
      <c r="W159" s="27"/>
      <c r="X159" s="27"/>
      <c r="Y159" s="27"/>
      <c r="Z159" s="27"/>
      <c r="AA159" s="27"/>
      <c r="AB159" s="27"/>
      <c r="AC159" s="27"/>
      <c r="AD159" s="27"/>
      <c r="AE159" s="27"/>
      <c r="AF159" s="27"/>
      <c r="AG159" s="27"/>
      <c r="AH159" s="27"/>
      <c r="AI159" s="27"/>
      <c r="AJ159" s="27"/>
      <c r="AK159" s="27"/>
      <c r="AL159" s="27"/>
      <c r="AM159" s="27"/>
      <c r="AN159" s="27"/>
      <c r="AO159" s="27"/>
    </row>
    <row r="160" spans="1:41" x14ac:dyDescent="0.25">
      <c r="A160" s="27"/>
      <c r="B160" s="27"/>
      <c r="C160" s="27"/>
      <c r="D160" s="27"/>
      <c r="E160" s="27"/>
      <c r="F160" s="27"/>
      <c r="G160" s="27"/>
      <c r="H160" s="27"/>
      <c r="I160" s="27"/>
      <c r="J160" s="27"/>
      <c r="K160" s="27"/>
      <c r="L160" s="27"/>
      <c r="M160" s="27"/>
      <c r="N160" s="27"/>
      <c r="O160" s="27"/>
      <c r="P160" s="27"/>
      <c r="Q160" s="27"/>
      <c r="R160" s="27"/>
      <c r="S160" s="27"/>
      <c r="T160" s="27"/>
      <c r="U160" s="27"/>
      <c r="V160" s="27"/>
      <c r="W160" s="27"/>
      <c r="X160" s="27"/>
      <c r="Y160" s="27"/>
      <c r="Z160" s="27"/>
      <c r="AA160" s="27"/>
      <c r="AB160" s="27"/>
      <c r="AC160" s="27"/>
      <c r="AD160" s="27"/>
      <c r="AE160" s="27"/>
      <c r="AF160" s="27"/>
      <c r="AG160" s="27"/>
      <c r="AH160" s="27"/>
      <c r="AI160" s="27"/>
      <c r="AJ160" s="27"/>
      <c r="AK160" s="27"/>
      <c r="AL160" s="27"/>
      <c r="AM160" s="27"/>
      <c r="AN160" s="27"/>
      <c r="AO160" s="27"/>
    </row>
    <row r="161" spans="1:41" x14ac:dyDescent="0.25">
      <c r="A161" s="27"/>
      <c r="B161" s="27"/>
      <c r="C161" s="27"/>
      <c r="D161" s="27"/>
      <c r="E161" s="27"/>
      <c r="F161" s="27"/>
      <c r="G161" s="27"/>
      <c r="H161" s="27"/>
      <c r="I161" s="27"/>
      <c r="J161" s="27"/>
      <c r="K161" s="27"/>
      <c r="L161" s="27"/>
      <c r="M161" s="27"/>
      <c r="N161" s="27"/>
      <c r="O161" s="27"/>
      <c r="P161" s="27"/>
      <c r="Q161" s="27"/>
      <c r="R161" s="27"/>
      <c r="S161" s="27"/>
      <c r="T161" s="27"/>
      <c r="U161" s="27"/>
      <c r="V161" s="27"/>
      <c r="W161" s="27"/>
      <c r="X161" s="27"/>
      <c r="Y161" s="27"/>
      <c r="Z161" s="27"/>
      <c r="AA161" s="27"/>
      <c r="AB161" s="27"/>
      <c r="AC161" s="27"/>
      <c r="AD161" s="27"/>
      <c r="AE161" s="27"/>
      <c r="AF161" s="27"/>
      <c r="AG161" s="27"/>
      <c r="AH161" s="27"/>
      <c r="AI161" s="27"/>
      <c r="AJ161" s="27"/>
      <c r="AK161" s="27"/>
      <c r="AL161" s="27"/>
      <c r="AM161" s="27"/>
      <c r="AN161" s="27"/>
      <c r="AO161" s="27"/>
    </row>
    <row r="162" spans="1:41" x14ac:dyDescent="0.25">
      <c r="A162" s="27"/>
      <c r="B162" s="27"/>
      <c r="C162" s="27"/>
      <c r="D162" s="27"/>
      <c r="E162" s="27"/>
      <c r="F162" s="27"/>
      <c r="G162" s="27"/>
      <c r="H162" s="27"/>
      <c r="I162" s="27"/>
      <c r="J162" s="27"/>
      <c r="K162" s="27"/>
      <c r="L162" s="27"/>
      <c r="M162" s="27"/>
      <c r="N162" s="27"/>
      <c r="O162" s="27"/>
      <c r="P162" s="27"/>
      <c r="Q162" s="27"/>
      <c r="R162" s="27"/>
      <c r="S162" s="27"/>
      <c r="T162" s="27"/>
      <c r="U162" s="27"/>
      <c r="V162" s="27"/>
      <c r="W162" s="27"/>
      <c r="X162" s="27"/>
      <c r="Y162" s="27"/>
      <c r="Z162" s="27"/>
      <c r="AA162" s="27"/>
      <c r="AB162" s="27"/>
      <c r="AC162" s="27"/>
      <c r="AD162" s="27"/>
      <c r="AE162" s="27"/>
      <c r="AF162" s="27"/>
      <c r="AG162" s="27"/>
      <c r="AH162" s="27"/>
      <c r="AI162" s="27"/>
      <c r="AJ162" s="27"/>
      <c r="AK162" s="27"/>
      <c r="AL162" s="27"/>
      <c r="AM162" s="27"/>
      <c r="AN162" s="27"/>
      <c r="AO162" s="27"/>
    </row>
    <row r="163" spans="1:41" x14ac:dyDescent="0.25">
      <c r="A163" s="27"/>
      <c r="B163" s="27"/>
      <c r="C163" s="27"/>
      <c r="D163" s="27"/>
      <c r="E163" s="27"/>
      <c r="F163" s="27"/>
      <c r="G163" s="27"/>
      <c r="H163" s="27"/>
      <c r="I163" s="27"/>
      <c r="J163" s="27"/>
      <c r="K163" s="27"/>
      <c r="L163" s="27"/>
      <c r="M163" s="27"/>
      <c r="N163" s="27"/>
      <c r="O163" s="27"/>
      <c r="P163" s="27"/>
      <c r="Q163" s="27"/>
      <c r="R163" s="27"/>
      <c r="S163" s="27"/>
      <c r="T163" s="27"/>
      <c r="U163" s="27"/>
      <c r="V163" s="27"/>
      <c r="W163" s="27"/>
      <c r="X163" s="27"/>
      <c r="Y163" s="27"/>
      <c r="Z163" s="27"/>
      <c r="AA163" s="27"/>
      <c r="AB163" s="27"/>
      <c r="AC163" s="27"/>
      <c r="AD163" s="27"/>
      <c r="AE163" s="27"/>
      <c r="AF163" s="27"/>
      <c r="AG163" s="27"/>
      <c r="AH163" s="27"/>
      <c r="AI163" s="27"/>
      <c r="AJ163" s="27"/>
      <c r="AK163" s="27"/>
      <c r="AL163" s="27"/>
      <c r="AM163" s="27"/>
      <c r="AN163" s="27"/>
      <c r="AO163" s="27"/>
    </row>
    <row r="164" spans="1:41" x14ac:dyDescent="0.25">
      <c r="A164" s="27"/>
      <c r="B164" s="27"/>
      <c r="C164" s="27"/>
      <c r="D164" s="27"/>
      <c r="E164" s="27"/>
      <c r="F164" s="27"/>
      <c r="G164" s="27"/>
      <c r="H164" s="27"/>
      <c r="I164" s="27"/>
      <c r="J164" s="27"/>
      <c r="K164" s="27"/>
      <c r="L164" s="27"/>
      <c r="M164" s="27"/>
      <c r="N164" s="27"/>
      <c r="O164" s="27"/>
      <c r="P164" s="27"/>
      <c r="Q164" s="27"/>
      <c r="R164" s="27"/>
      <c r="S164" s="27"/>
      <c r="T164" s="27"/>
      <c r="U164" s="27"/>
      <c r="V164" s="27"/>
      <c r="W164" s="27"/>
      <c r="X164" s="27"/>
      <c r="Y164" s="27"/>
      <c r="Z164" s="27"/>
      <c r="AA164" s="27"/>
      <c r="AB164" s="27"/>
      <c r="AC164" s="27"/>
      <c r="AD164" s="27"/>
      <c r="AE164" s="27"/>
      <c r="AF164" s="27"/>
      <c r="AG164" s="27"/>
      <c r="AH164" s="27"/>
      <c r="AI164" s="27"/>
      <c r="AJ164" s="27"/>
      <c r="AK164" s="27"/>
      <c r="AL164" s="27"/>
      <c r="AM164" s="27"/>
      <c r="AN164" s="27"/>
      <c r="AO164" s="27"/>
    </row>
    <row r="165" spans="1:41" x14ac:dyDescent="0.25">
      <c r="A165" s="27"/>
      <c r="B165" s="27"/>
      <c r="C165" s="27"/>
      <c r="D165" s="27"/>
      <c r="E165" s="27"/>
      <c r="F165" s="27"/>
      <c r="G165" s="27"/>
      <c r="H165" s="27"/>
      <c r="I165" s="27"/>
      <c r="J165" s="27"/>
      <c r="K165" s="27"/>
      <c r="L165" s="27"/>
      <c r="M165" s="27"/>
      <c r="N165" s="27"/>
      <c r="O165" s="27"/>
      <c r="P165" s="27"/>
      <c r="Q165" s="27"/>
      <c r="R165" s="27"/>
      <c r="S165" s="27"/>
      <c r="T165" s="27"/>
      <c r="U165" s="27"/>
      <c r="V165" s="27"/>
      <c r="W165" s="27"/>
      <c r="X165" s="27"/>
      <c r="Y165" s="27"/>
      <c r="Z165" s="27"/>
      <c r="AA165" s="27"/>
      <c r="AB165" s="27"/>
      <c r="AC165" s="27"/>
      <c r="AD165" s="27"/>
      <c r="AE165" s="27"/>
      <c r="AF165" s="27"/>
      <c r="AG165" s="27"/>
      <c r="AH165" s="27"/>
      <c r="AI165" s="27"/>
      <c r="AJ165" s="27"/>
      <c r="AK165" s="27"/>
      <c r="AL165" s="27"/>
      <c r="AM165" s="27"/>
      <c r="AN165" s="27"/>
      <c r="AO165" s="27"/>
    </row>
    <row r="166" spans="1:41" x14ac:dyDescent="0.25">
      <c r="A166" s="27"/>
      <c r="B166" s="27"/>
      <c r="C166" s="27"/>
      <c r="D166" s="27"/>
      <c r="E166" s="27"/>
      <c r="F166" s="27"/>
      <c r="G166" s="27"/>
      <c r="H166" s="27"/>
      <c r="I166" s="27"/>
      <c r="J166" s="27"/>
      <c r="K166" s="27"/>
      <c r="L166" s="27"/>
      <c r="M166" s="27"/>
      <c r="N166" s="27"/>
      <c r="O166" s="27"/>
      <c r="P166" s="27"/>
      <c r="Q166" s="27"/>
      <c r="R166" s="27"/>
      <c r="S166" s="27"/>
      <c r="T166" s="27"/>
      <c r="U166" s="27"/>
      <c r="V166" s="27"/>
      <c r="W166" s="27"/>
      <c r="X166" s="27"/>
      <c r="Y166" s="27"/>
      <c r="Z166" s="27"/>
      <c r="AA166" s="27"/>
      <c r="AB166" s="27"/>
      <c r="AC166" s="27"/>
      <c r="AD166" s="27"/>
      <c r="AE166" s="27"/>
      <c r="AF166" s="27"/>
      <c r="AG166" s="27"/>
      <c r="AH166" s="27"/>
      <c r="AI166" s="27"/>
      <c r="AJ166" s="27"/>
      <c r="AK166" s="27"/>
      <c r="AL166" s="27"/>
      <c r="AM166" s="27"/>
      <c r="AN166" s="27"/>
      <c r="AO166" s="27"/>
    </row>
    <row r="167" spans="1:41" x14ac:dyDescent="0.25">
      <c r="A167" s="27"/>
      <c r="B167" s="27"/>
      <c r="C167" s="27"/>
      <c r="D167" s="27"/>
      <c r="E167" s="27"/>
      <c r="F167" s="27"/>
      <c r="G167" s="27"/>
      <c r="H167" s="27"/>
      <c r="I167" s="27"/>
      <c r="J167" s="27"/>
      <c r="K167" s="27"/>
      <c r="L167" s="27"/>
      <c r="M167" s="27"/>
      <c r="N167" s="27"/>
      <c r="O167" s="27"/>
      <c r="P167" s="27"/>
      <c r="Q167" s="27"/>
      <c r="R167" s="27"/>
      <c r="S167" s="27"/>
      <c r="T167" s="27"/>
      <c r="U167" s="27"/>
      <c r="V167" s="27"/>
      <c r="W167" s="27"/>
      <c r="X167" s="27"/>
      <c r="Y167" s="27"/>
      <c r="Z167" s="27"/>
      <c r="AA167" s="27"/>
      <c r="AB167" s="27"/>
      <c r="AC167" s="27"/>
      <c r="AD167" s="27"/>
      <c r="AE167" s="27"/>
      <c r="AF167" s="27"/>
      <c r="AG167" s="27"/>
      <c r="AH167" s="27"/>
      <c r="AI167" s="27"/>
      <c r="AJ167" s="27"/>
      <c r="AK167" s="27"/>
      <c r="AL167" s="27"/>
      <c r="AM167" s="27"/>
      <c r="AN167" s="27"/>
      <c r="AO167" s="27"/>
    </row>
    <row r="168" spans="1:41" x14ac:dyDescent="0.25">
      <c r="A168" s="27"/>
      <c r="B168" s="27"/>
      <c r="C168" s="27"/>
      <c r="D168" s="27"/>
      <c r="E168" s="27"/>
      <c r="F168" s="27"/>
      <c r="G168" s="27"/>
      <c r="H168" s="27"/>
      <c r="I168" s="27"/>
      <c r="J168" s="27"/>
      <c r="K168" s="27"/>
      <c r="L168" s="27"/>
      <c r="M168" s="27"/>
      <c r="N168" s="27"/>
      <c r="O168" s="27"/>
      <c r="P168" s="27"/>
      <c r="Q168" s="27"/>
      <c r="R168" s="27"/>
      <c r="S168" s="27"/>
      <c r="T168" s="27"/>
      <c r="U168" s="27"/>
      <c r="V168" s="27"/>
      <c r="W168" s="27"/>
      <c r="X168" s="27"/>
      <c r="Y168" s="27"/>
      <c r="Z168" s="27"/>
      <c r="AA168" s="27"/>
      <c r="AB168" s="27"/>
      <c r="AC168" s="27"/>
      <c r="AD168" s="27"/>
      <c r="AE168" s="27"/>
      <c r="AF168" s="27"/>
      <c r="AG168" s="27"/>
      <c r="AH168" s="27"/>
      <c r="AI168" s="27"/>
      <c r="AJ168" s="27"/>
      <c r="AK168" s="27"/>
      <c r="AL168" s="27"/>
      <c r="AM168" s="27"/>
      <c r="AN168" s="27"/>
      <c r="AO168" s="27"/>
    </row>
    <row r="169" spans="1:41" x14ac:dyDescent="0.25">
      <c r="A169" s="27"/>
      <c r="B169" s="27"/>
      <c r="C169" s="27"/>
      <c r="D169" s="27"/>
      <c r="E169" s="27"/>
      <c r="F169" s="27"/>
      <c r="G169" s="27"/>
      <c r="H169" s="27"/>
      <c r="I169" s="27"/>
      <c r="J169" s="27"/>
      <c r="K169" s="27"/>
      <c r="L169" s="27"/>
      <c r="M169" s="27"/>
      <c r="N169" s="27"/>
      <c r="O169" s="27"/>
      <c r="P169" s="27"/>
      <c r="Q169" s="27"/>
      <c r="R169" s="27"/>
      <c r="S169" s="27"/>
      <c r="T169" s="27"/>
      <c r="U169" s="27"/>
      <c r="V169" s="27"/>
      <c r="W169" s="27"/>
      <c r="X169" s="27"/>
      <c r="Y169" s="27"/>
      <c r="Z169" s="27"/>
      <c r="AA169" s="27"/>
      <c r="AB169" s="27"/>
      <c r="AC169" s="27"/>
      <c r="AD169" s="27"/>
      <c r="AE169" s="27"/>
      <c r="AF169" s="27"/>
      <c r="AG169" s="27"/>
      <c r="AH169" s="27"/>
      <c r="AI169" s="27"/>
      <c r="AJ169" s="27"/>
      <c r="AK169" s="27"/>
      <c r="AL169" s="27"/>
      <c r="AM169" s="27"/>
      <c r="AN169" s="27"/>
      <c r="AO169" s="27"/>
    </row>
    <row r="170" spans="1:41" x14ac:dyDescent="0.25">
      <c r="A170" s="27"/>
      <c r="B170" s="27"/>
      <c r="C170" s="27"/>
      <c r="D170" s="27"/>
      <c r="E170" s="27"/>
      <c r="F170" s="27"/>
      <c r="G170" s="27"/>
      <c r="H170" s="27"/>
      <c r="I170" s="27"/>
      <c r="J170" s="27"/>
      <c r="K170" s="27"/>
      <c r="L170" s="27"/>
      <c r="M170" s="27"/>
      <c r="N170" s="27"/>
      <c r="O170" s="27"/>
      <c r="P170" s="27"/>
      <c r="Q170" s="27"/>
      <c r="R170" s="27"/>
      <c r="S170" s="27"/>
      <c r="T170" s="27"/>
      <c r="U170" s="27"/>
      <c r="V170" s="27"/>
      <c r="W170" s="27"/>
      <c r="X170" s="27"/>
      <c r="Y170" s="27"/>
      <c r="Z170" s="27"/>
      <c r="AA170" s="27"/>
      <c r="AB170" s="27"/>
      <c r="AC170" s="27"/>
      <c r="AD170" s="27"/>
      <c r="AE170" s="27"/>
      <c r="AF170" s="27"/>
      <c r="AG170" s="27"/>
      <c r="AH170" s="27"/>
      <c r="AI170" s="27"/>
      <c r="AJ170" s="27"/>
      <c r="AK170" s="27"/>
      <c r="AL170" s="27"/>
      <c r="AM170" s="27"/>
      <c r="AN170" s="27"/>
      <c r="AO170" s="27"/>
    </row>
    <row r="171" spans="1:41" x14ac:dyDescent="0.25">
      <c r="A171" s="27"/>
      <c r="B171" s="27"/>
      <c r="C171" s="27"/>
      <c r="D171" s="27"/>
      <c r="E171" s="27"/>
      <c r="F171" s="27"/>
      <c r="G171" s="27"/>
      <c r="H171" s="27"/>
      <c r="I171" s="27"/>
      <c r="J171" s="27"/>
      <c r="K171" s="27"/>
      <c r="L171" s="27"/>
      <c r="M171" s="27"/>
      <c r="N171" s="27"/>
      <c r="O171" s="27"/>
      <c r="P171" s="27"/>
      <c r="Q171" s="27"/>
      <c r="R171" s="27"/>
      <c r="S171" s="27"/>
      <c r="T171" s="27"/>
      <c r="U171" s="27"/>
      <c r="V171" s="27"/>
      <c r="W171" s="27"/>
      <c r="X171" s="27"/>
      <c r="Y171" s="27"/>
      <c r="Z171" s="27"/>
      <c r="AA171" s="27"/>
      <c r="AB171" s="27"/>
      <c r="AC171" s="27"/>
      <c r="AD171" s="27"/>
      <c r="AE171" s="27"/>
      <c r="AF171" s="27"/>
      <c r="AG171" s="27"/>
      <c r="AH171" s="27"/>
      <c r="AI171" s="27"/>
      <c r="AJ171" s="27"/>
      <c r="AK171" s="27"/>
      <c r="AL171" s="27"/>
      <c r="AM171" s="27"/>
      <c r="AN171" s="27"/>
      <c r="AO171" s="27"/>
    </row>
    <row r="172" spans="1:41" x14ac:dyDescent="0.25">
      <c r="A172" s="27"/>
      <c r="B172" s="27"/>
      <c r="C172" s="27"/>
      <c r="D172" s="27"/>
      <c r="E172" s="27"/>
      <c r="F172" s="27"/>
      <c r="G172" s="27"/>
      <c r="H172" s="27"/>
      <c r="I172" s="27"/>
      <c r="J172" s="27"/>
      <c r="K172" s="27"/>
      <c r="L172" s="27"/>
      <c r="M172" s="27"/>
      <c r="N172" s="27"/>
      <c r="O172" s="27"/>
      <c r="P172" s="27"/>
      <c r="Q172" s="27"/>
      <c r="R172" s="27"/>
      <c r="S172" s="27"/>
      <c r="T172" s="27"/>
      <c r="U172" s="27"/>
      <c r="V172" s="27"/>
      <c r="W172" s="27"/>
      <c r="X172" s="27"/>
      <c r="Y172" s="27"/>
      <c r="Z172" s="27"/>
      <c r="AA172" s="27"/>
      <c r="AB172" s="27"/>
      <c r="AC172" s="27"/>
      <c r="AD172" s="27"/>
      <c r="AE172" s="27"/>
      <c r="AF172" s="27"/>
      <c r="AG172" s="27"/>
      <c r="AH172" s="27"/>
      <c r="AI172" s="27"/>
      <c r="AJ172" s="27"/>
      <c r="AK172" s="27"/>
      <c r="AL172" s="27"/>
      <c r="AM172" s="27"/>
      <c r="AN172" s="27"/>
      <c r="AO172" s="27"/>
    </row>
    <row r="173" spans="1:41" x14ac:dyDescent="0.25">
      <c r="A173" s="27"/>
      <c r="B173" s="27"/>
      <c r="C173" s="27"/>
      <c r="D173" s="27"/>
      <c r="E173" s="27"/>
      <c r="F173" s="27"/>
      <c r="G173" s="27"/>
      <c r="H173" s="27"/>
      <c r="I173" s="27"/>
      <c r="J173" s="27"/>
      <c r="K173" s="27"/>
      <c r="L173" s="27"/>
      <c r="M173" s="27"/>
      <c r="N173" s="27"/>
      <c r="O173" s="27"/>
      <c r="P173" s="27"/>
      <c r="Q173" s="27"/>
      <c r="R173" s="27"/>
      <c r="S173" s="27"/>
      <c r="T173" s="27"/>
      <c r="U173" s="27"/>
      <c r="V173" s="27"/>
      <c r="W173" s="27"/>
      <c r="X173" s="27"/>
      <c r="Y173" s="27"/>
      <c r="Z173" s="27"/>
      <c r="AA173" s="27"/>
      <c r="AB173" s="27"/>
      <c r="AC173" s="27"/>
      <c r="AD173" s="27"/>
      <c r="AE173" s="27"/>
      <c r="AF173" s="27"/>
      <c r="AG173" s="27"/>
      <c r="AH173" s="27"/>
      <c r="AI173" s="27"/>
      <c r="AJ173" s="27"/>
      <c r="AK173" s="27"/>
      <c r="AL173" s="27"/>
      <c r="AM173" s="27"/>
      <c r="AN173" s="27"/>
      <c r="AO173" s="27"/>
    </row>
    <row r="174" spans="1:41" x14ac:dyDescent="0.25">
      <c r="A174" s="27"/>
      <c r="B174" s="27"/>
      <c r="C174" s="27"/>
      <c r="D174" s="27"/>
      <c r="E174" s="27"/>
      <c r="F174" s="27"/>
      <c r="G174" s="27"/>
      <c r="H174" s="27"/>
      <c r="I174" s="27"/>
      <c r="J174" s="27"/>
      <c r="K174" s="27"/>
      <c r="L174" s="27"/>
      <c r="M174" s="27"/>
      <c r="N174" s="27"/>
      <c r="O174" s="27"/>
      <c r="P174" s="27"/>
      <c r="Q174" s="27"/>
      <c r="R174" s="27"/>
      <c r="S174" s="27"/>
      <c r="T174" s="27"/>
      <c r="U174" s="27"/>
      <c r="V174" s="27"/>
      <c r="W174" s="27"/>
      <c r="X174" s="27"/>
      <c r="Y174" s="27"/>
      <c r="Z174" s="27"/>
      <c r="AA174" s="27"/>
      <c r="AB174" s="27"/>
      <c r="AC174" s="27"/>
      <c r="AD174" s="27"/>
      <c r="AE174" s="27"/>
      <c r="AF174" s="27"/>
      <c r="AG174" s="27"/>
      <c r="AH174" s="27"/>
      <c r="AI174" s="27"/>
      <c r="AJ174" s="27"/>
      <c r="AK174" s="27"/>
      <c r="AL174" s="27"/>
      <c r="AM174" s="27"/>
      <c r="AN174" s="27"/>
      <c r="AO174" s="27"/>
    </row>
    <row r="175" spans="1:41" x14ac:dyDescent="0.25">
      <c r="A175" s="27"/>
      <c r="B175" s="27"/>
      <c r="C175" s="27"/>
      <c r="D175" s="27"/>
      <c r="E175" s="27"/>
      <c r="F175" s="27"/>
      <c r="G175" s="27"/>
      <c r="H175" s="27"/>
      <c r="I175" s="27"/>
      <c r="J175" s="27"/>
      <c r="K175" s="27"/>
      <c r="L175" s="27"/>
      <c r="M175" s="27"/>
      <c r="N175" s="27"/>
      <c r="O175" s="27"/>
      <c r="P175" s="27"/>
      <c r="Q175" s="27"/>
      <c r="R175" s="27"/>
      <c r="S175" s="27"/>
      <c r="T175" s="27"/>
      <c r="U175" s="27"/>
      <c r="V175" s="27"/>
      <c r="W175" s="27"/>
      <c r="X175" s="27"/>
      <c r="Y175" s="27"/>
      <c r="Z175" s="27"/>
      <c r="AA175" s="27"/>
      <c r="AB175" s="27"/>
      <c r="AC175" s="27"/>
      <c r="AD175" s="27"/>
      <c r="AE175" s="27"/>
      <c r="AF175" s="27"/>
      <c r="AG175" s="27"/>
      <c r="AH175" s="27"/>
      <c r="AI175" s="27"/>
      <c r="AJ175" s="27"/>
      <c r="AK175" s="27"/>
      <c r="AL175" s="27"/>
      <c r="AM175" s="27"/>
      <c r="AN175" s="27"/>
      <c r="AO175" s="27"/>
    </row>
    <row r="176" spans="1:41" x14ac:dyDescent="0.25">
      <c r="A176" s="27"/>
      <c r="B176" s="27"/>
      <c r="C176" s="27"/>
      <c r="D176" s="27"/>
      <c r="E176" s="27"/>
      <c r="F176" s="27"/>
      <c r="G176" s="27"/>
      <c r="H176" s="27"/>
      <c r="I176" s="27"/>
      <c r="J176" s="27"/>
      <c r="K176" s="27"/>
      <c r="L176" s="27"/>
      <c r="M176" s="27"/>
      <c r="N176" s="27"/>
      <c r="O176" s="27"/>
      <c r="P176" s="27"/>
      <c r="Q176" s="27"/>
      <c r="R176" s="27"/>
      <c r="S176" s="27"/>
      <c r="T176" s="27"/>
      <c r="U176" s="27"/>
      <c r="V176" s="27"/>
      <c r="W176" s="27"/>
      <c r="X176" s="27"/>
      <c r="Y176" s="27"/>
      <c r="Z176" s="27"/>
      <c r="AA176" s="27"/>
      <c r="AB176" s="27"/>
      <c r="AC176" s="27"/>
      <c r="AD176" s="27"/>
      <c r="AE176" s="27"/>
      <c r="AF176" s="27"/>
      <c r="AG176" s="27"/>
      <c r="AH176" s="27"/>
      <c r="AI176" s="27"/>
      <c r="AJ176" s="27"/>
      <c r="AK176" s="27"/>
      <c r="AL176" s="27"/>
      <c r="AM176" s="27"/>
      <c r="AN176" s="27"/>
      <c r="AO176" s="27"/>
    </row>
    <row r="177" spans="1:41" x14ac:dyDescent="0.25">
      <c r="A177" s="27"/>
      <c r="B177" s="27"/>
      <c r="C177" s="27"/>
      <c r="D177" s="27"/>
      <c r="E177" s="27"/>
      <c r="F177" s="27"/>
      <c r="G177" s="27"/>
      <c r="H177" s="27"/>
      <c r="I177" s="27"/>
      <c r="J177" s="27"/>
      <c r="K177" s="27"/>
      <c r="L177" s="27"/>
      <c r="M177" s="27"/>
      <c r="N177" s="27"/>
      <c r="O177" s="27"/>
      <c r="P177" s="27"/>
      <c r="Q177" s="27"/>
      <c r="R177" s="27"/>
      <c r="S177" s="27"/>
      <c r="T177" s="27"/>
      <c r="U177" s="27"/>
      <c r="V177" s="27"/>
      <c r="W177" s="27"/>
      <c r="X177" s="27"/>
      <c r="Y177" s="27"/>
      <c r="Z177" s="27"/>
      <c r="AA177" s="27"/>
      <c r="AB177" s="27"/>
      <c r="AC177" s="27"/>
      <c r="AD177" s="27"/>
      <c r="AE177" s="27"/>
      <c r="AF177" s="27"/>
      <c r="AG177" s="27"/>
      <c r="AH177" s="27"/>
      <c r="AI177" s="27"/>
      <c r="AJ177" s="27"/>
      <c r="AK177" s="27"/>
      <c r="AL177" s="27"/>
      <c r="AM177" s="27"/>
      <c r="AN177" s="27"/>
      <c r="AO177" s="27"/>
    </row>
    <row r="178" spans="1:41" x14ac:dyDescent="0.25">
      <c r="A178" s="27"/>
      <c r="B178" s="27"/>
      <c r="C178" s="27"/>
      <c r="D178" s="27"/>
      <c r="E178" s="27"/>
      <c r="F178" s="27"/>
      <c r="G178" s="27"/>
      <c r="H178" s="27"/>
      <c r="I178" s="27"/>
      <c r="J178" s="27"/>
      <c r="K178" s="27"/>
      <c r="L178" s="27"/>
      <c r="M178" s="27"/>
      <c r="N178" s="27"/>
      <c r="O178" s="27"/>
      <c r="P178" s="27"/>
      <c r="Q178" s="27"/>
      <c r="R178" s="27"/>
      <c r="S178" s="27"/>
      <c r="T178" s="27"/>
      <c r="U178" s="27"/>
      <c r="V178" s="27"/>
      <c r="W178" s="27"/>
      <c r="X178" s="27"/>
      <c r="Y178" s="27"/>
      <c r="Z178" s="27"/>
      <c r="AA178" s="27"/>
      <c r="AB178" s="27"/>
      <c r="AC178" s="27"/>
      <c r="AD178" s="27"/>
      <c r="AE178" s="27"/>
      <c r="AF178" s="27"/>
      <c r="AG178" s="27"/>
      <c r="AH178" s="27"/>
      <c r="AI178" s="27"/>
      <c r="AJ178" s="27"/>
      <c r="AK178" s="27"/>
      <c r="AL178" s="27"/>
      <c r="AM178" s="27"/>
      <c r="AN178" s="27"/>
      <c r="AO178" s="27"/>
    </row>
    <row r="179" spans="1:41" x14ac:dyDescent="0.25">
      <c r="A179" s="27"/>
      <c r="B179" s="27"/>
      <c r="C179" s="27"/>
      <c r="D179" s="27"/>
      <c r="E179" s="27"/>
      <c r="F179" s="27"/>
      <c r="G179" s="27"/>
      <c r="H179" s="27"/>
      <c r="I179" s="27"/>
      <c r="J179" s="27"/>
      <c r="K179" s="27"/>
      <c r="L179" s="27"/>
      <c r="M179" s="27"/>
      <c r="N179" s="27"/>
      <c r="O179" s="27"/>
      <c r="P179" s="27"/>
      <c r="Q179" s="27"/>
      <c r="R179" s="27"/>
      <c r="S179" s="27"/>
      <c r="T179" s="27"/>
      <c r="U179" s="27"/>
      <c r="V179" s="27"/>
      <c r="W179" s="27"/>
      <c r="X179" s="27"/>
      <c r="Y179" s="27"/>
      <c r="Z179" s="27"/>
      <c r="AA179" s="27"/>
      <c r="AB179" s="27"/>
      <c r="AC179" s="27"/>
      <c r="AD179" s="27"/>
      <c r="AE179" s="27"/>
      <c r="AF179" s="27"/>
      <c r="AG179" s="27"/>
      <c r="AH179" s="27"/>
      <c r="AI179" s="27"/>
      <c r="AJ179" s="27"/>
      <c r="AK179" s="27"/>
      <c r="AL179" s="27"/>
      <c r="AM179" s="27"/>
      <c r="AN179" s="27"/>
      <c r="AO179" s="27"/>
    </row>
    <row r="180" spans="1:41" x14ac:dyDescent="0.25">
      <c r="A180" s="27"/>
      <c r="B180" s="27"/>
      <c r="C180" s="27"/>
      <c r="D180" s="27"/>
      <c r="E180" s="27"/>
      <c r="F180" s="27"/>
      <c r="G180" s="27"/>
      <c r="H180" s="27"/>
      <c r="I180" s="27"/>
      <c r="J180" s="27"/>
      <c r="K180" s="27"/>
      <c r="L180" s="27"/>
      <c r="M180" s="27"/>
      <c r="N180" s="27"/>
      <c r="O180" s="27"/>
      <c r="P180" s="27"/>
      <c r="Q180" s="27"/>
      <c r="R180" s="27"/>
      <c r="S180" s="27"/>
      <c r="T180" s="27"/>
      <c r="U180" s="27"/>
      <c r="V180" s="27"/>
      <c r="W180" s="27"/>
      <c r="X180" s="27"/>
      <c r="Y180" s="27"/>
      <c r="Z180" s="27"/>
      <c r="AA180" s="27"/>
      <c r="AB180" s="27"/>
      <c r="AC180" s="27"/>
      <c r="AD180" s="27"/>
      <c r="AE180" s="27"/>
      <c r="AF180" s="27"/>
      <c r="AG180" s="27"/>
      <c r="AH180" s="27"/>
      <c r="AI180" s="27"/>
      <c r="AJ180" s="27"/>
      <c r="AK180" s="27"/>
      <c r="AL180" s="27"/>
      <c r="AM180" s="27"/>
      <c r="AN180" s="27"/>
      <c r="AO180" s="27"/>
    </row>
    <row r="181" spans="1:41" x14ac:dyDescent="0.25">
      <c r="A181" s="27"/>
      <c r="B181" s="27"/>
      <c r="C181" s="27"/>
      <c r="D181" s="27"/>
      <c r="E181" s="27"/>
      <c r="F181" s="27"/>
      <c r="G181" s="27"/>
      <c r="H181" s="27"/>
      <c r="I181" s="27"/>
      <c r="J181" s="27"/>
      <c r="K181" s="27"/>
      <c r="L181" s="27"/>
      <c r="M181" s="27"/>
      <c r="N181" s="27"/>
      <c r="O181" s="27"/>
      <c r="P181" s="27"/>
      <c r="Q181" s="27"/>
      <c r="R181" s="27"/>
      <c r="S181" s="27"/>
      <c r="T181" s="27"/>
      <c r="U181" s="27"/>
      <c r="V181" s="27"/>
      <c r="W181" s="27"/>
      <c r="X181" s="27"/>
      <c r="Y181" s="27"/>
      <c r="Z181" s="27"/>
      <c r="AA181" s="27"/>
      <c r="AB181" s="27"/>
      <c r="AC181" s="27"/>
      <c r="AD181" s="27"/>
      <c r="AE181" s="27"/>
      <c r="AF181" s="27"/>
      <c r="AG181" s="27"/>
      <c r="AH181" s="27"/>
      <c r="AI181" s="27"/>
      <c r="AJ181" s="27"/>
      <c r="AK181" s="27"/>
      <c r="AL181" s="27"/>
      <c r="AM181" s="27"/>
      <c r="AN181" s="27"/>
      <c r="AO181" s="27"/>
    </row>
    <row r="182" spans="1:41" x14ac:dyDescent="0.25">
      <c r="A182" s="27"/>
      <c r="B182" s="27"/>
      <c r="C182" s="27"/>
      <c r="D182" s="27"/>
      <c r="E182" s="27"/>
      <c r="F182" s="27"/>
      <c r="G182" s="27"/>
      <c r="H182" s="27"/>
      <c r="I182" s="27"/>
      <c r="J182" s="27"/>
      <c r="K182" s="27"/>
      <c r="L182" s="27"/>
      <c r="M182" s="27"/>
      <c r="N182" s="27"/>
      <c r="O182" s="27"/>
      <c r="P182" s="27"/>
      <c r="Q182" s="27"/>
      <c r="R182" s="27"/>
      <c r="S182" s="27"/>
      <c r="T182" s="27"/>
      <c r="U182" s="27"/>
      <c r="V182" s="27"/>
      <c r="W182" s="27"/>
      <c r="X182" s="27"/>
      <c r="Y182" s="27"/>
      <c r="Z182" s="27"/>
      <c r="AA182" s="27"/>
      <c r="AB182" s="27"/>
      <c r="AC182" s="27"/>
      <c r="AD182" s="27"/>
      <c r="AE182" s="27"/>
      <c r="AF182" s="27"/>
      <c r="AG182" s="27"/>
      <c r="AH182" s="27"/>
      <c r="AI182" s="27"/>
      <c r="AJ182" s="27"/>
      <c r="AK182" s="27"/>
      <c r="AL182" s="27"/>
      <c r="AM182" s="27"/>
      <c r="AN182" s="27"/>
      <c r="AO182" s="27"/>
    </row>
    <row r="183" spans="1:41" x14ac:dyDescent="0.25">
      <c r="A183" s="27"/>
      <c r="B183" s="27"/>
      <c r="C183" s="27"/>
      <c r="D183" s="27"/>
      <c r="E183" s="27"/>
      <c r="F183" s="27"/>
      <c r="G183" s="27"/>
      <c r="H183" s="27"/>
      <c r="I183" s="27"/>
      <c r="J183" s="27"/>
      <c r="K183" s="27"/>
      <c r="L183" s="27"/>
      <c r="M183" s="27"/>
      <c r="N183" s="27"/>
      <c r="O183" s="27"/>
      <c r="P183" s="27"/>
      <c r="Q183" s="27"/>
      <c r="R183" s="27"/>
      <c r="S183" s="27"/>
      <c r="T183" s="27"/>
      <c r="U183" s="27"/>
      <c r="V183" s="27"/>
      <c r="W183" s="27"/>
      <c r="X183" s="27"/>
      <c r="Y183" s="27"/>
      <c r="Z183" s="27"/>
      <c r="AA183" s="27"/>
      <c r="AB183" s="27"/>
      <c r="AC183" s="27"/>
      <c r="AD183" s="27"/>
      <c r="AE183" s="27"/>
      <c r="AF183" s="27"/>
      <c r="AG183" s="27"/>
      <c r="AH183" s="27"/>
      <c r="AI183" s="27"/>
      <c r="AJ183" s="27"/>
      <c r="AK183" s="27"/>
      <c r="AL183" s="27"/>
      <c r="AM183" s="27"/>
      <c r="AN183" s="27"/>
      <c r="AO183" s="27"/>
    </row>
    <row r="184" spans="1:41" x14ac:dyDescent="0.25">
      <c r="A184" s="27"/>
      <c r="B184" s="27"/>
      <c r="C184" s="27"/>
      <c r="D184" s="27"/>
      <c r="E184" s="27"/>
      <c r="F184" s="27"/>
      <c r="G184" s="27"/>
      <c r="H184" s="27"/>
      <c r="I184" s="27"/>
      <c r="J184" s="27"/>
      <c r="K184" s="27"/>
      <c r="L184" s="27"/>
      <c r="M184" s="27"/>
      <c r="N184" s="27"/>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row>
    <row r="185" spans="1:41" x14ac:dyDescent="0.25">
      <c r="A185" s="27"/>
      <c r="B185" s="27"/>
      <c r="C185" s="27"/>
      <c r="D185" s="27"/>
      <c r="E185" s="27"/>
      <c r="F185" s="27"/>
      <c r="G185" s="27"/>
      <c r="H185" s="27"/>
      <c r="I185" s="27"/>
      <c r="J185" s="27"/>
      <c r="K185" s="27"/>
      <c r="L185" s="27"/>
      <c r="M185" s="27"/>
      <c r="N185" s="27"/>
      <c r="O185" s="27"/>
      <c r="P185" s="27"/>
      <c r="Q185" s="27"/>
      <c r="R185" s="27"/>
      <c r="S185" s="27"/>
      <c r="T185" s="27"/>
      <c r="U185" s="27"/>
      <c r="V185" s="27"/>
      <c r="W185" s="27"/>
      <c r="X185" s="27"/>
      <c r="Y185" s="27"/>
      <c r="Z185" s="27"/>
      <c r="AA185" s="27"/>
      <c r="AB185" s="27"/>
      <c r="AC185" s="27"/>
      <c r="AD185" s="27"/>
      <c r="AE185" s="27"/>
      <c r="AF185" s="27"/>
      <c r="AG185" s="27"/>
      <c r="AH185" s="27"/>
      <c r="AI185" s="27"/>
      <c r="AJ185" s="27"/>
      <c r="AK185" s="27"/>
      <c r="AL185" s="27"/>
      <c r="AM185" s="27"/>
      <c r="AN185" s="27"/>
      <c r="AO185" s="27"/>
    </row>
    <row r="186" spans="1:41" x14ac:dyDescent="0.25">
      <c r="A186" s="27"/>
      <c r="B186" s="27"/>
      <c r="C186" s="27"/>
      <c r="D186" s="27"/>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c r="AH186" s="27"/>
      <c r="AI186" s="27"/>
      <c r="AJ186" s="27"/>
      <c r="AK186" s="27"/>
      <c r="AL186" s="27"/>
      <c r="AM186" s="27"/>
      <c r="AN186" s="27"/>
      <c r="AO186" s="27"/>
    </row>
    <row r="187" spans="1:41" x14ac:dyDescent="0.25">
      <c r="A187" s="27"/>
      <c r="B187" s="27"/>
      <c r="C187" s="27"/>
      <c r="D187" s="27"/>
      <c r="E187" s="27"/>
      <c r="F187" s="27"/>
      <c r="G187" s="27"/>
      <c r="H187" s="27"/>
      <c r="I187" s="27"/>
      <c r="J187" s="27"/>
      <c r="K187" s="27"/>
      <c r="L187" s="27"/>
      <c r="M187" s="27"/>
      <c r="N187" s="27"/>
      <c r="O187" s="27"/>
      <c r="P187" s="27"/>
      <c r="Q187" s="27"/>
      <c r="R187" s="27"/>
      <c r="S187" s="27"/>
      <c r="T187" s="27"/>
      <c r="U187" s="27"/>
      <c r="V187" s="27"/>
      <c r="W187" s="27"/>
      <c r="X187" s="27"/>
      <c r="Y187" s="27"/>
      <c r="Z187" s="27"/>
      <c r="AA187" s="27"/>
      <c r="AB187" s="27"/>
      <c r="AC187" s="27"/>
      <c r="AD187" s="27"/>
      <c r="AE187" s="27"/>
      <c r="AF187" s="27"/>
      <c r="AG187" s="27"/>
      <c r="AH187" s="27"/>
      <c r="AI187" s="27"/>
      <c r="AJ187" s="27"/>
      <c r="AK187" s="27"/>
      <c r="AL187" s="27"/>
      <c r="AM187" s="27"/>
      <c r="AN187" s="27"/>
      <c r="AO187" s="27"/>
    </row>
    <row r="188" spans="1:41" x14ac:dyDescent="0.25">
      <c r="A188" s="27"/>
      <c r="B188" s="27"/>
      <c r="C188" s="27"/>
      <c r="D188" s="27"/>
      <c r="E188" s="27"/>
      <c r="F188" s="27"/>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c r="AI188" s="27"/>
      <c r="AJ188" s="27"/>
      <c r="AK188" s="27"/>
      <c r="AL188" s="27"/>
      <c r="AM188" s="27"/>
      <c r="AN188" s="27"/>
      <c r="AO188" s="27"/>
    </row>
    <row r="189" spans="1:41" x14ac:dyDescent="0.25">
      <c r="A189" s="27"/>
      <c r="B189" s="27"/>
      <c r="C189" s="27"/>
      <c r="D189" s="27"/>
      <c r="E189" s="27"/>
      <c r="F189" s="27"/>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row>
    <row r="190" spans="1:41" x14ac:dyDescent="0.25">
      <c r="A190" s="27"/>
      <c r="B190" s="27"/>
      <c r="C190" s="27"/>
      <c r="D190" s="27"/>
      <c r="E190" s="27"/>
      <c r="F190" s="27"/>
      <c r="G190" s="27"/>
      <c r="H190" s="27"/>
      <c r="I190" s="27"/>
      <c r="J190" s="27"/>
      <c r="K190" s="27"/>
      <c r="L190" s="27"/>
      <c r="M190" s="27"/>
      <c r="N190" s="27"/>
      <c r="O190" s="27"/>
      <c r="P190" s="27"/>
      <c r="Q190" s="27"/>
      <c r="R190" s="27"/>
      <c r="S190" s="27"/>
      <c r="T190" s="27"/>
      <c r="U190" s="27"/>
      <c r="V190" s="27"/>
      <c r="W190" s="27"/>
      <c r="X190" s="27"/>
      <c r="Y190" s="27"/>
      <c r="Z190" s="27"/>
      <c r="AA190" s="27"/>
      <c r="AB190" s="27"/>
      <c r="AC190" s="27"/>
      <c r="AD190" s="27"/>
      <c r="AE190" s="27"/>
      <c r="AF190" s="27"/>
      <c r="AG190" s="27"/>
      <c r="AH190" s="27"/>
      <c r="AI190" s="27"/>
      <c r="AJ190" s="27"/>
      <c r="AK190" s="27"/>
      <c r="AL190" s="27"/>
      <c r="AM190" s="27"/>
      <c r="AN190" s="27"/>
      <c r="AO190" s="27"/>
    </row>
    <row r="191" spans="1:41" x14ac:dyDescent="0.25">
      <c r="A191" s="27"/>
      <c r="B191" s="27"/>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27"/>
      <c r="AO191" s="27"/>
    </row>
    <row r="192" spans="1:41" x14ac:dyDescent="0.25">
      <c r="A192" s="27"/>
      <c r="B192" s="27"/>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27"/>
      <c r="AO192" s="27"/>
    </row>
    <row r="193" spans="1:41" x14ac:dyDescent="0.25">
      <c r="A193" s="27"/>
      <c r="B193" s="27"/>
      <c r="C193" s="27"/>
      <c r="D193" s="27"/>
      <c r="E193" s="27"/>
      <c r="F193" s="27"/>
      <c r="G193" s="27"/>
      <c r="H193" s="27"/>
      <c r="I193" s="27"/>
      <c r="J193" s="27"/>
      <c r="K193" s="27"/>
      <c r="L193" s="27"/>
      <c r="M193" s="27"/>
      <c r="N193" s="27"/>
      <c r="O193" s="27"/>
      <c r="P193" s="27"/>
      <c r="Q193" s="27"/>
      <c r="R193" s="27"/>
      <c r="S193" s="27"/>
      <c r="T193" s="27"/>
      <c r="U193" s="27"/>
      <c r="V193" s="27"/>
      <c r="W193" s="27"/>
      <c r="X193" s="27"/>
      <c r="Y193" s="27"/>
      <c r="Z193" s="27"/>
      <c r="AA193" s="27"/>
      <c r="AB193" s="27"/>
      <c r="AC193" s="27"/>
      <c r="AD193" s="27"/>
      <c r="AE193" s="27"/>
      <c r="AF193" s="27"/>
      <c r="AG193" s="27"/>
      <c r="AH193" s="27"/>
      <c r="AI193" s="27"/>
      <c r="AJ193" s="27"/>
      <c r="AK193" s="27"/>
      <c r="AL193" s="27"/>
      <c r="AM193" s="27"/>
      <c r="AN193" s="27"/>
      <c r="AO193" s="27"/>
    </row>
    <row r="194" spans="1:41" x14ac:dyDescent="0.25">
      <c r="A194" s="27"/>
      <c r="B194" s="27"/>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row>
    <row r="195" spans="1:41" x14ac:dyDescent="0.25">
      <c r="A195" s="27"/>
      <c r="B195" s="27"/>
      <c r="C195" s="27"/>
      <c r="D195" s="27"/>
      <c r="E195" s="27"/>
      <c r="F195" s="27"/>
      <c r="G195" s="27"/>
      <c r="H195" s="27"/>
      <c r="I195" s="27"/>
      <c r="J195" s="27"/>
      <c r="K195" s="27"/>
      <c r="L195" s="27"/>
      <c r="M195" s="27"/>
      <c r="N195" s="27"/>
      <c r="O195" s="27"/>
      <c r="P195" s="27"/>
      <c r="Q195" s="27"/>
      <c r="R195" s="27"/>
      <c r="S195" s="27"/>
      <c r="T195" s="27"/>
      <c r="U195" s="27"/>
      <c r="V195" s="27"/>
      <c r="W195" s="27"/>
      <c r="X195" s="27"/>
      <c r="Y195" s="27"/>
      <c r="Z195" s="27"/>
      <c r="AA195" s="27"/>
      <c r="AB195" s="27"/>
      <c r="AC195" s="27"/>
      <c r="AD195" s="27"/>
      <c r="AE195" s="27"/>
      <c r="AF195" s="27"/>
      <c r="AG195" s="27"/>
      <c r="AH195" s="27"/>
      <c r="AI195" s="27"/>
      <c r="AJ195" s="27"/>
      <c r="AK195" s="27"/>
      <c r="AL195" s="27"/>
      <c r="AM195" s="27"/>
      <c r="AN195" s="27"/>
      <c r="AO195" s="27"/>
    </row>
    <row r="196" spans="1:41" x14ac:dyDescent="0.25">
      <c r="A196" s="27"/>
      <c r="B196" s="27"/>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27"/>
      <c r="AF196" s="27"/>
      <c r="AG196" s="27"/>
      <c r="AH196" s="27"/>
      <c r="AI196" s="27"/>
      <c r="AJ196" s="27"/>
      <c r="AK196" s="27"/>
      <c r="AL196" s="27"/>
      <c r="AM196" s="27"/>
      <c r="AN196" s="27"/>
      <c r="AO196" s="27"/>
    </row>
    <row r="197" spans="1:41" x14ac:dyDescent="0.25">
      <c r="A197" s="27"/>
      <c r="B197" s="27"/>
      <c r="C197" s="27"/>
      <c r="D197" s="27"/>
      <c r="E197" s="27"/>
      <c r="F197" s="27"/>
      <c r="G197" s="27"/>
      <c r="H197" s="27"/>
      <c r="I197" s="27"/>
      <c r="J197" s="27"/>
      <c r="K197" s="27"/>
      <c r="L197" s="27"/>
      <c r="M197" s="27"/>
      <c r="N197" s="27"/>
      <c r="O197" s="27"/>
      <c r="P197" s="27"/>
      <c r="Q197" s="27"/>
      <c r="R197" s="27"/>
      <c r="S197" s="27"/>
      <c r="T197" s="27"/>
      <c r="U197" s="27"/>
      <c r="V197" s="27"/>
      <c r="W197" s="27"/>
      <c r="X197" s="27"/>
      <c r="Y197" s="27"/>
      <c r="Z197" s="27"/>
      <c r="AA197" s="27"/>
      <c r="AB197" s="27"/>
      <c r="AC197" s="27"/>
      <c r="AD197" s="27"/>
      <c r="AE197" s="27"/>
      <c r="AF197" s="27"/>
      <c r="AG197" s="27"/>
      <c r="AH197" s="27"/>
      <c r="AI197" s="27"/>
      <c r="AJ197" s="27"/>
      <c r="AK197" s="27"/>
      <c r="AL197" s="27"/>
      <c r="AM197" s="27"/>
      <c r="AN197" s="27"/>
      <c r="AO197" s="27"/>
    </row>
    <row r="198" spans="1:41" x14ac:dyDescent="0.25">
      <c r="A198" s="27"/>
      <c r="B198" s="27"/>
      <c r="C198" s="27"/>
      <c r="D198" s="27"/>
      <c r="E198" s="27"/>
      <c r="F198" s="27"/>
      <c r="G198" s="27"/>
      <c r="H198" s="27"/>
      <c r="I198" s="27"/>
      <c r="J198" s="27"/>
      <c r="K198" s="27"/>
      <c r="L198" s="27"/>
      <c r="M198" s="27"/>
      <c r="N198" s="27"/>
      <c r="O198" s="27"/>
      <c r="P198" s="27"/>
      <c r="Q198" s="27"/>
      <c r="R198" s="27"/>
      <c r="S198" s="27"/>
      <c r="T198" s="27"/>
      <c r="U198" s="27"/>
      <c r="V198" s="27"/>
      <c r="W198" s="27"/>
      <c r="X198" s="27"/>
      <c r="Y198" s="27"/>
      <c r="Z198" s="27"/>
      <c r="AA198" s="27"/>
      <c r="AB198" s="27"/>
      <c r="AC198" s="27"/>
      <c r="AD198" s="27"/>
      <c r="AE198" s="27"/>
      <c r="AF198" s="27"/>
      <c r="AG198" s="27"/>
      <c r="AH198" s="27"/>
      <c r="AI198" s="27"/>
      <c r="AJ198" s="27"/>
      <c r="AK198" s="27"/>
      <c r="AL198" s="27"/>
      <c r="AM198" s="27"/>
      <c r="AN198" s="27"/>
      <c r="AO198" s="27"/>
    </row>
    <row r="199" spans="1:41" x14ac:dyDescent="0.25">
      <c r="A199" s="27"/>
      <c r="B199" s="27"/>
      <c r="C199" s="27"/>
      <c r="D199" s="27"/>
      <c r="E199" s="27"/>
      <c r="F199" s="27"/>
      <c r="G199" s="27"/>
      <c r="H199" s="27"/>
      <c r="I199" s="27"/>
      <c r="J199" s="27"/>
      <c r="K199" s="27"/>
      <c r="L199" s="27"/>
      <c r="M199" s="27"/>
      <c r="N199" s="27"/>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row>
    <row r="200" spans="1:41" x14ac:dyDescent="0.25">
      <c r="A200" s="27"/>
      <c r="B200" s="27"/>
      <c r="C200" s="27"/>
      <c r="D200" s="27"/>
      <c r="E200" s="27"/>
      <c r="F200" s="27"/>
      <c r="G200" s="27"/>
      <c r="H200" s="27"/>
      <c r="I200" s="27"/>
      <c r="J200" s="27"/>
      <c r="K200" s="27"/>
      <c r="L200" s="27"/>
      <c r="M200" s="27"/>
      <c r="N200" s="27"/>
      <c r="O200" s="27"/>
      <c r="P200" s="27"/>
      <c r="Q200" s="27"/>
      <c r="R200" s="27"/>
      <c r="S200" s="27"/>
      <c r="T200" s="27"/>
      <c r="U200" s="27"/>
      <c r="V200" s="27"/>
      <c r="W200" s="27"/>
      <c r="X200" s="27"/>
      <c r="Y200" s="27"/>
      <c r="Z200" s="27"/>
      <c r="AA200" s="27"/>
      <c r="AB200" s="27"/>
      <c r="AC200" s="27"/>
      <c r="AD200" s="27"/>
      <c r="AE200" s="27"/>
      <c r="AF200" s="27"/>
      <c r="AG200" s="27"/>
      <c r="AH200" s="27"/>
      <c r="AI200" s="27"/>
      <c r="AJ200" s="27"/>
      <c r="AK200" s="27"/>
      <c r="AL200" s="27"/>
      <c r="AM200" s="27"/>
      <c r="AN200" s="27"/>
      <c r="AO200" s="27"/>
    </row>
    <row r="201" spans="1:41" x14ac:dyDescent="0.25">
      <c r="A201" s="27"/>
      <c r="B201" s="27"/>
      <c r="C201" s="27"/>
      <c r="D201" s="27"/>
      <c r="E201" s="27"/>
      <c r="F201" s="27"/>
      <c r="G201" s="27"/>
      <c r="H201" s="27"/>
      <c r="I201" s="27"/>
      <c r="J201" s="27"/>
      <c r="K201" s="27"/>
      <c r="L201" s="27"/>
      <c r="M201" s="27"/>
      <c r="N201" s="27"/>
      <c r="O201" s="27"/>
      <c r="P201" s="27"/>
      <c r="Q201" s="27"/>
      <c r="R201" s="27"/>
      <c r="S201" s="27"/>
      <c r="T201" s="27"/>
      <c r="U201" s="27"/>
      <c r="V201" s="27"/>
      <c r="W201" s="27"/>
      <c r="X201" s="27"/>
      <c r="Y201" s="27"/>
      <c r="Z201" s="27"/>
      <c r="AA201" s="27"/>
      <c r="AB201" s="27"/>
      <c r="AC201" s="27"/>
      <c r="AD201" s="27"/>
      <c r="AE201" s="27"/>
      <c r="AF201" s="27"/>
      <c r="AG201" s="27"/>
      <c r="AH201" s="27"/>
      <c r="AI201" s="27"/>
      <c r="AJ201" s="27"/>
      <c r="AK201" s="27"/>
      <c r="AL201" s="27"/>
      <c r="AM201" s="27"/>
      <c r="AN201" s="27"/>
      <c r="AO201" s="27"/>
    </row>
    <row r="202" spans="1:41" x14ac:dyDescent="0.25">
      <c r="A202" s="27"/>
      <c r="B202" s="27"/>
      <c r="C202" s="27"/>
      <c r="D202" s="27"/>
      <c r="E202" s="27"/>
      <c r="F202" s="27"/>
      <c r="G202" s="27"/>
      <c r="H202" s="27"/>
      <c r="I202" s="27"/>
      <c r="J202" s="27"/>
      <c r="K202" s="27"/>
      <c r="L202" s="27"/>
      <c r="M202" s="27"/>
      <c r="N202" s="27"/>
      <c r="O202" s="27"/>
      <c r="P202" s="27"/>
      <c r="Q202" s="27"/>
      <c r="R202" s="27"/>
      <c r="S202" s="27"/>
      <c r="T202" s="27"/>
      <c r="U202" s="27"/>
      <c r="V202" s="27"/>
      <c r="W202" s="27"/>
      <c r="X202" s="27"/>
      <c r="Y202" s="27"/>
      <c r="Z202" s="27"/>
      <c r="AA202" s="27"/>
      <c r="AB202" s="27"/>
      <c r="AC202" s="27"/>
      <c r="AD202" s="27"/>
      <c r="AE202" s="27"/>
      <c r="AF202" s="27"/>
      <c r="AG202" s="27"/>
      <c r="AH202" s="27"/>
      <c r="AI202" s="27"/>
      <c r="AJ202" s="27"/>
      <c r="AK202" s="27"/>
      <c r="AL202" s="27"/>
      <c r="AM202" s="27"/>
      <c r="AN202" s="27"/>
      <c r="AO202" s="27"/>
    </row>
    <row r="203" spans="1:41" x14ac:dyDescent="0.25">
      <c r="A203" s="27"/>
      <c r="B203" s="27"/>
      <c r="C203" s="27"/>
      <c r="D203" s="27"/>
      <c r="E203" s="27"/>
      <c r="F203" s="27"/>
      <c r="G203" s="27"/>
      <c r="H203" s="27"/>
      <c r="I203" s="27"/>
      <c r="J203" s="27"/>
      <c r="K203" s="27"/>
      <c r="L203" s="27"/>
      <c r="M203" s="27"/>
      <c r="N203" s="27"/>
      <c r="O203" s="27"/>
      <c r="P203" s="27"/>
      <c r="Q203" s="27"/>
      <c r="R203" s="27"/>
      <c r="S203" s="27"/>
      <c r="T203" s="27"/>
      <c r="U203" s="27"/>
      <c r="V203" s="27"/>
      <c r="W203" s="27"/>
      <c r="X203" s="27"/>
      <c r="Y203" s="27"/>
      <c r="Z203" s="27"/>
      <c r="AA203" s="27"/>
      <c r="AB203" s="27"/>
      <c r="AC203" s="27"/>
      <c r="AD203" s="27"/>
      <c r="AE203" s="27"/>
      <c r="AF203" s="27"/>
      <c r="AG203" s="27"/>
      <c r="AH203" s="27"/>
      <c r="AI203" s="27"/>
      <c r="AJ203" s="27"/>
      <c r="AK203" s="27"/>
      <c r="AL203" s="27"/>
      <c r="AM203" s="27"/>
      <c r="AN203" s="27"/>
      <c r="AO203" s="27"/>
    </row>
    <row r="204" spans="1:41" x14ac:dyDescent="0.25">
      <c r="A204" s="27"/>
      <c r="B204" s="27"/>
      <c r="C204" s="27"/>
      <c r="D204" s="27"/>
      <c r="E204" s="27"/>
      <c r="F204" s="27"/>
      <c r="G204" s="27"/>
      <c r="H204" s="27"/>
      <c r="I204" s="27"/>
      <c r="J204" s="27"/>
      <c r="K204" s="27"/>
      <c r="L204" s="27"/>
      <c r="M204" s="27"/>
      <c r="N204" s="27"/>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row>
    <row r="205" spans="1:41" x14ac:dyDescent="0.25">
      <c r="A205" s="27"/>
      <c r="B205" s="27"/>
      <c r="C205" s="27"/>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row>
    <row r="206" spans="1:41" x14ac:dyDescent="0.25">
      <c r="A206" s="27"/>
      <c r="B206" s="27"/>
      <c r="C206" s="27"/>
      <c r="D206" s="27"/>
      <c r="E206" s="27"/>
      <c r="F206" s="27"/>
      <c r="G206" s="27"/>
      <c r="H206" s="27"/>
      <c r="I206" s="27"/>
      <c r="J206" s="27"/>
      <c r="K206" s="27"/>
      <c r="L206" s="27"/>
      <c r="M206" s="27"/>
      <c r="N206" s="27"/>
      <c r="O206" s="27"/>
      <c r="P206" s="27"/>
      <c r="Q206" s="27"/>
      <c r="R206" s="27"/>
      <c r="S206" s="27"/>
      <c r="T206" s="27"/>
      <c r="U206" s="27"/>
      <c r="V206" s="27"/>
      <c r="W206" s="27"/>
      <c r="X206" s="27"/>
      <c r="Y206" s="27"/>
      <c r="Z206" s="27"/>
      <c r="AA206" s="27"/>
      <c r="AB206" s="27"/>
      <c r="AC206" s="27"/>
      <c r="AD206" s="27"/>
      <c r="AE206" s="27"/>
      <c r="AF206" s="27"/>
      <c r="AG206" s="27"/>
      <c r="AH206" s="27"/>
      <c r="AI206" s="27"/>
      <c r="AJ206" s="27"/>
      <c r="AK206" s="27"/>
      <c r="AL206" s="27"/>
      <c r="AM206" s="27"/>
      <c r="AN206" s="27"/>
      <c r="AO206" s="27"/>
    </row>
    <row r="207" spans="1:41" x14ac:dyDescent="0.25">
      <c r="A207" s="27"/>
      <c r="B207" s="27"/>
      <c r="C207" s="27"/>
      <c r="D207" s="27"/>
      <c r="E207" s="27"/>
      <c r="F207" s="27"/>
      <c r="G207" s="27"/>
      <c r="H207" s="27"/>
      <c r="I207" s="27"/>
      <c r="J207" s="27"/>
      <c r="K207" s="27"/>
      <c r="L207" s="27"/>
      <c r="M207" s="27"/>
      <c r="N207" s="27"/>
      <c r="O207" s="27"/>
      <c r="P207" s="27"/>
      <c r="Q207" s="27"/>
      <c r="R207" s="27"/>
      <c r="S207" s="27"/>
      <c r="T207" s="27"/>
      <c r="U207" s="27"/>
      <c r="V207" s="27"/>
      <c r="W207" s="27"/>
      <c r="X207" s="27"/>
      <c r="Y207" s="27"/>
      <c r="Z207" s="27"/>
      <c r="AA207" s="27"/>
      <c r="AB207" s="27"/>
      <c r="AC207" s="27"/>
      <c r="AD207" s="27"/>
      <c r="AE207" s="27"/>
      <c r="AF207" s="27"/>
      <c r="AG207" s="27"/>
      <c r="AH207" s="27"/>
      <c r="AI207" s="27"/>
      <c r="AJ207" s="27"/>
      <c r="AK207" s="27"/>
      <c r="AL207" s="27"/>
      <c r="AM207" s="27"/>
      <c r="AN207" s="27"/>
      <c r="AO207" s="27"/>
    </row>
    <row r="208" spans="1:41" x14ac:dyDescent="0.25">
      <c r="A208" s="27"/>
      <c r="B208" s="27"/>
      <c r="C208" s="27"/>
      <c r="D208" s="27"/>
      <c r="E208" s="27"/>
      <c r="F208" s="27"/>
      <c r="G208" s="27"/>
      <c r="H208" s="27"/>
      <c r="I208" s="27"/>
      <c r="J208" s="27"/>
      <c r="K208" s="27"/>
      <c r="L208" s="27"/>
      <c r="M208" s="27"/>
      <c r="N208" s="27"/>
      <c r="O208" s="27"/>
      <c r="P208" s="27"/>
      <c r="Q208" s="27"/>
      <c r="R208" s="27"/>
      <c r="S208" s="27"/>
      <c r="T208" s="27"/>
      <c r="U208" s="27"/>
      <c r="V208" s="27"/>
      <c r="W208" s="27"/>
      <c r="X208" s="27"/>
      <c r="Y208" s="27"/>
      <c r="Z208" s="27"/>
      <c r="AA208" s="27"/>
      <c r="AB208" s="27"/>
      <c r="AC208" s="27"/>
      <c r="AD208" s="27"/>
      <c r="AE208" s="27"/>
      <c r="AF208" s="27"/>
      <c r="AG208" s="27"/>
      <c r="AH208" s="27"/>
      <c r="AI208" s="27"/>
      <c r="AJ208" s="27"/>
      <c r="AK208" s="27"/>
      <c r="AL208" s="27"/>
      <c r="AM208" s="27"/>
      <c r="AN208" s="27"/>
      <c r="AO208" s="27"/>
    </row>
    <row r="209" spans="1:41" x14ac:dyDescent="0.25">
      <c r="A209" s="27"/>
      <c r="B209" s="27"/>
      <c r="C209" s="27"/>
      <c r="D209" s="27"/>
      <c r="E209" s="27"/>
      <c r="F209" s="27"/>
      <c r="G209" s="27"/>
      <c r="H209" s="27"/>
      <c r="I209" s="27"/>
      <c r="J209" s="27"/>
      <c r="K209" s="27"/>
      <c r="L209" s="27"/>
      <c r="M209" s="27"/>
      <c r="N209" s="27"/>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row>
    <row r="210" spans="1:41" x14ac:dyDescent="0.25">
      <c r="A210" s="27"/>
      <c r="B210" s="27"/>
      <c r="C210" s="27"/>
      <c r="D210" s="27"/>
      <c r="E210" s="27"/>
      <c r="F210" s="27"/>
      <c r="G210" s="27"/>
      <c r="H210" s="27"/>
      <c r="I210" s="27"/>
      <c r="J210" s="27"/>
      <c r="K210" s="27"/>
      <c r="L210" s="27"/>
      <c r="M210" s="27"/>
      <c r="N210" s="27"/>
      <c r="O210" s="27"/>
      <c r="P210" s="27"/>
      <c r="Q210" s="27"/>
      <c r="R210" s="27"/>
      <c r="S210" s="27"/>
      <c r="T210" s="27"/>
      <c r="U210" s="27"/>
      <c r="V210" s="27"/>
      <c r="W210" s="27"/>
      <c r="X210" s="27"/>
      <c r="Y210" s="27"/>
      <c r="Z210" s="27"/>
      <c r="AA210" s="27"/>
      <c r="AB210" s="27"/>
      <c r="AC210" s="27"/>
      <c r="AD210" s="27"/>
      <c r="AE210" s="27"/>
      <c r="AF210" s="27"/>
      <c r="AG210" s="27"/>
      <c r="AH210" s="27"/>
      <c r="AI210" s="27"/>
      <c r="AJ210" s="27"/>
      <c r="AK210" s="27"/>
      <c r="AL210" s="27"/>
      <c r="AM210" s="27"/>
      <c r="AN210" s="27"/>
      <c r="AO210" s="27"/>
    </row>
    <row r="211" spans="1:41" x14ac:dyDescent="0.25">
      <c r="A211" s="27"/>
      <c r="B211" s="27"/>
      <c r="C211" s="27"/>
      <c r="D211" s="27"/>
      <c r="E211" s="27"/>
      <c r="F211" s="27"/>
      <c r="G211" s="27"/>
      <c r="H211" s="27"/>
      <c r="I211" s="27"/>
      <c r="J211" s="27"/>
      <c r="K211" s="27"/>
      <c r="L211" s="27"/>
      <c r="M211" s="27"/>
      <c r="N211" s="27"/>
      <c r="O211" s="27"/>
      <c r="P211" s="27"/>
      <c r="Q211" s="27"/>
      <c r="R211" s="27"/>
      <c r="S211" s="27"/>
      <c r="T211" s="27"/>
      <c r="U211" s="27"/>
      <c r="V211" s="27"/>
      <c r="W211" s="27"/>
      <c r="X211" s="27"/>
      <c r="Y211" s="27"/>
      <c r="Z211" s="27"/>
      <c r="AA211" s="27"/>
      <c r="AB211" s="27"/>
      <c r="AC211" s="27"/>
      <c r="AD211" s="27"/>
      <c r="AE211" s="27"/>
      <c r="AF211" s="27"/>
      <c r="AG211" s="27"/>
      <c r="AH211" s="27"/>
      <c r="AI211" s="27"/>
      <c r="AJ211" s="27"/>
      <c r="AK211" s="27"/>
      <c r="AL211" s="27"/>
      <c r="AM211" s="27"/>
      <c r="AN211" s="27"/>
      <c r="AO211" s="27"/>
    </row>
    <row r="212" spans="1:41" x14ac:dyDescent="0.25">
      <c r="A212" s="27"/>
      <c r="B212" s="27"/>
      <c r="C212" s="27"/>
      <c r="D212" s="27"/>
      <c r="E212" s="27"/>
      <c r="F212" s="27"/>
      <c r="G212" s="27"/>
      <c r="H212" s="27"/>
      <c r="I212" s="27"/>
      <c r="J212" s="27"/>
      <c r="K212" s="27"/>
      <c r="L212" s="27"/>
      <c r="M212" s="27"/>
      <c r="N212" s="27"/>
      <c r="O212" s="27"/>
      <c r="P212" s="27"/>
      <c r="Q212" s="27"/>
      <c r="R212" s="27"/>
      <c r="S212" s="27"/>
      <c r="T212" s="27"/>
      <c r="U212" s="27"/>
      <c r="V212" s="27"/>
      <c r="W212" s="27"/>
      <c r="X212" s="27"/>
      <c r="Y212" s="27"/>
      <c r="Z212" s="27"/>
      <c r="AA212" s="27"/>
      <c r="AB212" s="27"/>
      <c r="AC212" s="27"/>
      <c r="AD212" s="27"/>
      <c r="AE212" s="27"/>
      <c r="AF212" s="27"/>
      <c r="AG212" s="27"/>
      <c r="AH212" s="27"/>
      <c r="AI212" s="27"/>
      <c r="AJ212" s="27"/>
      <c r="AK212" s="27"/>
      <c r="AL212" s="27"/>
      <c r="AM212" s="27"/>
      <c r="AN212" s="27"/>
      <c r="AO212" s="27"/>
    </row>
    <row r="213" spans="1:41" x14ac:dyDescent="0.25">
      <c r="A213" s="27"/>
      <c r="B213" s="27"/>
      <c r="C213" s="27"/>
      <c r="D213" s="27"/>
      <c r="E213" s="27"/>
      <c r="F213" s="27"/>
      <c r="G213" s="27"/>
      <c r="H213" s="27"/>
      <c r="I213" s="27"/>
      <c r="J213" s="27"/>
      <c r="K213" s="27"/>
      <c r="L213" s="27"/>
      <c r="M213" s="27"/>
      <c r="N213" s="27"/>
      <c r="O213" s="27"/>
      <c r="P213" s="27"/>
      <c r="Q213" s="27"/>
      <c r="R213" s="27"/>
      <c r="S213" s="27"/>
      <c r="T213" s="27"/>
      <c r="U213" s="27"/>
      <c r="V213" s="27"/>
      <c r="W213" s="27"/>
      <c r="X213" s="27"/>
      <c r="Y213" s="27"/>
      <c r="Z213" s="27"/>
      <c r="AA213" s="27"/>
      <c r="AB213" s="27"/>
      <c r="AC213" s="27"/>
      <c r="AD213" s="27"/>
      <c r="AE213" s="27"/>
      <c r="AF213" s="27"/>
      <c r="AG213" s="27"/>
      <c r="AH213" s="27"/>
      <c r="AI213" s="27"/>
      <c r="AJ213" s="27"/>
      <c r="AK213" s="27"/>
      <c r="AL213" s="27"/>
      <c r="AM213" s="27"/>
      <c r="AN213" s="27"/>
      <c r="AO213" s="27"/>
    </row>
    <row r="214" spans="1:41" x14ac:dyDescent="0.25">
      <c r="A214" s="27"/>
      <c r="B214" s="27"/>
      <c r="C214" s="27"/>
      <c r="D214" s="27"/>
      <c r="E214" s="27"/>
      <c r="F214" s="27"/>
      <c r="G214" s="27"/>
      <c r="H214" s="27"/>
      <c r="I214" s="27"/>
      <c r="J214" s="27"/>
      <c r="K214" s="27"/>
      <c r="L214" s="27"/>
      <c r="M214" s="27"/>
      <c r="N214" s="27"/>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row>
    <row r="215" spans="1:41" x14ac:dyDescent="0.25">
      <c r="A215" s="27"/>
      <c r="B215" s="27"/>
      <c r="C215" s="27"/>
      <c r="D215" s="27"/>
      <c r="E215" s="27"/>
      <c r="F215" s="27"/>
      <c r="G215" s="27"/>
      <c r="H215" s="27"/>
      <c r="I215" s="27"/>
      <c r="J215" s="27"/>
      <c r="K215" s="27"/>
      <c r="L215" s="27"/>
      <c r="M215" s="27"/>
      <c r="N215" s="27"/>
      <c r="O215" s="27"/>
      <c r="P215" s="27"/>
      <c r="Q215" s="27"/>
      <c r="R215" s="27"/>
      <c r="S215" s="27"/>
      <c r="T215" s="27"/>
      <c r="U215" s="27"/>
      <c r="V215" s="27"/>
      <c r="W215" s="27"/>
      <c r="X215" s="27"/>
      <c r="Y215" s="27"/>
      <c r="Z215" s="27"/>
      <c r="AA215" s="27"/>
      <c r="AB215" s="27"/>
      <c r="AC215" s="27"/>
      <c r="AD215" s="27"/>
      <c r="AE215" s="27"/>
      <c r="AF215" s="27"/>
      <c r="AG215" s="27"/>
      <c r="AH215" s="27"/>
      <c r="AI215" s="27"/>
      <c r="AJ215" s="27"/>
      <c r="AK215" s="27"/>
      <c r="AL215" s="27"/>
      <c r="AM215" s="27"/>
      <c r="AN215" s="27"/>
      <c r="AO215" s="27"/>
    </row>
    <row r="216" spans="1:41" x14ac:dyDescent="0.25">
      <c r="A216" s="27"/>
      <c r="B216" s="27"/>
      <c r="C216" s="27"/>
      <c r="D216" s="27"/>
      <c r="E216" s="27"/>
      <c r="F216" s="27"/>
      <c r="G216" s="27"/>
      <c r="H216" s="27"/>
      <c r="I216" s="27"/>
      <c r="J216" s="27"/>
      <c r="K216" s="27"/>
      <c r="L216" s="27"/>
      <c r="M216" s="27"/>
      <c r="N216" s="27"/>
      <c r="O216" s="27"/>
      <c r="P216" s="27"/>
      <c r="Q216" s="27"/>
      <c r="R216" s="27"/>
      <c r="S216" s="27"/>
      <c r="T216" s="27"/>
      <c r="U216" s="27"/>
      <c r="V216" s="27"/>
      <c r="W216" s="27"/>
      <c r="X216" s="27"/>
      <c r="Y216" s="27"/>
      <c r="Z216" s="27"/>
      <c r="AA216" s="27"/>
      <c r="AB216" s="27"/>
      <c r="AC216" s="27"/>
      <c r="AD216" s="27"/>
      <c r="AE216" s="27"/>
      <c r="AF216" s="27"/>
      <c r="AG216" s="27"/>
      <c r="AH216" s="27"/>
      <c r="AI216" s="27"/>
      <c r="AJ216" s="27"/>
      <c r="AK216" s="27"/>
      <c r="AL216" s="27"/>
      <c r="AM216" s="27"/>
      <c r="AN216" s="27"/>
      <c r="AO216" s="27"/>
    </row>
    <row r="217" spans="1:41" x14ac:dyDescent="0.25">
      <c r="A217" s="27"/>
      <c r="B217" s="27"/>
      <c r="C217" s="27"/>
      <c r="D217" s="27"/>
      <c r="E217" s="27"/>
      <c r="F217" s="27"/>
      <c r="G217" s="27"/>
      <c r="H217" s="27"/>
      <c r="I217" s="27"/>
      <c r="J217" s="27"/>
      <c r="K217" s="27"/>
      <c r="L217" s="27"/>
      <c r="M217" s="27"/>
      <c r="N217" s="27"/>
      <c r="O217" s="27"/>
      <c r="P217" s="27"/>
      <c r="Q217" s="27"/>
      <c r="R217" s="27"/>
      <c r="S217" s="27"/>
      <c r="T217" s="27"/>
      <c r="U217" s="27"/>
      <c r="V217" s="27"/>
      <c r="W217" s="27"/>
      <c r="X217" s="27"/>
      <c r="Y217" s="27"/>
      <c r="Z217" s="27"/>
      <c r="AA217" s="27"/>
      <c r="AB217" s="27"/>
      <c r="AC217" s="27"/>
      <c r="AD217" s="27"/>
      <c r="AE217" s="27"/>
      <c r="AF217" s="27"/>
      <c r="AG217" s="27"/>
      <c r="AH217" s="27"/>
      <c r="AI217" s="27"/>
      <c r="AJ217" s="27"/>
      <c r="AK217" s="27"/>
      <c r="AL217" s="27"/>
      <c r="AM217" s="27"/>
      <c r="AN217" s="27"/>
      <c r="AO217" s="27"/>
    </row>
    <row r="218" spans="1:41" x14ac:dyDescent="0.25">
      <c r="A218" s="27"/>
      <c r="B218" s="27"/>
      <c r="C218" s="27"/>
      <c r="D218" s="27"/>
      <c r="E218" s="27"/>
      <c r="F218" s="27"/>
      <c r="G218" s="27"/>
      <c r="H218" s="27"/>
      <c r="I218" s="27"/>
      <c r="J218" s="27"/>
      <c r="K218" s="27"/>
      <c r="L218" s="27"/>
      <c r="M218" s="27"/>
      <c r="N218" s="27"/>
      <c r="O218" s="27"/>
      <c r="P218" s="27"/>
      <c r="Q218" s="27"/>
      <c r="R218" s="27"/>
      <c r="S218" s="27"/>
      <c r="T218" s="27"/>
      <c r="U218" s="27"/>
      <c r="V218" s="27"/>
      <c r="W218" s="27"/>
      <c r="X218" s="27"/>
      <c r="Y218" s="27"/>
      <c r="Z218" s="27"/>
      <c r="AA218" s="27"/>
      <c r="AB218" s="27"/>
      <c r="AC218" s="27"/>
      <c r="AD218" s="27"/>
      <c r="AE218" s="27"/>
      <c r="AF218" s="27"/>
      <c r="AG218" s="27"/>
      <c r="AH218" s="27"/>
      <c r="AI218" s="27"/>
      <c r="AJ218" s="27"/>
      <c r="AK218" s="27"/>
      <c r="AL218" s="27"/>
      <c r="AM218" s="27"/>
      <c r="AN218" s="27"/>
      <c r="AO218" s="27"/>
    </row>
    <row r="219" spans="1:41" x14ac:dyDescent="0.25">
      <c r="A219" s="27"/>
      <c r="B219" s="27"/>
      <c r="C219" s="27"/>
      <c r="D219" s="27"/>
      <c r="E219" s="27"/>
      <c r="F219" s="27"/>
      <c r="G219" s="27"/>
      <c r="H219" s="27"/>
      <c r="I219" s="27"/>
      <c r="J219" s="27"/>
      <c r="K219" s="27"/>
      <c r="L219" s="27"/>
      <c r="M219" s="27"/>
      <c r="N219" s="27"/>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row>
    <row r="220" spans="1:41" x14ac:dyDescent="0.25">
      <c r="A220" s="27"/>
      <c r="B220" s="27"/>
      <c r="C220" s="27"/>
      <c r="D220" s="27"/>
      <c r="E220" s="27"/>
      <c r="F220" s="27"/>
      <c r="G220" s="27"/>
      <c r="H220" s="27"/>
      <c r="I220" s="27"/>
      <c r="J220" s="27"/>
      <c r="K220" s="27"/>
      <c r="L220" s="27"/>
      <c r="M220" s="27"/>
      <c r="N220" s="27"/>
      <c r="O220" s="27"/>
      <c r="P220" s="27"/>
      <c r="Q220" s="27"/>
      <c r="R220" s="27"/>
      <c r="S220" s="27"/>
      <c r="T220" s="27"/>
      <c r="U220" s="27"/>
      <c r="V220" s="27"/>
      <c r="W220" s="27"/>
      <c r="X220" s="27"/>
      <c r="Y220" s="27"/>
      <c r="Z220" s="27"/>
      <c r="AA220" s="27"/>
      <c r="AB220" s="27"/>
      <c r="AC220" s="27"/>
      <c r="AD220" s="27"/>
      <c r="AE220" s="27"/>
      <c r="AF220" s="27"/>
      <c r="AG220" s="27"/>
      <c r="AH220" s="27"/>
      <c r="AI220" s="27"/>
      <c r="AJ220" s="27"/>
      <c r="AK220" s="27"/>
      <c r="AL220" s="27"/>
      <c r="AM220" s="27"/>
      <c r="AN220" s="27"/>
      <c r="AO220" s="27"/>
    </row>
    <row r="221" spans="1:41" x14ac:dyDescent="0.25">
      <c r="A221" s="27"/>
      <c r="B221" s="27"/>
      <c r="C221" s="27"/>
      <c r="D221" s="27"/>
      <c r="E221" s="27"/>
      <c r="F221" s="27"/>
      <c r="G221" s="27"/>
      <c r="H221" s="27"/>
      <c r="I221" s="27"/>
      <c r="J221" s="27"/>
      <c r="K221" s="27"/>
      <c r="L221" s="27"/>
      <c r="M221" s="27"/>
      <c r="N221" s="27"/>
      <c r="O221" s="27"/>
      <c r="P221" s="27"/>
      <c r="Q221" s="27"/>
      <c r="R221" s="27"/>
      <c r="S221" s="27"/>
      <c r="T221" s="27"/>
      <c r="U221" s="27"/>
      <c r="V221" s="27"/>
      <c r="W221" s="27"/>
      <c r="X221" s="27"/>
      <c r="Y221" s="27"/>
      <c r="Z221" s="27"/>
      <c r="AA221" s="27"/>
      <c r="AB221" s="27"/>
      <c r="AC221" s="27"/>
      <c r="AD221" s="27"/>
      <c r="AE221" s="27"/>
      <c r="AF221" s="27"/>
      <c r="AG221" s="27"/>
      <c r="AH221" s="27"/>
      <c r="AI221" s="27"/>
      <c r="AJ221" s="27"/>
      <c r="AK221" s="27"/>
      <c r="AL221" s="27"/>
      <c r="AM221" s="27"/>
      <c r="AN221" s="27"/>
      <c r="AO221" s="27"/>
    </row>
    <row r="222" spans="1:41" x14ac:dyDescent="0.25">
      <c r="A222" s="27"/>
      <c r="B222" s="27"/>
      <c r="C222" s="27"/>
      <c r="D222" s="27"/>
      <c r="E222" s="27"/>
      <c r="F222" s="27"/>
      <c r="G222" s="27"/>
      <c r="H222" s="27"/>
      <c r="I222" s="27"/>
      <c r="J222" s="27"/>
      <c r="K222" s="27"/>
      <c r="L222" s="27"/>
      <c r="M222" s="27"/>
      <c r="N222" s="27"/>
      <c r="O222" s="27"/>
      <c r="P222" s="27"/>
      <c r="Q222" s="27"/>
      <c r="R222" s="27"/>
      <c r="S222" s="27"/>
      <c r="T222" s="27"/>
      <c r="U222" s="27"/>
      <c r="V222" s="27"/>
      <c r="W222" s="27"/>
      <c r="X222" s="27"/>
      <c r="Y222" s="27"/>
      <c r="Z222" s="27"/>
      <c r="AA222" s="27"/>
      <c r="AB222" s="27"/>
      <c r="AC222" s="27"/>
      <c r="AD222" s="27"/>
      <c r="AE222" s="27"/>
      <c r="AF222" s="27"/>
      <c r="AG222" s="27"/>
      <c r="AH222" s="27"/>
      <c r="AI222" s="27"/>
      <c r="AJ222" s="27"/>
      <c r="AK222" s="27"/>
      <c r="AL222" s="27"/>
      <c r="AM222" s="27"/>
      <c r="AN222" s="27"/>
      <c r="AO222" s="27"/>
    </row>
    <row r="223" spans="1:41" x14ac:dyDescent="0.25">
      <c r="A223" s="27"/>
      <c r="B223" s="27"/>
      <c r="C223" s="27"/>
      <c r="D223" s="27"/>
      <c r="E223" s="27"/>
      <c r="F223" s="27"/>
      <c r="G223" s="27"/>
      <c r="H223" s="27"/>
      <c r="I223" s="27"/>
      <c r="J223" s="27"/>
      <c r="K223" s="27"/>
      <c r="L223" s="27"/>
      <c r="M223" s="27"/>
      <c r="N223" s="27"/>
      <c r="O223" s="27"/>
      <c r="P223" s="27"/>
      <c r="Q223" s="27"/>
      <c r="R223" s="27"/>
      <c r="S223" s="27"/>
      <c r="T223" s="27"/>
      <c r="U223" s="27"/>
      <c r="V223" s="27"/>
      <c r="W223" s="27"/>
      <c r="X223" s="27"/>
      <c r="Y223" s="27"/>
      <c r="Z223" s="27"/>
      <c r="AA223" s="27"/>
      <c r="AB223" s="27"/>
      <c r="AC223" s="27"/>
      <c r="AD223" s="27"/>
      <c r="AE223" s="27"/>
      <c r="AF223" s="27"/>
      <c r="AG223" s="27"/>
      <c r="AH223" s="27"/>
      <c r="AI223" s="27"/>
      <c r="AJ223" s="27"/>
      <c r="AK223" s="27"/>
      <c r="AL223" s="27"/>
      <c r="AM223" s="27"/>
      <c r="AN223" s="27"/>
      <c r="AO223" s="27"/>
    </row>
    <row r="224" spans="1:41" x14ac:dyDescent="0.25">
      <c r="A224" s="27"/>
      <c r="B224" s="27"/>
      <c r="C224" s="27"/>
      <c r="D224" s="27"/>
      <c r="E224" s="27"/>
      <c r="F224" s="27"/>
      <c r="G224" s="27"/>
      <c r="H224" s="27"/>
      <c r="I224" s="27"/>
      <c r="J224" s="27"/>
      <c r="K224" s="27"/>
      <c r="L224" s="27"/>
      <c r="M224" s="27"/>
      <c r="N224" s="27"/>
      <c r="O224" s="27"/>
      <c r="P224" s="27"/>
      <c r="Q224" s="27"/>
      <c r="R224" s="27"/>
      <c r="S224" s="27"/>
      <c r="T224" s="27"/>
      <c r="U224" s="27"/>
      <c r="V224" s="27"/>
      <c r="W224" s="27"/>
      <c r="X224" s="27"/>
      <c r="Y224" s="27"/>
      <c r="Z224" s="27"/>
      <c r="AA224" s="27"/>
      <c r="AB224" s="27"/>
      <c r="AC224" s="27"/>
      <c r="AD224" s="27"/>
      <c r="AE224" s="27"/>
      <c r="AF224" s="27"/>
      <c r="AG224" s="27"/>
      <c r="AH224" s="27"/>
      <c r="AI224" s="27"/>
      <c r="AJ224" s="27"/>
      <c r="AK224" s="27"/>
      <c r="AL224" s="27"/>
      <c r="AM224" s="27"/>
      <c r="AN224" s="27"/>
      <c r="AO224" s="27"/>
    </row>
    <row r="225" spans="1:41" x14ac:dyDescent="0.25">
      <c r="A225" s="27"/>
      <c r="B225" s="27"/>
      <c r="C225" s="27"/>
      <c r="D225" s="27"/>
      <c r="E225" s="27"/>
      <c r="F225" s="27"/>
      <c r="G225" s="27"/>
      <c r="H225" s="27"/>
      <c r="I225" s="27"/>
      <c r="J225" s="27"/>
      <c r="K225" s="27"/>
      <c r="L225" s="27"/>
      <c r="M225" s="27"/>
      <c r="N225" s="27"/>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row>
    <row r="226" spans="1:41" x14ac:dyDescent="0.25">
      <c r="A226" s="27"/>
      <c r="B226" s="27"/>
      <c r="C226" s="27"/>
      <c r="D226" s="27"/>
      <c r="E226" s="27"/>
      <c r="F226" s="27"/>
      <c r="G226" s="27"/>
      <c r="H226" s="27"/>
      <c r="I226" s="27"/>
      <c r="J226" s="27"/>
      <c r="K226" s="27"/>
      <c r="L226" s="27"/>
      <c r="M226" s="27"/>
      <c r="N226" s="27"/>
      <c r="O226" s="27"/>
      <c r="P226" s="27"/>
      <c r="Q226" s="27"/>
      <c r="R226" s="27"/>
      <c r="S226" s="27"/>
      <c r="T226" s="27"/>
      <c r="U226" s="27"/>
      <c r="V226" s="27"/>
      <c r="W226" s="27"/>
      <c r="X226" s="27"/>
      <c r="Y226" s="27"/>
      <c r="Z226" s="27"/>
      <c r="AA226" s="27"/>
      <c r="AB226" s="27"/>
      <c r="AC226" s="27"/>
      <c r="AD226" s="27"/>
      <c r="AE226" s="27"/>
      <c r="AF226" s="27"/>
      <c r="AG226" s="27"/>
      <c r="AH226" s="27"/>
      <c r="AI226" s="27"/>
      <c r="AJ226" s="27"/>
      <c r="AK226" s="27"/>
      <c r="AL226" s="27"/>
      <c r="AM226" s="27"/>
      <c r="AN226" s="27"/>
      <c r="AO226" s="27"/>
    </row>
    <row r="227" spans="1:41" x14ac:dyDescent="0.25">
      <c r="A227" s="27"/>
      <c r="B227" s="27"/>
      <c r="C227" s="27"/>
      <c r="D227" s="27"/>
      <c r="E227" s="27"/>
      <c r="F227" s="27"/>
      <c r="G227" s="27"/>
      <c r="H227" s="27"/>
      <c r="I227" s="27"/>
      <c r="J227" s="27"/>
      <c r="K227" s="27"/>
      <c r="L227" s="27"/>
      <c r="M227" s="27"/>
      <c r="N227" s="27"/>
      <c r="O227" s="27"/>
      <c r="P227" s="27"/>
      <c r="Q227" s="27"/>
      <c r="R227" s="27"/>
      <c r="S227" s="27"/>
      <c r="T227" s="27"/>
      <c r="U227" s="27"/>
      <c r="V227" s="27"/>
      <c r="W227" s="27"/>
      <c r="X227" s="27"/>
      <c r="Y227" s="27"/>
      <c r="Z227" s="27"/>
      <c r="AA227" s="27"/>
      <c r="AB227" s="27"/>
      <c r="AC227" s="27"/>
      <c r="AD227" s="27"/>
      <c r="AE227" s="27"/>
      <c r="AF227" s="27"/>
      <c r="AG227" s="27"/>
      <c r="AH227" s="27"/>
      <c r="AI227" s="27"/>
      <c r="AJ227" s="27"/>
      <c r="AK227" s="27"/>
      <c r="AL227" s="27"/>
      <c r="AM227" s="27"/>
      <c r="AN227" s="27"/>
      <c r="AO227" s="27"/>
    </row>
    <row r="228" spans="1:41" x14ac:dyDescent="0.25">
      <c r="A228" s="27"/>
      <c r="B228" s="27"/>
      <c r="C228" s="27"/>
      <c r="D228" s="27"/>
      <c r="E228" s="27"/>
      <c r="F228" s="27"/>
      <c r="G228" s="27"/>
      <c r="H228" s="27"/>
      <c r="I228" s="27"/>
      <c r="J228" s="27"/>
      <c r="K228" s="27"/>
      <c r="L228" s="27"/>
      <c r="M228" s="27"/>
      <c r="N228" s="27"/>
      <c r="O228" s="27"/>
      <c r="P228" s="27"/>
      <c r="Q228" s="27"/>
      <c r="R228" s="27"/>
      <c r="S228" s="27"/>
      <c r="T228" s="27"/>
      <c r="U228" s="27"/>
      <c r="V228" s="27"/>
      <c r="W228" s="27"/>
      <c r="X228" s="27"/>
      <c r="Y228" s="27"/>
      <c r="Z228" s="27"/>
      <c r="AA228" s="27"/>
      <c r="AB228" s="27"/>
      <c r="AC228" s="27"/>
      <c r="AD228" s="27"/>
      <c r="AE228" s="27"/>
      <c r="AF228" s="27"/>
      <c r="AG228" s="27"/>
      <c r="AH228" s="27"/>
      <c r="AI228" s="27"/>
      <c r="AJ228" s="27"/>
      <c r="AK228" s="27"/>
      <c r="AL228" s="27"/>
      <c r="AM228" s="27"/>
      <c r="AN228" s="27"/>
      <c r="AO228" s="27"/>
    </row>
    <row r="229" spans="1:41" x14ac:dyDescent="0.25">
      <c r="A229" s="27"/>
      <c r="B229" s="27"/>
      <c r="C229" s="27"/>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row>
    <row r="230" spans="1:41" x14ac:dyDescent="0.25">
      <c r="A230" s="27"/>
      <c r="B230" s="27"/>
      <c r="C230" s="27"/>
      <c r="D230" s="27"/>
      <c r="E230" s="27"/>
      <c r="F230" s="27"/>
      <c r="G230" s="27"/>
      <c r="H230" s="27"/>
      <c r="I230" s="27"/>
      <c r="J230" s="27"/>
      <c r="K230" s="27"/>
      <c r="L230" s="27"/>
      <c r="M230" s="27"/>
      <c r="N230" s="27"/>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row>
    <row r="231" spans="1:41" x14ac:dyDescent="0.25">
      <c r="A231" s="27"/>
      <c r="B231" s="27"/>
      <c r="C231" s="27"/>
      <c r="D231" s="27"/>
      <c r="E231" s="27"/>
      <c r="F231" s="27"/>
      <c r="G231" s="27"/>
      <c r="H231" s="27"/>
      <c r="I231" s="27"/>
      <c r="J231" s="27"/>
      <c r="K231" s="27"/>
      <c r="L231" s="27"/>
      <c r="M231" s="27"/>
      <c r="N231" s="27"/>
      <c r="O231" s="27"/>
      <c r="P231" s="27"/>
      <c r="Q231" s="27"/>
      <c r="R231" s="27"/>
      <c r="S231" s="27"/>
      <c r="T231" s="27"/>
      <c r="U231" s="27"/>
      <c r="V231" s="27"/>
      <c r="W231" s="27"/>
      <c r="X231" s="27"/>
      <c r="Y231" s="27"/>
      <c r="Z231" s="27"/>
      <c r="AA231" s="27"/>
      <c r="AB231" s="27"/>
      <c r="AC231" s="27"/>
      <c r="AD231" s="27"/>
      <c r="AE231" s="27"/>
      <c r="AF231" s="27"/>
      <c r="AG231" s="27"/>
      <c r="AH231" s="27"/>
      <c r="AI231" s="27"/>
      <c r="AJ231" s="27"/>
      <c r="AK231" s="27"/>
      <c r="AL231" s="27"/>
      <c r="AM231" s="27"/>
      <c r="AN231" s="27"/>
      <c r="AO231" s="27"/>
    </row>
    <row r="232" spans="1:41" x14ac:dyDescent="0.25">
      <c r="A232" s="27"/>
      <c r="B232" s="27"/>
      <c r="C232" s="27"/>
      <c r="D232" s="27"/>
      <c r="E232" s="27"/>
      <c r="F232" s="27"/>
      <c r="G232" s="27"/>
      <c r="H232" s="27"/>
      <c r="I232" s="27"/>
      <c r="J232" s="27"/>
      <c r="K232" s="27"/>
      <c r="L232" s="27"/>
      <c r="M232" s="27"/>
      <c r="N232" s="27"/>
      <c r="O232" s="27"/>
      <c r="P232" s="27"/>
      <c r="Q232" s="27"/>
      <c r="R232" s="27"/>
      <c r="S232" s="27"/>
      <c r="T232" s="27"/>
      <c r="U232" s="27"/>
      <c r="V232" s="27"/>
      <c r="W232" s="27"/>
      <c r="X232" s="27"/>
      <c r="Y232" s="27"/>
      <c r="Z232" s="27"/>
      <c r="AA232" s="27"/>
      <c r="AB232" s="27"/>
      <c r="AC232" s="27"/>
      <c r="AD232" s="27"/>
      <c r="AE232" s="27"/>
      <c r="AF232" s="27"/>
      <c r="AG232" s="27"/>
      <c r="AH232" s="27"/>
      <c r="AI232" s="27"/>
      <c r="AJ232" s="27"/>
      <c r="AK232" s="27"/>
      <c r="AL232" s="27"/>
      <c r="AM232" s="27"/>
      <c r="AN232" s="27"/>
      <c r="AO232" s="27"/>
    </row>
    <row r="233" spans="1:41" x14ac:dyDescent="0.25">
      <c r="A233" s="27"/>
      <c r="B233" s="27"/>
      <c r="C233" s="27"/>
      <c r="D233" s="27"/>
      <c r="E233" s="27"/>
      <c r="F233" s="27"/>
      <c r="G233" s="27"/>
      <c r="H233" s="27"/>
      <c r="I233" s="27"/>
      <c r="J233" s="27"/>
      <c r="K233" s="27"/>
      <c r="L233" s="27"/>
      <c r="M233" s="27"/>
      <c r="N233" s="27"/>
      <c r="O233" s="27"/>
      <c r="P233" s="27"/>
      <c r="Q233" s="27"/>
      <c r="R233" s="27"/>
      <c r="S233" s="27"/>
      <c r="T233" s="27"/>
      <c r="U233" s="27"/>
      <c r="V233" s="27"/>
      <c r="W233" s="27"/>
      <c r="X233" s="27"/>
      <c r="Y233" s="27"/>
      <c r="Z233" s="27"/>
      <c r="AA233" s="27"/>
      <c r="AB233" s="27"/>
      <c r="AC233" s="27"/>
      <c r="AD233" s="27"/>
      <c r="AE233" s="27"/>
      <c r="AF233" s="27"/>
      <c r="AG233" s="27"/>
      <c r="AH233" s="27"/>
      <c r="AI233" s="27"/>
      <c r="AJ233" s="27"/>
      <c r="AK233" s="27"/>
      <c r="AL233" s="27"/>
      <c r="AM233" s="27"/>
      <c r="AN233" s="27"/>
      <c r="AO233" s="27"/>
    </row>
    <row r="234" spans="1:41" x14ac:dyDescent="0.25">
      <c r="A234" s="27"/>
      <c r="B234" s="27"/>
      <c r="C234" s="27"/>
      <c r="D234" s="27"/>
      <c r="E234" s="27"/>
      <c r="F234" s="27"/>
      <c r="G234" s="27"/>
      <c r="H234" s="27"/>
      <c r="I234" s="27"/>
      <c r="J234" s="27"/>
      <c r="K234" s="27"/>
      <c r="L234" s="27"/>
      <c r="M234" s="27"/>
      <c r="N234" s="27"/>
      <c r="O234" s="27"/>
      <c r="P234" s="27"/>
      <c r="Q234" s="27"/>
      <c r="R234" s="27"/>
      <c r="S234" s="27"/>
      <c r="T234" s="27"/>
      <c r="U234" s="27"/>
      <c r="V234" s="27"/>
      <c r="W234" s="27"/>
      <c r="X234" s="27"/>
      <c r="Y234" s="27"/>
      <c r="Z234" s="27"/>
      <c r="AA234" s="27"/>
      <c r="AB234" s="27"/>
      <c r="AC234" s="27"/>
      <c r="AD234" s="27"/>
      <c r="AE234" s="27"/>
      <c r="AF234" s="27"/>
      <c r="AG234" s="27"/>
      <c r="AH234" s="27"/>
      <c r="AI234" s="27"/>
      <c r="AJ234" s="27"/>
      <c r="AK234" s="27"/>
      <c r="AL234" s="27"/>
      <c r="AM234" s="27"/>
      <c r="AN234" s="27"/>
      <c r="AO234" s="27"/>
    </row>
    <row r="235" spans="1:41" x14ac:dyDescent="0.25">
      <c r="A235" s="27"/>
      <c r="B235" s="27"/>
      <c r="C235" s="27"/>
      <c r="D235" s="27"/>
      <c r="E235" s="27"/>
      <c r="F235" s="27"/>
      <c r="G235" s="27"/>
      <c r="H235" s="27"/>
      <c r="I235" s="27"/>
      <c r="J235" s="27"/>
      <c r="K235" s="27"/>
      <c r="L235" s="27"/>
      <c r="M235" s="27"/>
      <c r="N235" s="27"/>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row>
    <row r="236" spans="1:41" x14ac:dyDescent="0.25">
      <c r="A236" s="27"/>
      <c r="B236" s="27"/>
      <c r="C236" s="27"/>
      <c r="D236" s="27"/>
      <c r="E236" s="27"/>
      <c r="F236" s="27"/>
      <c r="G236" s="27"/>
      <c r="H236" s="27"/>
      <c r="I236" s="27"/>
      <c r="J236" s="27"/>
      <c r="K236" s="27"/>
      <c r="L236" s="27"/>
      <c r="M236" s="27"/>
      <c r="N236" s="27"/>
      <c r="O236" s="27"/>
      <c r="P236" s="27"/>
      <c r="Q236" s="27"/>
      <c r="R236" s="27"/>
      <c r="S236" s="27"/>
      <c r="T236" s="27"/>
      <c r="U236" s="27"/>
      <c r="V236" s="27"/>
      <c r="W236" s="27"/>
      <c r="X236" s="27"/>
      <c r="Y236" s="27"/>
      <c r="Z236" s="27"/>
      <c r="AA236" s="27"/>
      <c r="AB236" s="27"/>
      <c r="AC236" s="27"/>
      <c r="AD236" s="27"/>
      <c r="AE236" s="27"/>
      <c r="AF236" s="27"/>
      <c r="AG236" s="27"/>
      <c r="AH236" s="27"/>
      <c r="AI236" s="27"/>
      <c r="AJ236" s="27"/>
      <c r="AK236" s="27"/>
      <c r="AL236" s="27"/>
      <c r="AM236" s="27"/>
      <c r="AN236" s="27"/>
      <c r="AO236" s="27"/>
    </row>
    <row r="237" spans="1:41" x14ac:dyDescent="0.25">
      <c r="A237" s="27"/>
      <c r="B237" s="27"/>
      <c r="C237" s="27"/>
      <c r="D237" s="27"/>
      <c r="E237" s="27"/>
      <c r="F237" s="27"/>
      <c r="G237" s="27"/>
      <c r="H237" s="27"/>
      <c r="I237" s="27"/>
      <c r="J237" s="27"/>
      <c r="K237" s="27"/>
      <c r="L237" s="27"/>
      <c r="M237" s="27"/>
      <c r="N237" s="27"/>
      <c r="O237" s="27"/>
      <c r="P237" s="27"/>
      <c r="Q237" s="27"/>
      <c r="R237" s="27"/>
      <c r="S237" s="27"/>
      <c r="T237" s="27"/>
      <c r="U237" s="27"/>
      <c r="V237" s="27"/>
      <c r="W237" s="27"/>
      <c r="X237" s="27"/>
      <c r="Y237" s="27"/>
      <c r="Z237" s="27"/>
      <c r="AA237" s="27"/>
      <c r="AB237" s="27"/>
      <c r="AC237" s="27"/>
      <c r="AD237" s="27"/>
      <c r="AE237" s="27"/>
      <c r="AF237" s="27"/>
      <c r="AG237" s="27"/>
      <c r="AH237" s="27"/>
      <c r="AI237" s="27"/>
      <c r="AJ237" s="27"/>
      <c r="AK237" s="27"/>
      <c r="AL237" s="27"/>
      <c r="AM237" s="27"/>
      <c r="AN237" s="27"/>
      <c r="AO237" s="27"/>
    </row>
    <row r="238" spans="1:41" x14ac:dyDescent="0.25">
      <c r="A238" s="27"/>
      <c r="B238" s="27"/>
      <c r="C238" s="27"/>
      <c r="D238" s="27"/>
      <c r="E238" s="27"/>
      <c r="F238" s="27"/>
      <c r="G238" s="27"/>
      <c r="H238" s="27"/>
      <c r="I238" s="27"/>
      <c r="J238" s="27"/>
      <c r="K238" s="27"/>
      <c r="L238" s="27"/>
      <c r="M238" s="27"/>
      <c r="N238" s="27"/>
      <c r="O238" s="27"/>
      <c r="P238" s="27"/>
      <c r="Q238" s="27"/>
      <c r="R238" s="27"/>
      <c r="S238" s="27"/>
      <c r="T238" s="27"/>
      <c r="U238" s="27"/>
      <c r="V238" s="27"/>
      <c r="W238" s="27"/>
      <c r="X238" s="27"/>
      <c r="Y238" s="27"/>
      <c r="Z238" s="27"/>
      <c r="AA238" s="27"/>
      <c r="AB238" s="27"/>
      <c r="AC238" s="27"/>
      <c r="AD238" s="27"/>
      <c r="AE238" s="27"/>
      <c r="AF238" s="27"/>
      <c r="AG238" s="27"/>
      <c r="AH238" s="27"/>
      <c r="AI238" s="27"/>
      <c r="AJ238" s="27"/>
      <c r="AK238" s="27"/>
      <c r="AL238" s="27"/>
      <c r="AM238" s="27"/>
      <c r="AN238" s="27"/>
      <c r="AO238" s="27"/>
    </row>
    <row r="239" spans="1:41" x14ac:dyDescent="0.25">
      <c r="A239" s="27"/>
      <c r="B239" s="27"/>
      <c r="C239" s="27"/>
      <c r="D239" s="27"/>
      <c r="E239" s="27"/>
      <c r="F239" s="27"/>
      <c r="G239" s="27"/>
      <c r="H239" s="27"/>
      <c r="I239" s="27"/>
      <c r="J239" s="27"/>
      <c r="K239" s="27"/>
      <c r="L239" s="27"/>
      <c r="M239" s="27"/>
      <c r="N239" s="27"/>
      <c r="O239" s="27"/>
      <c r="P239" s="27"/>
      <c r="Q239" s="27"/>
      <c r="R239" s="27"/>
      <c r="S239" s="27"/>
      <c r="T239" s="27"/>
      <c r="U239" s="27"/>
      <c r="V239" s="27"/>
      <c r="W239" s="27"/>
      <c r="X239" s="27"/>
      <c r="Y239" s="27"/>
      <c r="Z239" s="27"/>
      <c r="AA239" s="27"/>
      <c r="AB239" s="27"/>
      <c r="AC239" s="27"/>
      <c r="AD239" s="27"/>
      <c r="AE239" s="27"/>
      <c r="AF239" s="27"/>
      <c r="AG239" s="27"/>
      <c r="AH239" s="27"/>
      <c r="AI239" s="27"/>
      <c r="AJ239" s="27"/>
      <c r="AK239" s="27"/>
      <c r="AL239" s="27"/>
      <c r="AM239" s="27"/>
      <c r="AN239" s="27"/>
      <c r="AO239" s="27"/>
    </row>
    <row r="240" spans="1:41" x14ac:dyDescent="0.25">
      <c r="A240" s="27"/>
      <c r="B240" s="27"/>
      <c r="C240" s="27"/>
      <c r="D240" s="27"/>
      <c r="E240" s="27"/>
      <c r="F240" s="27"/>
      <c r="G240" s="27"/>
      <c r="H240" s="27"/>
      <c r="I240" s="27"/>
      <c r="J240" s="27"/>
      <c r="K240" s="27"/>
      <c r="L240" s="27"/>
      <c r="M240" s="27"/>
      <c r="N240" s="27"/>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row>
    <row r="241" spans="1:41" x14ac:dyDescent="0.25">
      <c r="A241" s="27"/>
      <c r="B241" s="27"/>
      <c r="C241" s="27"/>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row>
    <row r="242" spans="1:41" x14ac:dyDescent="0.25">
      <c r="A242" s="27"/>
      <c r="B242" s="27"/>
      <c r="C242" s="27"/>
      <c r="D242" s="27"/>
      <c r="E242" s="27"/>
      <c r="F242" s="27"/>
      <c r="G242" s="27"/>
      <c r="H242" s="27"/>
      <c r="I242" s="27"/>
      <c r="J242" s="27"/>
      <c r="K242" s="27"/>
      <c r="L242" s="27"/>
      <c r="M242" s="27"/>
      <c r="N242" s="27"/>
      <c r="O242" s="27"/>
      <c r="P242" s="27"/>
      <c r="Q242" s="27"/>
      <c r="R242" s="27"/>
      <c r="S242" s="27"/>
      <c r="T242" s="27"/>
      <c r="U242" s="27"/>
      <c r="V242" s="27"/>
      <c r="W242" s="27"/>
      <c r="X242" s="27"/>
      <c r="Y242" s="27"/>
      <c r="Z242" s="27"/>
      <c r="AA242" s="27"/>
      <c r="AB242" s="27"/>
      <c r="AC242" s="27"/>
      <c r="AD242" s="27"/>
      <c r="AE242" s="27"/>
      <c r="AF242" s="27"/>
      <c r="AG242" s="27"/>
      <c r="AH242" s="27"/>
      <c r="AI242" s="27"/>
      <c r="AJ242" s="27"/>
      <c r="AK242" s="27"/>
      <c r="AL242" s="27"/>
      <c r="AM242" s="27"/>
      <c r="AN242" s="27"/>
      <c r="AO242" s="27"/>
    </row>
    <row r="243" spans="1:41" x14ac:dyDescent="0.25">
      <c r="A243" s="27"/>
      <c r="B243" s="27"/>
      <c r="C243" s="27"/>
      <c r="D243" s="27"/>
      <c r="E243" s="27"/>
      <c r="F243" s="27"/>
      <c r="G243" s="27"/>
      <c r="H243" s="27"/>
      <c r="I243" s="27"/>
      <c r="J243" s="27"/>
      <c r="K243" s="27"/>
      <c r="L243" s="27"/>
      <c r="M243" s="27"/>
      <c r="N243" s="27"/>
      <c r="O243" s="27"/>
      <c r="P243" s="27"/>
      <c r="Q243" s="27"/>
      <c r="R243" s="27"/>
      <c r="S243" s="27"/>
      <c r="T243" s="27"/>
      <c r="U243" s="27"/>
      <c r="V243" s="27"/>
      <c r="W243" s="27"/>
      <c r="X243" s="27"/>
      <c r="Y243" s="27"/>
      <c r="Z243" s="27"/>
      <c r="AA243" s="27"/>
      <c r="AB243" s="27"/>
      <c r="AC243" s="27"/>
      <c r="AD243" s="27"/>
      <c r="AE243" s="27"/>
      <c r="AF243" s="27"/>
      <c r="AG243" s="27"/>
      <c r="AH243" s="27"/>
      <c r="AI243" s="27"/>
      <c r="AJ243" s="27"/>
      <c r="AK243" s="27"/>
      <c r="AL243" s="27"/>
      <c r="AM243" s="27"/>
      <c r="AN243" s="27"/>
      <c r="AO243" s="27"/>
    </row>
    <row r="244" spans="1:41" x14ac:dyDescent="0.25">
      <c r="A244" s="27"/>
      <c r="B244" s="27"/>
      <c r="C244" s="27"/>
      <c r="D244" s="27"/>
      <c r="E244" s="27"/>
      <c r="F244" s="27"/>
      <c r="G244" s="27"/>
      <c r="H244" s="27"/>
      <c r="I244" s="27"/>
      <c r="J244" s="27"/>
      <c r="K244" s="27"/>
      <c r="L244" s="27"/>
      <c r="M244" s="27"/>
      <c r="N244" s="27"/>
      <c r="O244" s="27"/>
      <c r="P244" s="27"/>
      <c r="Q244" s="27"/>
      <c r="R244" s="27"/>
      <c r="S244" s="27"/>
      <c r="T244" s="27"/>
      <c r="U244" s="27"/>
      <c r="V244" s="27"/>
      <c r="W244" s="27"/>
      <c r="X244" s="27"/>
      <c r="Y244" s="27"/>
      <c r="Z244" s="27"/>
      <c r="AA244" s="27"/>
      <c r="AB244" s="27"/>
      <c r="AC244" s="27"/>
      <c r="AD244" s="27"/>
      <c r="AE244" s="27"/>
      <c r="AF244" s="27"/>
      <c r="AG244" s="27"/>
      <c r="AH244" s="27"/>
      <c r="AI244" s="27"/>
      <c r="AJ244" s="27"/>
      <c r="AK244" s="27"/>
      <c r="AL244" s="27"/>
      <c r="AM244" s="27"/>
      <c r="AN244" s="27"/>
      <c r="AO244" s="27"/>
    </row>
    <row r="245" spans="1:41" x14ac:dyDescent="0.25">
      <c r="A245" s="27"/>
      <c r="B245" s="27"/>
      <c r="C245" s="27"/>
      <c r="D245" s="27"/>
      <c r="E245" s="27"/>
      <c r="F245" s="27"/>
      <c r="G245" s="27"/>
      <c r="H245" s="27"/>
      <c r="I245" s="27"/>
      <c r="J245" s="27"/>
      <c r="K245" s="27"/>
      <c r="L245" s="27"/>
      <c r="M245" s="27"/>
      <c r="N245" s="27"/>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row>
    <row r="246" spans="1:41" x14ac:dyDescent="0.25">
      <c r="A246" s="27"/>
      <c r="B246" s="27"/>
      <c r="C246" s="27"/>
      <c r="D246" s="27"/>
      <c r="E246" s="27"/>
      <c r="F246" s="27"/>
      <c r="G246" s="27"/>
      <c r="H246" s="27"/>
      <c r="I246" s="27"/>
      <c r="J246" s="27"/>
      <c r="K246" s="27"/>
      <c r="L246" s="27"/>
      <c r="M246" s="27"/>
      <c r="N246" s="27"/>
      <c r="O246" s="27"/>
      <c r="P246" s="27"/>
      <c r="Q246" s="27"/>
      <c r="R246" s="27"/>
      <c r="S246" s="27"/>
      <c r="T246" s="27"/>
      <c r="U246" s="27"/>
      <c r="V246" s="27"/>
      <c r="W246" s="27"/>
      <c r="X246" s="27"/>
      <c r="Y246" s="27"/>
      <c r="Z246" s="27"/>
      <c r="AA246" s="27"/>
      <c r="AB246" s="27"/>
      <c r="AC246" s="27"/>
      <c r="AD246" s="27"/>
      <c r="AE246" s="27"/>
      <c r="AF246" s="27"/>
      <c r="AG246" s="27"/>
      <c r="AH246" s="27"/>
      <c r="AI246" s="27"/>
      <c r="AJ246" s="27"/>
      <c r="AK246" s="27"/>
      <c r="AL246" s="27"/>
      <c r="AM246" s="27"/>
      <c r="AN246" s="27"/>
      <c r="AO246" s="27"/>
    </row>
    <row r="247" spans="1:41" x14ac:dyDescent="0.25">
      <c r="A247" s="27"/>
      <c r="B247" s="27"/>
      <c r="C247" s="27"/>
      <c r="D247" s="27"/>
      <c r="E247" s="27"/>
      <c r="F247" s="27"/>
      <c r="G247" s="27"/>
      <c r="H247" s="27"/>
      <c r="I247" s="27"/>
      <c r="J247" s="27"/>
      <c r="K247" s="27"/>
      <c r="L247" s="27"/>
      <c r="M247" s="27"/>
      <c r="N247" s="27"/>
      <c r="O247" s="27"/>
      <c r="P247" s="27"/>
      <c r="Q247" s="27"/>
      <c r="R247" s="27"/>
      <c r="S247" s="27"/>
      <c r="T247" s="27"/>
      <c r="U247" s="27"/>
      <c r="V247" s="27"/>
      <c r="W247" s="27"/>
      <c r="X247" s="27"/>
      <c r="Y247" s="27"/>
      <c r="Z247" s="27"/>
      <c r="AA247" s="27"/>
      <c r="AB247" s="27"/>
      <c r="AC247" s="27"/>
      <c r="AD247" s="27"/>
      <c r="AE247" s="27"/>
      <c r="AF247" s="27"/>
      <c r="AG247" s="27"/>
      <c r="AH247" s="27"/>
      <c r="AI247" s="27"/>
      <c r="AJ247" s="27"/>
      <c r="AK247" s="27"/>
      <c r="AL247" s="27"/>
      <c r="AM247" s="27"/>
      <c r="AN247" s="27"/>
      <c r="AO247" s="27"/>
    </row>
    <row r="248" spans="1:41" x14ac:dyDescent="0.25">
      <c r="A248" s="27"/>
      <c r="B248" s="27"/>
      <c r="C248" s="27"/>
      <c r="D248" s="27"/>
      <c r="E248" s="27"/>
      <c r="F248" s="27"/>
      <c r="G248" s="27"/>
      <c r="H248" s="27"/>
      <c r="I248" s="27"/>
      <c r="J248" s="27"/>
      <c r="K248" s="27"/>
      <c r="L248" s="27"/>
      <c r="M248" s="27"/>
      <c r="N248" s="27"/>
      <c r="O248" s="27"/>
      <c r="P248" s="27"/>
      <c r="Q248" s="27"/>
      <c r="R248" s="27"/>
      <c r="S248" s="27"/>
      <c r="T248" s="27"/>
      <c r="U248" s="27"/>
      <c r="V248" s="27"/>
      <c r="W248" s="27"/>
      <c r="X248" s="27"/>
      <c r="Y248" s="27"/>
      <c r="Z248" s="27"/>
      <c r="AA248" s="27"/>
      <c r="AB248" s="27"/>
      <c r="AC248" s="27"/>
      <c r="AD248" s="27"/>
      <c r="AE248" s="27"/>
      <c r="AF248" s="27"/>
      <c r="AG248" s="27"/>
      <c r="AH248" s="27"/>
      <c r="AI248" s="27"/>
      <c r="AJ248" s="27"/>
      <c r="AK248" s="27"/>
      <c r="AL248" s="27"/>
      <c r="AM248" s="27"/>
      <c r="AN248" s="27"/>
      <c r="AO248" s="27"/>
    </row>
    <row r="249" spans="1:41" x14ac:dyDescent="0.25">
      <c r="A249" s="27"/>
      <c r="B249" s="27"/>
      <c r="C249" s="27"/>
      <c r="D249" s="27"/>
      <c r="E249" s="27"/>
      <c r="F249" s="27"/>
      <c r="G249" s="27"/>
      <c r="H249" s="27"/>
      <c r="I249" s="27"/>
      <c r="J249" s="27"/>
      <c r="K249" s="27"/>
      <c r="L249" s="27"/>
      <c r="M249" s="27"/>
      <c r="N249" s="27"/>
      <c r="O249" s="27"/>
      <c r="P249" s="27"/>
      <c r="Q249" s="27"/>
      <c r="R249" s="27"/>
      <c r="S249" s="27"/>
      <c r="T249" s="27"/>
      <c r="U249" s="27"/>
      <c r="V249" s="27"/>
      <c r="W249" s="27"/>
      <c r="X249" s="27"/>
      <c r="Y249" s="27"/>
      <c r="Z249" s="27"/>
      <c r="AA249" s="27"/>
      <c r="AB249" s="27"/>
      <c r="AC249" s="27"/>
      <c r="AD249" s="27"/>
      <c r="AE249" s="27"/>
      <c r="AF249" s="27"/>
      <c r="AG249" s="27"/>
      <c r="AH249" s="27"/>
      <c r="AI249" s="27"/>
      <c r="AJ249" s="27"/>
      <c r="AK249" s="27"/>
      <c r="AL249" s="27"/>
      <c r="AM249" s="27"/>
      <c r="AN249" s="27"/>
      <c r="AO249" s="27"/>
    </row>
    <row r="250" spans="1:41" x14ac:dyDescent="0.25">
      <c r="A250" s="27"/>
      <c r="B250" s="27"/>
      <c r="C250" s="27"/>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row>
  </sheetData>
  <sheetProtection password="CF7D" sheet="1" objects="1" scenarios="1"/>
  <mergeCells count="57">
    <mergeCell ref="J37:P37"/>
    <mergeCell ref="M28:N28"/>
    <mergeCell ref="C29:P29"/>
    <mergeCell ref="G26:I26"/>
    <mergeCell ref="C26:E26"/>
    <mergeCell ref="M36:P36"/>
    <mergeCell ref="L30:M30"/>
    <mergeCell ref="C33:P34"/>
    <mergeCell ref="J26:K26"/>
    <mergeCell ref="M27:N27"/>
    <mergeCell ref="C30:K30"/>
    <mergeCell ref="C31:P31"/>
    <mergeCell ref="B29:B31"/>
    <mergeCell ref="F36:I36"/>
    <mergeCell ref="G21:P21"/>
    <mergeCell ref="B36:E36"/>
    <mergeCell ref="G23:I24"/>
    <mergeCell ref="G22:I22"/>
    <mergeCell ref="B33:B34"/>
    <mergeCell ref="C23:E23"/>
    <mergeCell ref="J22:K22"/>
    <mergeCell ref="B25:E25"/>
    <mergeCell ref="J23:K24"/>
    <mergeCell ref="G25:I25"/>
    <mergeCell ref="C21:E21"/>
    <mergeCell ref="B89:C90"/>
    <mergeCell ref="D75:D76"/>
    <mergeCell ref="B75:C75"/>
    <mergeCell ref="F78:F79"/>
    <mergeCell ref="E75:E76"/>
    <mergeCell ref="M2:N2"/>
    <mergeCell ref="B7:E7"/>
    <mergeCell ref="B1:B2"/>
    <mergeCell ref="E2:L2"/>
    <mergeCell ref="C5:P5"/>
    <mergeCell ref="E1:L1"/>
    <mergeCell ref="C18:D18"/>
    <mergeCell ref="C20:D20"/>
    <mergeCell ref="J7:K7"/>
    <mergeCell ref="M7:N8"/>
    <mergeCell ref="M14:N14"/>
    <mergeCell ref="B17:E17"/>
    <mergeCell ref="G9:G16"/>
    <mergeCell ref="G7:I7"/>
    <mergeCell ref="C15:E15"/>
    <mergeCell ref="M13:N13"/>
    <mergeCell ref="M12:N12"/>
    <mergeCell ref="M16:N16"/>
    <mergeCell ref="M17:N17"/>
    <mergeCell ref="C19:E19"/>
    <mergeCell ref="M9:N9"/>
    <mergeCell ref="M10:N10"/>
    <mergeCell ref="M11:N11"/>
    <mergeCell ref="M15:N15"/>
    <mergeCell ref="M18:N18"/>
    <mergeCell ref="M19:N19"/>
    <mergeCell ref="H19:I19"/>
  </mergeCells>
  <phoneticPr fontId="2" type="noConversion"/>
  <conditionalFormatting sqref="C21">
    <cfRule type="cellIs" dxfId="86" priority="54" stopIfTrue="1" operator="equal">
      <formula>"N/A"</formula>
    </cfRule>
  </conditionalFormatting>
  <conditionalFormatting sqref="C18:D18">
    <cfRule type="expression" dxfId="85" priority="53" stopIfTrue="1">
      <formula>USER_TJ&lt;&gt;""</formula>
    </cfRule>
  </conditionalFormatting>
  <conditionalFormatting sqref="C20:D20">
    <cfRule type="expression" dxfId="84" priority="14" stopIfTrue="1">
      <formula>USER_THETAJA&gt;0</formula>
    </cfRule>
  </conditionalFormatting>
  <conditionalFormatting sqref="C19:E19">
    <cfRule type="expression" dxfId="83" priority="3" stopIfTrue="1">
      <formula>ISNUMBER(USER_TJ)</formula>
    </cfRule>
  </conditionalFormatting>
  <conditionalFormatting sqref="C21:E23">
    <cfRule type="expression" dxfId="82" priority="4" stopIfTrue="1">
      <formula>ISNUMBER(USER_THETAJA)</formula>
    </cfRule>
  </conditionalFormatting>
  <conditionalFormatting sqref="C23:E23">
    <cfRule type="expression" dxfId="81" priority="33" stopIfTrue="1">
      <formula>C22&lt;&gt;"Custom"</formula>
    </cfRule>
    <cfRule type="expression" dxfId="80" priority="34" stopIfTrue="1">
      <formula>C22="None"</formula>
    </cfRule>
  </conditionalFormatting>
  <conditionalFormatting sqref="C30:J30">
    <cfRule type="expression" dxfId="79" priority="13" stopIfTrue="1">
      <formula>AND(IO_POWER&gt;0,LOGIC_POWER&gt;0,CLOCK_POWER&gt;0,P9&lt;POWERUP)</formula>
    </cfRule>
  </conditionalFormatting>
  <conditionalFormatting sqref="E18">
    <cfRule type="expression" dxfId="78" priority="52" stopIfTrue="1">
      <formula>USER_TJ&lt;&gt;""</formula>
    </cfRule>
  </conditionalFormatting>
  <conditionalFormatting sqref="E20">
    <cfRule type="expression" dxfId="77" priority="15" stopIfTrue="1">
      <formula>USER_THETAJA&gt;0</formula>
    </cfRule>
  </conditionalFormatting>
  <conditionalFormatting sqref="J25">
    <cfRule type="expression" dxfId="76" priority="93" stopIfTrue="1">
      <formula>OR(THERMAL_MARGIN_C&lt;0,JUNCTION_TEMP&gt;TJ_MAX,JUNCTION_TEMP&lt;TJ_MIN)</formula>
    </cfRule>
  </conditionalFormatting>
  <conditionalFormatting sqref="J18:K18">
    <cfRule type="expression" dxfId="75" priority="5" stopIfTrue="1">
      <formula>NUM_GTS&lt;=0</formula>
    </cfRule>
  </conditionalFormatting>
  <conditionalFormatting sqref="J22:K22">
    <cfRule type="cellIs" dxfId="74" priority="85" stopIfTrue="1" operator="greaterThan">
      <formula>125</formula>
    </cfRule>
    <cfRule type="expression" dxfId="73" priority="86" stopIfTrue="1">
      <formula>OR(JUNCTION_TEMP&gt;TJ_MAX,JUNCTION_TEMP&lt;TJ_MIN)</formula>
    </cfRule>
    <cfRule type="expression" dxfId="72" priority="87" stopIfTrue="1">
      <formula>ISNUMBER(USER_TJ)</formula>
    </cfRule>
  </conditionalFormatting>
  <conditionalFormatting sqref="J23:K24">
    <cfRule type="expression" dxfId="71" priority="89" stopIfTrue="1">
      <formula>OR(JUNCTION_TEMP&gt;TJ_MAX,JUNCTION_TEMP&lt;TJ_MIN)</formula>
    </cfRule>
  </conditionalFormatting>
  <conditionalFormatting sqref="J23:K25">
    <cfRule type="expression" dxfId="70" priority="88" stopIfTrue="1">
      <formula>JUNCTION_TEMP &gt; 125</formula>
    </cfRule>
  </conditionalFormatting>
  <conditionalFormatting sqref="J26:K26">
    <cfRule type="expression" dxfId="69" priority="59" stopIfTrue="1">
      <formula>ISNUMBER(USER_TJ)</formula>
    </cfRule>
    <cfRule type="expression" dxfId="68" priority="60" stopIfTrue="1">
      <formula>ISNUMBER(USER_THETAJA)</formula>
    </cfRule>
  </conditionalFormatting>
  <conditionalFormatting sqref="K14">
    <cfRule type="expression" dxfId="67" priority="8" stopIfTrue="1">
      <formula>NUM_PLLS&lt;=0</formula>
    </cfRule>
  </conditionalFormatting>
  <conditionalFormatting sqref="K15">
    <cfRule type="expression" dxfId="66" priority="9" stopIfTrue="1">
      <formula>NUM_PCIES&lt;=0</formula>
    </cfRule>
  </conditionalFormatting>
  <conditionalFormatting sqref="K16">
    <cfRule type="expression" dxfId="65" priority="7" stopIfTrue="1">
      <formula>OR(NUM_MCBS&lt;=0,SPEEDGRADE="-3N")</formula>
    </cfRule>
  </conditionalFormatting>
  <conditionalFormatting sqref="K25">
    <cfRule type="expression" dxfId="64" priority="91" stopIfTrue="1">
      <formula>OR(THERMAL_MARGIN_W&lt;0,JUNCTION_TEMP&gt;TJ_MAX,JUNCTION_TEMP&lt;TJ_MIN)</formula>
    </cfRule>
  </conditionalFormatting>
  <conditionalFormatting sqref="L30">
    <cfRule type="expression" dxfId="63" priority="10" stopIfTrue="1">
      <formula>AND(IO_POWER&gt;0,LOGIC_POWER&gt;0,CLOCK_POWER&gt;0,Y9&lt;POWERUP)</formula>
    </cfRule>
  </conditionalFormatting>
  <conditionalFormatting sqref="N30">
    <cfRule type="expression" dxfId="62" priority="12" stopIfTrue="1">
      <formula>AND(IO_POWER&gt;0,LOGIC_POWER&gt;0,CLOCK_POWER&gt;0,AA9&lt;POWERUP)</formula>
    </cfRule>
  </conditionalFormatting>
  <conditionalFormatting sqref="O9">
    <cfRule type="expression" dxfId="61" priority="21" stopIfTrue="1">
      <formula>IF(OR(AND(SPEEDGRADE="-1L",VCCINT&gt;=0.95,VCCINT&lt;=1.05),AND(SPEEDGRADE&lt;&gt;"-1L",VCCINT&gt;=1.14,VCCINT&lt;=1.26),AND(POWERMODE="Hibernate",VCCINT&lt;=1.26)),1,0)</formula>
    </cfRule>
  </conditionalFormatting>
  <conditionalFormatting sqref="O10">
    <cfRule type="expression" dxfId="60" priority="127" stopIfTrue="1">
      <formula>(VCCAUX&gt;3.6)</formula>
    </cfRule>
  </conditionalFormatting>
  <conditionalFormatting sqref="O11">
    <cfRule type="cellIs" dxfId="59" priority="128" stopIfTrue="1" operator="notBetween">
      <formula>2.7</formula>
      <formula>3.6</formula>
    </cfRule>
  </conditionalFormatting>
  <conditionalFormatting sqref="O12">
    <cfRule type="cellIs" dxfId="58" priority="129" stopIfTrue="1" operator="notBetween">
      <formula>2.25</formula>
      <formula>2.75</formula>
    </cfRule>
  </conditionalFormatting>
  <conditionalFormatting sqref="O13">
    <cfRule type="cellIs" dxfId="57" priority="130" stopIfTrue="1" operator="notBetween">
      <formula>1.65</formula>
      <formula>1.95</formula>
    </cfRule>
  </conditionalFormatting>
  <conditionalFormatting sqref="O14">
    <cfRule type="cellIs" dxfId="56" priority="131" stopIfTrue="1" operator="notBetween">
      <formula>1.4</formula>
      <formula>1.6</formula>
    </cfRule>
  </conditionalFormatting>
  <conditionalFormatting sqref="O15">
    <cfRule type="cellIs" dxfId="55" priority="132" stopIfTrue="1" operator="notBetween">
      <formula>1.1</formula>
      <formula>1.3</formula>
    </cfRule>
  </conditionalFormatting>
  <conditionalFormatting sqref="O16:O19">
    <cfRule type="expression" dxfId="54" priority="133" stopIfTrue="1">
      <formula>NUM_GTS=0</formula>
    </cfRule>
    <cfRule type="cellIs" dxfId="53" priority="134" stopIfTrue="1" operator="notBetween">
      <formula>1.14</formula>
      <formula>1.26</formula>
    </cfRule>
  </conditionalFormatting>
  <conditionalFormatting sqref="P9">
    <cfRule type="expression" dxfId="52" priority="32" stopIfTrue="1">
      <formula>AND(IO_POWER&gt;0,LOGIC_POWER&gt;0,CLOCK_POWER&gt;0,P9&lt;POWERUP)</formula>
    </cfRule>
  </conditionalFormatting>
  <dataValidations xWindow="269" yWindow="600" count="18">
    <dataValidation type="custom" allowBlank="1" showInputMessage="1" showErrorMessage="1" errorTitle="Vccaux Out of Range" error="Vcccaux voltage can be either 2.5V or 3.3V and only 3.3V for Spartan-3AN devices. Vccaux in hibernate mode is 0.0V." promptTitle="Vccaux Voltage" prompt="Vcccaux may be either 2.5V or 3.3V, but only 3.3V for Spartan-3AN devices. Vccaux is 0V in hibernate mode." sqref="O10" xr:uid="{00000000-0002-0000-0000-000000000000}">
      <formula1>IF(OR(AND(VCCAUX=0,EXACT(POWERMODE,"Hibernate")),AND($V1=1,VCCAUX&lt;=3.6,VCCAUX&gt;=3),OR(AND($V1=0,VCCAUX&lt;=2.75,VCCAUX&gt;=2.25),AND(VCCAUX&lt;=3.6,VCCAUX&gt;=3))),1,0)</formula1>
    </dataValidation>
    <dataValidation type="decimal" allowBlank="1" showInputMessage="1" showErrorMessage="1" errorTitle="MGTAVttrx Out of Range" error="MGTAVttrx voltage must be between 1.14V and 1.26V." sqref="O19" xr:uid="{00000000-0002-0000-0000-000001000000}">
      <formula1>1.14</formula1>
      <formula2>1.26</formula2>
    </dataValidation>
    <dataValidation type="decimal" allowBlank="1" showInputMessage="1" showErrorMessage="1" errorTitle="MGTAVccpll Out of Range" error="MGTAVccpll voltage must be between 1.14V and 1.26V." sqref="O17" xr:uid="{00000000-0002-0000-0000-000002000000}">
      <formula1>1.14</formula1>
      <formula2>1.26</formula2>
    </dataValidation>
    <dataValidation type="custom" errorStyle="warning" allowBlank="1" showInputMessage="1" showErrorMessage="1" errorTitle="Vccint Out of Range" error="Vccint voltage must be between 0.95V and 1.26V, or between 0.95V and 1.05V for -1L speed grade. It should be 0.0V in Hibernate mode." promptTitle="Vccint Voltage" prompt="Vccint has an active range of 1.14V to 1.26V, except it has an active range of 0.95V to 1.05V for the -1L speed grade. During hibernate mode it is expected to be 0V." sqref="O9" xr:uid="{00000000-0002-0000-0000-000003000000}">
      <formula1>IF(OR(AND(SPEEDGRADE="-1L",VCCINT&gt;=0.95,VCCINT&lt;=1.05),AND(SPEEDGRADE&lt;&gt;"-1L",VCCINT&gt;=1.14,VCCINT&lt;=1.26),AND(POWERMODE="Hibernate",VCCINT&lt;=1.26)),1,0)</formula1>
    </dataValidation>
    <dataValidation type="decimal" allowBlank="1" showInputMessage="1" showErrorMessage="1" errorTitle="Vcco 3.3V Out of Range" error="Vcco must be between 3.0V and 3.6V for Spartan-3A or 2.7V and 3.6V for Spartan-6." sqref="O11" xr:uid="{00000000-0002-0000-0000-000004000000}">
      <formula1>2.7</formula1>
      <formula2>3.6</formula2>
    </dataValidation>
    <dataValidation type="decimal" allowBlank="1" showInputMessage="1" showErrorMessage="1" errorTitle="Vcco 2.5V Out of Range" error="Vcco must be between 2.25V and 2.75V." sqref="O12" xr:uid="{00000000-0002-0000-0000-000005000000}">
      <formula1>2.25</formula1>
      <formula2>2.75</formula2>
    </dataValidation>
    <dataValidation type="decimal" allowBlank="1" showInputMessage="1" showErrorMessage="1" errorTitle="Vcco 1.8V Out of Range" error="Vcco must be between 1.65V and 1.95V." sqref="O13" xr:uid="{00000000-0002-0000-0000-000006000000}">
      <formula1>1.65</formula1>
      <formula2>1.95</formula2>
    </dataValidation>
    <dataValidation type="decimal" allowBlank="1" showInputMessage="1" showErrorMessage="1" errorTitle="Vcco 1.5V Out of Range" error="Vcco must be between 1.4V and 1.6V." sqref="O14" xr:uid="{00000000-0002-0000-0000-000007000000}">
      <formula1>1.4</formula1>
      <formula2>1.6</formula2>
    </dataValidation>
    <dataValidation type="decimal" allowBlank="1" showInputMessage="1" showErrorMessage="1" errorTitle="Invalid Voltage" error="Voltage must be between 1.1V and 1.3V." sqref="N30 O32:P32 M28:N28 L30" xr:uid="{00000000-0002-0000-0000-000008000000}">
      <formula1>1.1</formula1>
      <formula2>1.3</formula2>
    </dataValidation>
    <dataValidation type="decimal" allowBlank="1" showInputMessage="1" showErrorMessage="1" errorTitle="MGTAVcc Out of Range" error="MGTAVcc voltage must be between 1.14V and 1.26V." sqref="O16" xr:uid="{00000000-0002-0000-0000-000009000000}">
      <formula1>1.14</formula1>
      <formula2>1.26</formula2>
    </dataValidation>
    <dataValidation type="decimal" allowBlank="1" showInputMessage="1" showErrorMessage="1" errorTitle="Invalid ThetaSA" error="Allowed values are from 0.1 to 50." sqref="C23" xr:uid="{00000000-0002-0000-0000-00000A000000}">
      <formula1>0.1</formula1>
      <formula2>50</formula2>
    </dataValidation>
    <dataValidation type="list" allowBlank="1" showInputMessage="1" showErrorMessage="1" errorTitle="Unsupported AirFlow" error="Use the drop down or enter a valid airflow in LFM. Allowed values are: 0, 250, or 500." sqref="C21" xr:uid="{00000000-0002-0000-0000-00000B000000}">
      <formula1>"0,250,500"</formula1>
    </dataValidation>
    <dataValidation allowBlank="1" showInputMessage="1" showErrorMessage="1" errorTitle="Unsupported Board Selection" error="Allowed values are: JEDEC (2S2P), Small (4&quot;x4&quot;), Medium (10&quot;x10&quot;), Large (20&quot;x20&quot;), Custom." sqref="E22" xr:uid="{00000000-0002-0000-0000-00000C000000}"/>
    <dataValidation type="list" allowBlank="1" showInputMessage="1" showErrorMessage="1" errorTitle="Invalid Optimization Setting" error="Select a valid optimzation setting from the drop down list." sqref="C26:E26" xr:uid="{00000000-0002-0000-0000-00000D000000}">
      <formula1>"Area Reduction,Balanced,Minimum Runtime,Power Optimization,Timing Performance"</formula1>
    </dataValidation>
    <dataValidation type="decimal" allowBlank="1" showInputMessage="1" showErrorMessage="1" errorTitle="Invalid Ambient Temperature" error="Ambient temperature must be in the range of -65C to 125C." sqref="C19:E19" xr:uid="{00000000-0002-0000-0000-00000E000000}">
      <formula1>-65</formula1>
      <formula2>125</formula2>
    </dataValidation>
    <dataValidation type="decimal" allowBlank="1" showInputMessage="1" showErrorMessage="1" errorTitle="Invalid Junction Temperature" error="Junction temperature must be within the range of -40C to 125C." sqref="E18" xr:uid="{00000000-0002-0000-0000-00000F000000}">
      <formula1>-40</formula1>
      <formula2>125</formula2>
    </dataValidation>
    <dataValidation type="decimal" allowBlank="1" showInputMessage="1" showErrorMessage="1" errorTitle="Vcco 1.2V Out of Range" error="Vcco must be between 1.1V and 1.3V." sqref="O15" xr:uid="{00000000-0002-0000-0000-000010000000}">
      <formula1>1.1</formula1>
      <formula2>1.3</formula2>
    </dataValidation>
    <dataValidation type="decimal" allowBlank="1" showInputMessage="1" showErrorMessage="1" errorTitle="MGTAVtttx Out of Range" error="MGTAVtttx voltage must be between 1.14V and 1.26V." sqref="O18" xr:uid="{00000000-0002-0000-0000-000011000000}">
      <formula1>1.14</formula1>
      <formula2>1.26</formula2>
    </dataValidation>
  </dataValidations>
  <hyperlinks>
    <hyperlink ref="B36" r:id="rId1" display="XILINX Power Central on the Web" xr:uid="{00000000-0004-0000-0000-000000000000}"/>
    <hyperlink ref="M36" r:id="rId2" display="New  User Guide" xr:uid="{00000000-0004-0000-0000-000001000000}"/>
    <hyperlink ref="F36" r:id="rId3" display="WebCase - Xilinx Support" xr:uid="{00000000-0004-0000-0000-000002000000}"/>
    <hyperlink ref="J37" r:id="rId4" xr:uid="{00000000-0004-0000-0000-000003000000}"/>
    <hyperlink ref="J37:P37" r:id="rId5" display="Whitepaper - 7 Steps for Worst Case Power Estimation" xr:uid="{00000000-0004-0000-0000-000004000000}"/>
    <hyperlink ref="M36:P36" r:id="rId6" display="Xilinx Power Estimator User Guide" xr:uid="{00000000-0004-0000-0000-000005000000}"/>
    <hyperlink ref="L30" r:id="rId7" xr:uid="{00000000-0004-0000-0000-000006000000}"/>
    <hyperlink ref="B36:E36" r:id="rId8" display="XILINX Power Solutions (check for updates)" xr:uid="{00000000-0004-0000-0000-000007000000}"/>
  </hyperlinks>
  <pageMargins left="0.75" right="0.75" top="1" bottom="1" header="0.5" footer="0.5"/>
  <pageSetup orientation="landscape" horizontalDpi="300" verticalDpi="300" r:id="rId9"/>
  <headerFooter alignWithMargins="0"/>
  <drawing r:id="rId10"/>
  <legacyDrawing r:id="rId11"/>
  <controls>
    <mc:AlternateContent xmlns:mc="http://schemas.openxmlformats.org/markup-compatibility/2006">
      <mc:Choice Requires="x14">
        <control shapeId="3793" r:id="rId12" name="SetToggle">
          <controlPr defaultSize="0" autoLine="0" r:id="rId13">
            <anchor moveWithCells="1" sizeWithCells="1">
              <from>
                <xdr:col>13</xdr:col>
                <xdr:colOff>22860</xdr:colOff>
                <xdr:row>2</xdr:row>
                <xdr:rowOff>83820</xdr:rowOff>
              </from>
              <to>
                <xdr:col>15</xdr:col>
                <xdr:colOff>563880</xdr:colOff>
                <xdr:row>3</xdr:row>
                <xdr:rowOff>114300</xdr:rowOff>
              </to>
            </anchor>
          </controlPr>
        </control>
      </mc:Choice>
      <mc:Fallback>
        <control shapeId="3793" r:id="rId12" name="SetToggle"/>
      </mc:Fallback>
    </mc:AlternateContent>
    <mc:AlternateContent xmlns:mc="http://schemas.openxmlformats.org/markup-compatibility/2006">
      <mc:Choice Requires="x14">
        <control shapeId="3681" r:id="rId14" name="Part">
          <controlPr defaultSize="0" autoLine="0" autoPict="0" listFillRange="PARTLIST_S6" r:id="rId15">
            <anchor moveWithCells="1">
              <from>
                <xdr:col>2</xdr:col>
                <xdr:colOff>0</xdr:colOff>
                <xdr:row>8</xdr:row>
                <xdr:rowOff>0</xdr:rowOff>
              </from>
              <to>
                <xdr:col>4</xdr:col>
                <xdr:colOff>563880</xdr:colOff>
                <xdr:row>9</xdr:row>
                <xdr:rowOff>0</xdr:rowOff>
              </to>
            </anchor>
          </controlPr>
        </control>
      </mc:Choice>
      <mc:Fallback>
        <control shapeId="3681" r:id="rId14" name="Part"/>
      </mc:Fallback>
    </mc:AlternateContent>
    <mc:AlternateContent xmlns:mc="http://schemas.openxmlformats.org/markup-compatibility/2006">
      <mc:Choice Requires="x14">
        <control shapeId="3682" r:id="rId16" name="Package">
          <controlPr defaultSize="0" autoLine="0" listFillRange="PKG_LIST" r:id="rId17">
            <anchor moveWithCells="1">
              <from>
                <xdr:col>2</xdr:col>
                <xdr:colOff>0</xdr:colOff>
                <xdr:row>9</xdr:row>
                <xdr:rowOff>0</xdr:rowOff>
              </from>
              <to>
                <xdr:col>4</xdr:col>
                <xdr:colOff>525780</xdr:colOff>
                <xdr:row>9</xdr:row>
                <xdr:rowOff>243840</xdr:rowOff>
              </to>
            </anchor>
          </controlPr>
        </control>
      </mc:Choice>
      <mc:Fallback>
        <control shapeId="3682" r:id="rId16" name="Package"/>
      </mc:Fallback>
    </mc:AlternateContent>
    <mc:AlternateContent xmlns:mc="http://schemas.openxmlformats.org/markup-compatibility/2006">
      <mc:Choice Requires="x14">
        <control shapeId="3683" r:id="rId18" name="Grade">
          <controlPr defaultSize="0" autoLine="0" autoPict="0" listFillRange="GRADELIST" r:id="rId19">
            <anchor moveWithCells="1">
              <from>
                <xdr:col>2</xdr:col>
                <xdr:colOff>0</xdr:colOff>
                <xdr:row>11</xdr:row>
                <xdr:rowOff>0</xdr:rowOff>
              </from>
              <to>
                <xdr:col>4</xdr:col>
                <xdr:colOff>563880</xdr:colOff>
                <xdr:row>12</xdr:row>
                <xdr:rowOff>0</xdr:rowOff>
              </to>
            </anchor>
          </controlPr>
        </control>
      </mc:Choice>
      <mc:Fallback>
        <control shapeId="3683" r:id="rId18" name="Grade"/>
      </mc:Fallback>
    </mc:AlternateContent>
    <mc:AlternateContent xmlns:mc="http://schemas.openxmlformats.org/markup-compatibility/2006">
      <mc:Choice Requires="x14">
        <control shapeId="3684" r:id="rId20" name="Process">
          <controlPr defaultSize="0" autoLine="0" autoPict="0" listFillRange="PROCESSLIST" r:id="rId21">
            <anchor moveWithCells="1">
              <from>
                <xdr:col>2</xdr:col>
                <xdr:colOff>0</xdr:colOff>
                <xdr:row>12</xdr:row>
                <xdr:rowOff>7620</xdr:rowOff>
              </from>
              <to>
                <xdr:col>4</xdr:col>
                <xdr:colOff>563880</xdr:colOff>
                <xdr:row>13</xdr:row>
                <xdr:rowOff>7620</xdr:rowOff>
              </to>
            </anchor>
          </controlPr>
        </control>
      </mc:Choice>
      <mc:Fallback>
        <control shapeId="3684" r:id="rId20" name="Process"/>
      </mc:Fallback>
    </mc:AlternateContent>
    <mc:AlternateContent xmlns:mc="http://schemas.openxmlformats.org/markup-compatibility/2006">
      <mc:Choice Requires="x14">
        <control shapeId="3830" r:id="rId22" name="PowerMode">
          <controlPr defaultSize="0" autoLine="0" autoPict="0" listFillRange="MODELIST" r:id="rId23">
            <anchor moveWithCells="1">
              <from>
                <xdr:col>2</xdr:col>
                <xdr:colOff>0</xdr:colOff>
                <xdr:row>13</xdr:row>
                <xdr:rowOff>7620</xdr:rowOff>
              </from>
              <to>
                <xdr:col>4</xdr:col>
                <xdr:colOff>563880</xdr:colOff>
                <xdr:row>14</xdr:row>
                <xdr:rowOff>7620</xdr:rowOff>
              </to>
            </anchor>
          </controlPr>
        </control>
      </mc:Choice>
      <mc:Fallback>
        <control shapeId="3830" r:id="rId22" name="PowerMode"/>
      </mc:Fallback>
    </mc:AlternateContent>
    <mc:AlternateContent xmlns:mc="http://schemas.openxmlformats.org/markup-compatibility/2006">
      <mc:Choice Requires="x14">
        <control shapeId="3994" r:id="rId24" name="Speed">
          <controlPr defaultSize="0" autoLine="0" listFillRange="SPEEDLIST" r:id="rId25">
            <anchor moveWithCells="1">
              <from>
                <xdr:col>2</xdr:col>
                <xdr:colOff>0</xdr:colOff>
                <xdr:row>10</xdr:row>
                <xdr:rowOff>0</xdr:rowOff>
              </from>
              <to>
                <xdr:col>4</xdr:col>
                <xdr:colOff>525780</xdr:colOff>
                <xdr:row>10</xdr:row>
                <xdr:rowOff>243840</xdr:rowOff>
              </to>
            </anchor>
          </controlPr>
        </control>
      </mc:Choice>
      <mc:Fallback>
        <control shapeId="3994" r:id="rId24" name="Speed"/>
      </mc:Fallback>
    </mc:AlternateContent>
    <mc:AlternateContent xmlns:mc="http://schemas.openxmlformats.org/markup-compatibility/2006">
      <mc:Choice Requires="x14">
        <control shapeId="40962" r:id="rId26" name="Family">
          <controlPr defaultSize="0" autoLine="0" autoPict="0" listFillRange="FAMILY_LIST" r:id="rId27">
            <anchor moveWithCells="1">
              <from>
                <xdr:col>2</xdr:col>
                <xdr:colOff>0</xdr:colOff>
                <xdr:row>7</xdr:row>
                <xdr:rowOff>0</xdr:rowOff>
              </from>
              <to>
                <xdr:col>4</xdr:col>
                <xdr:colOff>563880</xdr:colOff>
                <xdr:row>8</xdr:row>
                <xdr:rowOff>0</xdr:rowOff>
              </to>
            </anchor>
          </controlPr>
        </control>
      </mc:Choice>
      <mc:Fallback>
        <control shapeId="40962" r:id="rId26" name="Family"/>
      </mc:Fallback>
    </mc:AlternateContent>
    <mc:AlternateContent xmlns:mc="http://schemas.openxmlformats.org/markup-compatibility/2006">
      <mc:Choice Requires="x14">
        <control shapeId="40991" r:id="rId28" name="Heatsink">
          <controlPr defaultSize="0" autoLine="0" autoPict="0" listFillRange="HEATSINKLIST" r:id="rId29">
            <anchor moveWithCells="1">
              <from>
                <xdr:col>2</xdr:col>
                <xdr:colOff>0</xdr:colOff>
                <xdr:row>20</xdr:row>
                <xdr:rowOff>220980</xdr:rowOff>
              </from>
              <to>
                <xdr:col>4</xdr:col>
                <xdr:colOff>563880</xdr:colOff>
                <xdr:row>21</xdr:row>
                <xdr:rowOff>243840</xdr:rowOff>
              </to>
            </anchor>
          </controlPr>
        </control>
      </mc:Choice>
      <mc:Fallback>
        <control shapeId="40991" r:id="rId28" name="Heatsink"/>
      </mc:Fallback>
    </mc:AlternateContent>
    <mc:AlternateContent xmlns:mc="http://schemas.openxmlformats.org/markup-compatibility/2006">
      <mc:Choice Requires="x14">
        <control shapeId="3004852" r:id="rId30" name="UserTJ">
          <controlPr defaultSize="0" autoLine="0" r:id="rId31">
            <anchor moveWithCells="1">
              <from>
                <xdr:col>2</xdr:col>
                <xdr:colOff>22860</xdr:colOff>
                <xdr:row>17</xdr:row>
                <xdr:rowOff>22860</xdr:rowOff>
              </from>
              <to>
                <xdr:col>4</xdr:col>
                <xdr:colOff>0</xdr:colOff>
                <xdr:row>17</xdr:row>
                <xdr:rowOff>228600</xdr:rowOff>
              </to>
            </anchor>
          </controlPr>
        </control>
      </mc:Choice>
      <mc:Fallback>
        <control shapeId="3004852" r:id="rId30" name="UserTJ"/>
      </mc:Fallback>
    </mc:AlternateContent>
    <mc:AlternateContent xmlns:mc="http://schemas.openxmlformats.org/markup-compatibility/2006">
      <mc:Choice Requires="x14">
        <control shapeId="3004853" r:id="rId32" name="UserTJA">
          <controlPr defaultSize="0" autoLine="0" r:id="rId33">
            <anchor moveWithCells="1">
              <from>
                <xdr:col>2</xdr:col>
                <xdr:colOff>22860</xdr:colOff>
                <xdr:row>19</xdr:row>
                <xdr:rowOff>22860</xdr:rowOff>
              </from>
              <to>
                <xdr:col>4</xdr:col>
                <xdr:colOff>0</xdr:colOff>
                <xdr:row>19</xdr:row>
                <xdr:rowOff>228600</xdr:rowOff>
              </to>
            </anchor>
          </controlPr>
        </control>
      </mc:Choice>
      <mc:Fallback>
        <control shapeId="3004853" r:id="rId32" name="UserTJA"/>
      </mc:Fallback>
    </mc:AlternateContent>
    <mc:AlternateContent xmlns:mc="http://schemas.openxmlformats.org/markup-compatibility/2006">
      <mc:Choice Requires="x14">
        <control shapeId="3004878" r:id="rId34" name="LOGIC">
          <controlPr defaultSize="0" autoLine="0" r:id="rId35">
            <anchor moveWithCells="1">
              <from>
                <xdr:col>7</xdr:col>
                <xdr:colOff>7620</xdr:colOff>
                <xdr:row>9</xdr:row>
                <xdr:rowOff>15240</xdr:rowOff>
              </from>
              <to>
                <xdr:col>8</xdr:col>
                <xdr:colOff>449580</xdr:colOff>
                <xdr:row>10</xdr:row>
                <xdr:rowOff>15240</xdr:rowOff>
              </to>
            </anchor>
          </controlPr>
        </control>
      </mc:Choice>
      <mc:Fallback>
        <control shapeId="3004878" r:id="rId34" name="LOGIC"/>
      </mc:Fallback>
    </mc:AlternateContent>
    <mc:AlternateContent xmlns:mc="http://schemas.openxmlformats.org/markup-compatibility/2006">
      <mc:Choice Requires="x14">
        <control shapeId="3004879" r:id="rId36" name="BRAM">
          <controlPr defaultSize="0" autoLine="0" r:id="rId37">
            <anchor moveWithCells="1">
              <from>
                <xdr:col>7</xdr:col>
                <xdr:colOff>7620</xdr:colOff>
                <xdr:row>10</xdr:row>
                <xdr:rowOff>15240</xdr:rowOff>
              </from>
              <to>
                <xdr:col>8</xdr:col>
                <xdr:colOff>449580</xdr:colOff>
                <xdr:row>11</xdr:row>
                <xdr:rowOff>15240</xdr:rowOff>
              </to>
            </anchor>
          </controlPr>
        </control>
      </mc:Choice>
      <mc:Fallback>
        <control shapeId="3004879" r:id="rId36" name="BRAM"/>
      </mc:Fallback>
    </mc:AlternateContent>
    <mc:AlternateContent xmlns:mc="http://schemas.openxmlformats.org/markup-compatibility/2006">
      <mc:Choice Requires="x14">
        <control shapeId="3004880" r:id="rId38" name="DCM">
          <controlPr defaultSize="0" autoLine="0" r:id="rId39">
            <anchor moveWithCells="1">
              <from>
                <xdr:col>7</xdr:col>
                <xdr:colOff>7620</xdr:colOff>
                <xdr:row>12</xdr:row>
                <xdr:rowOff>15240</xdr:rowOff>
              </from>
              <to>
                <xdr:col>8</xdr:col>
                <xdr:colOff>449580</xdr:colOff>
                <xdr:row>13</xdr:row>
                <xdr:rowOff>15240</xdr:rowOff>
              </to>
            </anchor>
          </controlPr>
        </control>
      </mc:Choice>
      <mc:Fallback>
        <control shapeId="3004880" r:id="rId38" name="DCM"/>
      </mc:Fallback>
    </mc:AlternateContent>
    <mc:AlternateContent xmlns:mc="http://schemas.openxmlformats.org/markup-compatibility/2006">
      <mc:Choice Requires="x14">
        <control shapeId="3004881" r:id="rId40" name="IO">
          <controlPr defaultSize="0" autoLine="0" r:id="rId41">
            <anchor moveWithCells="1">
              <from>
                <xdr:col>7</xdr:col>
                <xdr:colOff>7620</xdr:colOff>
                <xdr:row>16</xdr:row>
                <xdr:rowOff>7620</xdr:rowOff>
              </from>
              <to>
                <xdr:col>8</xdr:col>
                <xdr:colOff>449580</xdr:colOff>
                <xdr:row>17</xdr:row>
                <xdr:rowOff>7620</xdr:rowOff>
              </to>
            </anchor>
          </controlPr>
        </control>
      </mc:Choice>
      <mc:Fallback>
        <control shapeId="3004881" r:id="rId40" name="IO"/>
      </mc:Fallback>
    </mc:AlternateContent>
    <mc:AlternateContent xmlns:mc="http://schemas.openxmlformats.org/markup-compatibility/2006">
      <mc:Choice Requires="x14">
        <control shapeId="3004882" r:id="rId42" name="DSP">
          <controlPr defaultSize="0" autoLine="0" r:id="rId43">
            <anchor moveWithCells="1">
              <from>
                <xdr:col>7</xdr:col>
                <xdr:colOff>7620</xdr:colOff>
                <xdr:row>11</xdr:row>
                <xdr:rowOff>15240</xdr:rowOff>
              </from>
              <to>
                <xdr:col>8</xdr:col>
                <xdr:colOff>449580</xdr:colOff>
                <xdr:row>12</xdr:row>
                <xdr:rowOff>15240</xdr:rowOff>
              </to>
            </anchor>
          </controlPr>
        </control>
      </mc:Choice>
      <mc:Fallback>
        <control shapeId="3004882" r:id="rId42" name="DSP"/>
      </mc:Fallback>
    </mc:AlternateContent>
    <mc:AlternateContent xmlns:mc="http://schemas.openxmlformats.org/markup-compatibility/2006">
      <mc:Choice Requires="x14">
        <control shapeId="3004883" r:id="rId44" name="CLOCK">
          <controlPr defaultSize="0" autoLine="0" r:id="rId45">
            <anchor moveWithCells="1">
              <from>
                <xdr:col>7</xdr:col>
                <xdr:colOff>7620</xdr:colOff>
                <xdr:row>8</xdr:row>
                <xdr:rowOff>15240</xdr:rowOff>
              </from>
              <to>
                <xdr:col>8</xdr:col>
                <xdr:colOff>449580</xdr:colOff>
                <xdr:row>9</xdr:row>
                <xdr:rowOff>15240</xdr:rowOff>
              </to>
            </anchor>
          </controlPr>
        </control>
      </mc:Choice>
      <mc:Fallback>
        <control shapeId="3004883" r:id="rId44" name="CLOCK"/>
      </mc:Fallback>
    </mc:AlternateContent>
    <mc:AlternateContent xmlns:mc="http://schemas.openxmlformats.org/markup-compatibility/2006">
      <mc:Choice Requires="x14">
        <control shapeId="3004885" r:id="rId46" name="GT">
          <controlPr defaultSize="0" autoLine="0" r:id="rId47">
            <anchor moveWithCells="1">
              <from>
                <xdr:col>7</xdr:col>
                <xdr:colOff>7620</xdr:colOff>
                <xdr:row>17</xdr:row>
                <xdr:rowOff>7620</xdr:rowOff>
              </from>
              <to>
                <xdr:col>8</xdr:col>
                <xdr:colOff>449580</xdr:colOff>
                <xdr:row>18</xdr:row>
                <xdr:rowOff>7620</xdr:rowOff>
              </to>
            </anchor>
          </controlPr>
        </control>
      </mc:Choice>
      <mc:Fallback>
        <control shapeId="3004885" r:id="rId46" name="GT"/>
      </mc:Fallback>
    </mc:AlternateContent>
    <mc:AlternateContent xmlns:mc="http://schemas.openxmlformats.org/markup-compatibility/2006">
      <mc:Choice Requires="x14">
        <control shapeId="3004886" r:id="rId48" name="PCIE">
          <controlPr defaultSize="0" autoLine="0" r:id="rId47">
            <anchor moveWithCells="1">
              <from>
                <xdr:col>7</xdr:col>
                <xdr:colOff>7620</xdr:colOff>
                <xdr:row>14</xdr:row>
                <xdr:rowOff>0</xdr:rowOff>
              </from>
              <to>
                <xdr:col>8</xdr:col>
                <xdr:colOff>449580</xdr:colOff>
                <xdr:row>15</xdr:row>
                <xdr:rowOff>0</xdr:rowOff>
              </to>
            </anchor>
          </controlPr>
        </control>
      </mc:Choice>
      <mc:Fallback>
        <control shapeId="3004886" r:id="rId48" name="PCIE"/>
      </mc:Fallback>
    </mc:AlternateContent>
    <mc:AlternateContent xmlns:mc="http://schemas.openxmlformats.org/markup-compatibility/2006">
      <mc:Choice Requires="x14">
        <control shapeId="3004887" r:id="rId49" name="MCB">
          <controlPr defaultSize="0" autoLine="0" r:id="rId50">
            <anchor moveWithCells="1">
              <from>
                <xdr:col>7</xdr:col>
                <xdr:colOff>7620</xdr:colOff>
                <xdr:row>15</xdr:row>
                <xdr:rowOff>0</xdr:rowOff>
              </from>
              <to>
                <xdr:col>8</xdr:col>
                <xdr:colOff>449580</xdr:colOff>
                <xdr:row>16</xdr:row>
                <xdr:rowOff>0</xdr:rowOff>
              </to>
            </anchor>
          </controlPr>
        </control>
      </mc:Choice>
      <mc:Fallback>
        <control shapeId="3004887" r:id="rId49" name="MCB"/>
      </mc:Fallback>
    </mc:AlternateContent>
    <mc:AlternateContent xmlns:mc="http://schemas.openxmlformats.org/markup-compatibility/2006">
      <mc:Choice Requires="x14">
        <control shapeId="3004893" r:id="rId51" name="PLL">
          <controlPr defaultSize="0" autoLine="0" r:id="rId52">
            <anchor moveWithCells="1">
              <from>
                <xdr:col>7</xdr:col>
                <xdr:colOff>7620</xdr:colOff>
                <xdr:row>13</xdr:row>
                <xdr:rowOff>7620</xdr:rowOff>
              </from>
              <to>
                <xdr:col>8</xdr:col>
                <xdr:colOff>449580</xdr:colOff>
                <xdr:row>14</xdr:row>
                <xdr:rowOff>7620</xdr:rowOff>
              </to>
            </anchor>
          </controlPr>
        </control>
      </mc:Choice>
      <mc:Fallback>
        <control shapeId="3004893" r:id="rId51" name="PLL"/>
      </mc:Fallback>
    </mc:AlternateContent>
    <mc:AlternateContent xmlns:mc="http://schemas.openxmlformats.org/markup-compatibility/2006">
      <mc:Choice Requires="x14">
        <control shapeId="6760063" r:id="rId53" name="CommandButton1">
          <controlPr defaultSize="0" autoLine="0" r:id="rId47">
            <anchor moveWithCells="1">
              <from>
                <xdr:col>7</xdr:col>
                <xdr:colOff>7620</xdr:colOff>
                <xdr:row>18</xdr:row>
                <xdr:rowOff>7620</xdr:rowOff>
              </from>
              <to>
                <xdr:col>8</xdr:col>
                <xdr:colOff>449580</xdr:colOff>
                <xdr:row>19</xdr:row>
                <xdr:rowOff>7620</xdr:rowOff>
              </to>
            </anchor>
          </controlPr>
        </control>
      </mc:Choice>
      <mc:Fallback>
        <control shapeId="6760063" r:id="rId53" name="CommandButton1"/>
      </mc:Fallback>
    </mc:AlternateContent>
    <mc:AlternateContent xmlns:mc="http://schemas.openxmlformats.org/markup-compatibility/2006">
      <mc:Choice Requires="x14">
        <control shapeId="3694" r:id="rId54" name="SetDefault">
          <controlPr defaultSize="0" autoLine="0" r:id="rId55">
            <anchor moveWithCells="1" sizeWithCells="1">
              <from>
                <xdr:col>8</xdr:col>
                <xdr:colOff>68580</xdr:colOff>
                <xdr:row>2</xdr:row>
                <xdr:rowOff>83820</xdr:rowOff>
              </from>
              <to>
                <xdr:col>11</xdr:col>
                <xdr:colOff>38100</xdr:colOff>
                <xdr:row>3</xdr:row>
                <xdr:rowOff>114300</xdr:rowOff>
              </to>
            </anchor>
          </controlPr>
        </control>
      </mc:Choice>
      <mc:Fallback>
        <control shapeId="3694" r:id="rId54" name="SetDefault"/>
      </mc:Fallback>
    </mc:AlternateContent>
    <mc:AlternateContent xmlns:mc="http://schemas.openxmlformats.org/markup-compatibility/2006">
      <mc:Choice Requires="x14">
        <control shapeId="3697" r:id="rId56" name="ImportXPEFileB">
          <controlPr defaultSize="0" autoLine="0" r:id="rId57">
            <anchor moveWithCells="1" sizeWithCells="1">
              <from>
                <xdr:col>1</xdr:col>
                <xdr:colOff>7620</xdr:colOff>
                <xdr:row>2</xdr:row>
                <xdr:rowOff>83820</xdr:rowOff>
              </from>
              <to>
                <xdr:col>1</xdr:col>
                <xdr:colOff>1531620</xdr:colOff>
                <xdr:row>3</xdr:row>
                <xdr:rowOff>114300</xdr:rowOff>
              </to>
            </anchor>
          </controlPr>
        </control>
      </mc:Choice>
      <mc:Fallback>
        <control shapeId="3697" r:id="rId56" name="ImportXPEFileB"/>
      </mc:Fallback>
    </mc:AlternateContent>
    <mc:AlternateContent xmlns:mc="http://schemas.openxmlformats.org/markup-compatibility/2006">
      <mc:Choice Requires="x14">
        <control shapeId="3696" r:id="rId58" name="ExportXPEFileB">
          <controlPr defaultSize="0" autoLine="0" r:id="rId59">
            <anchor moveWithCells="1" sizeWithCells="1">
              <from>
                <xdr:col>3</xdr:col>
                <xdr:colOff>259080</xdr:colOff>
                <xdr:row>2</xdr:row>
                <xdr:rowOff>83820</xdr:rowOff>
              </from>
              <to>
                <xdr:col>6</xdr:col>
                <xdr:colOff>449580</xdr:colOff>
                <xdr:row>3</xdr:row>
                <xdr:rowOff>114300</xdr:rowOff>
              </to>
            </anchor>
          </controlPr>
        </control>
      </mc:Choice>
      <mc:Fallback>
        <control shapeId="3696" r:id="rId58" name="ExportXPEFileB"/>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F166"/>
  <sheetViews>
    <sheetView topLeftCell="A2" zoomScaleNormal="100" workbookViewId="0">
      <selection activeCell="M10" sqref="M10"/>
    </sheetView>
  </sheetViews>
  <sheetFormatPr baseColWidth="10" defaultColWidth="9" defaultRowHeight="13.2" x14ac:dyDescent="0.25"/>
  <cols>
    <col min="1" max="1" width="2.77734375" customWidth="1"/>
    <col min="2" max="3" width="9.33203125" customWidth="1"/>
    <col min="4" max="4" width="14.6640625" customWidth="1"/>
    <col min="5" max="5" width="15.77734375" customWidth="1"/>
    <col min="6" max="10" width="10.77734375" customWidth="1"/>
    <col min="11" max="11" width="5.77734375" customWidth="1"/>
    <col min="12" max="12" width="10.77734375" customWidth="1"/>
  </cols>
  <sheetData>
    <row r="1" spans="1:32" ht="27.9" customHeight="1" x14ac:dyDescent="0.25">
      <c r="A1" s="123"/>
      <c r="B1" s="687" t="s">
        <v>407</v>
      </c>
      <c r="C1" s="687"/>
      <c r="D1" s="687"/>
      <c r="E1" s="687"/>
      <c r="F1" s="687"/>
      <c r="G1" s="687"/>
      <c r="H1" s="687"/>
      <c r="I1" s="687"/>
      <c r="J1" s="687"/>
      <c r="K1" s="126"/>
      <c r="L1" s="127">
        <f>CLOCK_ROWS*CLOCK_COLS*2</f>
        <v>1344</v>
      </c>
      <c r="M1" s="127">
        <f>$L$1*8*2</f>
        <v>21504</v>
      </c>
      <c r="N1" s="127"/>
      <c r="O1" s="127"/>
      <c r="P1" s="127"/>
      <c r="Q1" s="127"/>
      <c r="R1" s="127"/>
      <c r="S1" s="127"/>
      <c r="T1" s="312" t="s">
        <v>555</v>
      </c>
      <c r="U1" s="127"/>
      <c r="V1" s="127"/>
      <c r="W1" s="127"/>
      <c r="X1" s="127"/>
      <c r="Y1" s="127"/>
      <c r="Z1" s="127"/>
      <c r="AA1" s="127"/>
      <c r="AB1" s="127"/>
      <c r="AC1" s="127"/>
      <c r="AD1" s="127"/>
      <c r="AE1" s="127"/>
      <c r="AF1" s="127"/>
    </row>
    <row r="2" spans="1:32" ht="15.75" customHeight="1" thickBot="1" x14ac:dyDescent="0.3">
      <c r="A2" s="123"/>
      <c r="B2" s="126"/>
      <c r="C2" s="126"/>
      <c r="D2" s="126"/>
      <c r="E2" s="126"/>
      <c r="F2" s="126"/>
      <c r="G2" s="126"/>
      <c r="H2" s="126"/>
      <c r="I2" s="126"/>
      <c r="J2" s="126"/>
      <c r="K2" s="126"/>
      <c r="L2" s="127" t="s">
        <v>410</v>
      </c>
      <c r="M2" s="127"/>
      <c r="N2" s="127"/>
      <c r="O2" s="127"/>
      <c r="P2" s="127"/>
      <c r="Q2" s="127"/>
      <c r="R2" s="127"/>
      <c r="S2" s="127"/>
      <c r="T2" s="312"/>
      <c r="U2" s="127"/>
      <c r="V2" s="127"/>
      <c r="W2" s="127"/>
      <c r="X2" s="127"/>
      <c r="Y2" s="127"/>
      <c r="Z2" s="127"/>
      <c r="AA2" s="127"/>
      <c r="AB2" s="127"/>
      <c r="AC2" s="127"/>
      <c r="AD2" s="127"/>
      <c r="AE2" s="127"/>
      <c r="AF2" s="127"/>
    </row>
    <row r="3" spans="1:32" ht="17.25" customHeight="1" x14ac:dyDescent="0.25">
      <c r="A3" s="123"/>
      <c r="B3" s="688" t="s">
        <v>1115</v>
      </c>
      <c r="C3" s="689"/>
      <c r="D3" s="690"/>
      <c r="E3" s="126"/>
      <c r="F3" s="691" t="s">
        <v>140</v>
      </c>
      <c r="G3" s="692"/>
      <c r="H3" s="693"/>
      <c r="I3" s="126"/>
      <c r="J3" s="126"/>
      <c r="K3" s="126"/>
      <c r="L3" s="127" t="s">
        <v>1118</v>
      </c>
      <c r="M3" s="127"/>
      <c r="N3" s="127"/>
      <c r="O3" s="127"/>
      <c r="P3" s="127"/>
      <c r="Q3" s="127"/>
      <c r="R3" s="127"/>
      <c r="S3" s="127"/>
      <c r="T3" s="312"/>
      <c r="U3" s="127"/>
      <c r="V3" s="127"/>
      <c r="W3" s="127"/>
      <c r="X3" s="127"/>
      <c r="Y3" s="127"/>
      <c r="Z3" s="127"/>
      <c r="AA3" s="127"/>
      <c r="AB3" s="127"/>
      <c r="AC3" s="127"/>
      <c r="AD3" s="127"/>
      <c r="AE3" s="127"/>
      <c r="AF3" s="127"/>
    </row>
    <row r="4" spans="1:32" ht="17.25" customHeight="1" thickBot="1" x14ac:dyDescent="0.3">
      <c r="A4" s="123"/>
      <c r="B4" s="407" t="s">
        <v>1217</v>
      </c>
      <c r="C4" s="522">
        <f>VCCINT</f>
        <v>1.2</v>
      </c>
      <c r="D4" s="117">
        <f ca="1">SUM(J9:J100)</f>
        <v>3.1736891352075622E-2</v>
      </c>
      <c r="E4" s="126"/>
      <c r="F4" s="426" t="s">
        <v>410</v>
      </c>
      <c r="G4" s="118">
        <f t="array" ref="G4">SUM(IF((F9:F100="Global")*(E9:E100&gt;0),1))</f>
        <v>3</v>
      </c>
      <c r="H4" s="393">
        <f>G4/16</f>
        <v>0.1875</v>
      </c>
      <c r="I4" s="126"/>
      <c r="J4" s="126"/>
      <c r="K4" s="126"/>
      <c r="L4" s="127" t="s">
        <v>1187</v>
      </c>
      <c r="M4" s="127"/>
      <c r="N4" s="127"/>
      <c r="O4" s="127"/>
      <c r="P4" s="127"/>
      <c r="Q4" s="127"/>
      <c r="R4" s="127"/>
      <c r="S4" s="127"/>
      <c r="T4" s="312"/>
      <c r="U4" s="127"/>
      <c r="V4" s="127"/>
      <c r="W4" s="127"/>
      <c r="X4" s="127"/>
      <c r="Y4" s="127"/>
      <c r="Z4" s="127"/>
      <c r="AA4" s="127"/>
      <c r="AB4" s="127"/>
      <c r="AC4" s="127"/>
      <c r="AD4" s="127"/>
      <c r="AE4" s="127"/>
      <c r="AF4" s="127"/>
    </row>
    <row r="5" spans="1:32" ht="17.25" customHeight="1" thickBot="1" x14ac:dyDescent="0.3">
      <c r="A5" s="123"/>
      <c r="B5" s="684" t="str">
        <f ca="1">TEXT(IF(TOTAL_POWER&gt;0,CLOCK_POWER/TOTAL_POWER,0),"0%")&amp;" of total on-chip power "&amp;TEXT(TOTAL_POWER,"#.###")&amp;"W"</f>
        <v>7% of total on-chip power .488W</v>
      </c>
      <c r="C5" s="685"/>
      <c r="D5" s="686"/>
      <c r="E5" s="126"/>
      <c r="F5" s="425" t="s">
        <v>1118</v>
      </c>
      <c r="G5" s="198">
        <f t="array" ref="G5">SUM(IF((F9:F100="Other")*(E9:E100&gt;0),1))</f>
        <v>0</v>
      </c>
      <c r="H5" s="209" t="s">
        <v>1117</v>
      </c>
      <c r="I5" s="126"/>
      <c r="J5" s="126"/>
      <c r="K5" s="126"/>
      <c r="L5" s="127" t="s">
        <v>219</v>
      </c>
      <c r="M5" s="127"/>
      <c r="N5" s="127"/>
      <c r="O5" s="127"/>
      <c r="P5" s="127"/>
      <c r="Q5" s="127"/>
      <c r="R5" s="127"/>
      <c r="S5" s="127"/>
      <c r="T5" s="312"/>
      <c r="U5" s="127"/>
      <c r="V5" s="127"/>
      <c r="W5" s="127"/>
      <c r="X5" s="127"/>
      <c r="Y5" s="127"/>
      <c r="Z5" s="127"/>
      <c r="AA5" s="127"/>
      <c r="AB5" s="127"/>
      <c r="AC5" s="127"/>
      <c r="AD5" s="127"/>
      <c r="AE5" s="127"/>
      <c r="AF5" s="127"/>
    </row>
    <row r="6" spans="1:32" ht="17.25" customHeight="1" x14ac:dyDescent="0.25">
      <c r="A6" s="123"/>
      <c r="B6" s="126"/>
      <c r="C6" s="126"/>
      <c r="D6" s="152" t="str">
        <f>POWERMODE</f>
        <v>Active</v>
      </c>
      <c r="E6" s="126"/>
      <c r="F6" s="127"/>
      <c r="G6" s="127"/>
      <c r="H6" s="127"/>
      <c r="I6" s="126"/>
      <c r="J6" s="126"/>
      <c r="K6" s="126"/>
      <c r="L6" s="127" t="str">
        <f>IF(ISSTA,"L2:L4","L2:L3")</f>
        <v>L2:L4</v>
      </c>
      <c r="M6" s="127"/>
      <c r="N6" s="127"/>
      <c r="O6" s="127"/>
      <c r="P6" s="127"/>
      <c r="Q6" s="127"/>
      <c r="R6" s="127"/>
      <c r="S6" s="127"/>
      <c r="T6" s="312"/>
      <c r="U6" s="127"/>
      <c r="V6" s="127"/>
      <c r="W6" s="127"/>
      <c r="X6" s="127"/>
      <c r="Y6" s="127"/>
      <c r="Z6" s="127"/>
      <c r="AA6" s="127"/>
      <c r="AB6" s="127"/>
      <c r="AC6" s="127"/>
      <c r="AD6" s="127"/>
      <c r="AE6" s="127"/>
      <c r="AF6" s="127"/>
    </row>
    <row r="7" spans="1:32" ht="15.75" customHeight="1" thickBot="1" x14ac:dyDescent="0.3">
      <c r="A7" s="123"/>
      <c r="B7" s="126"/>
      <c r="C7" s="126"/>
      <c r="D7" s="126"/>
      <c r="E7" s="126"/>
      <c r="F7" s="126"/>
      <c r="G7" s="126"/>
      <c r="H7" s="126"/>
      <c r="I7" s="126"/>
      <c r="J7" s="126"/>
      <c r="K7" s="126"/>
      <c r="L7" s="127"/>
      <c r="M7" s="127"/>
      <c r="N7" s="127"/>
      <c r="O7" s="127"/>
      <c r="P7" s="127"/>
      <c r="Q7" s="127"/>
      <c r="R7" s="127"/>
      <c r="S7" s="127"/>
      <c r="T7" s="312"/>
      <c r="U7" s="127"/>
      <c r="V7" s="127"/>
      <c r="W7" s="127"/>
      <c r="X7" s="127"/>
      <c r="Y7" s="127"/>
      <c r="Z7" s="127"/>
      <c r="AA7" s="127"/>
      <c r="AB7" s="127"/>
      <c r="AC7" s="127"/>
      <c r="AD7" s="127"/>
      <c r="AE7" s="127"/>
      <c r="AF7" s="127"/>
    </row>
    <row r="8" spans="1:32" ht="48.75" customHeight="1" thickBot="1" x14ac:dyDescent="0.3">
      <c r="A8" s="136"/>
      <c r="B8" s="679" t="s">
        <v>41</v>
      </c>
      <c r="C8" s="680"/>
      <c r="D8" s="680"/>
      <c r="E8" s="412" t="s">
        <v>409</v>
      </c>
      <c r="F8" s="412" t="s">
        <v>238</v>
      </c>
      <c r="G8" s="412" t="s">
        <v>77</v>
      </c>
      <c r="H8" s="412" t="s">
        <v>1016</v>
      </c>
      <c r="I8" s="412" t="s">
        <v>1017</v>
      </c>
      <c r="J8" s="413" t="s">
        <v>17</v>
      </c>
      <c r="K8" s="136"/>
      <c r="L8" s="130" t="s">
        <v>411</v>
      </c>
      <c r="M8" s="177" t="s">
        <v>412</v>
      </c>
      <c r="N8" s="177" t="s">
        <v>413</v>
      </c>
      <c r="O8" s="177" t="s">
        <v>414</v>
      </c>
      <c r="P8" s="177" t="s">
        <v>720</v>
      </c>
      <c r="Q8" s="177" t="s">
        <v>721</v>
      </c>
      <c r="R8" s="177" t="s">
        <v>53</v>
      </c>
      <c r="S8" s="137" t="s">
        <v>722</v>
      </c>
      <c r="T8" s="127">
        <f>IF(ISSTA=1,2,1)</f>
        <v>2</v>
      </c>
      <c r="U8" s="127"/>
      <c r="V8" s="127"/>
      <c r="W8" s="127"/>
      <c r="X8" s="127"/>
      <c r="Y8" s="127"/>
      <c r="Z8" s="127"/>
      <c r="AA8" s="127"/>
      <c r="AB8" s="127"/>
      <c r="AC8" s="127"/>
      <c r="AD8" s="127"/>
      <c r="AE8" s="127"/>
      <c r="AF8" s="127"/>
    </row>
    <row r="9" spans="1:32" x14ac:dyDescent="0.25">
      <c r="A9" s="136"/>
      <c r="B9" s="681" t="s">
        <v>1362</v>
      </c>
      <c r="C9" s="678"/>
      <c r="D9" s="678"/>
      <c r="E9" s="11">
        <v>100</v>
      </c>
      <c r="F9" s="10" t="s">
        <v>410</v>
      </c>
      <c r="G9" s="10">
        <v>100</v>
      </c>
      <c r="H9" s="115">
        <v>1</v>
      </c>
      <c r="I9" s="115">
        <v>0.5</v>
      </c>
      <c r="J9" s="187">
        <f t="shared" ref="J9:J100" ca="1" si="0">IF($G9&gt;0,SUM($L9:$O9)*(VCCINT/1000)*VCCINT_N*OFFSET(OPTIMIZATION,0,3),0)</f>
        <v>7.1480862320756197E-3</v>
      </c>
      <c r="K9" s="136"/>
      <c r="L9" s="136">
        <f t="shared" ref="L9:L100" ca="1" si="1">IF($F9&lt;&gt;"Other",OFFSET(CLOCK_DATA,$T$8,1),0) +OFFSET(CLOCK_DATA,$T$8,IF($F9="Global",2,IF($F9="Other",9,8)))*$E9*$H9</f>
        <v>1.1288</v>
      </c>
      <c r="M9" s="136">
        <f t="shared" ref="M9:M100" ca="1" si="2">IF(EXACT($F9,"Global"),(OFFSET(CLOCK_DATA,$T$8,3) +OFFSET(CLOCK_DATA,$T$8,4)*$E9*$H9)*$P9*CLOCK_COLS,0)</f>
        <v>2.4101532822852394</v>
      </c>
      <c r="N9" s="136">
        <f t="shared" ref="N9:N100" ca="1" si="3">IF($F9="Global",(OFFSET(CLOCK_DATA,$T$8,5)+OFFSET(CLOCK_DATA,$T$8,6)*$E9*$H9)*$Q9,0)</f>
        <v>2.1933407999999996</v>
      </c>
      <c r="O9" s="136">
        <f t="shared" ref="O9:O100" ca="1" si="4">OFFSET(CLOCK_DATA,$T$8,7)*$E9*$H9*$I9*$S9</f>
        <v>0.22444444444444442</v>
      </c>
      <c r="P9" s="136">
        <f t="shared" ref="P9:P100" si="5">IF($G9&gt;0,MAX(0.095*LN($G9/NUM_FFS) + 1,0.05)*CLOCK_ROWS,0)</f>
        <v>7.7129841342973622</v>
      </c>
      <c r="Q9" s="136">
        <f t="shared" ref="Q9:Q100" si="6">IF($G9&gt;0,IF($F9="Other",$G9/80,MIN(MAX((0.2*LN($G9/(NUM_FFS*(IF(ISSTA=1,0.8,1))))) + 0.9, 0.05)*CLOCK_COLS*CLOCK_ROWS*2,$L$1)), 0)</f>
        <v>67.2</v>
      </c>
      <c r="R9" s="136">
        <f t="shared" ref="R9:R100" ca="1" si="7">(IF(AND($G9&gt;0,EXACT($F9,"Global")),OFFSET(CLOCK_DATA,$T$8,1),0) + IF(EXACT($F9,"Global"),OFFSET(CLOCK_DATA,$T$8,3),0)*$P9*CLOCK_COLS + OFFSET(CLOCK_DATA,$T$8,5)*$Q9)/1000</f>
        <v>4.8444986672809779E-4</v>
      </c>
      <c r="S9" s="127">
        <f t="shared" ref="S9:S100" si="8">IF(ISSTA=1,$G9/4.5,$G9)</f>
        <v>22.222222222222221</v>
      </c>
      <c r="T9" s="127"/>
      <c r="U9" s="127"/>
      <c r="V9" s="127"/>
      <c r="W9" s="127"/>
      <c r="X9" s="127"/>
      <c r="Y9" s="127"/>
      <c r="Z9" s="127"/>
      <c r="AA9" s="127"/>
      <c r="AB9" s="127"/>
      <c r="AC9" s="127"/>
      <c r="AD9" s="127"/>
      <c r="AE9" s="127"/>
      <c r="AF9" s="127"/>
    </row>
    <row r="10" spans="1:32" x14ac:dyDescent="0.25">
      <c r="A10" s="136"/>
      <c r="B10" s="677"/>
      <c r="C10" s="678"/>
      <c r="D10" s="678"/>
      <c r="E10" s="11">
        <v>400</v>
      </c>
      <c r="F10" s="10" t="s">
        <v>410</v>
      </c>
      <c r="G10" s="10">
        <v>2</v>
      </c>
      <c r="H10" s="115">
        <v>1</v>
      </c>
      <c r="I10" s="115">
        <v>0.5</v>
      </c>
      <c r="J10" s="147">
        <f t="shared" ca="1" si="0"/>
        <v>1.6220640426666665E-2</v>
      </c>
      <c r="K10" s="136"/>
      <c r="L10" s="136">
        <f t="shared" ca="1" si="1"/>
        <v>3.4052000000000002</v>
      </c>
      <c r="M10" s="136">
        <f t="shared" ca="1" si="2"/>
        <v>1.4696640000000003</v>
      </c>
      <c r="N10" s="136">
        <f t="shared" ca="1" si="3"/>
        <v>8.6243807999999991</v>
      </c>
      <c r="O10" s="136">
        <f t="shared" ca="1" si="4"/>
        <v>1.7955555555555554E-2</v>
      </c>
      <c r="P10" s="136">
        <f t="shared" si="5"/>
        <v>1.2000000000000002</v>
      </c>
      <c r="Q10" s="136">
        <f t="shared" si="6"/>
        <v>67.2</v>
      </c>
      <c r="R10" s="136">
        <f t="shared" ca="1" si="7"/>
        <v>4.2974079999999996E-4</v>
      </c>
      <c r="S10" s="127">
        <f t="shared" si="8"/>
        <v>0.44444444444444442</v>
      </c>
      <c r="T10" s="127"/>
      <c r="U10" s="127"/>
      <c r="V10" s="127"/>
      <c r="W10" s="127"/>
      <c r="X10" s="127"/>
      <c r="Y10" s="127"/>
      <c r="Z10" s="127"/>
      <c r="AA10" s="127"/>
      <c r="AB10" s="127"/>
      <c r="AC10" s="127"/>
      <c r="AD10" s="127"/>
      <c r="AE10" s="127"/>
      <c r="AF10" s="127"/>
    </row>
    <row r="11" spans="1:32" x14ac:dyDescent="0.25">
      <c r="A11" s="136"/>
      <c r="B11" s="677"/>
      <c r="C11" s="678"/>
      <c r="D11" s="678"/>
      <c r="E11" s="11">
        <v>200</v>
      </c>
      <c r="F11" s="10" t="s">
        <v>410</v>
      </c>
      <c r="G11" s="10">
        <v>2</v>
      </c>
      <c r="H11" s="115">
        <v>1</v>
      </c>
      <c r="I11" s="115">
        <v>0.5</v>
      </c>
      <c r="J11" s="147">
        <f t="shared" ca="1" si="0"/>
        <v>8.3681646933333326E-3</v>
      </c>
      <c r="K11" s="136"/>
      <c r="L11" s="136">
        <f t="shared" ca="1" si="1"/>
        <v>1.8875999999999999</v>
      </c>
      <c r="M11" s="136">
        <f t="shared" ca="1" si="2"/>
        <v>0.7398720000000002</v>
      </c>
      <c r="N11" s="136">
        <f t="shared" ca="1" si="3"/>
        <v>4.3370208000000003</v>
      </c>
      <c r="O11" s="136">
        <f t="shared" ca="1" si="4"/>
        <v>8.9777777777777772E-3</v>
      </c>
      <c r="P11" s="136">
        <f t="shared" si="5"/>
        <v>1.2000000000000002</v>
      </c>
      <c r="Q11" s="136">
        <f t="shared" si="6"/>
        <v>67.2</v>
      </c>
      <c r="R11" s="136">
        <f t="shared" ca="1" si="7"/>
        <v>4.2974079999999996E-4</v>
      </c>
      <c r="S11" s="127">
        <f t="shared" si="8"/>
        <v>0.44444444444444442</v>
      </c>
      <c r="T11" s="127"/>
      <c r="U11" s="127"/>
      <c r="V11" s="127"/>
      <c r="W11" s="127"/>
      <c r="X11" s="127"/>
      <c r="Y11" s="127"/>
      <c r="Z11" s="127"/>
      <c r="AA11" s="127"/>
      <c r="AB11" s="127"/>
      <c r="AC11" s="127"/>
      <c r="AD11" s="127"/>
      <c r="AE11" s="127"/>
      <c r="AF11" s="127"/>
    </row>
    <row r="12" spans="1:32" x14ac:dyDescent="0.25">
      <c r="A12" s="136"/>
      <c r="B12" s="677"/>
      <c r="C12" s="678"/>
      <c r="D12" s="678"/>
      <c r="E12" s="11">
        <v>0</v>
      </c>
      <c r="F12" s="10" t="s">
        <v>410</v>
      </c>
      <c r="G12" s="10">
        <v>0</v>
      </c>
      <c r="H12" s="115">
        <v>1</v>
      </c>
      <c r="I12" s="115">
        <v>0.5</v>
      </c>
      <c r="J12" s="147">
        <f t="shared" ca="1" si="0"/>
        <v>0</v>
      </c>
      <c r="K12" s="136"/>
      <c r="L12" s="136">
        <f t="shared" ca="1" si="1"/>
        <v>0.37</v>
      </c>
      <c r="M12" s="136">
        <f t="shared" ca="1" si="2"/>
        <v>0</v>
      </c>
      <c r="N12" s="136">
        <f t="shared" ca="1" si="3"/>
        <v>0</v>
      </c>
      <c r="O12" s="136">
        <f t="shared" ca="1" si="4"/>
        <v>0</v>
      </c>
      <c r="P12" s="136">
        <f t="shared" si="5"/>
        <v>0</v>
      </c>
      <c r="Q12" s="136">
        <f t="shared" si="6"/>
        <v>0</v>
      </c>
      <c r="R12" s="136">
        <f t="shared" ca="1" si="7"/>
        <v>0</v>
      </c>
      <c r="S12" s="127">
        <f t="shared" si="8"/>
        <v>0</v>
      </c>
      <c r="T12" s="127"/>
      <c r="U12" s="127"/>
      <c r="V12" s="127"/>
      <c r="W12" s="127"/>
      <c r="X12" s="127"/>
      <c r="Y12" s="127"/>
      <c r="Z12" s="127"/>
      <c r="AA12" s="127"/>
      <c r="AB12" s="127"/>
      <c r="AC12" s="127"/>
      <c r="AD12" s="127"/>
      <c r="AE12" s="127"/>
      <c r="AF12" s="127"/>
    </row>
    <row r="13" spans="1:32" x14ac:dyDescent="0.25">
      <c r="A13" s="136"/>
      <c r="B13" s="677"/>
      <c r="C13" s="678"/>
      <c r="D13" s="678"/>
      <c r="E13" s="11">
        <v>0</v>
      </c>
      <c r="F13" s="10" t="s">
        <v>410</v>
      </c>
      <c r="G13" s="10">
        <v>0</v>
      </c>
      <c r="H13" s="115">
        <v>1</v>
      </c>
      <c r="I13" s="115">
        <v>0.5</v>
      </c>
      <c r="J13" s="147">
        <f t="shared" ca="1" si="0"/>
        <v>0</v>
      </c>
      <c r="K13" s="136"/>
      <c r="L13" s="136">
        <f t="shared" ca="1" si="1"/>
        <v>0.37</v>
      </c>
      <c r="M13" s="136">
        <f t="shared" ca="1" si="2"/>
        <v>0</v>
      </c>
      <c r="N13" s="136">
        <f t="shared" ca="1" si="3"/>
        <v>0</v>
      </c>
      <c r="O13" s="136">
        <f t="shared" ca="1" si="4"/>
        <v>0</v>
      </c>
      <c r="P13" s="136">
        <f t="shared" si="5"/>
        <v>0</v>
      </c>
      <c r="Q13" s="136">
        <f t="shared" si="6"/>
        <v>0</v>
      </c>
      <c r="R13" s="136">
        <f t="shared" ca="1" si="7"/>
        <v>0</v>
      </c>
      <c r="S13" s="127">
        <f t="shared" si="8"/>
        <v>0</v>
      </c>
      <c r="T13" s="127"/>
      <c r="U13" s="127"/>
      <c r="V13" s="127"/>
      <c r="W13" s="127"/>
      <c r="X13" s="127"/>
      <c r="Y13" s="127"/>
      <c r="Z13" s="127"/>
      <c r="AA13" s="127"/>
      <c r="AB13" s="127"/>
      <c r="AC13" s="127"/>
      <c r="AD13" s="127"/>
      <c r="AE13" s="127"/>
      <c r="AF13" s="127"/>
    </row>
    <row r="14" spans="1:32" x14ac:dyDescent="0.25">
      <c r="A14" s="136"/>
      <c r="B14" s="677"/>
      <c r="C14" s="678"/>
      <c r="D14" s="678"/>
      <c r="E14" s="11">
        <v>0</v>
      </c>
      <c r="F14" s="10" t="s">
        <v>410</v>
      </c>
      <c r="G14" s="10">
        <v>0</v>
      </c>
      <c r="H14" s="115">
        <v>1</v>
      </c>
      <c r="I14" s="115">
        <v>0.5</v>
      </c>
      <c r="J14" s="147">
        <f t="shared" ca="1" si="0"/>
        <v>0</v>
      </c>
      <c r="K14" s="136"/>
      <c r="L14" s="136">
        <f t="shared" ca="1" si="1"/>
        <v>0.37</v>
      </c>
      <c r="M14" s="136">
        <f t="shared" ca="1" si="2"/>
        <v>0</v>
      </c>
      <c r="N14" s="136">
        <f t="shared" ca="1" si="3"/>
        <v>0</v>
      </c>
      <c r="O14" s="136">
        <f t="shared" ca="1" si="4"/>
        <v>0</v>
      </c>
      <c r="P14" s="136">
        <f t="shared" si="5"/>
        <v>0</v>
      </c>
      <c r="Q14" s="136">
        <f t="shared" si="6"/>
        <v>0</v>
      </c>
      <c r="R14" s="136">
        <f t="shared" ca="1" si="7"/>
        <v>0</v>
      </c>
      <c r="S14" s="127">
        <f t="shared" si="8"/>
        <v>0</v>
      </c>
      <c r="T14" s="127"/>
      <c r="U14" s="127"/>
      <c r="V14" s="127"/>
      <c r="W14" s="127"/>
      <c r="X14" s="127"/>
      <c r="Y14" s="127"/>
      <c r="Z14" s="127"/>
      <c r="AA14" s="127"/>
      <c r="AB14" s="127"/>
      <c r="AC14" s="127"/>
      <c r="AD14" s="127"/>
      <c r="AE14" s="127"/>
      <c r="AF14" s="127"/>
    </row>
    <row r="15" spans="1:32" x14ac:dyDescent="0.25">
      <c r="A15" s="136"/>
      <c r="B15" s="677"/>
      <c r="C15" s="678"/>
      <c r="D15" s="678"/>
      <c r="E15" s="11">
        <v>0</v>
      </c>
      <c r="F15" s="10" t="s">
        <v>410</v>
      </c>
      <c r="G15" s="10">
        <v>0</v>
      </c>
      <c r="H15" s="115">
        <v>1</v>
      </c>
      <c r="I15" s="115">
        <v>0.5</v>
      </c>
      <c r="J15" s="147">
        <f t="shared" ca="1" si="0"/>
        <v>0</v>
      </c>
      <c r="K15" s="136"/>
      <c r="L15" s="136">
        <f t="shared" ca="1" si="1"/>
        <v>0.37</v>
      </c>
      <c r="M15" s="136">
        <f t="shared" ca="1" si="2"/>
        <v>0</v>
      </c>
      <c r="N15" s="136">
        <f t="shared" ca="1" si="3"/>
        <v>0</v>
      </c>
      <c r="O15" s="136">
        <f t="shared" ca="1" si="4"/>
        <v>0</v>
      </c>
      <c r="P15" s="136">
        <f t="shared" si="5"/>
        <v>0</v>
      </c>
      <c r="Q15" s="136">
        <f t="shared" si="6"/>
        <v>0</v>
      </c>
      <c r="R15" s="136">
        <f t="shared" ca="1" si="7"/>
        <v>0</v>
      </c>
      <c r="S15" s="127">
        <f t="shared" si="8"/>
        <v>0</v>
      </c>
      <c r="T15" s="127"/>
      <c r="U15" s="127"/>
      <c r="V15" s="127"/>
      <c r="W15" s="127"/>
      <c r="X15" s="127"/>
      <c r="Y15" s="127"/>
      <c r="Z15" s="127"/>
      <c r="AA15" s="127"/>
      <c r="AB15" s="127"/>
      <c r="AC15" s="127"/>
      <c r="AD15" s="127"/>
      <c r="AE15" s="127"/>
      <c r="AF15" s="127"/>
    </row>
    <row r="16" spans="1:32" x14ac:dyDescent="0.25">
      <c r="A16" s="136"/>
      <c r="B16" s="677"/>
      <c r="C16" s="678"/>
      <c r="D16" s="678"/>
      <c r="E16" s="11">
        <v>0</v>
      </c>
      <c r="F16" s="10" t="s">
        <v>410</v>
      </c>
      <c r="G16" s="10">
        <v>0</v>
      </c>
      <c r="H16" s="115">
        <v>1</v>
      </c>
      <c r="I16" s="115">
        <v>0.5</v>
      </c>
      <c r="J16" s="147">
        <f t="shared" ca="1" si="0"/>
        <v>0</v>
      </c>
      <c r="K16" s="136"/>
      <c r="L16" s="136">
        <f t="shared" ca="1" si="1"/>
        <v>0.37</v>
      </c>
      <c r="M16" s="136">
        <f t="shared" ca="1" si="2"/>
        <v>0</v>
      </c>
      <c r="N16" s="136">
        <f t="shared" ca="1" si="3"/>
        <v>0</v>
      </c>
      <c r="O16" s="136">
        <f t="shared" ca="1" si="4"/>
        <v>0</v>
      </c>
      <c r="P16" s="136">
        <f t="shared" si="5"/>
        <v>0</v>
      </c>
      <c r="Q16" s="136">
        <f t="shared" si="6"/>
        <v>0</v>
      </c>
      <c r="R16" s="136">
        <f t="shared" ca="1" si="7"/>
        <v>0</v>
      </c>
      <c r="S16" s="127">
        <f t="shared" si="8"/>
        <v>0</v>
      </c>
      <c r="T16" s="127"/>
      <c r="U16" s="127"/>
      <c r="V16" s="127"/>
      <c r="W16" s="127"/>
      <c r="X16" s="127"/>
      <c r="Y16" s="127"/>
      <c r="Z16" s="127"/>
      <c r="AA16" s="127"/>
      <c r="AB16" s="127"/>
      <c r="AC16" s="127"/>
      <c r="AD16" s="127"/>
      <c r="AE16" s="127"/>
      <c r="AF16" s="127"/>
    </row>
    <row r="17" spans="1:32" x14ac:dyDescent="0.25">
      <c r="A17" s="136"/>
      <c r="B17" s="677"/>
      <c r="C17" s="678"/>
      <c r="D17" s="678"/>
      <c r="E17" s="11">
        <v>0</v>
      </c>
      <c r="F17" s="10" t="s">
        <v>410</v>
      </c>
      <c r="G17" s="10">
        <v>0</v>
      </c>
      <c r="H17" s="115">
        <v>1</v>
      </c>
      <c r="I17" s="115">
        <v>0.5</v>
      </c>
      <c r="J17" s="147">
        <f t="shared" ca="1" si="0"/>
        <v>0</v>
      </c>
      <c r="K17" s="136"/>
      <c r="L17" s="136">
        <f t="shared" ca="1" si="1"/>
        <v>0.37</v>
      </c>
      <c r="M17" s="136">
        <f t="shared" ca="1" si="2"/>
        <v>0</v>
      </c>
      <c r="N17" s="136">
        <f t="shared" ca="1" si="3"/>
        <v>0</v>
      </c>
      <c r="O17" s="136">
        <f t="shared" ca="1" si="4"/>
        <v>0</v>
      </c>
      <c r="P17" s="136">
        <f t="shared" si="5"/>
        <v>0</v>
      </c>
      <c r="Q17" s="136">
        <f t="shared" si="6"/>
        <v>0</v>
      </c>
      <c r="R17" s="136">
        <f t="shared" ca="1" si="7"/>
        <v>0</v>
      </c>
      <c r="S17" s="127">
        <f t="shared" si="8"/>
        <v>0</v>
      </c>
      <c r="T17" s="127"/>
      <c r="U17" s="127"/>
      <c r="V17" s="127"/>
      <c r="W17" s="127"/>
      <c r="X17" s="127"/>
      <c r="Y17" s="127"/>
      <c r="Z17" s="127"/>
      <c r="AA17" s="127"/>
      <c r="AB17" s="127"/>
      <c r="AC17" s="127"/>
      <c r="AD17" s="127"/>
      <c r="AE17" s="127"/>
      <c r="AF17" s="127"/>
    </row>
    <row r="18" spans="1:32" x14ac:dyDescent="0.25">
      <c r="A18" s="136"/>
      <c r="B18" s="677"/>
      <c r="C18" s="678"/>
      <c r="D18" s="678"/>
      <c r="E18" s="11">
        <v>0</v>
      </c>
      <c r="F18" s="10" t="s">
        <v>410</v>
      </c>
      <c r="G18" s="10">
        <v>0</v>
      </c>
      <c r="H18" s="115">
        <v>1</v>
      </c>
      <c r="I18" s="115">
        <v>0.5</v>
      </c>
      <c r="J18" s="147">
        <f t="shared" ca="1" si="0"/>
        <v>0</v>
      </c>
      <c r="K18" s="136"/>
      <c r="L18" s="136">
        <f t="shared" ca="1" si="1"/>
        <v>0.37</v>
      </c>
      <c r="M18" s="136">
        <f t="shared" ca="1" si="2"/>
        <v>0</v>
      </c>
      <c r="N18" s="136">
        <f t="shared" ca="1" si="3"/>
        <v>0</v>
      </c>
      <c r="O18" s="136">
        <f t="shared" ca="1" si="4"/>
        <v>0</v>
      </c>
      <c r="P18" s="136">
        <f t="shared" si="5"/>
        <v>0</v>
      </c>
      <c r="Q18" s="136">
        <f t="shared" si="6"/>
        <v>0</v>
      </c>
      <c r="R18" s="136">
        <f t="shared" ca="1" si="7"/>
        <v>0</v>
      </c>
      <c r="S18" s="127">
        <f t="shared" si="8"/>
        <v>0</v>
      </c>
      <c r="T18" s="127"/>
      <c r="U18" s="127"/>
      <c r="V18" s="127"/>
      <c r="W18" s="127"/>
      <c r="X18" s="127"/>
      <c r="Y18" s="127"/>
      <c r="Z18" s="127"/>
      <c r="AA18" s="127"/>
      <c r="AB18" s="127"/>
      <c r="AC18" s="127"/>
      <c r="AD18" s="127"/>
      <c r="AE18" s="127"/>
      <c r="AF18" s="127"/>
    </row>
    <row r="19" spans="1:32" x14ac:dyDescent="0.25">
      <c r="A19" s="136"/>
      <c r="B19" s="677"/>
      <c r="C19" s="678"/>
      <c r="D19" s="678"/>
      <c r="E19" s="11">
        <v>0</v>
      </c>
      <c r="F19" s="10" t="s">
        <v>410</v>
      </c>
      <c r="G19" s="10">
        <v>0</v>
      </c>
      <c r="H19" s="115">
        <v>1</v>
      </c>
      <c r="I19" s="115">
        <v>0.5</v>
      </c>
      <c r="J19" s="147">
        <f t="shared" ca="1" si="0"/>
        <v>0</v>
      </c>
      <c r="K19" s="136"/>
      <c r="L19" s="136">
        <f t="shared" ca="1" si="1"/>
        <v>0.37</v>
      </c>
      <c r="M19" s="136">
        <f t="shared" ca="1" si="2"/>
        <v>0</v>
      </c>
      <c r="N19" s="136">
        <f t="shared" ca="1" si="3"/>
        <v>0</v>
      </c>
      <c r="O19" s="136">
        <f t="shared" ca="1" si="4"/>
        <v>0</v>
      </c>
      <c r="P19" s="136">
        <f t="shared" si="5"/>
        <v>0</v>
      </c>
      <c r="Q19" s="136">
        <f t="shared" si="6"/>
        <v>0</v>
      </c>
      <c r="R19" s="136">
        <f t="shared" ca="1" si="7"/>
        <v>0</v>
      </c>
      <c r="S19" s="127">
        <f t="shared" si="8"/>
        <v>0</v>
      </c>
      <c r="T19" s="127"/>
      <c r="U19" s="127"/>
      <c r="V19" s="127"/>
      <c r="W19" s="127"/>
      <c r="X19" s="127"/>
      <c r="Y19" s="127"/>
      <c r="Z19" s="127"/>
      <c r="AA19" s="127"/>
      <c r="AB19" s="127"/>
      <c r="AC19" s="127"/>
      <c r="AD19" s="127"/>
      <c r="AE19" s="127"/>
      <c r="AF19" s="127"/>
    </row>
    <row r="20" spans="1:32" x14ac:dyDescent="0.25">
      <c r="A20" s="136"/>
      <c r="B20" s="677"/>
      <c r="C20" s="678"/>
      <c r="D20" s="678"/>
      <c r="E20" s="11">
        <v>0</v>
      </c>
      <c r="F20" s="10" t="s">
        <v>410</v>
      </c>
      <c r="G20" s="10">
        <v>0</v>
      </c>
      <c r="H20" s="115">
        <v>1</v>
      </c>
      <c r="I20" s="115">
        <v>0.5</v>
      </c>
      <c r="J20" s="147">
        <f t="shared" ca="1" si="0"/>
        <v>0</v>
      </c>
      <c r="K20" s="136"/>
      <c r="L20" s="136">
        <f t="shared" ca="1" si="1"/>
        <v>0.37</v>
      </c>
      <c r="M20" s="136">
        <f t="shared" ca="1" si="2"/>
        <v>0</v>
      </c>
      <c r="N20" s="136">
        <f t="shared" ca="1" si="3"/>
        <v>0</v>
      </c>
      <c r="O20" s="136">
        <f t="shared" ca="1" si="4"/>
        <v>0</v>
      </c>
      <c r="P20" s="136">
        <f t="shared" si="5"/>
        <v>0</v>
      </c>
      <c r="Q20" s="136">
        <f t="shared" si="6"/>
        <v>0</v>
      </c>
      <c r="R20" s="136">
        <f t="shared" ca="1" si="7"/>
        <v>0</v>
      </c>
      <c r="S20" s="127">
        <f t="shared" si="8"/>
        <v>0</v>
      </c>
      <c r="T20" s="127"/>
      <c r="U20" s="127"/>
      <c r="V20" s="127"/>
      <c r="W20" s="127"/>
      <c r="X20" s="127"/>
      <c r="Y20" s="127"/>
      <c r="Z20" s="127"/>
      <c r="AA20" s="127"/>
      <c r="AB20" s="127"/>
      <c r="AC20" s="127"/>
      <c r="AD20" s="127"/>
      <c r="AE20" s="127"/>
      <c r="AF20" s="127"/>
    </row>
    <row r="21" spans="1:32" x14ac:dyDescent="0.25">
      <c r="A21" s="136"/>
      <c r="B21" s="677"/>
      <c r="C21" s="678"/>
      <c r="D21" s="678"/>
      <c r="E21" s="11">
        <v>0</v>
      </c>
      <c r="F21" s="10" t="s">
        <v>410</v>
      </c>
      <c r="G21" s="10">
        <v>0</v>
      </c>
      <c r="H21" s="115">
        <v>1</v>
      </c>
      <c r="I21" s="115">
        <v>0.5</v>
      </c>
      <c r="J21" s="147">
        <f t="shared" ca="1" si="0"/>
        <v>0</v>
      </c>
      <c r="K21" s="136"/>
      <c r="L21" s="136">
        <f t="shared" ca="1" si="1"/>
        <v>0.37</v>
      </c>
      <c r="M21" s="136">
        <f t="shared" ca="1" si="2"/>
        <v>0</v>
      </c>
      <c r="N21" s="136">
        <f t="shared" ca="1" si="3"/>
        <v>0</v>
      </c>
      <c r="O21" s="136">
        <f t="shared" ca="1" si="4"/>
        <v>0</v>
      </c>
      <c r="P21" s="136">
        <f t="shared" si="5"/>
        <v>0</v>
      </c>
      <c r="Q21" s="136">
        <f t="shared" si="6"/>
        <v>0</v>
      </c>
      <c r="R21" s="136">
        <f t="shared" ca="1" si="7"/>
        <v>0</v>
      </c>
      <c r="S21" s="127">
        <f t="shared" si="8"/>
        <v>0</v>
      </c>
      <c r="T21" s="127"/>
      <c r="U21" s="127"/>
      <c r="V21" s="127"/>
      <c r="W21" s="127"/>
      <c r="X21" s="127"/>
      <c r="Y21" s="127"/>
      <c r="Z21" s="127"/>
      <c r="AA21" s="127"/>
      <c r="AB21" s="127"/>
      <c r="AC21" s="127"/>
      <c r="AD21" s="127"/>
      <c r="AE21" s="127"/>
      <c r="AF21" s="127"/>
    </row>
    <row r="22" spans="1:32" x14ac:dyDescent="0.25">
      <c r="A22" s="136"/>
      <c r="B22" s="677"/>
      <c r="C22" s="678"/>
      <c r="D22" s="678"/>
      <c r="E22" s="11">
        <v>0</v>
      </c>
      <c r="F22" s="10" t="s">
        <v>410</v>
      </c>
      <c r="G22" s="10">
        <v>0</v>
      </c>
      <c r="H22" s="115">
        <v>1</v>
      </c>
      <c r="I22" s="115">
        <v>0.5</v>
      </c>
      <c r="J22" s="147">
        <f t="shared" ca="1" si="0"/>
        <v>0</v>
      </c>
      <c r="K22" s="136"/>
      <c r="L22" s="136">
        <f t="shared" ca="1" si="1"/>
        <v>0.37</v>
      </c>
      <c r="M22" s="136">
        <f t="shared" ca="1" si="2"/>
        <v>0</v>
      </c>
      <c r="N22" s="136">
        <f t="shared" ca="1" si="3"/>
        <v>0</v>
      </c>
      <c r="O22" s="136">
        <f t="shared" ca="1" si="4"/>
        <v>0</v>
      </c>
      <c r="P22" s="136">
        <f t="shared" si="5"/>
        <v>0</v>
      </c>
      <c r="Q22" s="136">
        <f t="shared" si="6"/>
        <v>0</v>
      </c>
      <c r="R22" s="136">
        <f t="shared" ca="1" si="7"/>
        <v>0</v>
      </c>
      <c r="S22" s="127">
        <f t="shared" si="8"/>
        <v>0</v>
      </c>
      <c r="T22" s="127"/>
      <c r="U22" s="127"/>
      <c r="V22" s="127"/>
      <c r="W22" s="127"/>
      <c r="X22" s="127"/>
      <c r="Y22" s="127"/>
      <c r="Z22" s="127"/>
      <c r="AA22" s="127"/>
      <c r="AB22" s="127"/>
      <c r="AC22" s="127"/>
      <c r="AD22" s="127"/>
      <c r="AE22" s="127"/>
      <c r="AF22" s="127"/>
    </row>
    <row r="23" spans="1:32" x14ac:dyDescent="0.25">
      <c r="A23" s="136"/>
      <c r="B23" s="677"/>
      <c r="C23" s="678"/>
      <c r="D23" s="678"/>
      <c r="E23" s="11">
        <v>0</v>
      </c>
      <c r="F23" s="10" t="s">
        <v>410</v>
      </c>
      <c r="G23" s="10">
        <v>0</v>
      </c>
      <c r="H23" s="115">
        <v>1</v>
      </c>
      <c r="I23" s="115">
        <v>0.5</v>
      </c>
      <c r="J23" s="147">
        <f t="shared" ca="1" si="0"/>
        <v>0</v>
      </c>
      <c r="K23" s="136"/>
      <c r="L23" s="136">
        <f t="shared" ca="1" si="1"/>
        <v>0.37</v>
      </c>
      <c r="M23" s="136">
        <f t="shared" ca="1" si="2"/>
        <v>0</v>
      </c>
      <c r="N23" s="136">
        <f t="shared" ca="1" si="3"/>
        <v>0</v>
      </c>
      <c r="O23" s="136">
        <f t="shared" ca="1" si="4"/>
        <v>0</v>
      </c>
      <c r="P23" s="136">
        <f t="shared" si="5"/>
        <v>0</v>
      </c>
      <c r="Q23" s="136">
        <f t="shared" si="6"/>
        <v>0</v>
      </c>
      <c r="R23" s="136">
        <f t="shared" ca="1" si="7"/>
        <v>0</v>
      </c>
      <c r="S23" s="127">
        <f t="shared" si="8"/>
        <v>0</v>
      </c>
      <c r="T23" s="127"/>
      <c r="U23" s="127"/>
      <c r="V23" s="127"/>
      <c r="W23" s="127"/>
      <c r="X23" s="127"/>
      <c r="Y23" s="127"/>
      <c r="Z23" s="127"/>
      <c r="AA23" s="127"/>
      <c r="AB23" s="127"/>
      <c r="AC23" s="127"/>
      <c r="AD23" s="127"/>
      <c r="AE23" s="127"/>
      <c r="AF23" s="127"/>
    </row>
    <row r="24" spans="1:32" x14ac:dyDescent="0.25">
      <c r="A24" s="136"/>
      <c r="B24" s="677"/>
      <c r="C24" s="678"/>
      <c r="D24" s="678"/>
      <c r="E24" s="11">
        <v>0</v>
      </c>
      <c r="F24" s="10" t="s">
        <v>410</v>
      </c>
      <c r="G24" s="10">
        <v>0</v>
      </c>
      <c r="H24" s="115">
        <v>1</v>
      </c>
      <c r="I24" s="115">
        <v>0.5</v>
      </c>
      <c r="J24" s="147">
        <f t="shared" ca="1" si="0"/>
        <v>0</v>
      </c>
      <c r="K24" s="136"/>
      <c r="L24" s="136">
        <f t="shared" ca="1" si="1"/>
        <v>0.37</v>
      </c>
      <c r="M24" s="136">
        <f t="shared" ca="1" si="2"/>
        <v>0</v>
      </c>
      <c r="N24" s="136">
        <f t="shared" ca="1" si="3"/>
        <v>0</v>
      </c>
      <c r="O24" s="136">
        <f t="shared" ca="1" si="4"/>
        <v>0</v>
      </c>
      <c r="P24" s="136">
        <f t="shared" si="5"/>
        <v>0</v>
      </c>
      <c r="Q24" s="136">
        <f t="shared" si="6"/>
        <v>0</v>
      </c>
      <c r="R24" s="136">
        <f t="shared" ca="1" si="7"/>
        <v>0</v>
      </c>
      <c r="S24" s="127">
        <f t="shared" si="8"/>
        <v>0</v>
      </c>
      <c r="T24" s="127"/>
      <c r="U24" s="127"/>
      <c r="V24" s="127"/>
      <c r="W24" s="127"/>
      <c r="X24" s="127"/>
      <c r="Y24" s="127"/>
      <c r="Z24" s="127"/>
      <c r="AA24" s="127"/>
      <c r="AB24" s="127"/>
      <c r="AC24" s="127"/>
      <c r="AD24" s="127"/>
      <c r="AE24" s="127"/>
      <c r="AF24" s="127"/>
    </row>
    <row r="25" spans="1:32" x14ac:dyDescent="0.25">
      <c r="A25" s="136"/>
      <c r="B25" s="677"/>
      <c r="C25" s="678"/>
      <c r="D25" s="678"/>
      <c r="E25" s="11">
        <v>0</v>
      </c>
      <c r="F25" s="10" t="s">
        <v>410</v>
      </c>
      <c r="G25" s="10">
        <v>0</v>
      </c>
      <c r="H25" s="115">
        <v>1</v>
      </c>
      <c r="I25" s="115">
        <v>0.5</v>
      </c>
      <c r="J25" s="147">
        <f t="shared" ca="1" si="0"/>
        <v>0</v>
      </c>
      <c r="K25" s="136"/>
      <c r="L25" s="136">
        <f t="shared" ca="1" si="1"/>
        <v>0.37</v>
      </c>
      <c r="M25" s="136">
        <f t="shared" ca="1" si="2"/>
        <v>0</v>
      </c>
      <c r="N25" s="136">
        <f t="shared" ca="1" si="3"/>
        <v>0</v>
      </c>
      <c r="O25" s="136">
        <f t="shared" ca="1" si="4"/>
        <v>0</v>
      </c>
      <c r="P25" s="136">
        <f t="shared" si="5"/>
        <v>0</v>
      </c>
      <c r="Q25" s="136">
        <f t="shared" si="6"/>
        <v>0</v>
      </c>
      <c r="R25" s="136">
        <f t="shared" ca="1" si="7"/>
        <v>0</v>
      </c>
      <c r="S25" s="127">
        <f t="shared" si="8"/>
        <v>0</v>
      </c>
      <c r="T25" s="127"/>
      <c r="U25" s="127"/>
      <c r="V25" s="127"/>
      <c r="W25" s="127"/>
      <c r="X25" s="127"/>
      <c r="Y25" s="127"/>
      <c r="Z25" s="127"/>
      <c r="AA25" s="127"/>
      <c r="AB25" s="127"/>
      <c r="AC25" s="127"/>
      <c r="AD25" s="127"/>
      <c r="AE25" s="127"/>
      <c r="AF25" s="127"/>
    </row>
    <row r="26" spans="1:32" x14ac:dyDescent="0.25">
      <c r="A26" s="136"/>
      <c r="B26" s="677"/>
      <c r="C26" s="678"/>
      <c r="D26" s="678"/>
      <c r="E26" s="11">
        <v>0</v>
      </c>
      <c r="F26" s="10" t="s">
        <v>410</v>
      </c>
      <c r="G26" s="10">
        <v>0</v>
      </c>
      <c r="H26" s="115">
        <v>1</v>
      </c>
      <c r="I26" s="115">
        <v>0.5</v>
      </c>
      <c r="J26" s="147">
        <f t="shared" ca="1" si="0"/>
        <v>0</v>
      </c>
      <c r="K26" s="136"/>
      <c r="L26" s="136">
        <f t="shared" ca="1" si="1"/>
        <v>0.37</v>
      </c>
      <c r="M26" s="136">
        <f t="shared" ca="1" si="2"/>
        <v>0</v>
      </c>
      <c r="N26" s="136">
        <f t="shared" ca="1" si="3"/>
        <v>0</v>
      </c>
      <c r="O26" s="136">
        <f t="shared" ca="1" si="4"/>
        <v>0</v>
      </c>
      <c r="P26" s="136">
        <f t="shared" si="5"/>
        <v>0</v>
      </c>
      <c r="Q26" s="136">
        <f t="shared" si="6"/>
        <v>0</v>
      </c>
      <c r="R26" s="136">
        <f t="shared" ca="1" si="7"/>
        <v>0</v>
      </c>
      <c r="S26" s="127">
        <f t="shared" si="8"/>
        <v>0</v>
      </c>
      <c r="T26" s="127"/>
      <c r="U26" s="127"/>
      <c r="V26" s="127"/>
      <c r="W26" s="127"/>
      <c r="X26" s="127"/>
      <c r="Y26" s="127"/>
      <c r="Z26" s="127"/>
      <c r="AA26" s="127"/>
      <c r="AB26" s="127"/>
      <c r="AC26" s="127"/>
      <c r="AD26" s="127"/>
      <c r="AE26" s="127"/>
      <c r="AF26" s="127"/>
    </row>
    <row r="27" spans="1:32" x14ac:dyDescent="0.25">
      <c r="A27" s="136"/>
      <c r="B27" s="677"/>
      <c r="C27" s="678"/>
      <c r="D27" s="678"/>
      <c r="E27" s="11">
        <v>0</v>
      </c>
      <c r="F27" s="10" t="s">
        <v>410</v>
      </c>
      <c r="G27" s="10">
        <v>0</v>
      </c>
      <c r="H27" s="115">
        <v>1</v>
      </c>
      <c r="I27" s="115">
        <v>0.5</v>
      </c>
      <c r="J27" s="147">
        <f t="shared" ca="1" si="0"/>
        <v>0</v>
      </c>
      <c r="K27" s="136"/>
      <c r="L27" s="136">
        <f t="shared" ca="1" si="1"/>
        <v>0.37</v>
      </c>
      <c r="M27" s="136">
        <f t="shared" ca="1" si="2"/>
        <v>0</v>
      </c>
      <c r="N27" s="136">
        <f t="shared" ca="1" si="3"/>
        <v>0</v>
      </c>
      <c r="O27" s="136">
        <f t="shared" ca="1" si="4"/>
        <v>0</v>
      </c>
      <c r="P27" s="136">
        <f t="shared" si="5"/>
        <v>0</v>
      </c>
      <c r="Q27" s="136">
        <f t="shared" si="6"/>
        <v>0</v>
      </c>
      <c r="R27" s="136">
        <f t="shared" ca="1" si="7"/>
        <v>0</v>
      </c>
      <c r="S27" s="127">
        <f t="shared" si="8"/>
        <v>0</v>
      </c>
      <c r="T27" s="127"/>
      <c r="U27" s="127"/>
      <c r="V27" s="127"/>
      <c r="W27" s="127"/>
      <c r="X27" s="127"/>
      <c r="Y27" s="127"/>
      <c r="Z27" s="127"/>
      <c r="AA27" s="127"/>
      <c r="AB27" s="127"/>
      <c r="AC27" s="127"/>
      <c r="AD27" s="127"/>
      <c r="AE27" s="127"/>
      <c r="AF27" s="127"/>
    </row>
    <row r="28" spans="1:32" x14ac:dyDescent="0.25">
      <c r="A28" s="136"/>
      <c r="B28" s="677"/>
      <c r="C28" s="678"/>
      <c r="D28" s="678"/>
      <c r="E28" s="11">
        <v>0</v>
      </c>
      <c r="F28" s="10" t="s">
        <v>410</v>
      </c>
      <c r="G28" s="10">
        <v>0</v>
      </c>
      <c r="H28" s="115">
        <v>1</v>
      </c>
      <c r="I28" s="115">
        <v>0.5</v>
      </c>
      <c r="J28" s="147">
        <f t="shared" ca="1" si="0"/>
        <v>0</v>
      </c>
      <c r="K28" s="136"/>
      <c r="L28" s="136">
        <f t="shared" ca="1" si="1"/>
        <v>0.37</v>
      </c>
      <c r="M28" s="136">
        <f t="shared" ca="1" si="2"/>
        <v>0</v>
      </c>
      <c r="N28" s="136">
        <f t="shared" ca="1" si="3"/>
        <v>0</v>
      </c>
      <c r="O28" s="136">
        <f t="shared" ca="1" si="4"/>
        <v>0</v>
      </c>
      <c r="P28" s="136">
        <f t="shared" si="5"/>
        <v>0</v>
      </c>
      <c r="Q28" s="136">
        <f t="shared" si="6"/>
        <v>0</v>
      </c>
      <c r="R28" s="136">
        <f t="shared" ca="1" si="7"/>
        <v>0</v>
      </c>
      <c r="S28" s="127">
        <f t="shared" si="8"/>
        <v>0</v>
      </c>
      <c r="T28" s="127"/>
      <c r="U28" s="127"/>
      <c r="V28" s="127"/>
      <c r="W28" s="127"/>
      <c r="X28" s="127"/>
      <c r="Y28" s="127"/>
      <c r="Z28" s="127"/>
      <c r="AA28" s="127"/>
      <c r="AB28" s="127"/>
      <c r="AC28" s="127"/>
      <c r="AD28" s="127"/>
      <c r="AE28" s="127"/>
      <c r="AF28" s="127"/>
    </row>
    <row r="29" spans="1:32" x14ac:dyDescent="0.25">
      <c r="A29" s="136"/>
      <c r="B29" s="677"/>
      <c r="C29" s="678"/>
      <c r="D29" s="678"/>
      <c r="E29" s="11">
        <v>0</v>
      </c>
      <c r="F29" s="10" t="s">
        <v>410</v>
      </c>
      <c r="G29" s="10">
        <v>0</v>
      </c>
      <c r="H29" s="115">
        <v>1</v>
      </c>
      <c r="I29" s="115">
        <v>0.5</v>
      </c>
      <c r="J29" s="147">
        <f t="shared" ca="1" si="0"/>
        <v>0</v>
      </c>
      <c r="K29" s="136"/>
      <c r="L29" s="136">
        <f t="shared" ca="1" si="1"/>
        <v>0.37</v>
      </c>
      <c r="M29" s="136">
        <f t="shared" ca="1" si="2"/>
        <v>0</v>
      </c>
      <c r="N29" s="136">
        <f t="shared" ca="1" si="3"/>
        <v>0</v>
      </c>
      <c r="O29" s="136">
        <f t="shared" ca="1" si="4"/>
        <v>0</v>
      </c>
      <c r="P29" s="136">
        <f t="shared" si="5"/>
        <v>0</v>
      </c>
      <c r="Q29" s="136">
        <f t="shared" si="6"/>
        <v>0</v>
      </c>
      <c r="R29" s="136">
        <f t="shared" ca="1" si="7"/>
        <v>0</v>
      </c>
      <c r="S29" s="127">
        <f t="shared" si="8"/>
        <v>0</v>
      </c>
      <c r="T29" s="127"/>
      <c r="U29" s="127"/>
      <c r="V29" s="127"/>
      <c r="W29" s="127"/>
      <c r="X29" s="127"/>
      <c r="Y29" s="127"/>
      <c r="Z29" s="127"/>
      <c r="AA29" s="127"/>
      <c r="AB29" s="127"/>
      <c r="AC29" s="127"/>
      <c r="AD29" s="127"/>
      <c r="AE29" s="127"/>
      <c r="AF29" s="127"/>
    </row>
    <row r="30" spans="1:32" x14ac:dyDescent="0.25">
      <c r="A30" s="136"/>
      <c r="B30" s="677"/>
      <c r="C30" s="678"/>
      <c r="D30" s="678"/>
      <c r="E30" s="11">
        <v>0</v>
      </c>
      <c r="F30" s="10" t="s">
        <v>410</v>
      </c>
      <c r="G30" s="10">
        <v>0</v>
      </c>
      <c r="H30" s="115">
        <v>1</v>
      </c>
      <c r="I30" s="115">
        <v>0.5</v>
      </c>
      <c r="J30" s="147">
        <f t="shared" ca="1" si="0"/>
        <v>0</v>
      </c>
      <c r="K30" s="136"/>
      <c r="L30" s="136">
        <f t="shared" ca="1" si="1"/>
        <v>0.37</v>
      </c>
      <c r="M30" s="136">
        <f t="shared" ca="1" si="2"/>
        <v>0</v>
      </c>
      <c r="N30" s="136">
        <f t="shared" ca="1" si="3"/>
        <v>0</v>
      </c>
      <c r="O30" s="136">
        <f t="shared" ca="1" si="4"/>
        <v>0</v>
      </c>
      <c r="P30" s="136">
        <f t="shared" si="5"/>
        <v>0</v>
      </c>
      <c r="Q30" s="136">
        <f t="shared" si="6"/>
        <v>0</v>
      </c>
      <c r="R30" s="136">
        <f t="shared" ca="1" si="7"/>
        <v>0</v>
      </c>
      <c r="S30" s="127">
        <f t="shared" si="8"/>
        <v>0</v>
      </c>
      <c r="T30" s="127"/>
      <c r="U30" s="127"/>
      <c r="V30" s="127"/>
      <c r="W30" s="127"/>
      <c r="X30" s="127"/>
      <c r="Y30" s="127"/>
      <c r="Z30" s="127"/>
      <c r="AA30" s="127"/>
      <c r="AB30" s="127"/>
      <c r="AC30" s="127"/>
      <c r="AD30" s="127"/>
      <c r="AE30" s="127"/>
      <c r="AF30" s="127"/>
    </row>
    <row r="31" spans="1:32" x14ac:dyDescent="0.25">
      <c r="A31" s="136"/>
      <c r="B31" s="677"/>
      <c r="C31" s="678"/>
      <c r="D31" s="678"/>
      <c r="E31" s="11">
        <v>0</v>
      </c>
      <c r="F31" s="10" t="s">
        <v>410</v>
      </c>
      <c r="G31" s="10">
        <v>0</v>
      </c>
      <c r="H31" s="115">
        <v>1</v>
      </c>
      <c r="I31" s="115">
        <v>0.5</v>
      </c>
      <c r="J31" s="147">
        <f t="shared" ca="1" si="0"/>
        <v>0</v>
      </c>
      <c r="K31" s="136"/>
      <c r="L31" s="136">
        <f t="shared" ca="1" si="1"/>
        <v>0.37</v>
      </c>
      <c r="M31" s="136">
        <f t="shared" ca="1" si="2"/>
        <v>0</v>
      </c>
      <c r="N31" s="136">
        <f t="shared" ca="1" si="3"/>
        <v>0</v>
      </c>
      <c r="O31" s="136">
        <f t="shared" ca="1" si="4"/>
        <v>0</v>
      </c>
      <c r="P31" s="136">
        <f t="shared" si="5"/>
        <v>0</v>
      </c>
      <c r="Q31" s="136">
        <f t="shared" si="6"/>
        <v>0</v>
      </c>
      <c r="R31" s="136">
        <f t="shared" ca="1" si="7"/>
        <v>0</v>
      </c>
      <c r="S31" s="127">
        <f t="shared" si="8"/>
        <v>0</v>
      </c>
      <c r="T31" s="127"/>
      <c r="U31" s="127"/>
      <c r="V31" s="127"/>
      <c r="W31" s="127"/>
      <c r="X31" s="127"/>
      <c r="Y31" s="127"/>
      <c r="Z31" s="127"/>
      <c r="AA31" s="127"/>
      <c r="AB31" s="127"/>
      <c r="AC31" s="127"/>
      <c r="AD31" s="127"/>
      <c r="AE31" s="127"/>
      <c r="AF31" s="127"/>
    </row>
    <row r="32" spans="1:32" x14ac:dyDescent="0.25">
      <c r="A32" s="136"/>
      <c r="B32" s="677"/>
      <c r="C32" s="678"/>
      <c r="D32" s="678"/>
      <c r="E32" s="11">
        <v>0</v>
      </c>
      <c r="F32" s="10" t="s">
        <v>410</v>
      </c>
      <c r="G32" s="10">
        <v>0</v>
      </c>
      <c r="H32" s="115">
        <v>1</v>
      </c>
      <c r="I32" s="115">
        <v>0.5</v>
      </c>
      <c r="J32" s="147">
        <f t="shared" ca="1" si="0"/>
        <v>0</v>
      </c>
      <c r="K32" s="136"/>
      <c r="L32" s="136">
        <f t="shared" ca="1" si="1"/>
        <v>0.37</v>
      </c>
      <c r="M32" s="136">
        <f t="shared" ca="1" si="2"/>
        <v>0</v>
      </c>
      <c r="N32" s="136">
        <f t="shared" ca="1" si="3"/>
        <v>0</v>
      </c>
      <c r="O32" s="136">
        <f t="shared" ca="1" si="4"/>
        <v>0</v>
      </c>
      <c r="P32" s="136">
        <f t="shared" si="5"/>
        <v>0</v>
      </c>
      <c r="Q32" s="136">
        <f t="shared" si="6"/>
        <v>0</v>
      </c>
      <c r="R32" s="136">
        <f t="shared" ca="1" si="7"/>
        <v>0</v>
      </c>
      <c r="S32" s="127">
        <f t="shared" si="8"/>
        <v>0</v>
      </c>
      <c r="T32" s="127"/>
      <c r="U32" s="127"/>
      <c r="V32" s="127"/>
      <c r="W32" s="127"/>
      <c r="X32" s="127"/>
      <c r="Y32" s="127"/>
      <c r="Z32" s="127"/>
      <c r="AA32" s="127"/>
      <c r="AB32" s="127"/>
      <c r="AC32" s="127"/>
      <c r="AD32" s="127"/>
      <c r="AE32" s="127"/>
      <c r="AF32" s="127"/>
    </row>
    <row r="33" spans="1:32" x14ac:dyDescent="0.25">
      <c r="A33" s="136"/>
      <c r="B33" s="677"/>
      <c r="C33" s="678"/>
      <c r="D33" s="678"/>
      <c r="E33" s="11">
        <v>0</v>
      </c>
      <c r="F33" s="10" t="s">
        <v>410</v>
      </c>
      <c r="G33" s="10">
        <v>0</v>
      </c>
      <c r="H33" s="115">
        <v>1</v>
      </c>
      <c r="I33" s="115">
        <v>0.5</v>
      </c>
      <c r="J33" s="147">
        <f t="shared" ca="1" si="0"/>
        <v>0</v>
      </c>
      <c r="K33" s="136"/>
      <c r="L33" s="136">
        <f t="shared" ca="1" si="1"/>
        <v>0.37</v>
      </c>
      <c r="M33" s="136">
        <f t="shared" ca="1" si="2"/>
        <v>0</v>
      </c>
      <c r="N33" s="136">
        <f t="shared" ca="1" si="3"/>
        <v>0</v>
      </c>
      <c r="O33" s="136">
        <f t="shared" ca="1" si="4"/>
        <v>0</v>
      </c>
      <c r="P33" s="136">
        <f t="shared" si="5"/>
        <v>0</v>
      </c>
      <c r="Q33" s="136">
        <f t="shared" si="6"/>
        <v>0</v>
      </c>
      <c r="R33" s="136">
        <f t="shared" ca="1" si="7"/>
        <v>0</v>
      </c>
      <c r="S33" s="127">
        <f t="shared" si="8"/>
        <v>0</v>
      </c>
      <c r="T33" s="127"/>
      <c r="U33" s="127"/>
      <c r="V33" s="127"/>
      <c r="W33" s="127"/>
      <c r="X33" s="127"/>
      <c r="Y33" s="127"/>
      <c r="Z33" s="127"/>
      <c r="AA33" s="127"/>
      <c r="AB33" s="127"/>
      <c r="AC33" s="127"/>
      <c r="AD33" s="127"/>
      <c r="AE33" s="127"/>
      <c r="AF33" s="127"/>
    </row>
    <row r="34" spans="1:32" x14ac:dyDescent="0.25">
      <c r="A34" s="136"/>
      <c r="B34" s="677"/>
      <c r="C34" s="678"/>
      <c r="D34" s="678"/>
      <c r="E34" s="11">
        <v>0</v>
      </c>
      <c r="F34" s="10" t="s">
        <v>410</v>
      </c>
      <c r="G34" s="10">
        <v>0</v>
      </c>
      <c r="H34" s="115">
        <v>1</v>
      </c>
      <c r="I34" s="115">
        <v>0.5</v>
      </c>
      <c r="J34" s="147">
        <f t="shared" ca="1" si="0"/>
        <v>0</v>
      </c>
      <c r="K34" s="136"/>
      <c r="L34" s="136">
        <f t="shared" ca="1" si="1"/>
        <v>0.37</v>
      </c>
      <c r="M34" s="136">
        <f t="shared" ca="1" si="2"/>
        <v>0</v>
      </c>
      <c r="N34" s="136">
        <f t="shared" ca="1" si="3"/>
        <v>0</v>
      </c>
      <c r="O34" s="136">
        <f t="shared" ca="1" si="4"/>
        <v>0</v>
      </c>
      <c r="P34" s="136">
        <f t="shared" si="5"/>
        <v>0</v>
      </c>
      <c r="Q34" s="136">
        <f t="shared" si="6"/>
        <v>0</v>
      </c>
      <c r="R34" s="136">
        <f t="shared" ca="1" si="7"/>
        <v>0</v>
      </c>
      <c r="S34" s="127">
        <f t="shared" si="8"/>
        <v>0</v>
      </c>
      <c r="T34" s="127"/>
      <c r="U34" s="127"/>
      <c r="V34" s="127"/>
      <c r="W34" s="127"/>
      <c r="X34" s="127"/>
      <c r="Y34" s="127"/>
      <c r="Z34" s="127"/>
      <c r="AA34" s="127"/>
      <c r="AB34" s="127"/>
      <c r="AC34" s="127"/>
      <c r="AD34" s="127"/>
      <c r="AE34" s="127"/>
      <c r="AF34" s="127"/>
    </row>
    <row r="35" spans="1:32" x14ac:dyDescent="0.25">
      <c r="A35" s="136"/>
      <c r="B35" s="677"/>
      <c r="C35" s="678"/>
      <c r="D35" s="678"/>
      <c r="E35" s="11">
        <v>0</v>
      </c>
      <c r="F35" s="10" t="s">
        <v>410</v>
      </c>
      <c r="G35" s="10">
        <v>0</v>
      </c>
      <c r="H35" s="115">
        <v>1</v>
      </c>
      <c r="I35" s="115">
        <v>0.5</v>
      </c>
      <c r="J35" s="147">
        <f t="shared" ca="1" si="0"/>
        <v>0</v>
      </c>
      <c r="K35" s="136"/>
      <c r="L35" s="136">
        <f t="shared" ca="1" si="1"/>
        <v>0.37</v>
      </c>
      <c r="M35" s="136">
        <f t="shared" ca="1" si="2"/>
        <v>0</v>
      </c>
      <c r="N35" s="136">
        <f t="shared" ca="1" si="3"/>
        <v>0</v>
      </c>
      <c r="O35" s="136">
        <f t="shared" ca="1" si="4"/>
        <v>0</v>
      </c>
      <c r="P35" s="136">
        <f t="shared" si="5"/>
        <v>0</v>
      </c>
      <c r="Q35" s="136">
        <f t="shared" si="6"/>
        <v>0</v>
      </c>
      <c r="R35" s="136">
        <f t="shared" ca="1" si="7"/>
        <v>0</v>
      </c>
      <c r="S35" s="127">
        <f t="shared" si="8"/>
        <v>0</v>
      </c>
      <c r="T35" s="127"/>
      <c r="U35" s="127"/>
      <c r="V35" s="127"/>
      <c r="W35" s="127"/>
      <c r="X35" s="127"/>
      <c r="Y35" s="127"/>
      <c r="Z35" s="127"/>
      <c r="AA35" s="127"/>
      <c r="AB35" s="127"/>
      <c r="AC35" s="127"/>
      <c r="AD35" s="127"/>
      <c r="AE35" s="127"/>
      <c r="AF35" s="127"/>
    </row>
    <row r="36" spans="1:32" x14ac:dyDescent="0.25">
      <c r="A36" s="136"/>
      <c r="B36" s="677"/>
      <c r="C36" s="678"/>
      <c r="D36" s="678"/>
      <c r="E36" s="11">
        <v>0</v>
      </c>
      <c r="F36" s="10" t="s">
        <v>410</v>
      </c>
      <c r="G36" s="10">
        <v>0</v>
      </c>
      <c r="H36" s="115">
        <v>1</v>
      </c>
      <c r="I36" s="115">
        <v>0.5</v>
      </c>
      <c r="J36" s="147">
        <f t="shared" ca="1" si="0"/>
        <v>0</v>
      </c>
      <c r="K36" s="136"/>
      <c r="L36" s="136">
        <f t="shared" ca="1" si="1"/>
        <v>0.37</v>
      </c>
      <c r="M36" s="136">
        <f t="shared" ca="1" si="2"/>
        <v>0</v>
      </c>
      <c r="N36" s="136">
        <f t="shared" ca="1" si="3"/>
        <v>0</v>
      </c>
      <c r="O36" s="136">
        <f t="shared" ca="1" si="4"/>
        <v>0</v>
      </c>
      <c r="P36" s="136">
        <f t="shared" si="5"/>
        <v>0</v>
      </c>
      <c r="Q36" s="136">
        <f t="shared" si="6"/>
        <v>0</v>
      </c>
      <c r="R36" s="136">
        <f t="shared" ca="1" si="7"/>
        <v>0</v>
      </c>
      <c r="S36" s="127">
        <f t="shared" si="8"/>
        <v>0</v>
      </c>
      <c r="T36" s="127"/>
      <c r="U36" s="127"/>
      <c r="V36" s="127"/>
      <c r="W36" s="127"/>
      <c r="X36" s="127"/>
      <c r="Y36" s="127"/>
      <c r="Z36" s="127"/>
      <c r="AA36" s="127"/>
      <c r="AB36" s="127"/>
      <c r="AC36" s="127"/>
      <c r="AD36" s="127"/>
      <c r="AE36" s="127"/>
      <c r="AF36" s="127"/>
    </row>
    <row r="37" spans="1:32" x14ac:dyDescent="0.25">
      <c r="A37" s="136"/>
      <c r="B37" s="677"/>
      <c r="C37" s="678"/>
      <c r="D37" s="678"/>
      <c r="E37" s="11">
        <v>0</v>
      </c>
      <c r="F37" s="10" t="s">
        <v>410</v>
      </c>
      <c r="G37" s="10">
        <v>0</v>
      </c>
      <c r="H37" s="115">
        <v>1</v>
      </c>
      <c r="I37" s="115">
        <v>0.5</v>
      </c>
      <c r="J37" s="147">
        <f t="shared" ca="1" si="0"/>
        <v>0</v>
      </c>
      <c r="K37" s="136"/>
      <c r="L37" s="136">
        <f t="shared" ca="1" si="1"/>
        <v>0.37</v>
      </c>
      <c r="M37" s="136">
        <f t="shared" ca="1" si="2"/>
        <v>0</v>
      </c>
      <c r="N37" s="136">
        <f t="shared" ca="1" si="3"/>
        <v>0</v>
      </c>
      <c r="O37" s="136">
        <f t="shared" ca="1" si="4"/>
        <v>0</v>
      </c>
      <c r="P37" s="136">
        <f t="shared" si="5"/>
        <v>0</v>
      </c>
      <c r="Q37" s="136">
        <f t="shared" si="6"/>
        <v>0</v>
      </c>
      <c r="R37" s="136">
        <f t="shared" ca="1" si="7"/>
        <v>0</v>
      </c>
      <c r="S37" s="127">
        <f t="shared" si="8"/>
        <v>0</v>
      </c>
      <c r="T37" s="127"/>
      <c r="U37" s="127"/>
      <c r="V37" s="127"/>
      <c r="W37" s="127"/>
      <c r="X37" s="127"/>
      <c r="Y37" s="127"/>
      <c r="Z37" s="127"/>
      <c r="AA37" s="127"/>
      <c r="AB37" s="127"/>
      <c r="AC37" s="127"/>
      <c r="AD37" s="127"/>
      <c r="AE37" s="127"/>
      <c r="AF37" s="127"/>
    </row>
    <row r="38" spans="1:32" x14ac:dyDescent="0.25">
      <c r="A38" s="136"/>
      <c r="B38" s="677"/>
      <c r="C38" s="678"/>
      <c r="D38" s="678"/>
      <c r="E38" s="11">
        <v>0</v>
      </c>
      <c r="F38" s="10" t="s">
        <v>410</v>
      </c>
      <c r="G38" s="10">
        <v>0</v>
      </c>
      <c r="H38" s="115">
        <v>1</v>
      </c>
      <c r="I38" s="115">
        <v>0.5</v>
      </c>
      <c r="J38" s="147">
        <f t="shared" ca="1" si="0"/>
        <v>0</v>
      </c>
      <c r="K38" s="136"/>
      <c r="L38" s="136">
        <f t="shared" ca="1" si="1"/>
        <v>0.37</v>
      </c>
      <c r="M38" s="136">
        <f t="shared" ca="1" si="2"/>
        <v>0</v>
      </c>
      <c r="N38" s="136">
        <f t="shared" ca="1" si="3"/>
        <v>0</v>
      </c>
      <c r="O38" s="136">
        <f t="shared" ca="1" si="4"/>
        <v>0</v>
      </c>
      <c r="P38" s="136">
        <f t="shared" si="5"/>
        <v>0</v>
      </c>
      <c r="Q38" s="136">
        <f t="shared" si="6"/>
        <v>0</v>
      </c>
      <c r="R38" s="136">
        <f t="shared" ca="1" si="7"/>
        <v>0</v>
      </c>
      <c r="S38" s="127">
        <f t="shared" si="8"/>
        <v>0</v>
      </c>
      <c r="T38" s="127"/>
      <c r="U38" s="127"/>
      <c r="V38" s="127"/>
      <c r="W38" s="127"/>
      <c r="X38" s="127"/>
      <c r="Y38" s="127"/>
      <c r="Z38" s="127"/>
      <c r="AA38" s="127"/>
      <c r="AB38" s="127"/>
      <c r="AC38" s="127"/>
      <c r="AD38" s="127"/>
      <c r="AE38" s="127"/>
      <c r="AF38" s="127"/>
    </row>
    <row r="39" spans="1:32" x14ac:dyDescent="0.25">
      <c r="A39" s="136"/>
      <c r="B39" s="677"/>
      <c r="C39" s="678"/>
      <c r="D39" s="678"/>
      <c r="E39" s="11">
        <v>0</v>
      </c>
      <c r="F39" s="10" t="s">
        <v>410</v>
      </c>
      <c r="G39" s="10">
        <v>0</v>
      </c>
      <c r="H39" s="115">
        <v>1</v>
      </c>
      <c r="I39" s="115">
        <v>0.5</v>
      </c>
      <c r="J39" s="147">
        <f t="shared" ca="1" si="0"/>
        <v>0</v>
      </c>
      <c r="K39" s="136"/>
      <c r="L39" s="136">
        <f t="shared" ca="1" si="1"/>
        <v>0.37</v>
      </c>
      <c r="M39" s="136">
        <f t="shared" ca="1" si="2"/>
        <v>0</v>
      </c>
      <c r="N39" s="136">
        <f t="shared" ca="1" si="3"/>
        <v>0</v>
      </c>
      <c r="O39" s="136">
        <f t="shared" ca="1" si="4"/>
        <v>0</v>
      </c>
      <c r="P39" s="136">
        <f t="shared" si="5"/>
        <v>0</v>
      </c>
      <c r="Q39" s="136">
        <f t="shared" si="6"/>
        <v>0</v>
      </c>
      <c r="R39" s="136">
        <f t="shared" ca="1" si="7"/>
        <v>0</v>
      </c>
      <c r="S39" s="127">
        <f t="shared" si="8"/>
        <v>0</v>
      </c>
      <c r="T39" s="127"/>
      <c r="U39" s="127"/>
      <c r="V39" s="127"/>
      <c r="W39" s="127"/>
      <c r="X39" s="127"/>
      <c r="Y39" s="127"/>
      <c r="Z39" s="127"/>
      <c r="AA39" s="127"/>
      <c r="AB39" s="127"/>
      <c r="AC39" s="127"/>
      <c r="AD39" s="127"/>
      <c r="AE39" s="127"/>
      <c r="AF39" s="127"/>
    </row>
    <row r="40" spans="1:32" x14ac:dyDescent="0.25">
      <c r="A40" s="136"/>
      <c r="B40" s="677"/>
      <c r="C40" s="678"/>
      <c r="D40" s="678"/>
      <c r="E40" s="11">
        <v>0</v>
      </c>
      <c r="F40" s="10" t="s">
        <v>410</v>
      </c>
      <c r="G40" s="10">
        <v>0</v>
      </c>
      <c r="H40" s="115">
        <v>1</v>
      </c>
      <c r="I40" s="115">
        <v>0.5</v>
      </c>
      <c r="J40" s="147">
        <f t="shared" ca="1" si="0"/>
        <v>0</v>
      </c>
      <c r="K40" s="136"/>
      <c r="L40" s="136">
        <f t="shared" ca="1" si="1"/>
        <v>0.37</v>
      </c>
      <c r="M40" s="136">
        <f t="shared" ca="1" si="2"/>
        <v>0</v>
      </c>
      <c r="N40" s="136">
        <f t="shared" ca="1" si="3"/>
        <v>0</v>
      </c>
      <c r="O40" s="136">
        <f t="shared" ca="1" si="4"/>
        <v>0</v>
      </c>
      <c r="P40" s="136">
        <f t="shared" si="5"/>
        <v>0</v>
      </c>
      <c r="Q40" s="136">
        <f t="shared" si="6"/>
        <v>0</v>
      </c>
      <c r="R40" s="136">
        <f t="shared" ca="1" si="7"/>
        <v>0</v>
      </c>
      <c r="S40" s="127">
        <f t="shared" si="8"/>
        <v>0</v>
      </c>
      <c r="T40" s="127"/>
      <c r="U40" s="127"/>
      <c r="V40" s="127"/>
      <c r="W40" s="127"/>
      <c r="X40" s="127"/>
      <c r="Y40" s="127"/>
      <c r="Z40" s="127"/>
      <c r="AA40" s="127"/>
      <c r="AB40" s="127"/>
      <c r="AC40" s="127"/>
      <c r="AD40" s="127"/>
      <c r="AE40" s="127"/>
      <c r="AF40" s="127"/>
    </row>
    <row r="41" spans="1:32" x14ac:dyDescent="0.25">
      <c r="A41" s="136"/>
      <c r="B41" s="677"/>
      <c r="C41" s="678"/>
      <c r="D41" s="678"/>
      <c r="E41" s="11">
        <v>0</v>
      </c>
      <c r="F41" s="10" t="s">
        <v>410</v>
      </c>
      <c r="G41" s="10">
        <v>0</v>
      </c>
      <c r="H41" s="115">
        <v>1</v>
      </c>
      <c r="I41" s="115">
        <v>0.5</v>
      </c>
      <c r="J41" s="147">
        <f t="shared" ca="1" si="0"/>
        <v>0</v>
      </c>
      <c r="K41" s="136"/>
      <c r="L41" s="136">
        <f t="shared" ca="1" si="1"/>
        <v>0.37</v>
      </c>
      <c r="M41" s="136">
        <f t="shared" ca="1" si="2"/>
        <v>0</v>
      </c>
      <c r="N41" s="136">
        <f t="shared" ca="1" si="3"/>
        <v>0</v>
      </c>
      <c r="O41" s="136">
        <f t="shared" ca="1" si="4"/>
        <v>0</v>
      </c>
      <c r="P41" s="136">
        <f t="shared" si="5"/>
        <v>0</v>
      </c>
      <c r="Q41" s="136">
        <f t="shared" si="6"/>
        <v>0</v>
      </c>
      <c r="R41" s="136">
        <f t="shared" ca="1" si="7"/>
        <v>0</v>
      </c>
      <c r="S41" s="127">
        <f t="shared" si="8"/>
        <v>0</v>
      </c>
      <c r="T41" s="127"/>
      <c r="U41" s="127"/>
      <c r="V41" s="127"/>
      <c r="W41" s="127"/>
      <c r="X41" s="127"/>
      <c r="Y41" s="127"/>
      <c r="Z41" s="127"/>
      <c r="AA41" s="127"/>
      <c r="AB41" s="127"/>
      <c r="AC41" s="127"/>
      <c r="AD41" s="127"/>
      <c r="AE41" s="127"/>
      <c r="AF41" s="127"/>
    </row>
    <row r="42" spans="1:32" x14ac:dyDescent="0.25">
      <c r="A42" s="136"/>
      <c r="B42" s="677"/>
      <c r="C42" s="678"/>
      <c r="D42" s="678"/>
      <c r="E42" s="11">
        <v>0</v>
      </c>
      <c r="F42" s="10" t="s">
        <v>410</v>
      </c>
      <c r="G42" s="10">
        <v>0</v>
      </c>
      <c r="H42" s="115">
        <v>1</v>
      </c>
      <c r="I42" s="115">
        <v>0.5</v>
      </c>
      <c r="J42" s="147">
        <f t="shared" ca="1" si="0"/>
        <v>0</v>
      </c>
      <c r="K42" s="136"/>
      <c r="L42" s="136">
        <f t="shared" ca="1" si="1"/>
        <v>0.37</v>
      </c>
      <c r="M42" s="136">
        <f t="shared" ca="1" si="2"/>
        <v>0</v>
      </c>
      <c r="N42" s="136">
        <f t="shared" ca="1" si="3"/>
        <v>0</v>
      </c>
      <c r="O42" s="136">
        <f t="shared" ca="1" si="4"/>
        <v>0</v>
      </c>
      <c r="P42" s="136">
        <f t="shared" si="5"/>
        <v>0</v>
      </c>
      <c r="Q42" s="136">
        <f t="shared" si="6"/>
        <v>0</v>
      </c>
      <c r="R42" s="136">
        <f t="shared" ca="1" si="7"/>
        <v>0</v>
      </c>
      <c r="S42" s="127">
        <f t="shared" si="8"/>
        <v>0</v>
      </c>
      <c r="T42" s="127"/>
      <c r="U42" s="127"/>
      <c r="V42" s="127"/>
      <c r="W42" s="127"/>
      <c r="X42" s="127"/>
      <c r="Y42" s="127"/>
      <c r="Z42" s="127"/>
      <c r="AA42" s="127"/>
      <c r="AB42" s="127"/>
      <c r="AC42" s="127"/>
      <c r="AD42" s="127"/>
      <c r="AE42" s="127"/>
      <c r="AF42" s="127"/>
    </row>
    <row r="43" spans="1:32" x14ac:dyDescent="0.25">
      <c r="A43" s="136"/>
      <c r="B43" s="677"/>
      <c r="C43" s="678"/>
      <c r="D43" s="678"/>
      <c r="E43" s="11">
        <v>0</v>
      </c>
      <c r="F43" s="10" t="s">
        <v>410</v>
      </c>
      <c r="G43" s="10">
        <v>0</v>
      </c>
      <c r="H43" s="115">
        <v>1</v>
      </c>
      <c r="I43" s="115">
        <v>0.5</v>
      </c>
      <c r="J43" s="147">
        <f t="shared" ca="1" si="0"/>
        <v>0</v>
      </c>
      <c r="K43" s="136"/>
      <c r="L43" s="136">
        <f t="shared" ca="1" si="1"/>
        <v>0.37</v>
      </c>
      <c r="M43" s="136">
        <f t="shared" ca="1" si="2"/>
        <v>0</v>
      </c>
      <c r="N43" s="136">
        <f t="shared" ca="1" si="3"/>
        <v>0</v>
      </c>
      <c r="O43" s="136">
        <f t="shared" ca="1" si="4"/>
        <v>0</v>
      </c>
      <c r="P43" s="136">
        <f t="shared" si="5"/>
        <v>0</v>
      </c>
      <c r="Q43" s="136">
        <f t="shared" si="6"/>
        <v>0</v>
      </c>
      <c r="R43" s="136">
        <f t="shared" ca="1" si="7"/>
        <v>0</v>
      </c>
      <c r="S43" s="127">
        <f t="shared" si="8"/>
        <v>0</v>
      </c>
      <c r="T43" s="127"/>
      <c r="U43" s="127"/>
      <c r="V43" s="127"/>
      <c r="W43" s="127"/>
      <c r="X43" s="127"/>
      <c r="Y43" s="127"/>
      <c r="Z43" s="127"/>
      <c r="AA43" s="127"/>
      <c r="AB43" s="127"/>
      <c r="AC43" s="127"/>
      <c r="AD43" s="127"/>
      <c r="AE43" s="127"/>
      <c r="AF43" s="127"/>
    </row>
    <row r="44" spans="1:32" x14ac:dyDescent="0.25">
      <c r="A44" s="136"/>
      <c r="B44" s="677"/>
      <c r="C44" s="678"/>
      <c r="D44" s="678"/>
      <c r="E44" s="11">
        <v>0</v>
      </c>
      <c r="F44" s="10" t="s">
        <v>410</v>
      </c>
      <c r="G44" s="10">
        <v>0</v>
      </c>
      <c r="H44" s="115">
        <v>1</v>
      </c>
      <c r="I44" s="115">
        <v>0.5</v>
      </c>
      <c r="J44" s="147">
        <f t="shared" ca="1" si="0"/>
        <v>0</v>
      </c>
      <c r="K44" s="136"/>
      <c r="L44" s="136">
        <f t="shared" ca="1" si="1"/>
        <v>0.37</v>
      </c>
      <c r="M44" s="136">
        <f t="shared" ca="1" si="2"/>
        <v>0</v>
      </c>
      <c r="N44" s="136">
        <f t="shared" ca="1" si="3"/>
        <v>0</v>
      </c>
      <c r="O44" s="136">
        <f t="shared" ca="1" si="4"/>
        <v>0</v>
      </c>
      <c r="P44" s="136">
        <f t="shared" si="5"/>
        <v>0</v>
      </c>
      <c r="Q44" s="136">
        <f t="shared" si="6"/>
        <v>0</v>
      </c>
      <c r="R44" s="136">
        <f t="shared" ca="1" si="7"/>
        <v>0</v>
      </c>
      <c r="S44" s="127">
        <f t="shared" si="8"/>
        <v>0</v>
      </c>
      <c r="T44" s="127"/>
      <c r="U44" s="127"/>
      <c r="V44" s="127"/>
      <c r="W44" s="127"/>
      <c r="X44" s="127"/>
      <c r="Y44" s="127"/>
      <c r="Z44" s="127"/>
      <c r="AA44" s="127"/>
      <c r="AB44" s="127"/>
      <c r="AC44" s="127"/>
      <c r="AD44" s="127"/>
      <c r="AE44" s="127"/>
      <c r="AF44" s="127"/>
    </row>
    <row r="45" spans="1:32" x14ac:dyDescent="0.25">
      <c r="A45" s="136"/>
      <c r="B45" s="677"/>
      <c r="C45" s="678"/>
      <c r="D45" s="678"/>
      <c r="E45" s="11">
        <v>0</v>
      </c>
      <c r="F45" s="10" t="s">
        <v>410</v>
      </c>
      <c r="G45" s="10">
        <v>0</v>
      </c>
      <c r="H45" s="115">
        <v>1</v>
      </c>
      <c r="I45" s="115">
        <v>0.5</v>
      </c>
      <c r="J45" s="147">
        <f t="shared" ca="1" si="0"/>
        <v>0</v>
      </c>
      <c r="K45" s="136"/>
      <c r="L45" s="136">
        <f t="shared" ca="1" si="1"/>
        <v>0.37</v>
      </c>
      <c r="M45" s="136">
        <f t="shared" ca="1" si="2"/>
        <v>0</v>
      </c>
      <c r="N45" s="136">
        <f t="shared" ca="1" si="3"/>
        <v>0</v>
      </c>
      <c r="O45" s="136">
        <f t="shared" ca="1" si="4"/>
        <v>0</v>
      </c>
      <c r="P45" s="136">
        <f t="shared" si="5"/>
        <v>0</v>
      </c>
      <c r="Q45" s="136">
        <f t="shared" si="6"/>
        <v>0</v>
      </c>
      <c r="R45" s="136">
        <f t="shared" ca="1" si="7"/>
        <v>0</v>
      </c>
      <c r="S45" s="127">
        <f t="shared" si="8"/>
        <v>0</v>
      </c>
      <c r="T45" s="127"/>
      <c r="U45" s="127"/>
      <c r="V45" s="127"/>
      <c r="W45" s="127"/>
      <c r="X45" s="127"/>
      <c r="Y45" s="127"/>
      <c r="Z45" s="127"/>
      <c r="AA45" s="127"/>
      <c r="AB45" s="127"/>
      <c r="AC45" s="127"/>
      <c r="AD45" s="127"/>
      <c r="AE45" s="127"/>
      <c r="AF45" s="127"/>
    </row>
    <row r="46" spans="1:32" x14ac:dyDescent="0.25">
      <c r="A46" s="136"/>
      <c r="B46" s="677"/>
      <c r="C46" s="678"/>
      <c r="D46" s="678"/>
      <c r="E46" s="11">
        <v>0</v>
      </c>
      <c r="F46" s="10" t="s">
        <v>410</v>
      </c>
      <c r="G46" s="10">
        <v>0</v>
      </c>
      <c r="H46" s="115">
        <v>1</v>
      </c>
      <c r="I46" s="115">
        <v>0.5</v>
      </c>
      <c r="J46" s="147">
        <f t="shared" ca="1" si="0"/>
        <v>0</v>
      </c>
      <c r="K46" s="136"/>
      <c r="L46" s="136">
        <f t="shared" ca="1" si="1"/>
        <v>0.37</v>
      </c>
      <c r="M46" s="136">
        <f t="shared" ca="1" si="2"/>
        <v>0</v>
      </c>
      <c r="N46" s="136">
        <f t="shared" ca="1" si="3"/>
        <v>0</v>
      </c>
      <c r="O46" s="136">
        <f t="shared" ca="1" si="4"/>
        <v>0</v>
      </c>
      <c r="P46" s="136">
        <f t="shared" si="5"/>
        <v>0</v>
      </c>
      <c r="Q46" s="136">
        <f t="shared" si="6"/>
        <v>0</v>
      </c>
      <c r="R46" s="136">
        <f t="shared" ca="1" si="7"/>
        <v>0</v>
      </c>
      <c r="S46" s="127">
        <f t="shared" si="8"/>
        <v>0</v>
      </c>
      <c r="T46" s="127"/>
      <c r="U46" s="127"/>
      <c r="V46" s="127"/>
      <c r="W46" s="127"/>
      <c r="X46" s="127"/>
      <c r="Y46" s="127"/>
      <c r="Z46" s="127"/>
      <c r="AA46" s="127"/>
      <c r="AB46" s="127"/>
      <c r="AC46" s="127"/>
      <c r="AD46" s="127"/>
      <c r="AE46" s="127"/>
      <c r="AF46" s="127"/>
    </row>
    <row r="47" spans="1:32" x14ac:dyDescent="0.25">
      <c r="A47" s="136"/>
      <c r="B47" s="677"/>
      <c r="C47" s="678"/>
      <c r="D47" s="678"/>
      <c r="E47" s="11">
        <v>0</v>
      </c>
      <c r="F47" s="10" t="s">
        <v>410</v>
      </c>
      <c r="G47" s="10">
        <v>0</v>
      </c>
      <c r="H47" s="115">
        <v>1</v>
      </c>
      <c r="I47" s="115">
        <v>0.5</v>
      </c>
      <c r="J47" s="147">
        <f t="shared" ca="1" si="0"/>
        <v>0</v>
      </c>
      <c r="K47" s="136"/>
      <c r="L47" s="136">
        <f t="shared" ca="1" si="1"/>
        <v>0.37</v>
      </c>
      <c r="M47" s="136">
        <f t="shared" ca="1" si="2"/>
        <v>0</v>
      </c>
      <c r="N47" s="136">
        <f t="shared" ca="1" si="3"/>
        <v>0</v>
      </c>
      <c r="O47" s="136">
        <f t="shared" ca="1" si="4"/>
        <v>0</v>
      </c>
      <c r="P47" s="136">
        <f t="shared" si="5"/>
        <v>0</v>
      </c>
      <c r="Q47" s="136">
        <f t="shared" si="6"/>
        <v>0</v>
      </c>
      <c r="R47" s="136">
        <f t="shared" ca="1" si="7"/>
        <v>0</v>
      </c>
      <c r="S47" s="127">
        <f t="shared" si="8"/>
        <v>0</v>
      </c>
      <c r="T47" s="127"/>
      <c r="U47" s="127"/>
      <c r="V47" s="127"/>
      <c r="W47" s="127"/>
      <c r="X47" s="127"/>
      <c r="Y47" s="127"/>
      <c r="Z47" s="127"/>
      <c r="AA47" s="127"/>
      <c r="AB47" s="127"/>
      <c r="AC47" s="127"/>
      <c r="AD47" s="127"/>
      <c r="AE47" s="127"/>
      <c r="AF47" s="127"/>
    </row>
    <row r="48" spans="1:32" x14ac:dyDescent="0.25">
      <c r="A48" s="136"/>
      <c r="B48" s="677"/>
      <c r="C48" s="678"/>
      <c r="D48" s="678"/>
      <c r="E48" s="11">
        <v>0</v>
      </c>
      <c r="F48" s="10" t="s">
        <v>410</v>
      </c>
      <c r="G48" s="10">
        <v>0</v>
      </c>
      <c r="H48" s="115">
        <v>1</v>
      </c>
      <c r="I48" s="115">
        <v>0.5</v>
      </c>
      <c r="J48" s="147">
        <f t="shared" ca="1" si="0"/>
        <v>0</v>
      </c>
      <c r="K48" s="136"/>
      <c r="L48" s="136">
        <f t="shared" ca="1" si="1"/>
        <v>0.37</v>
      </c>
      <c r="M48" s="136">
        <f t="shared" ca="1" si="2"/>
        <v>0</v>
      </c>
      <c r="N48" s="136">
        <f t="shared" ca="1" si="3"/>
        <v>0</v>
      </c>
      <c r="O48" s="136">
        <f t="shared" ca="1" si="4"/>
        <v>0</v>
      </c>
      <c r="P48" s="136">
        <f t="shared" si="5"/>
        <v>0</v>
      </c>
      <c r="Q48" s="136">
        <f t="shared" si="6"/>
        <v>0</v>
      </c>
      <c r="R48" s="136">
        <f t="shared" ca="1" si="7"/>
        <v>0</v>
      </c>
      <c r="S48" s="127">
        <f t="shared" si="8"/>
        <v>0</v>
      </c>
      <c r="T48" s="127"/>
      <c r="U48" s="127"/>
      <c r="V48" s="127"/>
      <c r="W48" s="127"/>
      <c r="X48" s="127"/>
      <c r="Y48" s="127"/>
      <c r="Z48" s="127"/>
      <c r="AA48" s="127"/>
      <c r="AB48" s="127"/>
      <c r="AC48" s="127"/>
      <c r="AD48" s="127"/>
      <c r="AE48" s="127"/>
      <c r="AF48" s="127"/>
    </row>
    <row r="49" spans="1:32" x14ac:dyDescent="0.25">
      <c r="A49" s="136"/>
      <c r="B49" s="677"/>
      <c r="C49" s="678"/>
      <c r="D49" s="678"/>
      <c r="E49" s="11">
        <v>0</v>
      </c>
      <c r="F49" s="10" t="s">
        <v>410</v>
      </c>
      <c r="G49" s="10">
        <v>0</v>
      </c>
      <c r="H49" s="115">
        <v>1</v>
      </c>
      <c r="I49" s="115">
        <v>0.5</v>
      </c>
      <c r="J49" s="147">
        <f t="shared" ca="1" si="0"/>
        <v>0</v>
      </c>
      <c r="K49" s="136"/>
      <c r="L49" s="136">
        <f t="shared" ca="1" si="1"/>
        <v>0.37</v>
      </c>
      <c r="M49" s="136">
        <f t="shared" ca="1" si="2"/>
        <v>0</v>
      </c>
      <c r="N49" s="136">
        <f t="shared" ca="1" si="3"/>
        <v>0</v>
      </c>
      <c r="O49" s="136">
        <f t="shared" ca="1" si="4"/>
        <v>0</v>
      </c>
      <c r="P49" s="136">
        <f t="shared" si="5"/>
        <v>0</v>
      </c>
      <c r="Q49" s="136">
        <f t="shared" si="6"/>
        <v>0</v>
      </c>
      <c r="R49" s="136">
        <f t="shared" ca="1" si="7"/>
        <v>0</v>
      </c>
      <c r="S49" s="127">
        <f t="shared" si="8"/>
        <v>0</v>
      </c>
      <c r="T49" s="127"/>
      <c r="U49" s="127"/>
      <c r="V49" s="127"/>
      <c r="W49" s="127"/>
      <c r="X49" s="127"/>
      <c r="Y49" s="127"/>
      <c r="Z49" s="127"/>
      <c r="AA49" s="127"/>
      <c r="AB49" s="127"/>
      <c r="AC49" s="127"/>
      <c r="AD49" s="127"/>
      <c r="AE49" s="127"/>
      <c r="AF49" s="127"/>
    </row>
    <row r="50" spans="1:32" x14ac:dyDescent="0.25">
      <c r="A50" s="136"/>
      <c r="B50" s="677"/>
      <c r="C50" s="678"/>
      <c r="D50" s="678"/>
      <c r="E50" s="11">
        <v>0</v>
      </c>
      <c r="F50" s="10" t="s">
        <v>410</v>
      </c>
      <c r="G50" s="10">
        <v>0</v>
      </c>
      <c r="H50" s="115">
        <v>1</v>
      </c>
      <c r="I50" s="115">
        <v>0.5</v>
      </c>
      <c r="J50" s="147">
        <f t="shared" ca="1" si="0"/>
        <v>0</v>
      </c>
      <c r="K50" s="136"/>
      <c r="L50" s="136">
        <f t="shared" ca="1" si="1"/>
        <v>0.37</v>
      </c>
      <c r="M50" s="136">
        <f t="shared" ca="1" si="2"/>
        <v>0</v>
      </c>
      <c r="N50" s="136">
        <f t="shared" ca="1" si="3"/>
        <v>0</v>
      </c>
      <c r="O50" s="136">
        <f t="shared" ca="1" si="4"/>
        <v>0</v>
      </c>
      <c r="P50" s="136">
        <f t="shared" si="5"/>
        <v>0</v>
      </c>
      <c r="Q50" s="136">
        <f t="shared" si="6"/>
        <v>0</v>
      </c>
      <c r="R50" s="136">
        <f t="shared" ca="1" si="7"/>
        <v>0</v>
      </c>
      <c r="S50" s="127">
        <f t="shared" si="8"/>
        <v>0</v>
      </c>
      <c r="T50" s="127"/>
      <c r="U50" s="127"/>
      <c r="V50" s="127"/>
      <c r="W50" s="127"/>
      <c r="X50" s="127"/>
      <c r="Y50" s="127"/>
      <c r="Z50" s="127"/>
      <c r="AA50" s="127"/>
      <c r="AB50" s="127"/>
      <c r="AC50" s="127"/>
      <c r="AD50" s="127"/>
      <c r="AE50" s="127"/>
      <c r="AF50" s="127"/>
    </row>
    <row r="51" spans="1:32" x14ac:dyDescent="0.25">
      <c r="A51" s="136"/>
      <c r="B51" s="677"/>
      <c r="C51" s="678"/>
      <c r="D51" s="678"/>
      <c r="E51" s="11">
        <v>0</v>
      </c>
      <c r="F51" s="10" t="s">
        <v>410</v>
      </c>
      <c r="G51" s="10">
        <v>0</v>
      </c>
      <c r="H51" s="115">
        <v>1</v>
      </c>
      <c r="I51" s="115">
        <v>0.5</v>
      </c>
      <c r="J51" s="147">
        <f t="shared" ca="1" si="0"/>
        <v>0</v>
      </c>
      <c r="K51" s="136"/>
      <c r="L51" s="136">
        <f t="shared" ca="1" si="1"/>
        <v>0.37</v>
      </c>
      <c r="M51" s="136">
        <f t="shared" ca="1" si="2"/>
        <v>0</v>
      </c>
      <c r="N51" s="136">
        <f t="shared" ca="1" si="3"/>
        <v>0</v>
      </c>
      <c r="O51" s="136">
        <f t="shared" ca="1" si="4"/>
        <v>0</v>
      </c>
      <c r="P51" s="136">
        <f t="shared" si="5"/>
        <v>0</v>
      </c>
      <c r="Q51" s="136">
        <f t="shared" si="6"/>
        <v>0</v>
      </c>
      <c r="R51" s="136">
        <f t="shared" ca="1" si="7"/>
        <v>0</v>
      </c>
      <c r="S51" s="127">
        <f t="shared" si="8"/>
        <v>0</v>
      </c>
      <c r="T51" s="127"/>
      <c r="U51" s="127"/>
      <c r="V51" s="127"/>
      <c r="W51" s="127"/>
      <c r="X51" s="127"/>
      <c r="Y51" s="127"/>
      <c r="Z51" s="127"/>
      <c r="AA51" s="127"/>
      <c r="AB51" s="127"/>
      <c r="AC51" s="127"/>
      <c r="AD51" s="127"/>
      <c r="AE51" s="127"/>
      <c r="AF51" s="127"/>
    </row>
    <row r="52" spans="1:32" x14ac:dyDescent="0.25">
      <c r="A52" s="136"/>
      <c r="B52" s="677"/>
      <c r="C52" s="678"/>
      <c r="D52" s="678"/>
      <c r="E52" s="11">
        <v>0</v>
      </c>
      <c r="F52" s="10" t="s">
        <v>410</v>
      </c>
      <c r="G52" s="10">
        <v>0</v>
      </c>
      <c r="H52" s="115">
        <v>1</v>
      </c>
      <c r="I52" s="115">
        <v>0.5</v>
      </c>
      <c r="J52" s="147">
        <f t="shared" ca="1" si="0"/>
        <v>0</v>
      </c>
      <c r="K52" s="136"/>
      <c r="L52" s="136">
        <f t="shared" ca="1" si="1"/>
        <v>0.37</v>
      </c>
      <c r="M52" s="136">
        <f t="shared" ca="1" si="2"/>
        <v>0</v>
      </c>
      <c r="N52" s="136">
        <f t="shared" ca="1" si="3"/>
        <v>0</v>
      </c>
      <c r="O52" s="136">
        <f t="shared" ca="1" si="4"/>
        <v>0</v>
      </c>
      <c r="P52" s="136">
        <f t="shared" si="5"/>
        <v>0</v>
      </c>
      <c r="Q52" s="136">
        <f t="shared" si="6"/>
        <v>0</v>
      </c>
      <c r="R52" s="136">
        <f t="shared" ca="1" si="7"/>
        <v>0</v>
      </c>
      <c r="S52" s="127">
        <f t="shared" si="8"/>
        <v>0</v>
      </c>
      <c r="T52" s="127"/>
      <c r="U52" s="127"/>
      <c r="V52" s="127"/>
      <c r="W52" s="127"/>
      <c r="X52" s="127"/>
      <c r="Y52" s="127"/>
      <c r="Z52" s="127"/>
      <c r="AA52" s="127"/>
      <c r="AB52" s="127"/>
      <c r="AC52" s="127"/>
      <c r="AD52" s="127"/>
      <c r="AE52" s="127"/>
      <c r="AF52" s="127"/>
    </row>
    <row r="53" spans="1:32" x14ac:dyDescent="0.25">
      <c r="A53" s="136"/>
      <c r="B53" s="677"/>
      <c r="C53" s="678"/>
      <c r="D53" s="678"/>
      <c r="E53" s="11">
        <v>0</v>
      </c>
      <c r="F53" s="10" t="s">
        <v>410</v>
      </c>
      <c r="G53" s="10">
        <v>0</v>
      </c>
      <c r="H53" s="115">
        <v>1</v>
      </c>
      <c r="I53" s="115">
        <v>0.5</v>
      </c>
      <c r="J53" s="147">
        <f t="shared" ca="1" si="0"/>
        <v>0</v>
      </c>
      <c r="K53" s="136"/>
      <c r="L53" s="136">
        <f t="shared" ca="1" si="1"/>
        <v>0.37</v>
      </c>
      <c r="M53" s="136">
        <f t="shared" ca="1" si="2"/>
        <v>0</v>
      </c>
      <c r="N53" s="136">
        <f t="shared" ca="1" si="3"/>
        <v>0</v>
      </c>
      <c r="O53" s="136">
        <f t="shared" ca="1" si="4"/>
        <v>0</v>
      </c>
      <c r="P53" s="136">
        <f t="shared" si="5"/>
        <v>0</v>
      </c>
      <c r="Q53" s="136">
        <f t="shared" si="6"/>
        <v>0</v>
      </c>
      <c r="R53" s="136">
        <f t="shared" ca="1" si="7"/>
        <v>0</v>
      </c>
      <c r="S53" s="127">
        <f t="shared" si="8"/>
        <v>0</v>
      </c>
      <c r="T53" s="127"/>
      <c r="U53" s="127"/>
      <c r="V53" s="127"/>
      <c r="W53" s="127"/>
      <c r="X53" s="127"/>
      <c r="Y53" s="127"/>
      <c r="Z53" s="127"/>
      <c r="AA53" s="127"/>
      <c r="AB53" s="127"/>
      <c r="AC53" s="127"/>
      <c r="AD53" s="127"/>
      <c r="AE53" s="127"/>
      <c r="AF53" s="127"/>
    </row>
    <row r="54" spans="1:32" x14ac:dyDescent="0.25">
      <c r="A54" s="136"/>
      <c r="B54" s="677"/>
      <c r="C54" s="678"/>
      <c r="D54" s="678"/>
      <c r="E54" s="11">
        <v>0</v>
      </c>
      <c r="F54" s="10" t="s">
        <v>410</v>
      </c>
      <c r="G54" s="10">
        <v>0</v>
      </c>
      <c r="H54" s="115">
        <v>1</v>
      </c>
      <c r="I54" s="115">
        <v>0.5</v>
      </c>
      <c r="J54" s="147">
        <f t="shared" ca="1" si="0"/>
        <v>0</v>
      </c>
      <c r="K54" s="136"/>
      <c r="L54" s="136">
        <f t="shared" ca="1" si="1"/>
        <v>0.37</v>
      </c>
      <c r="M54" s="136">
        <f t="shared" ca="1" si="2"/>
        <v>0</v>
      </c>
      <c r="N54" s="136">
        <f t="shared" ca="1" si="3"/>
        <v>0</v>
      </c>
      <c r="O54" s="136">
        <f t="shared" ca="1" si="4"/>
        <v>0</v>
      </c>
      <c r="P54" s="136">
        <f t="shared" si="5"/>
        <v>0</v>
      </c>
      <c r="Q54" s="136">
        <f t="shared" si="6"/>
        <v>0</v>
      </c>
      <c r="R54" s="136">
        <f t="shared" ca="1" si="7"/>
        <v>0</v>
      </c>
      <c r="S54" s="127">
        <f t="shared" si="8"/>
        <v>0</v>
      </c>
      <c r="T54" s="127"/>
      <c r="U54" s="127"/>
      <c r="V54" s="127"/>
      <c r="W54" s="127"/>
      <c r="X54" s="127"/>
      <c r="Y54" s="127"/>
      <c r="Z54" s="127"/>
      <c r="AA54" s="127"/>
      <c r="AB54" s="127"/>
      <c r="AC54" s="127"/>
      <c r="AD54" s="127"/>
      <c r="AE54" s="127"/>
      <c r="AF54" s="127"/>
    </row>
    <row r="55" spans="1:32" x14ac:dyDescent="0.25">
      <c r="A55" s="136"/>
      <c r="B55" s="677"/>
      <c r="C55" s="678"/>
      <c r="D55" s="678"/>
      <c r="E55" s="11">
        <v>0</v>
      </c>
      <c r="F55" s="10" t="s">
        <v>410</v>
      </c>
      <c r="G55" s="10">
        <v>0</v>
      </c>
      <c r="H55" s="115">
        <v>1</v>
      </c>
      <c r="I55" s="115">
        <v>0.5</v>
      </c>
      <c r="J55" s="147">
        <f t="shared" ca="1" si="0"/>
        <v>0</v>
      </c>
      <c r="K55" s="136"/>
      <c r="L55" s="136">
        <f t="shared" ca="1" si="1"/>
        <v>0.37</v>
      </c>
      <c r="M55" s="136">
        <f t="shared" ca="1" si="2"/>
        <v>0</v>
      </c>
      <c r="N55" s="136">
        <f t="shared" ca="1" si="3"/>
        <v>0</v>
      </c>
      <c r="O55" s="136">
        <f t="shared" ca="1" si="4"/>
        <v>0</v>
      </c>
      <c r="P55" s="136">
        <f t="shared" si="5"/>
        <v>0</v>
      </c>
      <c r="Q55" s="136">
        <f t="shared" si="6"/>
        <v>0</v>
      </c>
      <c r="R55" s="136">
        <f t="shared" ca="1" si="7"/>
        <v>0</v>
      </c>
      <c r="S55" s="127">
        <f t="shared" si="8"/>
        <v>0</v>
      </c>
      <c r="T55" s="127"/>
      <c r="U55" s="127"/>
      <c r="V55" s="127"/>
      <c r="W55" s="127"/>
      <c r="X55" s="127"/>
      <c r="Y55" s="127"/>
      <c r="Z55" s="127"/>
      <c r="AA55" s="127"/>
      <c r="AB55" s="127"/>
      <c r="AC55" s="127"/>
      <c r="AD55" s="127"/>
      <c r="AE55" s="127"/>
      <c r="AF55" s="127"/>
    </row>
    <row r="56" spans="1:32" x14ac:dyDescent="0.25">
      <c r="A56" s="136"/>
      <c r="B56" s="677"/>
      <c r="C56" s="678"/>
      <c r="D56" s="678"/>
      <c r="E56" s="11">
        <v>0</v>
      </c>
      <c r="F56" s="10" t="s">
        <v>410</v>
      </c>
      <c r="G56" s="10">
        <v>0</v>
      </c>
      <c r="H56" s="115">
        <v>1</v>
      </c>
      <c r="I56" s="115">
        <v>0.5</v>
      </c>
      <c r="J56" s="147">
        <f t="shared" ca="1" si="0"/>
        <v>0</v>
      </c>
      <c r="K56" s="136"/>
      <c r="L56" s="136">
        <f t="shared" ca="1" si="1"/>
        <v>0.37</v>
      </c>
      <c r="M56" s="136">
        <f t="shared" ca="1" si="2"/>
        <v>0</v>
      </c>
      <c r="N56" s="136">
        <f t="shared" ca="1" si="3"/>
        <v>0</v>
      </c>
      <c r="O56" s="136">
        <f t="shared" ca="1" si="4"/>
        <v>0</v>
      </c>
      <c r="P56" s="136">
        <f t="shared" si="5"/>
        <v>0</v>
      </c>
      <c r="Q56" s="136">
        <f t="shared" si="6"/>
        <v>0</v>
      </c>
      <c r="R56" s="136">
        <f t="shared" ca="1" si="7"/>
        <v>0</v>
      </c>
      <c r="S56" s="127">
        <f t="shared" si="8"/>
        <v>0</v>
      </c>
      <c r="T56" s="127"/>
      <c r="U56" s="127"/>
      <c r="V56" s="127"/>
      <c r="W56" s="127"/>
      <c r="X56" s="127"/>
      <c r="Y56" s="127"/>
      <c r="Z56" s="127"/>
      <c r="AA56" s="127"/>
      <c r="AB56" s="127"/>
      <c r="AC56" s="127"/>
      <c r="AD56" s="127"/>
      <c r="AE56" s="127"/>
      <c r="AF56" s="127"/>
    </row>
    <row r="57" spans="1:32" x14ac:dyDescent="0.25">
      <c r="A57" s="136"/>
      <c r="B57" s="677"/>
      <c r="C57" s="678"/>
      <c r="D57" s="678"/>
      <c r="E57" s="11">
        <v>0</v>
      </c>
      <c r="F57" s="10" t="s">
        <v>410</v>
      </c>
      <c r="G57" s="10">
        <v>0</v>
      </c>
      <c r="H57" s="115">
        <v>1</v>
      </c>
      <c r="I57" s="115">
        <v>0.5</v>
      </c>
      <c r="J57" s="147">
        <f t="shared" ca="1" si="0"/>
        <v>0</v>
      </c>
      <c r="K57" s="136"/>
      <c r="L57" s="136">
        <f t="shared" ca="1" si="1"/>
        <v>0.37</v>
      </c>
      <c r="M57" s="136">
        <f t="shared" ca="1" si="2"/>
        <v>0</v>
      </c>
      <c r="N57" s="136">
        <f t="shared" ca="1" si="3"/>
        <v>0</v>
      </c>
      <c r="O57" s="136">
        <f t="shared" ca="1" si="4"/>
        <v>0</v>
      </c>
      <c r="P57" s="136">
        <f t="shared" si="5"/>
        <v>0</v>
      </c>
      <c r="Q57" s="136">
        <f t="shared" si="6"/>
        <v>0</v>
      </c>
      <c r="R57" s="136">
        <f t="shared" ca="1" si="7"/>
        <v>0</v>
      </c>
      <c r="S57" s="127">
        <f t="shared" si="8"/>
        <v>0</v>
      </c>
      <c r="T57" s="127"/>
      <c r="U57" s="127"/>
      <c r="V57" s="127"/>
      <c r="W57" s="127"/>
      <c r="X57" s="127"/>
      <c r="Y57" s="127"/>
      <c r="Z57" s="127"/>
      <c r="AA57" s="127"/>
      <c r="AB57" s="127"/>
      <c r="AC57" s="127"/>
      <c r="AD57" s="127"/>
      <c r="AE57" s="127"/>
      <c r="AF57" s="127"/>
    </row>
    <row r="58" spans="1:32" x14ac:dyDescent="0.25">
      <c r="A58" s="136"/>
      <c r="B58" s="677"/>
      <c r="C58" s="678"/>
      <c r="D58" s="678"/>
      <c r="E58" s="11">
        <v>0</v>
      </c>
      <c r="F58" s="10" t="s">
        <v>410</v>
      </c>
      <c r="G58" s="10">
        <v>0</v>
      </c>
      <c r="H58" s="115">
        <v>1</v>
      </c>
      <c r="I58" s="115">
        <v>0.5</v>
      </c>
      <c r="J58" s="147">
        <f t="shared" ca="1" si="0"/>
        <v>0</v>
      </c>
      <c r="K58" s="136"/>
      <c r="L58" s="136">
        <f t="shared" ca="1" si="1"/>
        <v>0.37</v>
      </c>
      <c r="M58" s="136">
        <f t="shared" ca="1" si="2"/>
        <v>0</v>
      </c>
      <c r="N58" s="136">
        <f t="shared" ca="1" si="3"/>
        <v>0</v>
      </c>
      <c r="O58" s="136">
        <f t="shared" ca="1" si="4"/>
        <v>0</v>
      </c>
      <c r="P58" s="136">
        <f t="shared" si="5"/>
        <v>0</v>
      </c>
      <c r="Q58" s="136">
        <f t="shared" si="6"/>
        <v>0</v>
      </c>
      <c r="R58" s="136">
        <f t="shared" ca="1" si="7"/>
        <v>0</v>
      </c>
      <c r="S58" s="127">
        <f t="shared" si="8"/>
        <v>0</v>
      </c>
      <c r="T58" s="127"/>
      <c r="U58" s="127"/>
      <c r="V58" s="127"/>
      <c r="W58" s="127"/>
      <c r="X58" s="127"/>
      <c r="Y58" s="127"/>
      <c r="Z58" s="127"/>
      <c r="AA58" s="127"/>
      <c r="AB58" s="127"/>
      <c r="AC58" s="127"/>
      <c r="AD58" s="127"/>
      <c r="AE58" s="127"/>
      <c r="AF58" s="127"/>
    </row>
    <row r="59" spans="1:32" x14ac:dyDescent="0.25">
      <c r="A59" s="136"/>
      <c r="B59" s="677"/>
      <c r="C59" s="678"/>
      <c r="D59" s="678"/>
      <c r="E59" s="11">
        <v>0</v>
      </c>
      <c r="F59" s="10" t="s">
        <v>410</v>
      </c>
      <c r="G59" s="10">
        <v>0</v>
      </c>
      <c r="H59" s="115">
        <v>1</v>
      </c>
      <c r="I59" s="115">
        <v>0.5</v>
      </c>
      <c r="J59" s="147">
        <f t="shared" ca="1" si="0"/>
        <v>0</v>
      </c>
      <c r="K59" s="136"/>
      <c r="L59" s="136">
        <f t="shared" ca="1" si="1"/>
        <v>0.37</v>
      </c>
      <c r="M59" s="136">
        <f t="shared" ca="1" si="2"/>
        <v>0</v>
      </c>
      <c r="N59" s="136">
        <f t="shared" ca="1" si="3"/>
        <v>0</v>
      </c>
      <c r="O59" s="136">
        <f t="shared" ca="1" si="4"/>
        <v>0</v>
      </c>
      <c r="P59" s="136">
        <f t="shared" si="5"/>
        <v>0</v>
      </c>
      <c r="Q59" s="136">
        <f t="shared" si="6"/>
        <v>0</v>
      </c>
      <c r="R59" s="136">
        <f t="shared" ca="1" si="7"/>
        <v>0</v>
      </c>
      <c r="S59" s="127">
        <f t="shared" si="8"/>
        <v>0</v>
      </c>
      <c r="T59" s="127"/>
      <c r="U59" s="127"/>
      <c r="V59" s="127"/>
      <c r="W59" s="127"/>
      <c r="X59" s="127"/>
      <c r="Y59" s="127"/>
      <c r="Z59" s="127"/>
      <c r="AA59" s="127"/>
      <c r="AB59" s="127"/>
      <c r="AC59" s="127"/>
      <c r="AD59" s="127"/>
      <c r="AE59" s="127"/>
      <c r="AF59" s="127"/>
    </row>
    <row r="60" spans="1:32" x14ac:dyDescent="0.25">
      <c r="A60" s="136"/>
      <c r="B60" s="677"/>
      <c r="C60" s="678"/>
      <c r="D60" s="678"/>
      <c r="E60" s="11">
        <v>0</v>
      </c>
      <c r="F60" s="10" t="s">
        <v>410</v>
      </c>
      <c r="G60" s="10">
        <v>0</v>
      </c>
      <c r="H60" s="115">
        <v>1</v>
      </c>
      <c r="I60" s="115">
        <v>0.5</v>
      </c>
      <c r="J60" s="147">
        <f t="shared" ca="1" si="0"/>
        <v>0</v>
      </c>
      <c r="K60" s="136"/>
      <c r="L60" s="136">
        <f t="shared" ca="1" si="1"/>
        <v>0.37</v>
      </c>
      <c r="M60" s="136">
        <f t="shared" ca="1" si="2"/>
        <v>0</v>
      </c>
      <c r="N60" s="136">
        <f t="shared" ca="1" si="3"/>
        <v>0</v>
      </c>
      <c r="O60" s="136">
        <f t="shared" ca="1" si="4"/>
        <v>0</v>
      </c>
      <c r="P60" s="136">
        <f t="shared" si="5"/>
        <v>0</v>
      </c>
      <c r="Q60" s="136">
        <f t="shared" si="6"/>
        <v>0</v>
      </c>
      <c r="R60" s="136">
        <f t="shared" ca="1" si="7"/>
        <v>0</v>
      </c>
      <c r="S60" s="127">
        <f t="shared" si="8"/>
        <v>0</v>
      </c>
      <c r="T60" s="127"/>
      <c r="U60" s="127"/>
      <c r="V60" s="127"/>
      <c r="W60" s="127"/>
      <c r="X60" s="127"/>
      <c r="Y60" s="127"/>
      <c r="Z60" s="127"/>
      <c r="AA60" s="127"/>
      <c r="AB60" s="127"/>
      <c r="AC60" s="127"/>
      <c r="AD60" s="127"/>
      <c r="AE60" s="127"/>
      <c r="AF60" s="127"/>
    </row>
    <row r="61" spans="1:32" x14ac:dyDescent="0.25">
      <c r="A61" s="136"/>
      <c r="B61" s="677"/>
      <c r="C61" s="678"/>
      <c r="D61" s="678"/>
      <c r="E61" s="11">
        <v>0</v>
      </c>
      <c r="F61" s="10" t="s">
        <v>410</v>
      </c>
      <c r="G61" s="10">
        <v>0</v>
      </c>
      <c r="H61" s="115">
        <v>1</v>
      </c>
      <c r="I61" s="115">
        <v>0.5</v>
      </c>
      <c r="J61" s="147">
        <f t="shared" ca="1" si="0"/>
        <v>0</v>
      </c>
      <c r="K61" s="136"/>
      <c r="L61" s="136">
        <f t="shared" ca="1" si="1"/>
        <v>0.37</v>
      </c>
      <c r="M61" s="136">
        <f t="shared" ca="1" si="2"/>
        <v>0</v>
      </c>
      <c r="N61" s="136">
        <f t="shared" ca="1" si="3"/>
        <v>0</v>
      </c>
      <c r="O61" s="136">
        <f t="shared" ca="1" si="4"/>
        <v>0</v>
      </c>
      <c r="P61" s="136">
        <f t="shared" si="5"/>
        <v>0</v>
      </c>
      <c r="Q61" s="136">
        <f t="shared" si="6"/>
        <v>0</v>
      </c>
      <c r="R61" s="136">
        <f t="shared" ca="1" si="7"/>
        <v>0</v>
      </c>
      <c r="S61" s="127">
        <f t="shared" si="8"/>
        <v>0</v>
      </c>
      <c r="T61" s="127"/>
      <c r="U61" s="127"/>
      <c r="V61" s="127"/>
      <c r="W61" s="127"/>
      <c r="X61" s="127"/>
      <c r="Y61" s="127"/>
      <c r="Z61" s="127"/>
      <c r="AA61" s="127"/>
      <c r="AB61" s="127"/>
      <c r="AC61" s="127"/>
      <c r="AD61" s="127"/>
      <c r="AE61" s="127"/>
      <c r="AF61" s="127"/>
    </row>
    <row r="62" spans="1:32" x14ac:dyDescent="0.25">
      <c r="A62" s="136"/>
      <c r="B62" s="677"/>
      <c r="C62" s="678"/>
      <c r="D62" s="678"/>
      <c r="E62" s="11">
        <v>0</v>
      </c>
      <c r="F62" s="10" t="s">
        <v>410</v>
      </c>
      <c r="G62" s="10">
        <v>0</v>
      </c>
      <c r="H62" s="115">
        <v>1</v>
      </c>
      <c r="I62" s="115">
        <v>0.5</v>
      </c>
      <c r="J62" s="147">
        <f t="shared" ca="1" si="0"/>
        <v>0</v>
      </c>
      <c r="K62" s="136"/>
      <c r="L62" s="136">
        <f t="shared" ca="1" si="1"/>
        <v>0.37</v>
      </c>
      <c r="M62" s="136">
        <f t="shared" ca="1" si="2"/>
        <v>0</v>
      </c>
      <c r="N62" s="136">
        <f t="shared" ca="1" si="3"/>
        <v>0</v>
      </c>
      <c r="O62" s="136">
        <f t="shared" ca="1" si="4"/>
        <v>0</v>
      </c>
      <c r="P62" s="136">
        <f t="shared" si="5"/>
        <v>0</v>
      </c>
      <c r="Q62" s="136">
        <f t="shared" si="6"/>
        <v>0</v>
      </c>
      <c r="R62" s="136">
        <f t="shared" ca="1" si="7"/>
        <v>0</v>
      </c>
      <c r="S62" s="127">
        <f t="shared" si="8"/>
        <v>0</v>
      </c>
      <c r="T62" s="127"/>
      <c r="U62" s="127"/>
      <c r="V62" s="127"/>
      <c r="W62" s="127"/>
      <c r="X62" s="127"/>
      <c r="Y62" s="127"/>
      <c r="Z62" s="127"/>
      <c r="AA62" s="127"/>
      <c r="AB62" s="127"/>
      <c r="AC62" s="127"/>
      <c r="AD62" s="127"/>
      <c r="AE62" s="127"/>
      <c r="AF62" s="127"/>
    </row>
    <row r="63" spans="1:32" x14ac:dyDescent="0.25">
      <c r="A63" s="136"/>
      <c r="B63" s="677"/>
      <c r="C63" s="678"/>
      <c r="D63" s="678"/>
      <c r="E63" s="11">
        <v>0</v>
      </c>
      <c r="F63" s="10" t="s">
        <v>410</v>
      </c>
      <c r="G63" s="10">
        <v>0</v>
      </c>
      <c r="H63" s="115">
        <v>1</v>
      </c>
      <c r="I63" s="115">
        <v>0.5</v>
      </c>
      <c r="J63" s="147">
        <f t="shared" ca="1" si="0"/>
        <v>0</v>
      </c>
      <c r="K63" s="136"/>
      <c r="L63" s="136">
        <f t="shared" ca="1" si="1"/>
        <v>0.37</v>
      </c>
      <c r="M63" s="136">
        <f t="shared" ca="1" si="2"/>
        <v>0</v>
      </c>
      <c r="N63" s="136">
        <f t="shared" ca="1" si="3"/>
        <v>0</v>
      </c>
      <c r="O63" s="136">
        <f t="shared" ca="1" si="4"/>
        <v>0</v>
      </c>
      <c r="P63" s="136">
        <f t="shared" si="5"/>
        <v>0</v>
      </c>
      <c r="Q63" s="136">
        <f t="shared" si="6"/>
        <v>0</v>
      </c>
      <c r="R63" s="136">
        <f t="shared" ca="1" si="7"/>
        <v>0</v>
      </c>
      <c r="S63" s="127">
        <f t="shared" si="8"/>
        <v>0</v>
      </c>
      <c r="T63" s="127"/>
      <c r="U63" s="127"/>
      <c r="V63" s="127"/>
      <c r="W63" s="127"/>
      <c r="X63" s="127"/>
      <c r="Y63" s="127"/>
      <c r="Z63" s="127"/>
      <c r="AA63" s="127"/>
      <c r="AB63" s="127"/>
      <c r="AC63" s="127"/>
      <c r="AD63" s="127"/>
      <c r="AE63" s="127"/>
      <c r="AF63" s="127"/>
    </row>
    <row r="64" spans="1:32" x14ac:dyDescent="0.25">
      <c r="A64" s="136"/>
      <c r="B64" s="677"/>
      <c r="C64" s="678"/>
      <c r="D64" s="678"/>
      <c r="E64" s="11">
        <v>0</v>
      </c>
      <c r="F64" s="10" t="s">
        <v>410</v>
      </c>
      <c r="G64" s="10">
        <v>0</v>
      </c>
      <c r="H64" s="115">
        <v>1</v>
      </c>
      <c r="I64" s="115">
        <v>0.5</v>
      </c>
      <c r="J64" s="147">
        <f t="shared" ca="1" si="0"/>
        <v>0</v>
      </c>
      <c r="K64" s="136"/>
      <c r="L64" s="136">
        <f t="shared" ca="1" si="1"/>
        <v>0.37</v>
      </c>
      <c r="M64" s="136">
        <f t="shared" ca="1" si="2"/>
        <v>0</v>
      </c>
      <c r="N64" s="136">
        <f t="shared" ca="1" si="3"/>
        <v>0</v>
      </c>
      <c r="O64" s="136">
        <f t="shared" ca="1" si="4"/>
        <v>0</v>
      </c>
      <c r="P64" s="136">
        <f t="shared" si="5"/>
        <v>0</v>
      </c>
      <c r="Q64" s="136">
        <f t="shared" si="6"/>
        <v>0</v>
      </c>
      <c r="R64" s="136">
        <f t="shared" ca="1" si="7"/>
        <v>0</v>
      </c>
      <c r="S64" s="127">
        <f t="shared" si="8"/>
        <v>0</v>
      </c>
      <c r="T64" s="127"/>
      <c r="U64" s="127"/>
      <c r="V64" s="127"/>
      <c r="W64" s="127"/>
      <c r="X64" s="127"/>
      <c r="Y64" s="127"/>
      <c r="Z64" s="127"/>
      <c r="AA64" s="127"/>
      <c r="AB64" s="127"/>
      <c r="AC64" s="127"/>
      <c r="AD64" s="127"/>
      <c r="AE64" s="127"/>
      <c r="AF64" s="127"/>
    </row>
    <row r="65" spans="1:32" x14ac:dyDescent="0.25">
      <c r="A65" s="136"/>
      <c r="B65" s="677"/>
      <c r="C65" s="678"/>
      <c r="D65" s="678"/>
      <c r="E65" s="11">
        <v>0</v>
      </c>
      <c r="F65" s="10" t="s">
        <v>410</v>
      </c>
      <c r="G65" s="10">
        <v>0</v>
      </c>
      <c r="H65" s="115">
        <v>1</v>
      </c>
      <c r="I65" s="115">
        <v>0.5</v>
      </c>
      <c r="J65" s="147">
        <f t="shared" ca="1" si="0"/>
        <v>0</v>
      </c>
      <c r="K65" s="136"/>
      <c r="L65" s="136">
        <f t="shared" ca="1" si="1"/>
        <v>0.37</v>
      </c>
      <c r="M65" s="136">
        <f t="shared" ca="1" si="2"/>
        <v>0</v>
      </c>
      <c r="N65" s="136">
        <f t="shared" ca="1" si="3"/>
        <v>0</v>
      </c>
      <c r="O65" s="136">
        <f t="shared" ca="1" si="4"/>
        <v>0</v>
      </c>
      <c r="P65" s="136">
        <f t="shared" si="5"/>
        <v>0</v>
      </c>
      <c r="Q65" s="136">
        <f t="shared" si="6"/>
        <v>0</v>
      </c>
      <c r="R65" s="136">
        <f t="shared" ca="1" si="7"/>
        <v>0</v>
      </c>
      <c r="S65" s="127">
        <f t="shared" si="8"/>
        <v>0</v>
      </c>
      <c r="T65" s="127"/>
      <c r="U65" s="127"/>
      <c r="V65" s="127"/>
      <c r="W65" s="127"/>
      <c r="X65" s="127"/>
      <c r="Y65" s="127"/>
      <c r="Z65" s="127"/>
      <c r="AA65" s="127"/>
      <c r="AB65" s="127"/>
      <c r="AC65" s="127"/>
      <c r="AD65" s="127"/>
      <c r="AE65" s="127"/>
      <c r="AF65" s="127"/>
    </row>
    <row r="66" spans="1:32" x14ac:dyDescent="0.25">
      <c r="A66" s="136"/>
      <c r="B66" s="677"/>
      <c r="C66" s="678"/>
      <c r="D66" s="678"/>
      <c r="E66" s="11">
        <v>0</v>
      </c>
      <c r="F66" s="10" t="s">
        <v>410</v>
      </c>
      <c r="G66" s="10">
        <v>0</v>
      </c>
      <c r="H66" s="115">
        <v>1</v>
      </c>
      <c r="I66" s="115">
        <v>0.5</v>
      </c>
      <c r="J66" s="147">
        <f t="shared" ca="1" si="0"/>
        <v>0</v>
      </c>
      <c r="K66" s="136"/>
      <c r="L66" s="136">
        <f t="shared" ca="1" si="1"/>
        <v>0.37</v>
      </c>
      <c r="M66" s="136">
        <f t="shared" ca="1" si="2"/>
        <v>0</v>
      </c>
      <c r="N66" s="136">
        <f t="shared" ca="1" si="3"/>
        <v>0</v>
      </c>
      <c r="O66" s="136">
        <f t="shared" ca="1" si="4"/>
        <v>0</v>
      </c>
      <c r="P66" s="136">
        <f t="shared" si="5"/>
        <v>0</v>
      </c>
      <c r="Q66" s="136">
        <f t="shared" si="6"/>
        <v>0</v>
      </c>
      <c r="R66" s="136">
        <f t="shared" ca="1" si="7"/>
        <v>0</v>
      </c>
      <c r="S66" s="127">
        <f t="shared" si="8"/>
        <v>0</v>
      </c>
      <c r="T66" s="127"/>
      <c r="U66" s="127"/>
      <c r="V66" s="127"/>
      <c r="W66" s="127"/>
      <c r="X66" s="127"/>
      <c r="Y66" s="127"/>
      <c r="Z66" s="127"/>
      <c r="AA66" s="127"/>
      <c r="AB66" s="127"/>
      <c r="AC66" s="127"/>
      <c r="AD66" s="127"/>
      <c r="AE66" s="127"/>
      <c r="AF66" s="127"/>
    </row>
    <row r="67" spans="1:32" x14ac:dyDescent="0.25">
      <c r="A67" s="136"/>
      <c r="B67" s="677"/>
      <c r="C67" s="678"/>
      <c r="D67" s="678"/>
      <c r="E67" s="11">
        <v>0</v>
      </c>
      <c r="F67" s="10" t="s">
        <v>410</v>
      </c>
      <c r="G67" s="10">
        <v>0</v>
      </c>
      <c r="H67" s="115">
        <v>1</v>
      </c>
      <c r="I67" s="115">
        <v>0.5</v>
      </c>
      <c r="J67" s="147">
        <f t="shared" ca="1" si="0"/>
        <v>0</v>
      </c>
      <c r="K67" s="136"/>
      <c r="L67" s="136">
        <f t="shared" ca="1" si="1"/>
        <v>0.37</v>
      </c>
      <c r="M67" s="136">
        <f t="shared" ca="1" si="2"/>
        <v>0</v>
      </c>
      <c r="N67" s="136">
        <f t="shared" ca="1" si="3"/>
        <v>0</v>
      </c>
      <c r="O67" s="136">
        <f t="shared" ca="1" si="4"/>
        <v>0</v>
      </c>
      <c r="P67" s="136">
        <f t="shared" si="5"/>
        <v>0</v>
      </c>
      <c r="Q67" s="136">
        <f t="shared" si="6"/>
        <v>0</v>
      </c>
      <c r="R67" s="136">
        <f t="shared" ca="1" si="7"/>
        <v>0</v>
      </c>
      <c r="S67" s="127">
        <f t="shared" si="8"/>
        <v>0</v>
      </c>
      <c r="T67" s="127"/>
      <c r="U67" s="127"/>
      <c r="V67" s="127"/>
      <c r="W67" s="127"/>
      <c r="X67" s="127"/>
      <c r="Y67" s="127"/>
      <c r="Z67" s="127"/>
      <c r="AA67" s="127"/>
      <c r="AB67" s="127"/>
      <c r="AC67" s="127"/>
      <c r="AD67" s="127"/>
      <c r="AE67" s="127"/>
      <c r="AF67" s="127"/>
    </row>
    <row r="68" spans="1:32" x14ac:dyDescent="0.25">
      <c r="A68" s="136"/>
      <c r="B68" s="677"/>
      <c r="C68" s="678"/>
      <c r="D68" s="678"/>
      <c r="E68" s="11">
        <v>0</v>
      </c>
      <c r="F68" s="10" t="s">
        <v>410</v>
      </c>
      <c r="G68" s="10">
        <v>0</v>
      </c>
      <c r="H68" s="115">
        <v>1</v>
      </c>
      <c r="I68" s="115">
        <v>0.5</v>
      </c>
      <c r="J68" s="147">
        <f t="shared" ca="1" si="0"/>
        <v>0</v>
      </c>
      <c r="K68" s="136"/>
      <c r="L68" s="136">
        <f t="shared" ca="1" si="1"/>
        <v>0.37</v>
      </c>
      <c r="M68" s="136">
        <f t="shared" ca="1" si="2"/>
        <v>0</v>
      </c>
      <c r="N68" s="136">
        <f t="shared" ca="1" si="3"/>
        <v>0</v>
      </c>
      <c r="O68" s="136">
        <f t="shared" ca="1" si="4"/>
        <v>0</v>
      </c>
      <c r="P68" s="136">
        <f t="shared" si="5"/>
        <v>0</v>
      </c>
      <c r="Q68" s="136">
        <f t="shared" si="6"/>
        <v>0</v>
      </c>
      <c r="R68" s="136">
        <f t="shared" ca="1" si="7"/>
        <v>0</v>
      </c>
      <c r="S68" s="127">
        <f t="shared" si="8"/>
        <v>0</v>
      </c>
      <c r="T68" s="127"/>
      <c r="U68" s="127"/>
      <c r="V68" s="127"/>
      <c r="W68" s="127"/>
      <c r="X68" s="127"/>
      <c r="Y68" s="127"/>
      <c r="Z68" s="127"/>
      <c r="AA68" s="127"/>
      <c r="AB68" s="127"/>
      <c r="AC68" s="127"/>
      <c r="AD68" s="127"/>
      <c r="AE68" s="127"/>
      <c r="AF68" s="127"/>
    </row>
    <row r="69" spans="1:32" x14ac:dyDescent="0.25">
      <c r="A69" s="136"/>
      <c r="B69" s="677"/>
      <c r="C69" s="678"/>
      <c r="D69" s="678"/>
      <c r="E69" s="11">
        <v>0</v>
      </c>
      <c r="F69" s="10" t="s">
        <v>410</v>
      </c>
      <c r="G69" s="10">
        <v>0</v>
      </c>
      <c r="H69" s="115">
        <v>1</v>
      </c>
      <c r="I69" s="115">
        <v>0.5</v>
      </c>
      <c r="J69" s="147">
        <f t="shared" ca="1" si="0"/>
        <v>0</v>
      </c>
      <c r="K69" s="136"/>
      <c r="L69" s="136">
        <f t="shared" ca="1" si="1"/>
        <v>0.37</v>
      </c>
      <c r="M69" s="136">
        <f t="shared" ca="1" si="2"/>
        <v>0</v>
      </c>
      <c r="N69" s="136">
        <f t="shared" ca="1" si="3"/>
        <v>0</v>
      </c>
      <c r="O69" s="136">
        <f t="shared" ca="1" si="4"/>
        <v>0</v>
      </c>
      <c r="P69" s="136">
        <f t="shared" si="5"/>
        <v>0</v>
      </c>
      <c r="Q69" s="136">
        <f t="shared" si="6"/>
        <v>0</v>
      </c>
      <c r="R69" s="136">
        <f t="shared" ca="1" si="7"/>
        <v>0</v>
      </c>
      <c r="S69" s="127">
        <f t="shared" si="8"/>
        <v>0</v>
      </c>
      <c r="T69" s="127"/>
      <c r="U69" s="127"/>
      <c r="V69" s="127"/>
      <c r="W69" s="127"/>
      <c r="X69" s="127"/>
      <c r="Y69" s="127"/>
      <c r="Z69" s="127"/>
      <c r="AA69" s="127"/>
      <c r="AB69" s="127"/>
      <c r="AC69" s="127"/>
      <c r="AD69" s="127"/>
      <c r="AE69" s="127"/>
      <c r="AF69" s="127"/>
    </row>
    <row r="70" spans="1:32" x14ac:dyDescent="0.25">
      <c r="A70" s="136"/>
      <c r="B70" s="677"/>
      <c r="C70" s="678"/>
      <c r="D70" s="678"/>
      <c r="E70" s="11">
        <v>0</v>
      </c>
      <c r="F70" s="10" t="s">
        <v>410</v>
      </c>
      <c r="G70" s="10">
        <v>0</v>
      </c>
      <c r="H70" s="115">
        <v>1</v>
      </c>
      <c r="I70" s="115">
        <v>0.5</v>
      </c>
      <c r="J70" s="147">
        <f t="shared" ca="1" si="0"/>
        <v>0</v>
      </c>
      <c r="K70" s="136"/>
      <c r="L70" s="136">
        <f t="shared" ca="1" si="1"/>
        <v>0.37</v>
      </c>
      <c r="M70" s="136">
        <f t="shared" ca="1" si="2"/>
        <v>0</v>
      </c>
      <c r="N70" s="136">
        <f t="shared" ca="1" si="3"/>
        <v>0</v>
      </c>
      <c r="O70" s="136">
        <f t="shared" ca="1" si="4"/>
        <v>0</v>
      </c>
      <c r="P70" s="136">
        <f t="shared" si="5"/>
        <v>0</v>
      </c>
      <c r="Q70" s="136">
        <f t="shared" si="6"/>
        <v>0</v>
      </c>
      <c r="R70" s="136">
        <f t="shared" ca="1" si="7"/>
        <v>0</v>
      </c>
      <c r="S70" s="127">
        <f t="shared" si="8"/>
        <v>0</v>
      </c>
      <c r="T70" s="127"/>
      <c r="U70" s="127"/>
      <c r="V70" s="127"/>
      <c r="W70" s="127"/>
      <c r="X70" s="127"/>
      <c r="Y70" s="127"/>
      <c r="Z70" s="127"/>
      <c r="AA70" s="127"/>
      <c r="AB70" s="127"/>
      <c r="AC70" s="127"/>
      <c r="AD70" s="127"/>
      <c r="AE70" s="127"/>
      <c r="AF70" s="127"/>
    </row>
    <row r="71" spans="1:32" x14ac:dyDescent="0.25">
      <c r="A71" s="136"/>
      <c r="B71" s="677"/>
      <c r="C71" s="678"/>
      <c r="D71" s="678"/>
      <c r="E71" s="11">
        <v>0</v>
      </c>
      <c r="F71" s="10" t="s">
        <v>410</v>
      </c>
      <c r="G71" s="10">
        <v>0</v>
      </c>
      <c r="H71" s="115">
        <v>1</v>
      </c>
      <c r="I71" s="115">
        <v>0.5</v>
      </c>
      <c r="J71" s="147">
        <f t="shared" ca="1" si="0"/>
        <v>0</v>
      </c>
      <c r="K71" s="136"/>
      <c r="L71" s="136">
        <f t="shared" ca="1" si="1"/>
        <v>0.37</v>
      </c>
      <c r="M71" s="136">
        <f t="shared" ca="1" si="2"/>
        <v>0</v>
      </c>
      <c r="N71" s="136">
        <f t="shared" ca="1" si="3"/>
        <v>0</v>
      </c>
      <c r="O71" s="136">
        <f t="shared" ca="1" si="4"/>
        <v>0</v>
      </c>
      <c r="P71" s="136">
        <f t="shared" si="5"/>
        <v>0</v>
      </c>
      <c r="Q71" s="136">
        <f t="shared" si="6"/>
        <v>0</v>
      </c>
      <c r="R71" s="136">
        <f t="shared" ca="1" si="7"/>
        <v>0</v>
      </c>
      <c r="S71" s="127">
        <f t="shared" si="8"/>
        <v>0</v>
      </c>
      <c r="T71" s="127"/>
      <c r="U71" s="127"/>
      <c r="V71" s="127"/>
      <c r="W71" s="127"/>
      <c r="X71" s="127"/>
      <c r="Y71" s="127"/>
      <c r="Z71" s="127"/>
      <c r="AA71" s="127"/>
      <c r="AB71" s="127"/>
      <c r="AC71" s="127"/>
      <c r="AD71" s="127"/>
      <c r="AE71" s="127"/>
      <c r="AF71" s="127"/>
    </row>
    <row r="72" spans="1:32" x14ac:dyDescent="0.25">
      <c r="A72" s="136"/>
      <c r="B72" s="677"/>
      <c r="C72" s="678"/>
      <c r="D72" s="678"/>
      <c r="E72" s="11">
        <v>0</v>
      </c>
      <c r="F72" s="10" t="s">
        <v>410</v>
      </c>
      <c r="G72" s="10">
        <v>0</v>
      </c>
      <c r="H72" s="115">
        <v>1</v>
      </c>
      <c r="I72" s="115">
        <v>0.5</v>
      </c>
      <c r="J72" s="147">
        <f t="shared" ca="1" si="0"/>
        <v>0</v>
      </c>
      <c r="K72" s="136"/>
      <c r="L72" s="136">
        <f t="shared" ca="1" si="1"/>
        <v>0.37</v>
      </c>
      <c r="M72" s="136">
        <f t="shared" ca="1" si="2"/>
        <v>0</v>
      </c>
      <c r="N72" s="136">
        <f t="shared" ca="1" si="3"/>
        <v>0</v>
      </c>
      <c r="O72" s="136">
        <f t="shared" ca="1" si="4"/>
        <v>0</v>
      </c>
      <c r="P72" s="136">
        <f t="shared" si="5"/>
        <v>0</v>
      </c>
      <c r="Q72" s="136">
        <f t="shared" si="6"/>
        <v>0</v>
      </c>
      <c r="R72" s="136">
        <f t="shared" ca="1" si="7"/>
        <v>0</v>
      </c>
      <c r="S72" s="127">
        <f t="shared" si="8"/>
        <v>0</v>
      </c>
      <c r="T72" s="127"/>
      <c r="U72" s="127"/>
      <c r="V72" s="127"/>
      <c r="W72" s="127"/>
      <c r="X72" s="127"/>
      <c r="Y72" s="127"/>
      <c r="Z72" s="127"/>
      <c r="AA72" s="127"/>
      <c r="AB72" s="127"/>
      <c r="AC72" s="127"/>
      <c r="AD72" s="127"/>
      <c r="AE72" s="127"/>
      <c r="AF72" s="127"/>
    </row>
    <row r="73" spans="1:32" x14ac:dyDescent="0.25">
      <c r="A73" s="136"/>
      <c r="B73" s="677"/>
      <c r="C73" s="678"/>
      <c r="D73" s="678"/>
      <c r="E73" s="11">
        <v>0</v>
      </c>
      <c r="F73" s="10" t="s">
        <v>410</v>
      </c>
      <c r="G73" s="10">
        <v>0</v>
      </c>
      <c r="H73" s="115">
        <v>1</v>
      </c>
      <c r="I73" s="115">
        <v>0.5</v>
      </c>
      <c r="J73" s="147">
        <f t="shared" ca="1" si="0"/>
        <v>0</v>
      </c>
      <c r="K73" s="136"/>
      <c r="L73" s="136">
        <f t="shared" ca="1" si="1"/>
        <v>0.37</v>
      </c>
      <c r="M73" s="136">
        <f t="shared" ca="1" si="2"/>
        <v>0</v>
      </c>
      <c r="N73" s="136">
        <f t="shared" ca="1" si="3"/>
        <v>0</v>
      </c>
      <c r="O73" s="136">
        <f t="shared" ca="1" si="4"/>
        <v>0</v>
      </c>
      <c r="P73" s="136">
        <f t="shared" si="5"/>
        <v>0</v>
      </c>
      <c r="Q73" s="136">
        <f t="shared" si="6"/>
        <v>0</v>
      </c>
      <c r="R73" s="136">
        <f t="shared" ca="1" si="7"/>
        <v>0</v>
      </c>
      <c r="S73" s="127">
        <f t="shared" si="8"/>
        <v>0</v>
      </c>
      <c r="T73" s="127"/>
      <c r="U73" s="127"/>
      <c r="V73" s="127"/>
      <c r="W73" s="127"/>
      <c r="X73" s="127"/>
      <c r="Y73" s="127"/>
      <c r="Z73" s="127"/>
      <c r="AA73" s="127"/>
      <c r="AB73" s="127"/>
      <c r="AC73" s="127"/>
      <c r="AD73" s="127"/>
      <c r="AE73" s="127"/>
      <c r="AF73" s="127"/>
    </row>
    <row r="74" spans="1:32" x14ac:dyDescent="0.25">
      <c r="A74" s="136"/>
      <c r="B74" s="677"/>
      <c r="C74" s="678"/>
      <c r="D74" s="678"/>
      <c r="E74" s="11">
        <v>0</v>
      </c>
      <c r="F74" s="10" t="s">
        <v>410</v>
      </c>
      <c r="G74" s="10">
        <v>0</v>
      </c>
      <c r="H74" s="115">
        <v>1</v>
      </c>
      <c r="I74" s="115">
        <v>0.5</v>
      </c>
      <c r="J74" s="147">
        <f t="shared" ca="1" si="0"/>
        <v>0</v>
      </c>
      <c r="K74" s="136"/>
      <c r="L74" s="136">
        <f t="shared" ca="1" si="1"/>
        <v>0.37</v>
      </c>
      <c r="M74" s="136">
        <f t="shared" ca="1" si="2"/>
        <v>0</v>
      </c>
      <c r="N74" s="136">
        <f t="shared" ca="1" si="3"/>
        <v>0</v>
      </c>
      <c r="O74" s="136">
        <f t="shared" ca="1" si="4"/>
        <v>0</v>
      </c>
      <c r="P74" s="136">
        <f t="shared" si="5"/>
        <v>0</v>
      </c>
      <c r="Q74" s="136">
        <f t="shared" si="6"/>
        <v>0</v>
      </c>
      <c r="R74" s="136">
        <f t="shared" ca="1" si="7"/>
        <v>0</v>
      </c>
      <c r="S74" s="127">
        <f t="shared" si="8"/>
        <v>0</v>
      </c>
      <c r="T74" s="127"/>
      <c r="U74" s="127"/>
      <c r="V74" s="127"/>
      <c r="W74" s="127"/>
      <c r="X74" s="127"/>
      <c r="Y74" s="127"/>
      <c r="Z74" s="127"/>
      <c r="AA74" s="127"/>
      <c r="AB74" s="127"/>
      <c r="AC74" s="127"/>
      <c r="AD74" s="127"/>
      <c r="AE74" s="127"/>
      <c r="AF74" s="127"/>
    </row>
    <row r="75" spans="1:32" x14ac:dyDescent="0.25">
      <c r="A75" s="136"/>
      <c r="B75" s="677"/>
      <c r="C75" s="678"/>
      <c r="D75" s="678"/>
      <c r="E75" s="11">
        <v>0</v>
      </c>
      <c r="F75" s="10" t="s">
        <v>410</v>
      </c>
      <c r="G75" s="10">
        <v>0</v>
      </c>
      <c r="H75" s="115">
        <v>1</v>
      </c>
      <c r="I75" s="115">
        <v>0.5</v>
      </c>
      <c r="J75" s="147">
        <f t="shared" ca="1" si="0"/>
        <v>0</v>
      </c>
      <c r="K75" s="136"/>
      <c r="L75" s="136">
        <f t="shared" ca="1" si="1"/>
        <v>0.37</v>
      </c>
      <c r="M75" s="136">
        <f t="shared" ca="1" si="2"/>
        <v>0</v>
      </c>
      <c r="N75" s="136">
        <f t="shared" ca="1" si="3"/>
        <v>0</v>
      </c>
      <c r="O75" s="136">
        <f t="shared" ca="1" si="4"/>
        <v>0</v>
      </c>
      <c r="P75" s="136">
        <f t="shared" si="5"/>
        <v>0</v>
      </c>
      <c r="Q75" s="136">
        <f t="shared" si="6"/>
        <v>0</v>
      </c>
      <c r="R75" s="136">
        <f t="shared" ca="1" si="7"/>
        <v>0</v>
      </c>
      <c r="S75" s="127">
        <f t="shared" si="8"/>
        <v>0</v>
      </c>
      <c r="T75" s="127"/>
      <c r="U75" s="127"/>
      <c r="V75" s="127"/>
      <c r="W75" s="127"/>
      <c r="X75" s="127"/>
      <c r="Y75" s="127"/>
      <c r="Z75" s="127"/>
      <c r="AA75" s="127"/>
      <c r="AB75" s="127"/>
      <c r="AC75" s="127"/>
      <c r="AD75" s="127"/>
      <c r="AE75" s="127"/>
      <c r="AF75" s="127"/>
    </row>
    <row r="76" spans="1:32" x14ac:dyDescent="0.25">
      <c r="A76" s="136"/>
      <c r="B76" s="677"/>
      <c r="C76" s="678"/>
      <c r="D76" s="678"/>
      <c r="E76" s="11">
        <v>0</v>
      </c>
      <c r="F76" s="10" t="s">
        <v>410</v>
      </c>
      <c r="G76" s="10">
        <v>0</v>
      </c>
      <c r="H76" s="115">
        <v>1</v>
      </c>
      <c r="I76" s="115">
        <v>0.5</v>
      </c>
      <c r="J76" s="147">
        <f t="shared" ca="1" si="0"/>
        <v>0</v>
      </c>
      <c r="K76" s="136"/>
      <c r="L76" s="136">
        <f t="shared" ca="1" si="1"/>
        <v>0.37</v>
      </c>
      <c r="M76" s="136">
        <f t="shared" ca="1" si="2"/>
        <v>0</v>
      </c>
      <c r="N76" s="136">
        <f t="shared" ca="1" si="3"/>
        <v>0</v>
      </c>
      <c r="O76" s="136">
        <f t="shared" ca="1" si="4"/>
        <v>0</v>
      </c>
      <c r="P76" s="136">
        <f t="shared" si="5"/>
        <v>0</v>
      </c>
      <c r="Q76" s="136">
        <f t="shared" si="6"/>
        <v>0</v>
      </c>
      <c r="R76" s="136">
        <f t="shared" ca="1" si="7"/>
        <v>0</v>
      </c>
      <c r="S76" s="127">
        <f t="shared" si="8"/>
        <v>0</v>
      </c>
      <c r="T76" s="127"/>
      <c r="U76" s="127"/>
      <c r="V76" s="127"/>
      <c r="W76" s="127"/>
      <c r="X76" s="127"/>
      <c r="Y76" s="127"/>
      <c r="Z76" s="127"/>
      <c r="AA76" s="127"/>
      <c r="AB76" s="127"/>
      <c r="AC76" s="127"/>
      <c r="AD76" s="127"/>
      <c r="AE76" s="127"/>
      <c r="AF76" s="127"/>
    </row>
    <row r="77" spans="1:32" x14ac:dyDescent="0.25">
      <c r="A77" s="136"/>
      <c r="B77" s="677"/>
      <c r="C77" s="678"/>
      <c r="D77" s="678"/>
      <c r="E77" s="11">
        <v>0</v>
      </c>
      <c r="F77" s="10" t="s">
        <v>410</v>
      </c>
      <c r="G77" s="10">
        <v>0</v>
      </c>
      <c r="H77" s="115">
        <v>1</v>
      </c>
      <c r="I77" s="115">
        <v>0.5</v>
      </c>
      <c r="J77" s="147">
        <f t="shared" ca="1" si="0"/>
        <v>0</v>
      </c>
      <c r="K77" s="136"/>
      <c r="L77" s="136">
        <f t="shared" ca="1" si="1"/>
        <v>0.37</v>
      </c>
      <c r="M77" s="136">
        <f t="shared" ca="1" si="2"/>
        <v>0</v>
      </c>
      <c r="N77" s="136">
        <f t="shared" ca="1" si="3"/>
        <v>0</v>
      </c>
      <c r="O77" s="136">
        <f t="shared" ca="1" si="4"/>
        <v>0</v>
      </c>
      <c r="P77" s="136">
        <f t="shared" si="5"/>
        <v>0</v>
      </c>
      <c r="Q77" s="136">
        <f t="shared" si="6"/>
        <v>0</v>
      </c>
      <c r="R77" s="136">
        <f t="shared" ca="1" si="7"/>
        <v>0</v>
      </c>
      <c r="S77" s="127">
        <f t="shared" si="8"/>
        <v>0</v>
      </c>
      <c r="T77" s="127"/>
      <c r="U77" s="127"/>
      <c r="V77" s="127"/>
      <c r="W77" s="127"/>
      <c r="X77" s="127"/>
      <c r="Y77" s="127"/>
      <c r="Z77" s="127"/>
      <c r="AA77" s="127"/>
      <c r="AB77" s="127"/>
      <c r="AC77" s="127"/>
      <c r="AD77" s="127"/>
      <c r="AE77" s="127"/>
      <c r="AF77" s="127"/>
    </row>
    <row r="78" spans="1:32" x14ac:dyDescent="0.25">
      <c r="A78" s="136"/>
      <c r="B78" s="677"/>
      <c r="C78" s="678"/>
      <c r="D78" s="678"/>
      <c r="E78" s="11">
        <v>0</v>
      </c>
      <c r="F78" s="10" t="s">
        <v>410</v>
      </c>
      <c r="G78" s="10">
        <v>0</v>
      </c>
      <c r="H78" s="115">
        <v>1</v>
      </c>
      <c r="I78" s="115">
        <v>0.5</v>
      </c>
      <c r="J78" s="147">
        <f t="shared" ca="1" si="0"/>
        <v>0</v>
      </c>
      <c r="K78" s="136"/>
      <c r="L78" s="136">
        <f t="shared" ca="1" si="1"/>
        <v>0.37</v>
      </c>
      <c r="M78" s="136">
        <f t="shared" ca="1" si="2"/>
        <v>0</v>
      </c>
      <c r="N78" s="136">
        <f t="shared" ca="1" si="3"/>
        <v>0</v>
      </c>
      <c r="O78" s="136">
        <f t="shared" ca="1" si="4"/>
        <v>0</v>
      </c>
      <c r="P78" s="136">
        <f t="shared" si="5"/>
        <v>0</v>
      </c>
      <c r="Q78" s="136">
        <f t="shared" si="6"/>
        <v>0</v>
      </c>
      <c r="R78" s="136">
        <f t="shared" ca="1" si="7"/>
        <v>0</v>
      </c>
      <c r="S78" s="127">
        <f t="shared" si="8"/>
        <v>0</v>
      </c>
      <c r="T78" s="127"/>
      <c r="U78" s="127"/>
      <c r="V78" s="127"/>
      <c r="W78" s="127"/>
      <c r="X78" s="127"/>
      <c r="Y78" s="127"/>
      <c r="Z78" s="127"/>
      <c r="AA78" s="127"/>
      <c r="AB78" s="127"/>
      <c r="AC78" s="127"/>
      <c r="AD78" s="127"/>
      <c r="AE78" s="127"/>
      <c r="AF78" s="127"/>
    </row>
    <row r="79" spans="1:32" x14ac:dyDescent="0.25">
      <c r="A79" s="136"/>
      <c r="B79" s="677"/>
      <c r="C79" s="678"/>
      <c r="D79" s="678"/>
      <c r="E79" s="11">
        <v>0</v>
      </c>
      <c r="F79" s="10" t="s">
        <v>410</v>
      </c>
      <c r="G79" s="10">
        <v>0</v>
      </c>
      <c r="H79" s="115">
        <v>1</v>
      </c>
      <c r="I79" s="115">
        <v>0.5</v>
      </c>
      <c r="J79" s="147">
        <f t="shared" ca="1" si="0"/>
        <v>0</v>
      </c>
      <c r="K79" s="136"/>
      <c r="L79" s="136">
        <f t="shared" ca="1" si="1"/>
        <v>0.37</v>
      </c>
      <c r="M79" s="136">
        <f t="shared" ca="1" si="2"/>
        <v>0</v>
      </c>
      <c r="N79" s="136">
        <f t="shared" ca="1" si="3"/>
        <v>0</v>
      </c>
      <c r="O79" s="136">
        <f t="shared" ca="1" si="4"/>
        <v>0</v>
      </c>
      <c r="P79" s="136">
        <f t="shared" si="5"/>
        <v>0</v>
      </c>
      <c r="Q79" s="136">
        <f t="shared" si="6"/>
        <v>0</v>
      </c>
      <c r="R79" s="136">
        <f t="shared" ca="1" si="7"/>
        <v>0</v>
      </c>
      <c r="S79" s="127">
        <f t="shared" si="8"/>
        <v>0</v>
      </c>
      <c r="T79" s="127"/>
      <c r="U79" s="127"/>
      <c r="V79" s="127"/>
      <c r="W79" s="127"/>
      <c r="X79" s="127"/>
      <c r="Y79" s="127"/>
      <c r="Z79" s="127"/>
      <c r="AA79" s="127"/>
      <c r="AB79" s="127"/>
      <c r="AC79" s="127"/>
      <c r="AD79" s="127"/>
      <c r="AE79" s="127"/>
      <c r="AF79" s="127"/>
    </row>
    <row r="80" spans="1:32" x14ac:dyDescent="0.25">
      <c r="A80" s="136"/>
      <c r="B80" s="677"/>
      <c r="C80" s="678"/>
      <c r="D80" s="678"/>
      <c r="E80" s="11">
        <v>0</v>
      </c>
      <c r="F80" s="10" t="s">
        <v>410</v>
      </c>
      <c r="G80" s="10">
        <v>0</v>
      </c>
      <c r="H80" s="115">
        <v>1</v>
      </c>
      <c r="I80" s="115">
        <v>0.5</v>
      </c>
      <c r="J80" s="147">
        <f t="shared" ca="1" si="0"/>
        <v>0</v>
      </c>
      <c r="K80" s="136"/>
      <c r="L80" s="136">
        <f t="shared" ca="1" si="1"/>
        <v>0.37</v>
      </c>
      <c r="M80" s="136">
        <f t="shared" ca="1" si="2"/>
        <v>0</v>
      </c>
      <c r="N80" s="136">
        <f t="shared" ca="1" si="3"/>
        <v>0</v>
      </c>
      <c r="O80" s="136">
        <f t="shared" ca="1" si="4"/>
        <v>0</v>
      </c>
      <c r="P80" s="136">
        <f t="shared" si="5"/>
        <v>0</v>
      </c>
      <c r="Q80" s="136">
        <f t="shared" si="6"/>
        <v>0</v>
      </c>
      <c r="R80" s="136">
        <f t="shared" ca="1" si="7"/>
        <v>0</v>
      </c>
      <c r="S80" s="127">
        <f t="shared" si="8"/>
        <v>0</v>
      </c>
      <c r="T80" s="127"/>
      <c r="U80" s="127"/>
      <c r="V80" s="127"/>
      <c r="W80" s="127"/>
      <c r="X80" s="127"/>
      <c r="Y80" s="127"/>
      <c r="Z80" s="127"/>
      <c r="AA80" s="127"/>
      <c r="AB80" s="127"/>
      <c r="AC80" s="127"/>
      <c r="AD80" s="127"/>
      <c r="AE80" s="127"/>
      <c r="AF80" s="127"/>
    </row>
    <row r="81" spans="1:32" x14ac:dyDescent="0.25">
      <c r="A81" s="136"/>
      <c r="B81" s="677"/>
      <c r="C81" s="678"/>
      <c r="D81" s="678"/>
      <c r="E81" s="11">
        <v>0</v>
      </c>
      <c r="F81" s="10" t="s">
        <v>410</v>
      </c>
      <c r="G81" s="10">
        <v>0</v>
      </c>
      <c r="H81" s="115">
        <v>1</v>
      </c>
      <c r="I81" s="115">
        <v>0.5</v>
      </c>
      <c r="J81" s="147">
        <f t="shared" ca="1" si="0"/>
        <v>0</v>
      </c>
      <c r="K81" s="136"/>
      <c r="L81" s="136">
        <f t="shared" ca="1" si="1"/>
        <v>0.37</v>
      </c>
      <c r="M81" s="136">
        <f t="shared" ca="1" si="2"/>
        <v>0</v>
      </c>
      <c r="N81" s="136">
        <f t="shared" ca="1" si="3"/>
        <v>0</v>
      </c>
      <c r="O81" s="136">
        <f t="shared" ca="1" si="4"/>
        <v>0</v>
      </c>
      <c r="P81" s="136">
        <f t="shared" si="5"/>
        <v>0</v>
      </c>
      <c r="Q81" s="136">
        <f t="shared" si="6"/>
        <v>0</v>
      </c>
      <c r="R81" s="136">
        <f t="shared" ca="1" si="7"/>
        <v>0</v>
      </c>
      <c r="S81" s="127">
        <f t="shared" si="8"/>
        <v>0</v>
      </c>
      <c r="T81" s="127"/>
      <c r="U81" s="127"/>
      <c r="V81" s="127"/>
      <c r="W81" s="127"/>
      <c r="X81" s="127"/>
      <c r="Y81" s="127"/>
      <c r="Z81" s="127"/>
      <c r="AA81" s="127"/>
      <c r="AB81" s="127"/>
      <c r="AC81" s="127"/>
      <c r="AD81" s="127"/>
      <c r="AE81" s="127"/>
      <c r="AF81" s="127"/>
    </row>
    <row r="82" spans="1:32" x14ac:dyDescent="0.25">
      <c r="A82" s="136"/>
      <c r="B82" s="677"/>
      <c r="C82" s="678"/>
      <c r="D82" s="678"/>
      <c r="E82" s="11">
        <v>0</v>
      </c>
      <c r="F82" s="10" t="s">
        <v>410</v>
      </c>
      <c r="G82" s="10">
        <v>0</v>
      </c>
      <c r="H82" s="115">
        <v>1</v>
      </c>
      <c r="I82" s="115">
        <v>0.5</v>
      </c>
      <c r="J82" s="147">
        <f t="shared" ca="1" si="0"/>
        <v>0</v>
      </c>
      <c r="K82" s="136"/>
      <c r="L82" s="136">
        <f t="shared" ca="1" si="1"/>
        <v>0.37</v>
      </c>
      <c r="M82" s="136">
        <f t="shared" ca="1" si="2"/>
        <v>0</v>
      </c>
      <c r="N82" s="136">
        <f t="shared" ca="1" si="3"/>
        <v>0</v>
      </c>
      <c r="O82" s="136">
        <f t="shared" ca="1" si="4"/>
        <v>0</v>
      </c>
      <c r="P82" s="136">
        <f t="shared" si="5"/>
        <v>0</v>
      </c>
      <c r="Q82" s="136">
        <f t="shared" si="6"/>
        <v>0</v>
      </c>
      <c r="R82" s="136">
        <f t="shared" ca="1" si="7"/>
        <v>0</v>
      </c>
      <c r="S82" s="127">
        <f t="shared" si="8"/>
        <v>0</v>
      </c>
      <c r="T82" s="127"/>
      <c r="U82" s="127"/>
      <c r="V82" s="127"/>
      <c r="W82" s="127"/>
      <c r="X82" s="127"/>
      <c r="Y82" s="127"/>
      <c r="Z82" s="127"/>
      <c r="AA82" s="127"/>
      <c r="AB82" s="127"/>
      <c r="AC82" s="127"/>
      <c r="AD82" s="127"/>
      <c r="AE82" s="127"/>
      <c r="AF82" s="127"/>
    </row>
    <row r="83" spans="1:32" x14ac:dyDescent="0.25">
      <c r="A83" s="136"/>
      <c r="B83" s="677"/>
      <c r="C83" s="678"/>
      <c r="D83" s="678"/>
      <c r="E83" s="11">
        <v>0</v>
      </c>
      <c r="F83" s="10" t="s">
        <v>410</v>
      </c>
      <c r="G83" s="10">
        <v>0</v>
      </c>
      <c r="H83" s="115">
        <v>1</v>
      </c>
      <c r="I83" s="115">
        <v>0.5</v>
      </c>
      <c r="J83" s="147">
        <f t="shared" ca="1" si="0"/>
        <v>0</v>
      </c>
      <c r="K83" s="136"/>
      <c r="L83" s="136">
        <f t="shared" ca="1" si="1"/>
        <v>0.37</v>
      </c>
      <c r="M83" s="136">
        <f t="shared" ca="1" si="2"/>
        <v>0</v>
      </c>
      <c r="N83" s="136">
        <f t="shared" ca="1" si="3"/>
        <v>0</v>
      </c>
      <c r="O83" s="136">
        <f t="shared" ca="1" si="4"/>
        <v>0</v>
      </c>
      <c r="P83" s="136">
        <f t="shared" si="5"/>
        <v>0</v>
      </c>
      <c r="Q83" s="136">
        <f t="shared" si="6"/>
        <v>0</v>
      </c>
      <c r="R83" s="136">
        <f t="shared" ca="1" si="7"/>
        <v>0</v>
      </c>
      <c r="S83" s="127">
        <f t="shared" si="8"/>
        <v>0</v>
      </c>
      <c r="T83" s="127"/>
      <c r="U83" s="127"/>
      <c r="V83" s="127"/>
      <c r="W83" s="127"/>
      <c r="X83" s="127"/>
      <c r="Y83" s="127"/>
      <c r="Z83" s="127"/>
      <c r="AA83" s="127"/>
      <c r="AB83" s="127"/>
      <c r="AC83" s="127"/>
      <c r="AD83" s="127"/>
      <c r="AE83" s="127"/>
      <c r="AF83" s="127"/>
    </row>
    <row r="84" spans="1:32" x14ac:dyDescent="0.25">
      <c r="A84" s="136"/>
      <c r="B84" s="677"/>
      <c r="C84" s="678"/>
      <c r="D84" s="678"/>
      <c r="E84" s="11">
        <v>0</v>
      </c>
      <c r="F84" s="10" t="s">
        <v>410</v>
      </c>
      <c r="G84" s="10">
        <v>0</v>
      </c>
      <c r="H84" s="115">
        <v>1</v>
      </c>
      <c r="I84" s="115">
        <v>0.5</v>
      </c>
      <c r="J84" s="147">
        <f t="shared" ca="1" si="0"/>
        <v>0</v>
      </c>
      <c r="K84" s="136"/>
      <c r="L84" s="136">
        <f t="shared" ca="1" si="1"/>
        <v>0.37</v>
      </c>
      <c r="M84" s="136">
        <f t="shared" ca="1" si="2"/>
        <v>0</v>
      </c>
      <c r="N84" s="136">
        <f t="shared" ca="1" si="3"/>
        <v>0</v>
      </c>
      <c r="O84" s="136">
        <f t="shared" ca="1" si="4"/>
        <v>0</v>
      </c>
      <c r="P84" s="136">
        <f t="shared" si="5"/>
        <v>0</v>
      </c>
      <c r="Q84" s="136">
        <f t="shared" si="6"/>
        <v>0</v>
      </c>
      <c r="R84" s="136">
        <f t="shared" ca="1" si="7"/>
        <v>0</v>
      </c>
      <c r="S84" s="127">
        <f t="shared" si="8"/>
        <v>0</v>
      </c>
      <c r="T84" s="127"/>
      <c r="U84" s="127"/>
      <c r="V84" s="127"/>
      <c r="W84" s="127"/>
      <c r="X84" s="127"/>
      <c r="Y84" s="127"/>
      <c r="Z84" s="127"/>
      <c r="AA84" s="127"/>
      <c r="AB84" s="127"/>
      <c r="AC84" s="127"/>
      <c r="AD84" s="127"/>
      <c r="AE84" s="127"/>
      <c r="AF84" s="127"/>
    </row>
    <row r="85" spans="1:32" x14ac:dyDescent="0.25">
      <c r="A85" s="136"/>
      <c r="B85" s="677"/>
      <c r="C85" s="678"/>
      <c r="D85" s="678"/>
      <c r="E85" s="11">
        <v>0</v>
      </c>
      <c r="F85" s="10" t="s">
        <v>410</v>
      </c>
      <c r="G85" s="10">
        <v>0</v>
      </c>
      <c r="H85" s="115">
        <v>1</v>
      </c>
      <c r="I85" s="115">
        <v>0.5</v>
      </c>
      <c r="J85" s="147">
        <f t="shared" ca="1" si="0"/>
        <v>0</v>
      </c>
      <c r="K85" s="136"/>
      <c r="L85" s="136">
        <f t="shared" ca="1" si="1"/>
        <v>0.37</v>
      </c>
      <c r="M85" s="136">
        <f t="shared" ca="1" si="2"/>
        <v>0</v>
      </c>
      <c r="N85" s="136">
        <f t="shared" ca="1" si="3"/>
        <v>0</v>
      </c>
      <c r="O85" s="136">
        <f t="shared" ca="1" si="4"/>
        <v>0</v>
      </c>
      <c r="P85" s="136">
        <f t="shared" si="5"/>
        <v>0</v>
      </c>
      <c r="Q85" s="136">
        <f t="shared" si="6"/>
        <v>0</v>
      </c>
      <c r="R85" s="136">
        <f t="shared" ca="1" si="7"/>
        <v>0</v>
      </c>
      <c r="S85" s="127">
        <f t="shared" si="8"/>
        <v>0</v>
      </c>
      <c r="T85" s="127"/>
      <c r="U85" s="127"/>
      <c r="V85" s="127"/>
      <c r="W85" s="127"/>
      <c r="X85" s="127"/>
      <c r="Y85" s="127"/>
      <c r="Z85" s="127"/>
      <c r="AA85" s="127"/>
      <c r="AB85" s="127"/>
      <c r="AC85" s="127"/>
      <c r="AD85" s="127"/>
      <c r="AE85" s="127"/>
      <c r="AF85" s="127"/>
    </row>
    <row r="86" spans="1:32" x14ac:dyDescent="0.25">
      <c r="A86" s="136"/>
      <c r="B86" s="677"/>
      <c r="C86" s="678"/>
      <c r="D86" s="678"/>
      <c r="E86" s="11">
        <v>0</v>
      </c>
      <c r="F86" s="10" t="s">
        <v>410</v>
      </c>
      <c r="G86" s="10">
        <v>0</v>
      </c>
      <c r="H86" s="115">
        <v>1</v>
      </c>
      <c r="I86" s="115">
        <v>0.5</v>
      </c>
      <c r="J86" s="147">
        <f t="shared" ca="1" si="0"/>
        <v>0</v>
      </c>
      <c r="K86" s="136"/>
      <c r="L86" s="136">
        <f t="shared" ca="1" si="1"/>
        <v>0.37</v>
      </c>
      <c r="M86" s="136">
        <f t="shared" ca="1" si="2"/>
        <v>0</v>
      </c>
      <c r="N86" s="136">
        <f t="shared" ca="1" si="3"/>
        <v>0</v>
      </c>
      <c r="O86" s="136">
        <f t="shared" ca="1" si="4"/>
        <v>0</v>
      </c>
      <c r="P86" s="136">
        <f t="shared" si="5"/>
        <v>0</v>
      </c>
      <c r="Q86" s="136">
        <f t="shared" si="6"/>
        <v>0</v>
      </c>
      <c r="R86" s="136">
        <f t="shared" ca="1" si="7"/>
        <v>0</v>
      </c>
      <c r="S86" s="127">
        <f t="shared" si="8"/>
        <v>0</v>
      </c>
      <c r="T86" s="127"/>
      <c r="U86" s="127"/>
      <c r="V86" s="127"/>
      <c r="W86" s="127"/>
      <c r="X86" s="127"/>
      <c r="Y86" s="127"/>
      <c r="Z86" s="127"/>
      <c r="AA86" s="127"/>
      <c r="AB86" s="127"/>
      <c r="AC86" s="127"/>
      <c r="AD86" s="127"/>
      <c r="AE86" s="127"/>
      <c r="AF86" s="127"/>
    </row>
    <row r="87" spans="1:32" x14ac:dyDescent="0.25">
      <c r="A87" s="136"/>
      <c r="B87" s="677"/>
      <c r="C87" s="678"/>
      <c r="D87" s="678"/>
      <c r="E87" s="11">
        <v>0</v>
      </c>
      <c r="F87" s="10" t="s">
        <v>410</v>
      </c>
      <c r="G87" s="10">
        <v>0</v>
      </c>
      <c r="H87" s="115">
        <v>1</v>
      </c>
      <c r="I87" s="115">
        <v>0.5</v>
      </c>
      <c r="J87" s="147">
        <f t="shared" ca="1" si="0"/>
        <v>0</v>
      </c>
      <c r="K87" s="136"/>
      <c r="L87" s="136">
        <f t="shared" ca="1" si="1"/>
        <v>0.37</v>
      </c>
      <c r="M87" s="136">
        <f t="shared" ca="1" si="2"/>
        <v>0</v>
      </c>
      <c r="N87" s="136">
        <f t="shared" ca="1" si="3"/>
        <v>0</v>
      </c>
      <c r="O87" s="136">
        <f t="shared" ca="1" si="4"/>
        <v>0</v>
      </c>
      <c r="P87" s="136">
        <f t="shared" si="5"/>
        <v>0</v>
      </c>
      <c r="Q87" s="136">
        <f t="shared" si="6"/>
        <v>0</v>
      </c>
      <c r="R87" s="136">
        <f t="shared" ca="1" si="7"/>
        <v>0</v>
      </c>
      <c r="S87" s="127">
        <f t="shared" si="8"/>
        <v>0</v>
      </c>
      <c r="T87" s="127"/>
      <c r="U87" s="127"/>
      <c r="V87" s="127"/>
      <c r="W87" s="127"/>
      <c r="X87" s="127"/>
      <c r="Y87" s="127"/>
      <c r="Z87" s="127"/>
      <c r="AA87" s="127"/>
      <c r="AB87" s="127"/>
      <c r="AC87" s="127"/>
      <c r="AD87" s="127"/>
      <c r="AE87" s="127"/>
      <c r="AF87" s="127"/>
    </row>
    <row r="88" spans="1:32" x14ac:dyDescent="0.25">
      <c r="A88" s="136"/>
      <c r="B88" s="677"/>
      <c r="C88" s="678"/>
      <c r="D88" s="678"/>
      <c r="E88" s="11">
        <v>0</v>
      </c>
      <c r="F88" s="10" t="s">
        <v>410</v>
      </c>
      <c r="G88" s="10">
        <v>0</v>
      </c>
      <c r="H88" s="115">
        <v>1</v>
      </c>
      <c r="I88" s="115">
        <v>0.5</v>
      </c>
      <c r="J88" s="147">
        <f t="shared" ca="1" si="0"/>
        <v>0</v>
      </c>
      <c r="K88" s="136"/>
      <c r="L88" s="136">
        <f t="shared" ca="1" si="1"/>
        <v>0.37</v>
      </c>
      <c r="M88" s="136">
        <f t="shared" ca="1" si="2"/>
        <v>0</v>
      </c>
      <c r="N88" s="136">
        <f t="shared" ca="1" si="3"/>
        <v>0</v>
      </c>
      <c r="O88" s="136">
        <f t="shared" ca="1" si="4"/>
        <v>0</v>
      </c>
      <c r="P88" s="136">
        <f t="shared" si="5"/>
        <v>0</v>
      </c>
      <c r="Q88" s="136">
        <f t="shared" si="6"/>
        <v>0</v>
      </c>
      <c r="R88" s="136">
        <f t="shared" ca="1" si="7"/>
        <v>0</v>
      </c>
      <c r="S88" s="127">
        <f t="shared" si="8"/>
        <v>0</v>
      </c>
      <c r="T88" s="127"/>
      <c r="U88" s="127"/>
      <c r="V88" s="127"/>
      <c r="W88" s="127"/>
      <c r="X88" s="127"/>
      <c r="Y88" s="127"/>
      <c r="Z88" s="127"/>
      <c r="AA88" s="127"/>
      <c r="AB88" s="127"/>
      <c r="AC88" s="127"/>
      <c r="AD88" s="127"/>
      <c r="AE88" s="127"/>
      <c r="AF88" s="127"/>
    </row>
    <row r="89" spans="1:32" x14ac:dyDescent="0.25">
      <c r="A89" s="136"/>
      <c r="B89" s="677"/>
      <c r="C89" s="678"/>
      <c r="D89" s="678"/>
      <c r="E89" s="11">
        <v>0</v>
      </c>
      <c r="F89" s="10" t="s">
        <v>410</v>
      </c>
      <c r="G89" s="10">
        <v>0</v>
      </c>
      <c r="H89" s="115">
        <v>1</v>
      </c>
      <c r="I89" s="115">
        <v>0.5</v>
      </c>
      <c r="J89" s="147">
        <f t="shared" ca="1" si="0"/>
        <v>0</v>
      </c>
      <c r="K89" s="136"/>
      <c r="L89" s="136">
        <f t="shared" ca="1" si="1"/>
        <v>0.37</v>
      </c>
      <c r="M89" s="136">
        <f t="shared" ca="1" si="2"/>
        <v>0</v>
      </c>
      <c r="N89" s="136">
        <f t="shared" ca="1" si="3"/>
        <v>0</v>
      </c>
      <c r="O89" s="136">
        <f t="shared" ca="1" si="4"/>
        <v>0</v>
      </c>
      <c r="P89" s="136">
        <f t="shared" si="5"/>
        <v>0</v>
      </c>
      <c r="Q89" s="136">
        <f t="shared" si="6"/>
        <v>0</v>
      </c>
      <c r="R89" s="136">
        <f t="shared" ca="1" si="7"/>
        <v>0</v>
      </c>
      <c r="S89" s="127">
        <f t="shared" si="8"/>
        <v>0</v>
      </c>
      <c r="T89" s="127"/>
      <c r="U89" s="127"/>
      <c r="V89" s="127"/>
      <c r="W89" s="127"/>
      <c r="X89" s="127"/>
      <c r="Y89" s="127"/>
      <c r="Z89" s="127"/>
      <c r="AA89" s="127"/>
      <c r="AB89" s="127"/>
      <c r="AC89" s="127"/>
      <c r="AD89" s="127"/>
      <c r="AE89" s="127"/>
      <c r="AF89" s="127"/>
    </row>
    <row r="90" spans="1:32" x14ac:dyDescent="0.25">
      <c r="A90" s="136"/>
      <c r="B90" s="677"/>
      <c r="C90" s="678"/>
      <c r="D90" s="678"/>
      <c r="E90" s="11">
        <v>0</v>
      </c>
      <c r="F90" s="10" t="s">
        <v>410</v>
      </c>
      <c r="G90" s="10">
        <v>0</v>
      </c>
      <c r="H90" s="115">
        <v>1</v>
      </c>
      <c r="I90" s="115">
        <v>0.5</v>
      </c>
      <c r="J90" s="147">
        <f t="shared" ca="1" si="0"/>
        <v>0</v>
      </c>
      <c r="K90" s="136"/>
      <c r="L90" s="136">
        <f t="shared" ca="1" si="1"/>
        <v>0.37</v>
      </c>
      <c r="M90" s="136">
        <f t="shared" ca="1" si="2"/>
        <v>0</v>
      </c>
      <c r="N90" s="136">
        <f t="shared" ca="1" si="3"/>
        <v>0</v>
      </c>
      <c r="O90" s="136">
        <f t="shared" ca="1" si="4"/>
        <v>0</v>
      </c>
      <c r="P90" s="136">
        <f t="shared" si="5"/>
        <v>0</v>
      </c>
      <c r="Q90" s="136">
        <f t="shared" si="6"/>
        <v>0</v>
      </c>
      <c r="R90" s="136">
        <f t="shared" ca="1" si="7"/>
        <v>0</v>
      </c>
      <c r="S90" s="127">
        <f t="shared" si="8"/>
        <v>0</v>
      </c>
      <c r="T90" s="127"/>
      <c r="U90" s="127"/>
      <c r="V90" s="127"/>
      <c r="W90" s="127"/>
      <c r="X90" s="127"/>
      <c r="Y90" s="127"/>
      <c r="Z90" s="127"/>
      <c r="AA90" s="127"/>
      <c r="AB90" s="127"/>
      <c r="AC90" s="127"/>
      <c r="AD90" s="127"/>
      <c r="AE90" s="127"/>
      <c r="AF90" s="127"/>
    </row>
    <row r="91" spans="1:32" x14ac:dyDescent="0.25">
      <c r="A91" s="136"/>
      <c r="B91" s="677"/>
      <c r="C91" s="678"/>
      <c r="D91" s="678"/>
      <c r="E91" s="11">
        <v>0</v>
      </c>
      <c r="F91" s="10" t="s">
        <v>410</v>
      </c>
      <c r="G91" s="10">
        <v>0</v>
      </c>
      <c r="H91" s="115">
        <v>1</v>
      </c>
      <c r="I91" s="115">
        <v>0.5</v>
      </c>
      <c r="J91" s="147">
        <f t="shared" ca="1" si="0"/>
        <v>0</v>
      </c>
      <c r="K91" s="136"/>
      <c r="L91" s="136">
        <f t="shared" ca="1" si="1"/>
        <v>0.37</v>
      </c>
      <c r="M91" s="136">
        <f t="shared" ca="1" si="2"/>
        <v>0</v>
      </c>
      <c r="N91" s="136">
        <f t="shared" ca="1" si="3"/>
        <v>0</v>
      </c>
      <c r="O91" s="136">
        <f t="shared" ca="1" si="4"/>
        <v>0</v>
      </c>
      <c r="P91" s="136">
        <f t="shared" si="5"/>
        <v>0</v>
      </c>
      <c r="Q91" s="136">
        <f t="shared" si="6"/>
        <v>0</v>
      </c>
      <c r="R91" s="136">
        <f t="shared" ca="1" si="7"/>
        <v>0</v>
      </c>
      <c r="S91" s="127">
        <f t="shared" si="8"/>
        <v>0</v>
      </c>
      <c r="T91" s="127"/>
      <c r="U91" s="127"/>
      <c r="V91" s="127"/>
      <c r="W91" s="127"/>
      <c r="X91" s="127"/>
      <c r="Y91" s="127"/>
      <c r="Z91" s="127"/>
      <c r="AA91" s="127"/>
      <c r="AB91" s="127"/>
      <c r="AC91" s="127"/>
      <c r="AD91" s="127"/>
      <c r="AE91" s="127"/>
      <c r="AF91" s="127"/>
    </row>
    <row r="92" spans="1:32" x14ac:dyDescent="0.25">
      <c r="A92" s="136"/>
      <c r="B92" s="677"/>
      <c r="C92" s="678"/>
      <c r="D92" s="678"/>
      <c r="E92" s="11">
        <v>0</v>
      </c>
      <c r="F92" s="10" t="s">
        <v>410</v>
      </c>
      <c r="G92" s="10">
        <v>0</v>
      </c>
      <c r="H92" s="115">
        <v>1</v>
      </c>
      <c r="I92" s="115">
        <v>0.5</v>
      </c>
      <c r="J92" s="147">
        <f t="shared" ca="1" si="0"/>
        <v>0</v>
      </c>
      <c r="K92" s="136"/>
      <c r="L92" s="136">
        <f t="shared" ca="1" si="1"/>
        <v>0.37</v>
      </c>
      <c r="M92" s="136">
        <f t="shared" ca="1" si="2"/>
        <v>0</v>
      </c>
      <c r="N92" s="136">
        <f t="shared" ca="1" si="3"/>
        <v>0</v>
      </c>
      <c r="O92" s="136">
        <f t="shared" ca="1" si="4"/>
        <v>0</v>
      </c>
      <c r="P92" s="136">
        <f t="shared" si="5"/>
        <v>0</v>
      </c>
      <c r="Q92" s="136">
        <f t="shared" si="6"/>
        <v>0</v>
      </c>
      <c r="R92" s="136">
        <f t="shared" ca="1" si="7"/>
        <v>0</v>
      </c>
      <c r="S92" s="127">
        <f t="shared" si="8"/>
        <v>0</v>
      </c>
      <c r="T92" s="127"/>
      <c r="U92" s="127"/>
      <c r="V92" s="127"/>
      <c r="W92" s="127"/>
      <c r="X92" s="127"/>
      <c r="Y92" s="127"/>
      <c r="Z92" s="127"/>
      <c r="AA92" s="127"/>
      <c r="AB92" s="127"/>
      <c r="AC92" s="127"/>
      <c r="AD92" s="127"/>
      <c r="AE92" s="127"/>
      <c r="AF92" s="127"/>
    </row>
    <row r="93" spans="1:32" x14ac:dyDescent="0.25">
      <c r="A93" s="136"/>
      <c r="B93" s="677"/>
      <c r="C93" s="678"/>
      <c r="D93" s="678"/>
      <c r="E93" s="11">
        <v>0</v>
      </c>
      <c r="F93" s="10" t="s">
        <v>410</v>
      </c>
      <c r="G93" s="10">
        <v>0</v>
      </c>
      <c r="H93" s="115">
        <v>1</v>
      </c>
      <c r="I93" s="115">
        <v>0.5</v>
      </c>
      <c r="J93" s="147">
        <f t="shared" ca="1" si="0"/>
        <v>0</v>
      </c>
      <c r="K93" s="136"/>
      <c r="L93" s="136">
        <f t="shared" ca="1" si="1"/>
        <v>0.37</v>
      </c>
      <c r="M93" s="136">
        <f t="shared" ca="1" si="2"/>
        <v>0</v>
      </c>
      <c r="N93" s="136">
        <f t="shared" ca="1" si="3"/>
        <v>0</v>
      </c>
      <c r="O93" s="136">
        <f t="shared" ca="1" si="4"/>
        <v>0</v>
      </c>
      <c r="P93" s="136">
        <f t="shared" si="5"/>
        <v>0</v>
      </c>
      <c r="Q93" s="136">
        <f t="shared" si="6"/>
        <v>0</v>
      </c>
      <c r="R93" s="136">
        <f t="shared" ca="1" si="7"/>
        <v>0</v>
      </c>
      <c r="S93" s="127">
        <f t="shared" si="8"/>
        <v>0</v>
      </c>
      <c r="T93" s="127"/>
      <c r="U93" s="127"/>
      <c r="V93" s="127"/>
      <c r="W93" s="127"/>
      <c r="X93" s="127"/>
      <c r="Y93" s="127"/>
      <c r="Z93" s="127"/>
      <c r="AA93" s="127"/>
      <c r="AB93" s="127"/>
      <c r="AC93" s="127"/>
      <c r="AD93" s="127"/>
      <c r="AE93" s="127"/>
      <c r="AF93" s="127"/>
    </row>
    <row r="94" spans="1:32" x14ac:dyDescent="0.25">
      <c r="A94" s="136"/>
      <c r="B94" s="677"/>
      <c r="C94" s="678"/>
      <c r="D94" s="678"/>
      <c r="E94" s="11">
        <v>0</v>
      </c>
      <c r="F94" s="10" t="s">
        <v>410</v>
      </c>
      <c r="G94" s="10">
        <v>0</v>
      </c>
      <c r="H94" s="115">
        <v>1</v>
      </c>
      <c r="I94" s="115">
        <v>0.5</v>
      </c>
      <c r="J94" s="147">
        <f t="shared" ca="1" si="0"/>
        <v>0</v>
      </c>
      <c r="K94" s="136"/>
      <c r="L94" s="136">
        <f t="shared" ca="1" si="1"/>
        <v>0.37</v>
      </c>
      <c r="M94" s="136">
        <f t="shared" ca="1" si="2"/>
        <v>0</v>
      </c>
      <c r="N94" s="136">
        <f t="shared" ca="1" si="3"/>
        <v>0</v>
      </c>
      <c r="O94" s="136">
        <f t="shared" ca="1" si="4"/>
        <v>0</v>
      </c>
      <c r="P94" s="136">
        <f t="shared" si="5"/>
        <v>0</v>
      </c>
      <c r="Q94" s="136">
        <f t="shared" si="6"/>
        <v>0</v>
      </c>
      <c r="R94" s="136">
        <f t="shared" ca="1" si="7"/>
        <v>0</v>
      </c>
      <c r="S94" s="127">
        <f t="shared" si="8"/>
        <v>0</v>
      </c>
      <c r="T94" s="127"/>
      <c r="U94" s="127"/>
      <c r="V94" s="127"/>
      <c r="W94" s="127"/>
      <c r="X94" s="127"/>
      <c r="Y94" s="127"/>
      <c r="Z94" s="127"/>
      <c r="AA94" s="127"/>
      <c r="AB94" s="127"/>
      <c r="AC94" s="127"/>
      <c r="AD94" s="127"/>
      <c r="AE94" s="127"/>
      <c r="AF94" s="127"/>
    </row>
    <row r="95" spans="1:32" x14ac:dyDescent="0.25">
      <c r="A95" s="136"/>
      <c r="B95" s="677"/>
      <c r="C95" s="678"/>
      <c r="D95" s="678"/>
      <c r="E95" s="11">
        <v>0</v>
      </c>
      <c r="F95" s="10" t="s">
        <v>410</v>
      </c>
      <c r="G95" s="10">
        <v>0</v>
      </c>
      <c r="H95" s="115">
        <v>1</v>
      </c>
      <c r="I95" s="115">
        <v>0.5</v>
      </c>
      <c r="J95" s="147">
        <f t="shared" ca="1" si="0"/>
        <v>0</v>
      </c>
      <c r="K95" s="136"/>
      <c r="L95" s="136">
        <f t="shared" ca="1" si="1"/>
        <v>0.37</v>
      </c>
      <c r="M95" s="136">
        <f t="shared" ca="1" si="2"/>
        <v>0</v>
      </c>
      <c r="N95" s="136">
        <f t="shared" ca="1" si="3"/>
        <v>0</v>
      </c>
      <c r="O95" s="136">
        <f t="shared" ca="1" si="4"/>
        <v>0</v>
      </c>
      <c r="P95" s="136">
        <f t="shared" si="5"/>
        <v>0</v>
      </c>
      <c r="Q95" s="136">
        <f t="shared" si="6"/>
        <v>0</v>
      </c>
      <c r="R95" s="136">
        <f t="shared" ca="1" si="7"/>
        <v>0</v>
      </c>
      <c r="S95" s="127">
        <f t="shared" si="8"/>
        <v>0</v>
      </c>
      <c r="T95" s="127"/>
      <c r="U95" s="127"/>
      <c r="V95" s="127"/>
      <c r="W95" s="127"/>
      <c r="X95" s="127"/>
      <c r="Y95" s="127"/>
      <c r="Z95" s="127"/>
      <c r="AA95" s="127"/>
      <c r="AB95" s="127"/>
      <c r="AC95" s="127"/>
      <c r="AD95" s="127"/>
      <c r="AE95" s="127"/>
      <c r="AF95" s="127"/>
    </row>
    <row r="96" spans="1:32" x14ac:dyDescent="0.25">
      <c r="A96" s="136"/>
      <c r="B96" s="677"/>
      <c r="C96" s="678"/>
      <c r="D96" s="678"/>
      <c r="E96" s="11">
        <v>0</v>
      </c>
      <c r="F96" s="10" t="s">
        <v>410</v>
      </c>
      <c r="G96" s="10">
        <v>0</v>
      </c>
      <c r="H96" s="115">
        <v>1</v>
      </c>
      <c r="I96" s="115">
        <v>0.5</v>
      </c>
      <c r="J96" s="147">
        <f t="shared" ca="1" si="0"/>
        <v>0</v>
      </c>
      <c r="K96" s="136"/>
      <c r="L96" s="136">
        <f t="shared" ca="1" si="1"/>
        <v>0.37</v>
      </c>
      <c r="M96" s="136">
        <f t="shared" ca="1" si="2"/>
        <v>0</v>
      </c>
      <c r="N96" s="136">
        <f t="shared" ca="1" si="3"/>
        <v>0</v>
      </c>
      <c r="O96" s="136">
        <f t="shared" ca="1" si="4"/>
        <v>0</v>
      </c>
      <c r="P96" s="136">
        <f t="shared" si="5"/>
        <v>0</v>
      </c>
      <c r="Q96" s="136">
        <f t="shared" si="6"/>
        <v>0</v>
      </c>
      <c r="R96" s="136">
        <f t="shared" ca="1" si="7"/>
        <v>0</v>
      </c>
      <c r="S96" s="127">
        <f t="shared" si="8"/>
        <v>0</v>
      </c>
      <c r="T96" s="127"/>
      <c r="U96" s="127"/>
      <c r="V96" s="127"/>
      <c r="W96" s="127"/>
      <c r="X96" s="127"/>
      <c r="Y96" s="127"/>
      <c r="Z96" s="127"/>
      <c r="AA96" s="127"/>
      <c r="AB96" s="127"/>
      <c r="AC96" s="127"/>
      <c r="AD96" s="127"/>
      <c r="AE96" s="127"/>
      <c r="AF96" s="127"/>
    </row>
    <row r="97" spans="1:32" x14ac:dyDescent="0.25">
      <c r="A97" s="136"/>
      <c r="B97" s="677"/>
      <c r="C97" s="678"/>
      <c r="D97" s="678"/>
      <c r="E97" s="11">
        <v>0</v>
      </c>
      <c r="F97" s="10" t="s">
        <v>410</v>
      </c>
      <c r="G97" s="10">
        <v>0</v>
      </c>
      <c r="H97" s="115">
        <v>1</v>
      </c>
      <c r="I97" s="115">
        <v>0.5</v>
      </c>
      <c r="J97" s="147">
        <f t="shared" ca="1" si="0"/>
        <v>0</v>
      </c>
      <c r="K97" s="136"/>
      <c r="L97" s="136">
        <f t="shared" ca="1" si="1"/>
        <v>0.37</v>
      </c>
      <c r="M97" s="136">
        <f t="shared" ca="1" si="2"/>
        <v>0</v>
      </c>
      <c r="N97" s="136">
        <f t="shared" ca="1" si="3"/>
        <v>0</v>
      </c>
      <c r="O97" s="136">
        <f t="shared" ca="1" si="4"/>
        <v>0</v>
      </c>
      <c r="P97" s="136">
        <f t="shared" si="5"/>
        <v>0</v>
      </c>
      <c r="Q97" s="136">
        <f t="shared" si="6"/>
        <v>0</v>
      </c>
      <c r="R97" s="136">
        <f t="shared" ca="1" si="7"/>
        <v>0</v>
      </c>
      <c r="S97" s="127">
        <f t="shared" si="8"/>
        <v>0</v>
      </c>
      <c r="T97" s="127"/>
      <c r="U97" s="127"/>
      <c r="V97" s="127"/>
      <c r="W97" s="127"/>
      <c r="X97" s="127"/>
      <c r="Y97" s="127"/>
      <c r="Z97" s="127"/>
      <c r="AA97" s="127"/>
      <c r="AB97" s="127"/>
      <c r="AC97" s="127"/>
      <c r="AD97" s="127"/>
      <c r="AE97" s="127"/>
      <c r="AF97" s="127"/>
    </row>
    <row r="98" spans="1:32" x14ac:dyDescent="0.25">
      <c r="A98" s="136"/>
      <c r="B98" s="677"/>
      <c r="C98" s="678"/>
      <c r="D98" s="678"/>
      <c r="E98" s="11">
        <v>0</v>
      </c>
      <c r="F98" s="10" t="s">
        <v>410</v>
      </c>
      <c r="G98" s="10">
        <v>0</v>
      </c>
      <c r="H98" s="115">
        <v>1</v>
      </c>
      <c r="I98" s="115">
        <v>0.5</v>
      </c>
      <c r="J98" s="147">
        <f t="shared" ca="1" si="0"/>
        <v>0</v>
      </c>
      <c r="K98" s="136"/>
      <c r="L98" s="136">
        <f t="shared" ca="1" si="1"/>
        <v>0.37</v>
      </c>
      <c r="M98" s="136">
        <f t="shared" ca="1" si="2"/>
        <v>0</v>
      </c>
      <c r="N98" s="136">
        <f t="shared" ca="1" si="3"/>
        <v>0</v>
      </c>
      <c r="O98" s="136">
        <f t="shared" ca="1" si="4"/>
        <v>0</v>
      </c>
      <c r="P98" s="136">
        <f t="shared" si="5"/>
        <v>0</v>
      </c>
      <c r="Q98" s="136">
        <f t="shared" si="6"/>
        <v>0</v>
      </c>
      <c r="R98" s="136">
        <f t="shared" ca="1" si="7"/>
        <v>0</v>
      </c>
      <c r="S98" s="127">
        <f t="shared" si="8"/>
        <v>0</v>
      </c>
      <c r="T98" s="127"/>
      <c r="U98" s="127"/>
      <c r="V98" s="127"/>
      <c r="W98" s="127"/>
      <c r="X98" s="127"/>
      <c r="Y98" s="127"/>
      <c r="Z98" s="127"/>
      <c r="AA98" s="127"/>
      <c r="AB98" s="127"/>
      <c r="AC98" s="127"/>
      <c r="AD98" s="127"/>
      <c r="AE98" s="127"/>
      <c r="AF98" s="127"/>
    </row>
    <row r="99" spans="1:32" x14ac:dyDescent="0.25">
      <c r="A99" s="136"/>
      <c r="B99" s="677"/>
      <c r="C99" s="678"/>
      <c r="D99" s="678"/>
      <c r="E99" s="11">
        <v>0</v>
      </c>
      <c r="F99" s="10" t="s">
        <v>410</v>
      </c>
      <c r="G99" s="10">
        <v>0</v>
      </c>
      <c r="H99" s="115">
        <v>1</v>
      </c>
      <c r="I99" s="115">
        <v>0.5</v>
      </c>
      <c r="J99" s="147">
        <f t="shared" ca="1" si="0"/>
        <v>0</v>
      </c>
      <c r="K99" s="136"/>
      <c r="L99" s="136">
        <f t="shared" ca="1" si="1"/>
        <v>0.37</v>
      </c>
      <c r="M99" s="136">
        <f t="shared" ca="1" si="2"/>
        <v>0</v>
      </c>
      <c r="N99" s="136">
        <f t="shared" ca="1" si="3"/>
        <v>0</v>
      </c>
      <c r="O99" s="136">
        <f t="shared" ca="1" si="4"/>
        <v>0</v>
      </c>
      <c r="P99" s="136">
        <f t="shared" si="5"/>
        <v>0</v>
      </c>
      <c r="Q99" s="136">
        <f t="shared" si="6"/>
        <v>0</v>
      </c>
      <c r="R99" s="136">
        <f t="shared" ca="1" si="7"/>
        <v>0</v>
      </c>
      <c r="S99" s="127">
        <f t="shared" si="8"/>
        <v>0</v>
      </c>
      <c r="T99" s="127"/>
      <c r="U99" s="127"/>
      <c r="V99" s="127"/>
      <c r="W99" s="127"/>
      <c r="X99" s="127"/>
      <c r="Y99" s="127"/>
      <c r="Z99" s="127"/>
      <c r="AA99" s="127"/>
      <c r="AB99" s="127"/>
      <c r="AC99" s="127"/>
      <c r="AD99" s="127"/>
      <c r="AE99" s="127"/>
      <c r="AF99" s="127"/>
    </row>
    <row r="100" spans="1:32" ht="13.8" thickBot="1" x14ac:dyDescent="0.3">
      <c r="A100" s="136"/>
      <c r="B100" s="682"/>
      <c r="C100" s="683"/>
      <c r="D100" s="683"/>
      <c r="E100" s="120">
        <v>0</v>
      </c>
      <c r="F100" s="121" t="s">
        <v>410</v>
      </c>
      <c r="G100" s="121">
        <v>0</v>
      </c>
      <c r="H100" s="122">
        <v>1</v>
      </c>
      <c r="I100" s="122">
        <v>0.5</v>
      </c>
      <c r="J100" s="188">
        <f t="shared" ca="1" si="0"/>
        <v>0</v>
      </c>
      <c r="K100" s="136"/>
      <c r="L100" s="136">
        <f t="shared" ca="1" si="1"/>
        <v>0.37</v>
      </c>
      <c r="M100" s="136">
        <f t="shared" ca="1" si="2"/>
        <v>0</v>
      </c>
      <c r="N100" s="136">
        <f t="shared" ca="1" si="3"/>
        <v>0</v>
      </c>
      <c r="O100" s="136">
        <f t="shared" ca="1" si="4"/>
        <v>0</v>
      </c>
      <c r="P100" s="136">
        <f t="shared" si="5"/>
        <v>0</v>
      </c>
      <c r="Q100" s="136">
        <f t="shared" si="6"/>
        <v>0</v>
      </c>
      <c r="R100" s="136">
        <f t="shared" ca="1" si="7"/>
        <v>0</v>
      </c>
      <c r="S100" s="127">
        <f t="shared" si="8"/>
        <v>0</v>
      </c>
      <c r="T100" s="127"/>
      <c r="U100" s="127"/>
      <c r="V100" s="127"/>
      <c r="W100" s="127"/>
      <c r="X100" s="127"/>
      <c r="Y100" s="127"/>
      <c r="Z100" s="127"/>
      <c r="AA100" s="127"/>
      <c r="AB100" s="127"/>
      <c r="AC100" s="127"/>
      <c r="AD100" s="127"/>
      <c r="AE100" s="127"/>
      <c r="AF100" s="127"/>
    </row>
    <row r="101" spans="1:32" x14ac:dyDescent="0.25">
      <c r="A101" s="136"/>
      <c r="B101" s="136"/>
      <c r="C101" s="136"/>
      <c r="D101" s="136"/>
      <c r="E101" s="136"/>
      <c r="F101" s="136"/>
      <c r="G101" s="136"/>
      <c r="H101" s="136"/>
      <c r="I101" s="136"/>
      <c r="J101" s="269"/>
      <c r="K101" s="136"/>
      <c r="L101" s="136"/>
      <c r="M101" s="136"/>
      <c r="N101" s="136"/>
      <c r="O101" s="136"/>
      <c r="P101" s="136"/>
      <c r="Q101" s="136"/>
      <c r="R101" s="136"/>
      <c r="S101" s="127"/>
      <c r="T101" s="127"/>
      <c r="U101" s="127"/>
      <c r="V101" s="127"/>
      <c r="W101" s="127"/>
      <c r="X101" s="127"/>
      <c r="Y101" s="127"/>
      <c r="Z101" s="127"/>
      <c r="AA101" s="127"/>
      <c r="AB101" s="127"/>
      <c r="AC101" s="127"/>
      <c r="AD101" s="127"/>
      <c r="AE101" s="127"/>
      <c r="AF101" s="127"/>
    </row>
    <row r="102" spans="1:32" ht="45" x14ac:dyDescent="0.25">
      <c r="A102" s="136"/>
      <c r="B102" s="150" t="s">
        <v>408</v>
      </c>
      <c r="C102" s="150"/>
      <c r="D102" s="150"/>
      <c r="E102" s="153"/>
      <c r="F102" s="136">
        <f t="array" ref="F102">SUM(IF((F9:F100="Global")*(E9:E100&gt;0),1))</f>
        <v>3</v>
      </c>
      <c r="G102" s="150"/>
      <c r="H102" s="150"/>
      <c r="I102" s="150"/>
      <c r="J102" s="154"/>
      <c r="K102" s="136"/>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ht="15" x14ac:dyDescent="0.25">
      <c r="A103" s="136"/>
      <c r="B103" s="150"/>
      <c r="C103" s="150"/>
      <c r="D103" s="150"/>
      <c r="E103" s="153"/>
      <c r="F103" s="136"/>
      <c r="G103" s="136"/>
      <c r="H103" s="136"/>
      <c r="I103" s="136"/>
      <c r="J103" s="136"/>
      <c r="K103" s="136"/>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5">
      <c r="A104" s="136"/>
      <c r="B104" s="136"/>
      <c r="C104" s="136"/>
      <c r="D104" s="136"/>
      <c r="E104" s="136"/>
      <c r="F104" s="136"/>
      <c r="G104" s="136"/>
      <c r="H104" s="136"/>
      <c r="I104" s="136"/>
      <c r="J104" s="136"/>
      <c r="K104" s="136"/>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row r="124" spans="1:32"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row>
    <row r="125" spans="1:32" x14ac:dyDescent="0.25">
      <c r="A125" s="127"/>
      <c r="B125" s="127"/>
      <c r="C125" s="127"/>
      <c r="D125" s="127"/>
      <c r="E125" s="127"/>
      <c r="F125" s="127"/>
      <c r="G125" s="127"/>
      <c r="H125" s="127"/>
      <c r="I125" s="127"/>
      <c r="J125" s="127"/>
      <c r="K125" s="127"/>
      <c r="L125" s="127"/>
      <c r="M125" s="127"/>
      <c r="N125" s="127"/>
      <c r="O125" s="127"/>
      <c r="P125" s="127"/>
      <c r="Q125" s="127"/>
      <c r="R125" s="127"/>
      <c r="S125" s="127"/>
      <c r="T125" s="127"/>
      <c r="U125" s="127"/>
      <c r="V125" s="127"/>
      <c r="W125" s="127"/>
      <c r="X125" s="127"/>
      <c r="Y125" s="127"/>
      <c r="Z125" s="127"/>
      <c r="AA125" s="127"/>
      <c r="AB125" s="127"/>
      <c r="AC125" s="127"/>
      <c r="AD125" s="127"/>
      <c r="AE125" s="127"/>
      <c r="AF125" s="127"/>
    </row>
    <row r="126" spans="1:32" x14ac:dyDescent="0.25">
      <c r="A126" s="127"/>
      <c r="B126" s="127"/>
      <c r="C126" s="127"/>
      <c r="D126" s="127"/>
      <c r="E126" s="127"/>
      <c r="F126" s="127"/>
      <c r="G126" s="127"/>
      <c r="H126" s="127"/>
      <c r="I126" s="127"/>
      <c r="J126" s="127"/>
      <c r="K126" s="127"/>
      <c r="L126" s="127"/>
      <c r="M126" s="127"/>
      <c r="N126" s="127"/>
      <c r="O126" s="127"/>
      <c r="P126" s="127"/>
      <c r="Q126" s="127"/>
      <c r="R126" s="127"/>
      <c r="S126" s="127"/>
      <c r="T126" s="127"/>
      <c r="U126" s="127"/>
      <c r="V126" s="127"/>
      <c r="W126" s="127"/>
      <c r="X126" s="127"/>
      <c r="Y126" s="127"/>
      <c r="Z126" s="127"/>
      <c r="AA126" s="127"/>
      <c r="AB126" s="127"/>
      <c r="AC126" s="127"/>
      <c r="AD126" s="127"/>
      <c r="AE126" s="127"/>
      <c r="AF126" s="127"/>
    </row>
    <row r="127" spans="1:32" x14ac:dyDescent="0.25">
      <c r="A127" s="127"/>
      <c r="B127" s="127"/>
      <c r="C127" s="127"/>
      <c r="D127" s="127"/>
      <c r="E127" s="127"/>
      <c r="F127" s="127"/>
      <c r="G127" s="127"/>
      <c r="H127" s="127"/>
      <c r="I127" s="127"/>
      <c r="J127" s="127"/>
      <c r="K127" s="127"/>
      <c r="L127" s="127"/>
      <c r="M127" s="127"/>
      <c r="N127" s="127"/>
      <c r="O127" s="127"/>
      <c r="P127" s="127"/>
      <c r="Q127" s="127"/>
      <c r="R127" s="127"/>
      <c r="S127" s="127"/>
      <c r="T127" s="127"/>
      <c r="U127" s="127"/>
      <c r="V127" s="127"/>
      <c r="W127" s="127"/>
      <c r="X127" s="127"/>
      <c r="Y127" s="127"/>
      <c r="Z127" s="127"/>
      <c r="AA127" s="127"/>
      <c r="AB127" s="127"/>
      <c r="AC127" s="127"/>
      <c r="AD127" s="127"/>
      <c r="AE127" s="127"/>
      <c r="AF127" s="127"/>
    </row>
    <row r="128" spans="1:32" x14ac:dyDescent="0.25">
      <c r="A128" s="127"/>
      <c r="B128" s="127"/>
      <c r="C128" s="127"/>
      <c r="D128" s="127"/>
      <c r="E128" s="127"/>
      <c r="F128" s="127"/>
      <c r="G128" s="127"/>
      <c r="H128" s="127"/>
      <c r="I128" s="127"/>
      <c r="J128" s="127"/>
      <c r="K128" s="127"/>
      <c r="L128" s="127"/>
      <c r="M128" s="127"/>
      <c r="N128" s="127"/>
      <c r="O128" s="127"/>
      <c r="P128" s="127"/>
      <c r="Q128" s="127"/>
      <c r="R128" s="127"/>
      <c r="S128" s="127"/>
      <c r="T128" s="127"/>
      <c r="U128" s="127"/>
      <c r="V128" s="127"/>
      <c r="W128" s="127"/>
      <c r="X128" s="127"/>
      <c r="Y128" s="127"/>
      <c r="Z128" s="127"/>
      <c r="AA128" s="127"/>
      <c r="AB128" s="127"/>
      <c r="AC128" s="127"/>
      <c r="AD128" s="127"/>
      <c r="AE128" s="127"/>
      <c r="AF128" s="127"/>
    </row>
    <row r="129" spans="1:32" x14ac:dyDescent="0.25">
      <c r="A129" s="127"/>
      <c r="B129" s="127"/>
      <c r="C129" s="127"/>
      <c r="D129" s="127"/>
      <c r="E129" s="127"/>
      <c r="F129" s="127"/>
      <c r="G129" s="127"/>
      <c r="H129" s="127"/>
      <c r="I129" s="127"/>
      <c r="J129" s="127"/>
      <c r="K129" s="127"/>
      <c r="L129" s="127"/>
      <c r="M129" s="127"/>
      <c r="N129" s="127"/>
      <c r="O129" s="127"/>
      <c r="P129" s="127"/>
      <c r="Q129" s="127"/>
      <c r="R129" s="127"/>
      <c r="S129" s="127"/>
      <c r="T129" s="127"/>
      <c r="U129" s="127"/>
      <c r="V129" s="127"/>
      <c r="W129" s="127"/>
      <c r="X129" s="127"/>
      <c r="Y129" s="127"/>
      <c r="Z129" s="127"/>
      <c r="AA129" s="127"/>
      <c r="AB129" s="127"/>
      <c r="AC129" s="127"/>
      <c r="AD129" s="127"/>
      <c r="AE129" s="127"/>
      <c r="AF129" s="127"/>
    </row>
    <row r="130" spans="1:32" x14ac:dyDescent="0.25">
      <c r="A130" s="127"/>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row>
    <row r="131" spans="1:32" x14ac:dyDescent="0.25">
      <c r="A131" s="127"/>
      <c r="B131" s="127"/>
      <c r="C131" s="127"/>
      <c r="D131" s="127"/>
      <c r="E131" s="127"/>
      <c r="F131" s="127"/>
      <c r="G131" s="127"/>
      <c r="H131" s="127"/>
      <c r="I131" s="127"/>
      <c r="J131" s="127"/>
      <c r="K131" s="127"/>
      <c r="L131" s="127"/>
      <c r="M131" s="127"/>
      <c r="N131" s="127"/>
      <c r="O131" s="127"/>
      <c r="P131" s="127"/>
      <c r="Q131" s="127"/>
      <c r="R131" s="127"/>
      <c r="S131" s="127"/>
      <c r="T131" s="127"/>
      <c r="U131" s="127"/>
      <c r="V131" s="127"/>
      <c r="W131" s="127"/>
      <c r="X131" s="127"/>
      <c r="Y131" s="127"/>
      <c r="Z131" s="127"/>
      <c r="AA131" s="127"/>
      <c r="AB131" s="127"/>
      <c r="AC131" s="127"/>
      <c r="AD131" s="127"/>
      <c r="AE131" s="127"/>
      <c r="AF131" s="127"/>
    </row>
    <row r="132" spans="1:32" x14ac:dyDescent="0.25">
      <c r="A132" s="127"/>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row>
    <row r="133" spans="1:32" x14ac:dyDescent="0.25">
      <c r="A133" s="127"/>
      <c r="B133" s="127"/>
      <c r="C133" s="127"/>
      <c r="D133" s="127"/>
      <c r="E133" s="127"/>
      <c r="F133" s="127"/>
      <c r="G133" s="127"/>
      <c r="H133" s="127"/>
      <c r="I133" s="127"/>
      <c r="J133" s="127"/>
      <c r="K133" s="127"/>
      <c r="L133" s="127"/>
      <c r="M133" s="127"/>
      <c r="N133" s="127"/>
      <c r="O133" s="127"/>
      <c r="P133" s="127"/>
      <c r="Q133" s="127"/>
      <c r="R133" s="127"/>
      <c r="S133" s="127"/>
      <c r="T133" s="127"/>
      <c r="U133" s="127"/>
      <c r="V133" s="127"/>
      <c r="W133" s="127"/>
      <c r="X133" s="127"/>
      <c r="Y133" s="127"/>
      <c r="Z133" s="127"/>
      <c r="AA133" s="127"/>
      <c r="AB133" s="127"/>
      <c r="AC133" s="127"/>
      <c r="AD133" s="127"/>
      <c r="AE133" s="127"/>
      <c r="AF133" s="127"/>
    </row>
    <row r="134" spans="1:32" x14ac:dyDescent="0.25">
      <c r="A134" s="127"/>
      <c r="B134" s="127"/>
      <c r="C134" s="127"/>
      <c r="D134" s="127"/>
      <c r="E134" s="127"/>
      <c r="F134" s="127"/>
      <c r="G134" s="127"/>
      <c r="H134" s="127"/>
      <c r="I134" s="127"/>
      <c r="J134" s="127"/>
      <c r="K134" s="127"/>
      <c r="L134" s="127"/>
      <c r="M134" s="127"/>
      <c r="N134" s="127"/>
      <c r="O134" s="127"/>
      <c r="P134" s="127"/>
      <c r="Q134" s="127"/>
      <c r="R134" s="127"/>
      <c r="S134" s="127"/>
      <c r="T134" s="127"/>
      <c r="U134" s="127"/>
      <c r="V134" s="127"/>
      <c r="W134" s="127"/>
      <c r="X134" s="127"/>
      <c r="Y134" s="127"/>
      <c r="Z134" s="127"/>
      <c r="AA134" s="127"/>
      <c r="AB134" s="127"/>
      <c r="AC134" s="127"/>
      <c r="AD134" s="127"/>
      <c r="AE134" s="127"/>
      <c r="AF134" s="127"/>
    </row>
    <row r="135" spans="1:32" x14ac:dyDescent="0.25">
      <c r="A135" s="127"/>
      <c r="B135" s="127"/>
      <c r="C135" s="127"/>
      <c r="D135" s="127"/>
      <c r="E135" s="127"/>
      <c r="F135" s="127"/>
      <c r="G135" s="127"/>
      <c r="H135" s="127"/>
      <c r="I135" s="127"/>
      <c r="J135" s="127"/>
      <c r="K135" s="127"/>
      <c r="L135" s="127"/>
      <c r="M135" s="127"/>
      <c r="N135" s="127"/>
      <c r="O135" s="127"/>
      <c r="P135" s="127"/>
      <c r="Q135" s="127"/>
      <c r="R135" s="127"/>
      <c r="S135" s="127"/>
      <c r="T135" s="127"/>
      <c r="U135" s="127"/>
      <c r="V135" s="127"/>
      <c r="W135" s="127"/>
      <c r="X135" s="127"/>
      <c r="Y135" s="127"/>
      <c r="Z135" s="127"/>
      <c r="AA135" s="127"/>
      <c r="AB135" s="127"/>
      <c r="AC135" s="127"/>
      <c r="AD135" s="127"/>
      <c r="AE135" s="127"/>
      <c r="AF135" s="127"/>
    </row>
    <row r="136" spans="1:32" x14ac:dyDescent="0.25">
      <c r="A136" s="127"/>
      <c r="B136" s="127"/>
      <c r="C136" s="127"/>
      <c r="D136" s="127"/>
      <c r="E136" s="127"/>
      <c r="F136" s="127"/>
      <c r="G136" s="127"/>
      <c r="H136" s="127"/>
      <c r="I136" s="127"/>
      <c r="J136" s="127"/>
      <c r="K136" s="127"/>
      <c r="L136" s="127"/>
      <c r="M136" s="127"/>
      <c r="N136" s="127"/>
      <c r="O136" s="127"/>
      <c r="P136" s="127"/>
      <c r="Q136" s="127"/>
      <c r="R136" s="127"/>
      <c r="S136" s="127"/>
      <c r="T136" s="127"/>
      <c r="U136" s="127"/>
      <c r="V136" s="127"/>
      <c r="W136" s="127"/>
      <c r="X136" s="127"/>
      <c r="Y136" s="127"/>
      <c r="Z136" s="127"/>
      <c r="AA136" s="127"/>
      <c r="AB136" s="127"/>
      <c r="AC136" s="127"/>
      <c r="AD136" s="127"/>
      <c r="AE136" s="127"/>
      <c r="AF136" s="127"/>
    </row>
    <row r="137" spans="1:32" x14ac:dyDescent="0.25">
      <c r="A137" s="127"/>
      <c r="B137" s="127"/>
      <c r="C137" s="127"/>
      <c r="D137" s="127"/>
      <c r="E137" s="127"/>
      <c r="F137" s="127"/>
      <c r="G137" s="127"/>
      <c r="H137" s="127"/>
      <c r="I137" s="127"/>
      <c r="J137" s="127"/>
      <c r="K137" s="127"/>
      <c r="L137" s="127"/>
      <c r="M137" s="127"/>
      <c r="N137" s="127"/>
      <c r="O137" s="127"/>
      <c r="P137" s="127"/>
      <c r="Q137" s="127"/>
      <c r="R137" s="127"/>
      <c r="S137" s="127"/>
      <c r="T137" s="127"/>
      <c r="U137" s="127"/>
      <c r="V137" s="127"/>
      <c r="W137" s="127"/>
      <c r="X137" s="127"/>
      <c r="Y137" s="127"/>
      <c r="Z137" s="127"/>
      <c r="AA137" s="127"/>
      <c r="AB137" s="127"/>
      <c r="AC137" s="127"/>
      <c r="AD137" s="127"/>
      <c r="AE137" s="127"/>
      <c r="AF137" s="127"/>
    </row>
    <row r="138" spans="1:32" x14ac:dyDescent="0.25">
      <c r="A138" s="127"/>
      <c r="B138" s="127"/>
      <c r="C138" s="127"/>
      <c r="D138" s="127"/>
      <c r="E138" s="127"/>
      <c r="F138" s="127"/>
      <c r="G138" s="127"/>
      <c r="H138" s="127"/>
      <c r="I138" s="127"/>
      <c r="J138" s="127"/>
      <c r="K138" s="127"/>
      <c r="L138" s="127"/>
      <c r="M138" s="127"/>
      <c r="N138" s="127"/>
      <c r="O138" s="127"/>
      <c r="P138" s="127"/>
      <c r="Q138" s="127"/>
      <c r="R138" s="127"/>
      <c r="S138" s="127"/>
      <c r="T138" s="127"/>
      <c r="U138" s="127"/>
      <c r="V138" s="127"/>
      <c r="W138" s="127"/>
      <c r="X138" s="127"/>
      <c r="Y138" s="127"/>
      <c r="Z138" s="127"/>
      <c r="AA138" s="127"/>
      <c r="AB138" s="127"/>
      <c r="AC138" s="127"/>
      <c r="AD138" s="127"/>
      <c r="AE138" s="127"/>
      <c r="AF138" s="127"/>
    </row>
    <row r="139" spans="1:32" x14ac:dyDescent="0.25">
      <c r="A139" s="127"/>
      <c r="B139" s="127"/>
      <c r="C139" s="127"/>
      <c r="D139" s="127"/>
      <c r="E139" s="127"/>
      <c r="F139" s="127"/>
      <c r="G139" s="127"/>
      <c r="H139" s="127"/>
      <c r="I139" s="127"/>
      <c r="J139" s="127"/>
      <c r="K139" s="127"/>
      <c r="L139" s="127"/>
      <c r="M139" s="127"/>
      <c r="N139" s="127"/>
      <c r="O139" s="127"/>
      <c r="P139" s="127"/>
      <c r="Q139" s="127"/>
      <c r="R139" s="127"/>
      <c r="S139" s="127"/>
      <c r="T139" s="127"/>
      <c r="U139" s="127"/>
      <c r="V139" s="127"/>
      <c r="W139" s="127"/>
      <c r="X139" s="127"/>
      <c r="Y139" s="127"/>
      <c r="Z139" s="127"/>
      <c r="AA139" s="127"/>
      <c r="AB139" s="127"/>
      <c r="AC139" s="127"/>
      <c r="AD139" s="127"/>
      <c r="AE139" s="127"/>
      <c r="AF139" s="127"/>
    </row>
    <row r="140" spans="1:32" x14ac:dyDescent="0.25">
      <c r="A140" s="127"/>
      <c r="B140" s="127"/>
      <c r="C140" s="127"/>
      <c r="D140" s="127"/>
      <c r="E140" s="127"/>
      <c r="F140" s="127"/>
      <c r="G140" s="127"/>
      <c r="H140" s="127"/>
      <c r="I140" s="127"/>
      <c r="J140" s="127"/>
      <c r="K140" s="127"/>
      <c r="L140" s="127"/>
      <c r="M140" s="127"/>
      <c r="N140" s="127"/>
      <c r="O140" s="127"/>
      <c r="P140" s="127"/>
      <c r="Q140" s="127"/>
      <c r="R140" s="127"/>
      <c r="S140" s="127"/>
      <c r="T140" s="127"/>
      <c r="U140" s="127"/>
      <c r="V140" s="127"/>
      <c r="W140" s="127"/>
      <c r="X140" s="127"/>
      <c r="Y140" s="127"/>
      <c r="Z140" s="127"/>
      <c r="AA140" s="127"/>
      <c r="AB140" s="127"/>
      <c r="AC140" s="127"/>
      <c r="AD140" s="127"/>
      <c r="AE140" s="127"/>
      <c r="AF140" s="127"/>
    </row>
    <row r="141" spans="1:32" x14ac:dyDescent="0.25">
      <c r="A141" s="127"/>
      <c r="B141" s="127"/>
      <c r="C141" s="127"/>
      <c r="D141" s="127"/>
      <c r="E141" s="127"/>
      <c r="F141" s="127"/>
      <c r="G141" s="127"/>
      <c r="H141" s="127"/>
      <c r="I141" s="127"/>
      <c r="J141" s="127"/>
      <c r="K141" s="127"/>
      <c r="L141" s="127"/>
      <c r="M141" s="127"/>
      <c r="N141" s="127"/>
      <c r="O141" s="127"/>
      <c r="P141" s="127"/>
      <c r="Q141" s="127"/>
      <c r="R141" s="127"/>
      <c r="S141" s="127"/>
      <c r="T141" s="127"/>
      <c r="U141" s="127"/>
      <c r="V141" s="127"/>
      <c r="W141" s="127"/>
      <c r="X141" s="127"/>
      <c r="Y141" s="127"/>
      <c r="Z141" s="127"/>
      <c r="AA141" s="127"/>
      <c r="AB141" s="127"/>
      <c r="AC141" s="127"/>
      <c r="AD141" s="127"/>
      <c r="AE141" s="127"/>
      <c r="AF141" s="127"/>
    </row>
    <row r="142" spans="1:32" x14ac:dyDescent="0.25">
      <c r="A142" s="127"/>
      <c r="B142" s="127"/>
      <c r="C142" s="127"/>
      <c r="D142" s="127"/>
      <c r="E142" s="127"/>
      <c r="F142" s="127"/>
      <c r="G142" s="127"/>
      <c r="H142" s="127"/>
      <c r="I142" s="127"/>
      <c r="J142" s="127"/>
      <c r="K142" s="127"/>
      <c r="L142" s="127"/>
      <c r="M142" s="127"/>
      <c r="N142" s="127"/>
      <c r="O142" s="127"/>
      <c r="P142" s="127"/>
      <c r="Q142" s="127"/>
      <c r="R142" s="127"/>
      <c r="S142" s="127"/>
      <c r="T142" s="127"/>
      <c r="U142" s="127"/>
      <c r="V142" s="127"/>
      <c r="W142" s="127"/>
      <c r="X142" s="127"/>
      <c r="Y142" s="127"/>
      <c r="Z142" s="127"/>
      <c r="AA142" s="127"/>
      <c r="AB142" s="127"/>
      <c r="AC142" s="127"/>
      <c r="AD142" s="127"/>
      <c r="AE142" s="127"/>
      <c r="AF142" s="127"/>
    </row>
    <row r="143" spans="1:32" x14ac:dyDescent="0.25">
      <c r="A143" s="127"/>
      <c r="B143" s="127"/>
      <c r="C143" s="127"/>
      <c r="D143" s="127"/>
      <c r="E143" s="127"/>
      <c r="F143" s="127"/>
      <c r="G143" s="127"/>
      <c r="H143" s="127"/>
      <c r="I143" s="127"/>
      <c r="J143" s="127"/>
      <c r="K143" s="127"/>
      <c r="L143" s="127"/>
      <c r="M143" s="127"/>
      <c r="N143" s="127"/>
      <c r="O143" s="127"/>
      <c r="P143" s="127"/>
      <c r="Q143" s="127"/>
      <c r="R143" s="127"/>
      <c r="S143" s="127"/>
      <c r="T143" s="127"/>
      <c r="U143" s="127"/>
      <c r="V143" s="127"/>
      <c r="W143" s="127"/>
      <c r="X143" s="127"/>
      <c r="Y143" s="127"/>
      <c r="Z143" s="127"/>
      <c r="AA143" s="127"/>
      <c r="AB143" s="127"/>
      <c r="AC143" s="127"/>
      <c r="AD143" s="127"/>
      <c r="AE143" s="127"/>
      <c r="AF143" s="127"/>
    </row>
    <row r="144" spans="1:32" x14ac:dyDescent="0.25">
      <c r="A144" s="127"/>
      <c r="B144" s="127"/>
      <c r="C144" s="127"/>
      <c r="D144" s="127"/>
      <c r="E144" s="127"/>
      <c r="F144" s="127"/>
      <c r="G144" s="127"/>
      <c r="H144" s="127"/>
      <c r="I144" s="127"/>
      <c r="J144" s="127"/>
      <c r="K144" s="127"/>
      <c r="L144" s="127"/>
      <c r="M144" s="127"/>
      <c r="N144" s="127"/>
      <c r="O144" s="127"/>
      <c r="P144" s="127"/>
      <c r="Q144" s="127"/>
      <c r="R144" s="127"/>
      <c r="S144" s="127"/>
      <c r="T144" s="127"/>
      <c r="U144" s="127"/>
      <c r="V144" s="127"/>
      <c r="W144" s="127"/>
      <c r="X144" s="127"/>
      <c r="Y144" s="127"/>
      <c r="Z144" s="127"/>
      <c r="AA144" s="127"/>
      <c r="AB144" s="127"/>
      <c r="AC144" s="127"/>
      <c r="AD144" s="127"/>
      <c r="AE144" s="127"/>
      <c r="AF144" s="127"/>
    </row>
    <row r="145" spans="1:32" x14ac:dyDescent="0.25">
      <c r="A145" s="127"/>
      <c r="B145" s="127"/>
      <c r="C145" s="127"/>
      <c r="D145" s="127"/>
      <c r="E145" s="127"/>
      <c r="F145" s="127"/>
      <c r="G145" s="127"/>
      <c r="H145" s="127"/>
      <c r="I145" s="127"/>
      <c r="J145" s="127"/>
      <c r="K145" s="127"/>
      <c r="L145" s="127"/>
      <c r="M145" s="127"/>
      <c r="N145" s="127"/>
      <c r="O145" s="127"/>
      <c r="P145" s="127"/>
      <c r="Q145" s="127"/>
      <c r="R145" s="127"/>
      <c r="S145" s="127"/>
      <c r="T145" s="127"/>
      <c r="U145" s="127"/>
      <c r="V145" s="127"/>
      <c r="W145" s="127"/>
      <c r="X145" s="127"/>
      <c r="Y145" s="127"/>
      <c r="Z145" s="127"/>
      <c r="AA145" s="127"/>
      <c r="AB145" s="127"/>
      <c r="AC145" s="127"/>
      <c r="AD145" s="127"/>
      <c r="AE145" s="127"/>
      <c r="AF145" s="127"/>
    </row>
    <row r="146" spans="1:32" x14ac:dyDescent="0.25">
      <c r="A146" s="127"/>
      <c r="B146" s="127"/>
      <c r="C146" s="127"/>
      <c r="D146" s="127"/>
      <c r="E146" s="127"/>
      <c r="F146" s="127"/>
      <c r="G146" s="127"/>
      <c r="H146" s="127"/>
      <c r="I146" s="127"/>
      <c r="J146" s="127"/>
      <c r="K146" s="127"/>
      <c r="L146" s="127"/>
      <c r="M146" s="127"/>
      <c r="N146" s="127"/>
      <c r="O146" s="127"/>
      <c r="P146" s="127"/>
      <c r="Q146" s="127"/>
      <c r="R146" s="127"/>
      <c r="S146" s="127"/>
      <c r="T146" s="127"/>
      <c r="U146" s="127"/>
      <c r="V146" s="127"/>
      <c r="W146" s="127"/>
      <c r="X146" s="127"/>
      <c r="Y146" s="127"/>
      <c r="Z146" s="127"/>
      <c r="AA146" s="127"/>
      <c r="AB146" s="127"/>
      <c r="AC146" s="127"/>
      <c r="AD146" s="127"/>
      <c r="AE146" s="127"/>
      <c r="AF146" s="127"/>
    </row>
    <row r="147" spans="1:32" x14ac:dyDescent="0.25">
      <c r="A147" s="127"/>
      <c r="B147" s="127"/>
      <c r="C147" s="127"/>
      <c r="D147" s="127"/>
      <c r="E147" s="127"/>
      <c r="F147" s="127"/>
      <c r="G147" s="127"/>
      <c r="H147" s="127"/>
      <c r="I147" s="127"/>
      <c r="J147" s="127"/>
      <c r="K147" s="127"/>
      <c r="L147" s="127"/>
      <c r="M147" s="127"/>
      <c r="N147" s="127"/>
      <c r="O147" s="127"/>
      <c r="P147" s="127"/>
      <c r="Q147" s="127"/>
      <c r="R147" s="127"/>
      <c r="S147" s="127"/>
      <c r="T147" s="127"/>
      <c r="U147" s="127"/>
      <c r="V147" s="127"/>
      <c r="W147" s="127"/>
      <c r="X147" s="127"/>
      <c r="Y147" s="127"/>
      <c r="Z147" s="127"/>
      <c r="AA147" s="127"/>
      <c r="AB147" s="127"/>
      <c r="AC147" s="127"/>
      <c r="AD147" s="127"/>
      <c r="AE147" s="127"/>
      <c r="AF147" s="127"/>
    </row>
    <row r="148" spans="1:32" x14ac:dyDescent="0.25">
      <c r="A148" s="127"/>
      <c r="B148" s="127"/>
      <c r="C148" s="127"/>
      <c r="D148" s="127"/>
      <c r="E148" s="127"/>
      <c r="F148" s="127"/>
      <c r="G148" s="127"/>
      <c r="H148" s="127"/>
      <c r="I148" s="127"/>
      <c r="J148" s="127"/>
      <c r="K148" s="127"/>
      <c r="L148" s="127"/>
      <c r="M148" s="127"/>
      <c r="N148" s="127"/>
      <c r="O148" s="127"/>
      <c r="P148" s="127"/>
      <c r="Q148" s="127"/>
      <c r="R148" s="127"/>
      <c r="S148" s="127"/>
      <c r="T148" s="127"/>
      <c r="U148" s="127"/>
      <c r="V148" s="127"/>
      <c r="W148" s="127"/>
      <c r="X148" s="127"/>
      <c r="Y148" s="127"/>
      <c r="Z148" s="127"/>
      <c r="AA148" s="127"/>
      <c r="AB148" s="127"/>
      <c r="AC148" s="127"/>
      <c r="AD148" s="127"/>
      <c r="AE148" s="127"/>
      <c r="AF148" s="127"/>
    </row>
    <row r="149" spans="1:32" x14ac:dyDescent="0.25">
      <c r="A149" s="127"/>
      <c r="B149" s="127"/>
      <c r="C149" s="127"/>
      <c r="D149" s="127"/>
      <c r="E149" s="127"/>
      <c r="F149" s="127"/>
      <c r="G149" s="127"/>
      <c r="H149" s="127"/>
      <c r="I149" s="127"/>
      <c r="J149" s="127"/>
      <c r="K149" s="127"/>
      <c r="L149" s="127"/>
      <c r="M149" s="127"/>
      <c r="N149" s="127"/>
      <c r="O149" s="127"/>
      <c r="P149" s="127"/>
      <c r="Q149" s="127"/>
      <c r="R149" s="127"/>
      <c r="S149" s="127"/>
      <c r="T149" s="127"/>
      <c r="U149" s="127"/>
      <c r="V149" s="127"/>
      <c r="W149" s="127"/>
      <c r="X149" s="127"/>
      <c r="Y149" s="127"/>
      <c r="Z149" s="127"/>
      <c r="AA149" s="127"/>
      <c r="AB149" s="127"/>
      <c r="AC149" s="127"/>
      <c r="AD149" s="127"/>
      <c r="AE149" s="127"/>
      <c r="AF149" s="127"/>
    </row>
    <row r="150" spans="1:32" x14ac:dyDescent="0.25">
      <c r="A150" s="127"/>
      <c r="B150" s="127"/>
      <c r="C150" s="127"/>
      <c r="D150" s="127"/>
      <c r="E150" s="127"/>
      <c r="F150" s="127"/>
      <c r="G150" s="127"/>
      <c r="H150" s="127"/>
      <c r="I150" s="127"/>
      <c r="J150" s="127"/>
      <c r="K150" s="127"/>
      <c r="L150" s="127"/>
      <c r="M150" s="127"/>
      <c r="N150" s="127"/>
      <c r="O150" s="127"/>
      <c r="P150" s="127"/>
      <c r="Q150" s="127"/>
      <c r="R150" s="127"/>
      <c r="S150" s="127"/>
      <c r="T150" s="127"/>
      <c r="U150" s="127"/>
      <c r="V150" s="127"/>
      <c r="W150" s="127"/>
      <c r="X150" s="127"/>
      <c r="Y150" s="127"/>
      <c r="Z150" s="127"/>
      <c r="AA150" s="127"/>
      <c r="AB150" s="127"/>
      <c r="AC150" s="127"/>
      <c r="AD150" s="127"/>
      <c r="AE150" s="127"/>
      <c r="AF150" s="127"/>
    </row>
    <row r="151" spans="1:32" x14ac:dyDescent="0.25">
      <c r="A151" s="127"/>
      <c r="B151" s="127"/>
      <c r="C151" s="127"/>
      <c r="D151" s="127"/>
      <c r="E151" s="127"/>
      <c r="F151" s="127"/>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row>
    <row r="152" spans="1:32" x14ac:dyDescent="0.25">
      <c r="A152" s="127"/>
      <c r="B152" s="127"/>
      <c r="C152" s="127"/>
      <c r="D152" s="127"/>
      <c r="E152" s="127"/>
      <c r="F152" s="127"/>
      <c r="G152" s="127"/>
      <c r="H152" s="127"/>
      <c r="I152" s="127"/>
      <c r="J152" s="127"/>
      <c r="K152" s="127"/>
      <c r="L152" s="127"/>
      <c r="M152" s="127"/>
      <c r="N152" s="127"/>
      <c r="O152" s="127"/>
      <c r="P152" s="127"/>
      <c r="Q152" s="127"/>
      <c r="R152" s="127"/>
      <c r="S152" s="127"/>
      <c r="T152" s="127"/>
      <c r="U152" s="127"/>
      <c r="V152" s="127"/>
      <c r="W152" s="127"/>
      <c r="X152" s="127"/>
      <c r="Y152" s="127"/>
      <c r="Z152" s="127"/>
      <c r="AA152" s="127"/>
      <c r="AB152" s="127"/>
      <c r="AC152" s="127"/>
      <c r="AD152" s="127"/>
      <c r="AE152" s="127"/>
      <c r="AF152" s="127"/>
    </row>
    <row r="153" spans="1:32" x14ac:dyDescent="0.25">
      <c r="A153" s="127"/>
      <c r="B153" s="127"/>
      <c r="C153" s="127"/>
      <c r="D153" s="127"/>
      <c r="E153" s="127"/>
      <c r="F153" s="127"/>
      <c r="G153" s="127"/>
      <c r="H153" s="127"/>
      <c r="I153" s="127"/>
      <c r="J153" s="127"/>
      <c r="K153" s="127"/>
      <c r="L153" s="127"/>
      <c r="M153" s="127"/>
      <c r="N153" s="127"/>
      <c r="O153" s="127"/>
      <c r="P153" s="127"/>
      <c r="Q153" s="127"/>
      <c r="R153" s="127"/>
      <c r="S153" s="127"/>
      <c r="T153" s="127"/>
      <c r="U153" s="127"/>
      <c r="V153" s="127"/>
      <c r="W153" s="127"/>
      <c r="X153" s="127"/>
      <c r="Y153" s="127"/>
      <c r="Z153" s="127"/>
      <c r="AA153" s="127"/>
      <c r="AB153" s="127"/>
      <c r="AC153" s="127"/>
      <c r="AD153" s="127"/>
      <c r="AE153" s="127"/>
      <c r="AF153" s="127"/>
    </row>
    <row r="154" spans="1:32" x14ac:dyDescent="0.25">
      <c r="A154" s="127"/>
      <c r="B154" s="127"/>
      <c r="C154" s="127"/>
      <c r="D154" s="127"/>
      <c r="E154" s="127"/>
      <c r="F154" s="127"/>
      <c r="G154" s="127"/>
      <c r="H154" s="127"/>
      <c r="I154" s="127"/>
      <c r="J154" s="127"/>
      <c r="K154" s="127"/>
      <c r="L154" s="127"/>
      <c r="M154" s="127"/>
      <c r="N154" s="127"/>
      <c r="O154" s="127"/>
      <c r="P154" s="127"/>
      <c r="Q154" s="127"/>
      <c r="R154" s="127"/>
      <c r="S154" s="127"/>
      <c r="T154" s="127"/>
      <c r="U154" s="127"/>
      <c r="V154" s="127"/>
      <c r="W154" s="127"/>
      <c r="X154" s="127"/>
      <c r="Y154" s="127"/>
      <c r="Z154" s="127"/>
      <c r="AA154" s="127"/>
      <c r="AB154" s="127"/>
      <c r="AC154" s="127"/>
      <c r="AD154" s="127"/>
      <c r="AE154" s="127"/>
      <c r="AF154" s="127"/>
    </row>
    <row r="155" spans="1:32" x14ac:dyDescent="0.25">
      <c r="A155" s="127"/>
      <c r="B155" s="127"/>
      <c r="C155" s="127"/>
      <c r="D155" s="127"/>
      <c r="E155" s="127"/>
      <c r="F155" s="127"/>
      <c r="G155" s="127"/>
      <c r="H155" s="127"/>
      <c r="I155" s="127"/>
      <c r="J155" s="127"/>
      <c r="K155" s="127"/>
      <c r="L155" s="127"/>
      <c r="M155" s="127"/>
      <c r="N155" s="127"/>
      <c r="O155" s="127"/>
      <c r="P155" s="127"/>
      <c r="Q155" s="127"/>
      <c r="R155" s="127"/>
      <c r="S155" s="127"/>
      <c r="T155" s="127"/>
      <c r="U155" s="127"/>
      <c r="V155" s="127"/>
      <c r="W155" s="127"/>
      <c r="X155" s="127"/>
      <c r="Y155" s="127"/>
      <c r="Z155" s="127"/>
      <c r="AA155" s="127"/>
      <c r="AB155" s="127"/>
      <c r="AC155" s="127"/>
      <c r="AD155" s="127"/>
      <c r="AE155" s="127"/>
      <c r="AF155" s="127"/>
    </row>
    <row r="156" spans="1:32" x14ac:dyDescent="0.25">
      <c r="A156" s="127"/>
      <c r="B156" s="127"/>
      <c r="C156" s="127"/>
      <c r="D156" s="127"/>
      <c r="E156" s="127"/>
      <c r="F156" s="127"/>
      <c r="G156" s="127"/>
      <c r="H156" s="127"/>
      <c r="I156" s="127"/>
      <c r="J156" s="127"/>
      <c r="K156" s="127"/>
      <c r="L156" s="127"/>
      <c r="M156" s="127"/>
      <c r="N156" s="127"/>
      <c r="O156" s="127"/>
      <c r="P156" s="127"/>
      <c r="Q156" s="127"/>
      <c r="R156" s="127"/>
      <c r="S156" s="127"/>
      <c r="T156" s="127"/>
      <c r="U156" s="127"/>
      <c r="V156" s="127"/>
      <c r="W156" s="127"/>
      <c r="X156" s="127"/>
      <c r="Y156" s="127"/>
      <c r="Z156" s="127"/>
      <c r="AA156" s="127"/>
      <c r="AB156" s="127"/>
      <c r="AC156" s="127"/>
      <c r="AD156" s="127"/>
      <c r="AE156" s="127"/>
      <c r="AF156" s="127"/>
    </row>
    <row r="157" spans="1:32" x14ac:dyDescent="0.25">
      <c r="A157" s="127"/>
      <c r="B157" s="127"/>
      <c r="C157" s="127"/>
      <c r="D157" s="127"/>
      <c r="E157" s="127"/>
      <c r="F157" s="127"/>
      <c r="G157" s="127"/>
      <c r="H157" s="127"/>
      <c r="I157" s="127"/>
      <c r="J157" s="127"/>
      <c r="K157" s="127"/>
      <c r="L157" s="127"/>
      <c r="M157" s="127"/>
      <c r="N157" s="127"/>
      <c r="O157" s="127"/>
      <c r="P157" s="127"/>
      <c r="Q157" s="127"/>
      <c r="R157" s="127"/>
      <c r="S157" s="127"/>
      <c r="T157" s="127"/>
      <c r="U157" s="127"/>
      <c r="V157" s="127"/>
      <c r="W157" s="127"/>
      <c r="X157" s="127"/>
      <c r="Y157" s="127"/>
      <c r="Z157" s="127"/>
      <c r="AA157" s="127"/>
      <c r="AB157" s="127"/>
      <c r="AC157" s="127"/>
      <c r="AD157" s="127"/>
      <c r="AE157" s="127"/>
      <c r="AF157" s="127"/>
    </row>
    <row r="158" spans="1:32" x14ac:dyDescent="0.25">
      <c r="A158" s="127"/>
      <c r="B158" s="127"/>
      <c r="C158" s="127"/>
      <c r="D158" s="127"/>
      <c r="E158" s="127"/>
      <c r="F158" s="127"/>
      <c r="G158" s="127"/>
      <c r="H158" s="127"/>
      <c r="I158" s="127"/>
      <c r="J158" s="127"/>
      <c r="K158" s="127"/>
      <c r="L158" s="127"/>
      <c r="M158" s="127"/>
      <c r="N158" s="127"/>
      <c r="O158" s="127"/>
      <c r="P158" s="127"/>
      <c r="Q158" s="127"/>
      <c r="R158" s="127"/>
      <c r="S158" s="127"/>
      <c r="T158" s="127"/>
      <c r="U158" s="127"/>
      <c r="V158" s="127"/>
      <c r="W158" s="127"/>
      <c r="X158" s="127"/>
      <c r="Y158" s="127"/>
      <c r="Z158" s="127"/>
      <c r="AA158" s="127"/>
      <c r="AB158" s="127"/>
      <c r="AC158" s="127"/>
      <c r="AD158" s="127"/>
      <c r="AE158" s="127"/>
      <c r="AF158" s="127"/>
    </row>
    <row r="159" spans="1:32" x14ac:dyDescent="0.25">
      <c r="A159" s="127"/>
      <c r="B159" s="127"/>
      <c r="C159" s="127"/>
      <c r="D159" s="127"/>
      <c r="E159" s="127"/>
      <c r="F159" s="127"/>
      <c r="G159" s="127"/>
      <c r="H159" s="127"/>
      <c r="I159" s="127"/>
      <c r="J159" s="127"/>
      <c r="K159" s="127"/>
      <c r="L159" s="127"/>
      <c r="M159" s="127"/>
      <c r="N159" s="127"/>
      <c r="O159" s="127"/>
      <c r="P159" s="127"/>
      <c r="Q159" s="127"/>
      <c r="R159" s="127"/>
      <c r="S159" s="127"/>
      <c r="T159" s="127"/>
      <c r="U159" s="127"/>
      <c r="V159" s="127"/>
      <c r="W159" s="127"/>
      <c r="X159" s="127"/>
      <c r="Y159" s="127"/>
      <c r="Z159" s="127"/>
      <c r="AA159" s="127"/>
      <c r="AB159" s="127"/>
      <c r="AC159" s="127"/>
      <c r="AD159" s="127"/>
      <c r="AE159" s="127"/>
      <c r="AF159" s="127"/>
    </row>
    <row r="160" spans="1:32" x14ac:dyDescent="0.25">
      <c r="A160" s="127"/>
      <c r="B160" s="127"/>
      <c r="C160" s="127"/>
      <c r="D160" s="127"/>
      <c r="E160" s="127"/>
      <c r="F160" s="127"/>
      <c r="G160" s="127"/>
      <c r="H160" s="127"/>
      <c r="I160" s="127"/>
      <c r="J160" s="127"/>
      <c r="K160" s="127"/>
      <c r="L160" s="127"/>
      <c r="M160" s="127"/>
      <c r="N160" s="127"/>
      <c r="O160" s="127"/>
      <c r="P160" s="127"/>
      <c r="Q160" s="127"/>
      <c r="R160" s="127"/>
      <c r="S160" s="127"/>
      <c r="T160" s="127"/>
      <c r="U160" s="127"/>
      <c r="V160" s="127"/>
      <c r="W160" s="127"/>
      <c r="X160" s="127"/>
      <c r="Y160" s="127"/>
      <c r="Z160" s="127"/>
      <c r="AA160" s="127"/>
      <c r="AB160" s="127"/>
      <c r="AC160" s="127"/>
      <c r="AD160" s="127"/>
      <c r="AE160" s="127"/>
      <c r="AF160" s="127"/>
    </row>
    <row r="161" spans="1:32" x14ac:dyDescent="0.25">
      <c r="A161" s="127"/>
      <c r="B161" s="127"/>
      <c r="C161" s="127"/>
      <c r="D161" s="127"/>
      <c r="E161" s="127"/>
      <c r="F161" s="127"/>
      <c r="G161" s="127"/>
      <c r="H161" s="127"/>
      <c r="I161" s="127"/>
      <c r="J161" s="127"/>
      <c r="K161" s="127"/>
      <c r="L161" s="127"/>
      <c r="M161" s="127"/>
      <c r="N161" s="127"/>
      <c r="O161" s="127"/>
      <c r="P161" s="127"/>
      <c r="Q161" s="127"/>
      <c r="R161" s="127"/>
      <c r="S161" s="127"/>
      <c r="T161" s="127"/>
      <c r="U161" s="127"/>
      <c r="V161" s="127"/>
      <c r="W161" s="127"/>
      <c r="X161" s="127"/>
      <c r="Y161" s="127"/>
      <c r="Z161" s="127"/>
      <c r="AA161" s="127"/>
      <c r="AB161" s="127"/>
      <c r="AC161" s="127"/>
      <c r="AD161" s="127"/>
      <c r="AE161" s="127"/>
      <c r="AF161" s="127"/>
    </row>
    <row r="162" spans="1:32" x14ac:dyDescent="0.25">
      <c r="A162" s="127"/>
      <c r="B162" s="127"/>
      <c r="C162" s="127"/>
      <c r="D162" s="127"/>
      <c r="E162" s="127"/>
      <c r="F162" s="127"/>
      <c r="G162" s="127"/>
      <c r="H162" s="127"/>
      <c r="I162" s="127"/>
      <c r="J162" s="127"/>
      <c r="K162" s="127"/>
      <c r="L162" s="127"/>
      <c r="M162" s="127"/>
      <c r="N162" s="127"/>
      <c r="O162" s="127"/>
      <c r="P162" s="127"/>
      <c r="Q162" s="127"/>
      <c r="R162" s="127"/>
      <c r="S162" s="127"/>
      <c r="T162" s="127"/>
      <c r="U162" s="127"/>
      <c r="V162" s="127"/>
      <c r="W162" s="127"/>
      <c r="X162" s="127"/>
      <c r="Y162" s="127"/>
      <c r="Z162" s="127"/>
      <c r="AA162" s="127"/>
      <c r="AB162" s="127"/>
      <c r="AC162" s="127"/>
      <c r="AD162" s="127"/>
      <c r="AE162" s="127"/>
      <c r="AF162" s="127"/>
    </row>
    <row r="163" spans="1:32" x14ac:dyDescent="0.25">
      <c r="A163" s="127"/>
      <c r="B163" s="127"/>
      <c r="C163" s="127"/>
      <c r="D163" s="127"/>
      <c r="E163" s="127"/>
      <c r="F163" s="127"/>
      <c r="G163" s="127"/>
      <c r="H163" s="127"/>
      <c r="I163" s="127"/>
      <c r="J163" s="127"/>
      <c r="K163" s="127"/>
      <c r="L163" s="127"/>
      <c r="M163" s="127"/>
      <c r="N163" s="127"/>
      <c r="O163" s="127"/>
      <c r="P163" s="127"/>
      <c r="Q163" s="127"/>
      <c r="R163" s="127"/>
      <c r="S163" s="127"/>
      <c r="T163" s="127"/>
      <c r="U163" s="127"/>
      <c r="V163" s="127"/>
      <c r="W163" s="127"/>
      <c r="X163" s="127"/>
      <c r="Y163" s="127"/>
      <c r="Z163" s="127"/>
      <c r="AA163" s="127"/>
      <c r="AB163" s="127"/>
      <c r="AC163" s="127"/>
      <c r="AD163" s="127"/>
      <c r="AE163" s="127"/>
      <c r="AF163" s="127"/>
    </row>
    <row r="164" spans="1:32"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row>
    <row r="165" spans="1:32"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row>
    <row r="166" spans="1:32"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row>
  </sheetData>
  <sheetProtection password="CF7D" sheet="1" objects="1" scenarios="1"/>
  <mergeCells count="97">
    <mergeCell ref="B61:D61"/>
    <mergeCell ref="B68:D68"/>
    <mergeCell ref="B69:D69"/>
    <mergeCell ref="B62:D62"/>
    <mergeCell ref="B63:D63"/>
    <mergeCell ref="B64:D64"/>
    <mergeCell ref="B65:D65"/>
    <mergeCell ref="B66:D66"/>
    <mergeCell ref="B67:D67"/>
    <mergeCell ref="B56:D56"/>
    <mergeCell ref="B57:D57"/>
    <mergeCell ref="B58:D58"/>
    <mergeCell ref="B59:D59"/>
    <mergeCell ref="B60:D60"/>
    <mergeCell ref="B51:D51"/>
    <mergeCell ref="B52:D52"/>
    <mergeCell ref="B53:D53"/>
    <mergeCell ref="B54:D54"/>
    <mergeCell ref="B55:D55"/>
    <mergeCell ref="B46:D46"/>
    <mergeCell ref="B47:D47"/>
    <mergeCell ref="B48:D48"/>
    <mergeCell ref="B49:D49"/>
    <mergeCell ref="B50:D50"/>
    <mergeCell ref="B41:D41"/>
    <mergeCell ref="B42:D42"/>
    <mergeCell ref="B43:D43"/>
    <mergeCell ref="B44:D44"/>
    <mergeCell ref="B45:D45"/>
    <mergeCell ref="B36:D36"/>
    <mergeCell ref="B37:D37"/>
    <mergeCell ref="B38:D38"/>
    <mergeCell ref="B39:D39"/>
    <mergeCell ref="B40:D40"/>
    <mergeCell ref="B31:D31"/>
    <mergeCell ref="B32:D32"/>
    <mergeCell ref="B33:D33"/>
    <mergeCell ref="B34:D34"/>
    <mergeCell ref="B35:D35"/>
    <mergeCell ref="B26:D26"/>
    <mergeCell ref="B27:D27"/>
    <mergeCell ref="B28:D28"/>
    <mergeCell ref="B29:D29"/>
    <mergeCell ref="B30:D30"/>
    <mergeCell ref="B5:D5"/>
    <mergeCell ref="B87:D87"/>
    <mergeCell ref="B1:J1"/>
    <mergeCell ref="B94:D94"/>
    <mergeCell ref="B3:D3"/>
    <mergeCell ref="B75:D75"/>
    <mergeCell ref="F3:H3"/>
    <mergeCell ref="B80:D80"/>
    <mergeCell ref="B88:D88"/>
    <mergeCell ref="B81:D81"/>
    <mergeCell ref="B20:D20"/>
    <mergeCell ref="B21:D21"/>
    <mergeCell ref="B22:D22"/>
    <mergeCell ref="B23:D23"/>
    <mergeCell ref="B24:D24"/>
    <mergeCell ref="B25:D25"/>
    <mergeCell ref="B89:D89"/>
    <mergeCell ref="B90:D90"/>
    <mergeCell ref="B91:D91"/>
    <mergeCell ref="B92:D92"/>
    <mergeCell ref="B93:D93"/>
    <mergeCell ref="B100:D100"/>
    <mergeCell ref="B99:D99"/>
    <mergeCell ref="B72:D72"/>
    <mergeCell ref="B73:D73"/>
    <mergeCell ref="B74:D74"/>
    <mergeCell ref="B83:D83"/>
    <mergeCell ref="B86:D86"/>
    <mergeCell ref="B79:D79"/>
    <mergeCell ref="B98:D98"/>
    <mergeCell ref="B97:D97"/>
    <mergeCell ref="B82:D82"/>
    <mergeCell ref="B78:D78"/>
    <mergeCell ref="B76:D76"/>
    <mergeCell ref="B85:D85"/>
    <mergeCell ref="B95:D95"/>
    <mergeCell ref="B96:D96"/>
    <mergeCell ref="B84:D84"/>
    <mergeCell ref="B8:D8"/>
    <mergeCell ref="B9:D9"/>
    <mergeCell ref="B10:D10"/>
    <mergeCell ref="B11:D11"/>
    <mergeCell ref="B12:D12"/>
    <mergeCell ref="B13:D13"/>
    <mergeCell ref="B77:D77"/>
    <mergeCell ref="B19:D19"/>
    <mergeCell ref="B70:D70"/>
    <mergeCell ref="B15:D15"/>
    <mergeCell ref="B14:D14"/>
    <mergeCell ref="B16:D16"/>
    <mergeCell ref="B17:D17"/>
    <mergeCell ref="B18:D18"/>
    <mergeCell ref="B71:D71"/>
  </mergeCells>
  <phoneticPr fontId="2" type="noConversion"/>
  <conditionalFormatting sqref="E9:E100">
    <cfRule type="cellIs" dxfId="51" priority="5" stopIfTrue="1" operator="greaterThan">
      <formula>1066</formula>
    </cfRule>
  </conditionalFormatting>
  <conditionalFormatting sqref="H4">
    <cfRule type="cellIs" dxfId="50" priority="2" stopIfTrue="1" operator="greaterThan">
      <formula>1</formula>
    </cfRule>
  </conditionalFormatting>
  <conditionalFormatting sqref="J9:J100">
    <cfRule type="cellIs" dxfId="49"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9:E100" xr:uid="{00000000-0002-0000-0100-000000000000}">
      <formula1>0</formula1>
    </dataValidation>
    <dataValidation type="list" allowBlank="1" showInputMessage="1" showErrorMessage="1" errorTitle="Invalid Clock Type" error="Use the drop down or enter a valid clock type. Allowed values are: Global, and Other" sqref="F9:F100" xr:uid="{00000000-0002-0000-0100-000001000000}">
      <formula1>INDIRECT($L$6)</formula1>
    </dataValidation>
    <dataValidation type="decimal" allowBlank="1" showInputMessage="1" showErrorMessage="1" errorTitle="Invalid Clock Enable" error="The clock enable must be between 0% and 100%." sqref="H9:I100" xr:uid="{00000000-0002-0000-0100-000002000000}">
      <formula1>0</formula1>
      <formula2>1</formula2>
    </dataValidation>
    <dataValidation type="whole" operator="greaterThanOrEqual" allowBlank="1" showInputMessage="1" showErrorMessage="1" errorTitle="Invalid fanout" error="The clock fanout must be an integer greater than or equal to 0." sqref="G9:G100" xr:uid="{00000000-0002-0000-0100-000003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1751" r:id="rId4" name="Summary">
          <controlPr defaultSize="0" autoLine="0" r:id="rId5">
            <anchor moveWithCells="1">
              <from>
                <xdr:col>1</xdr:col>
                <xdr:colOff>38100</xdr:colOff>
                <xdr:row>0</xdr:row>
                <xdr:rowOff>38100</xdr:rowOff>
              </from>
              <to>
                <xdr:col>2</xdr:col>
                <xdr:colOff>510540</xdr:colOff>
                <xdr:row>0</xdr:row>
                <xdr:rowOff>312420</xdr:rowOff>
              </to>
            </anchor>
          </controlPr>
        </control>
      </mc:Choice>
      <mc:Fallback>
        <control shapeId="31751" r:id="rId4" name="Summary"/>
      </mc:Fallback>
    </mc:AlternateContent>
  </control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AF174"/>
  <sheetViews>
    <sheetView workbookViewId="0">
      <selection activeCell="E12" sqref="E12"/>
    </sheetView>
  </sheetViews>
  <sheetFormatPr baseColWidth="10" defaultColWidth="9" defaultRowHeight="13.2" x14ac:dyDescent="0.25"/>
  <cols>
    <col min="1" max="1" width="2.77734375" customWidth="1"/>
    <col min="2" max="2" width="10" customWidth="1"/>
    <col min="3" max="3" width="8.33203125" customWidth="1"/>
    <col min="4" max="4" width="11.21875" customWidth="1"/>
    <col min="5" max="7" width="10.77734375" customWidth="1"/>
    <col min="8" max="8" width="12" customWidth="1"/>
    <col min="9" max="14" width="10.77734375" customWidth="1"/>
  </cols>
  <sheetData>
    <row r="1" spans="1:32" ht="27.9" customHeight="1" x14ac:dyDescent="0.25">
      <c r="A1" s="126"/>
      <c r="B1" s="699" t="s">
        <v>216</v>
      </c>
      <c r="C1" s="699"/>
      <c r="D1" s="699"/>
      <c r="E1" s="699"/>
      <c r="F1" s="699"/>
      <c r="G1" s="699"/>
      <c r="H1" s="699"/>
      <c r="I1" s="699"/>
      <c r="J1" s="699"/>
      <c r="K1" s="699"/>
      <c r="L1" s="699"/>
      <c r="M1" s="699"/>
      <c r="N1" s="699"/>
      <c r="O1" s="127"/>
      <c r="P1" s="127"/>
      <c r="Q1" s="127"/>
      <c r="R1" s="127"/>
      <c r="S1" s="127"/>
      <c r="T1" s="127"/>
      <c r="U1" s="127"/>
      <c r="V1" s="127"/>
      <c r="W1" s="127"/>
      <c r="X1" s="127"/>
      <c r="Y1" s="127"/>
      <c r="Z1" s="127"/>
      <c r="AA1" s="127"/>
      <c r="AB1" s="127"/>
      <c r="AC1" s="127"/>
      <c r="AD1" s="127"/>
      <c r="AE1" s="127"/>
      <c r="AF1" s="127"/>
    </row>
    <row r="2" spans="1:32" ht="12.75" customHeight="1" thickBot="1" x14ac:dyDescent="0.3">
      <c r="A2" s="123"/>
      <c r="B2" s="123"/>
      <c r="C2" s="123"/>
      <c r="D2" s="123"/>
      <c r="E2" s="123"/>
      <c r="F2" s="123"/>
      <c r="G2" s="126"/>
      <c r="H2" s="126"/>
      <c r="I2" s="126"/>
      <c r="J2" s="126"/>
      <c r="K2" s="126"/>
      <c r="L2" s="126"/>
      <c r="M2" s="126"/>
      <c r="N2" s="126"/>
      <c r="O2" s="127"/>
      <c r="P2" s="127"/>
      <c r="Q2" s="127"/>
      <c r="R2" s="127"/>
      <c r="S2" s="127"/>
      <c r="T2" s="127"/>
      <c r="U2" s="127"/>
      <c r="V2" s="127"/>
      <c r="W2" s="127"/>
      <c r="X2" s="127"/>
      <c r="Y2" s="127"/>
      <c r="Z2" s="127"/>
      <c r="AA2" s="127"/>
      <c r="AB2" s="127"/>
      <c r="AC2" s="127"/>
      <c r="AD2" s="127"/>
      <c r="AE2" s="127"/>
      <c r="AF2" s="127"/>
    </row>
    <row r="3" spans="1:32" ht="17.25" customHeight="1" x14ac:dyDescent="0.25">
      <c r="A3" s="123"/>
      <c r="B3" s="715" t="s">
        <v>1115</v>
      </c>
      <c r="C3" s="716"/>
      <c r="D3" s="717"/>
      <c r="E3" s="128"/>
      <c r="F3" s="688" t="s">
        <v>140</v>
      </c>
      <c r="G3" s="689"/>
      <c r="H3" s="689"/>
      <c r="I3" s="713"/>
      <c r="J3" s="126"/>
      <c r="K3" s="126"/>
      <c r="L3" s="126"/>
      <c r="M3" s="126"/>
      <c r="N3" s="126"/>
      <c r="O3" s="127"/>
      <c r="P3" s="127"/>
      <c r="Q3" s="127"/>
      <c r="R3" s="127"/>
      <c r="S3" s="127"/>
      <c r="T3" s="127"/>
      <c r="U3" s="127"/>
      <c r="V3" s="127"/>
      <c r="W3" s="127"/>
      <c r="X3" s="127"/>
      <c r="Y3" s="127"/>
      <c r="Z3" s="127"/>
      <c r="AA3" s="127"/>
      <c r="AB3" s="127"/>
      <c r="AC3" s="127"/>
      <c r="AD3" s="127"/>
      <c r="AE3" s="127"/>
      <c r="AF3" s="127"/>
    </row>
    <row r="4" spans="1:32" ht="17.25" customHeight="1" thickBot="1" x14ac:dyDescent="0.3">
      <c r="A4" s="123"/>
      <c r="B4" s="407" t="s">
        <v>1217</v>
      </c>
      <c r="C4" s="523">
        <f>VCCINT</f>
        <v>1.2</v>
      </c>
      <c r="D4" s="117">
        <f ca="1">SUM(N12:N100)</f>
        <v>0</v>
      </c>
      <c r="E4" s="129"/>
      <c r="F4" s="697" t="s">
        <v>1119</v>
      </c>
      <c r="G4" s="698"/>
      <c r="H4" s="394">
        <f>SUM(I12:I100)</f>
        <v>0</v>
      </c>
      <c r="I4" s="395">
        <f>H4/NUM_FFS</f>
        <v>0</v>
      </c>
      <c r="J4" s="126"/>
      <c r="K4" s="126"/>
      <c r="L4" s="126"/>
      <c r="M4" s="126"/>
      <c r="N4" s="126"/>
      <c r="O4" s="127"/>
      <c r="P4" s="127"/>
      <c r="Q4" s="127"/>
      <c r="R4" s="127"/>
      <c r="S4" s="127"/>
      <c r="T4" s="127"/>
      <c r="U4" s="127"/>
      <c r="V4" s="127"/>
      <c r="W4" s="127"/>
      <c r="X4" s="127"/>
      <c r="Y4" s="127"/>
      <c r="Z4" s="127"/>
      <c r="AA4" s="127"/>
      <c r="AB4" s="127"/>
      <c r="AC4" s="127"/>
      <c r="AD4" s="127"/>
      <c r="AE4" s="127"/>
      <c r="AF4" s="127"/>
    </row>
    <row r="5" spans="1:32" ht="17.25" customHeight="1" thickBot="1" x14ac:dyDescent="0.3">
      <c r="A5" s="123"/>
      <c r="B5" s="718" t="str">
        <f ca="1">TEXT(IF(TOTAL_POWER&gt;0,LOGIC_POWER/TOTAL_POWER,0),"0%")&amp;" of total on-chip power "&amp;TEXT(TOTAL_POWER,"#.###")&amp;"W"</f>
        <v>0% of total on-chip power .488W</v>
      </c>
      <c r="C5" s="719"/>
      <c r="D5" s="720"/>
      <c r="E5" s="130"/>
      <c r="F5" s="697" t="s">
        <v>1120</v>
      </c>
      <c r="G5" s="698"/>
      <c r="H5" s="396">
        <f>SUM(F12:H100)</f>
        <v>0</v>
      </c>
      <c r="I5" s="397">
        <f>H5/NUM_LUTS</f>
        <v>0</v>
      </c>
      <c r="J5" s="126"/>
      <c r="K5" s="126"/>
      <c r="L5" s="126"/>
      <c r="M5" s="126"/>
      <c r="N5" s="126"/>
      <c r="O5" s="127"/>
      <c r="P5" s="127"/>
      <c r="Q5" s="127"/>
      <c r="R5" s="127"/>
      <c r="S5" s="127"/>
      <c r="T5" s="127"/>
      <c r="U5" s="127"/>
      <c r="V5" s="127"/>
      <c r="W5" s="127"/>
      <c r="X5" s="127"/>
      <c r="Y5" s="127"/>
      <c r="Z5" s="127"/>
      <c r="AA5" s="127"/>
      <c r="AB5" s="127"/>
      <c r="AC5" s="127"/>
      <c r="AD5" s="127"/>
      <c r="AE5" s="127"/>
      <c r="AF5" s="127"/>
    </row>
    <row r="6" spans="1:32" ht="17.25" customHeight="1" x14ac:dyDescent="0.25">
      <c r="A6" s="123"/>
      <c r="B6" s="123"/>
      <c r="C6" s="123"/>
      <c r="D6" s="383" t="str">
        <f>POWERMODE</f>
        <v>Active</v>
      </c>
      <c r="E6" s="123"/>
      <c r="F6" s="697" t="s">
        <v>1121</v>
      </c>
      <c r="G6" s="698"/>
      <c r="H6" s="398">
        <f>SUM(F12:F100)</f>
        <v>0</v>
      </c>
      <c r="I6" s="399">
        <f>H6/NUM_LUTS</f>
        <v>0</v>
      </c>
      <c r="J6" s="126"/>
      <c r="K6" s="126"/>
      <c r="L6" s="126"/>
      <c r="M6" s="126"/>
      <c r="N6" s="126"/>
      <c r="O6" s="127"/>
      <c r="P6" s="127"/>
      <c r="Q6" s="127"/>
      <c r="R6" s="127"/>
      <c r="S6" s="127"/>
      <c r="T6" s="127"/>
      <c r="U6" s="127"/>
      <c r="V6" s="127"/>
      <c r="W6" s="127"/>
      <c r="X6" s="127"/>
      <c r="Y6" s="127"/>
      <c r="Z6" s="127"/>
      <c r="AA6" s="127"/>
      <c r="AB6" s="127"/>
      <c r="AC6" s="127"/>
      <c r="AD6" s="127"/>
      <c r="AE6" s="127"/>
      <c r="AF6" s="127"/>
    </row>
    <row r="7" spans="1:32" ht="17.25" customHeight="1" x14ac:dyDescent="0.25">
      <c r="A7" s="123"/>
      <c r="B7" s="123"/>
      <c r="C7" s="123"/>
      <c r="D7" s="123"/>
      <c r="E7" s="123"/>
      <c r="F7" s="697" t="s">
        <v>1122</v>
      </c>
      <c r="G7" s="698"/>
      <c r="H7" s="400">
        <f>SUM(G12:G100)</f>
        <v>0</v>
      </c>
      <c r="I7" s="700">
        <f>SUM(H7:H8)/NUM_LUTS*IF(ISSTA=1,4,2)</f>
        <v>0</v>
      </c>
      <c r="J7" s="126"/>
      <c r="K7" s="126"/>
      <c r="L7" s="126"/>
      <c r="M7" s="126"/>
      <c r="N7" s="126"/>
      <c r="O7" s="127"/>
      <c r="P7" s="127"/>
      <c r="Q7" s="127"/>
      <c r="R7" s="127"/>
      <c r="S7" s="127"/>
      <c r="T7" s="127"/>
      <c r="U7" s="127"/>
      <c r="V7" s="127"/>
      <c r="W7" s="127"/>
      <c r="X7" s="127"/>
      <c r="Y7" s="127"/>
      <c r="Z7" s="127"/>
      <c r="AA7" s="127"/>
      <c r="AB7" s="127"/>
      <c r="AC7" s="127"/>
      <c r="AD7" s="127"/>
      <c r="AE7" s="127"/>
      <c r="AF7" s="127"/>
    </row>
    <row r="8" spans="1:32" ht="17.25" customHeight="1" thickBot="1" x14ac:dyDescent="0.3">
      <c r="A8" s="123"/>
      <c r="B8" s="123"/>
      <c r="C8" s="123"/>
      <c r="D8" s="123"/>
      <c r="E8" s="123"/>
      <c r="F8" s="702" t="s">
        <v>1123</v>
      </c>
      <c r="G8" s="703"/>
      <c r="H8" s="401">
        <f>SUM(H12:H100)</f>
        <v>0</v>
      </c>
      <c r="I8" s="701"/>
      <c r="J8" s="126"/>
      <c r="K8" s="126"/>
      <c r="L8" s="126"/>
      <c r="M8" s="126"/>
      <c r="N8" s="126"/>
      <c r="O8" s="127"/>
      <c r="P8" s="127"/>
      <c r="Q8" s="127"/>
      <c r="R8" s="127"/>
      <c r="S8" s="127"/>
      <c r="T8" s="127"/>
      <c r="U8" s="127"/>
      <c r="V8" s="127"/>
      <c r="W8" s="127"/>
      <c r="X8" s="127"/>
      <c r="Y8" s="127"/>
      <c r="Z8" s="127"/>
      <c r="AA8" s="127"/>
      <c r="AB8" s="127"/>
      <c r="AC8" s="127"/>
      <c r="AD8" s="127"/>
      <c r="AE8" s="127"/>
      <c r="AF8" s="127"/>
    </row>
    <row r="9" spans="1:32" ht="12.75" customHeight="1" thickBot="1" x14ac:dyDescent="0.3">
      <c r="A9" s="123"/>
      <c r="B9" s="123"/>
      <c r="C9" s="123"/>
      <c r="D9" s="123"/>
      <c r="E9" s="123"/>
      <c r="F9" s="123"/>
      <c r="G9" s="126"/>
      <c r="H9" s="126"/>
      <c r="I9" s="126"/>
      <c r="J9" s="126"/>
      <c r="K9" s="126"/>
      <c r="L9" s="126"/>
      <c r="M9" s="126"/>
      <c r="N9" s="126"/>
      <c r="O9" s="127"/>
      <c r="P9" s="127"/>
      <c r="Q9" s="127"/>
      <c r="R9" s="127"/>
      <c r="S9" s="127"/>
      <c r="T9" s="127"/>
      <c r="U9" s="127"/>
      <c r="V9" s="127"/>
      <c r="W9" s="127"/>
      <c r="X9" s="127"/>
      <c r="Y9" s="127"/>
      <c r="Z9" s="127"/>
      <c r="AA9" s="127"/>
      <c r="AB9" s="127"/>
      <c r="AC9" s="127"/>
      <c r="AD9" s="127"/>
      <c r="AE9" s="127"/>
      <c r="AF9" s="127"/>
    </row>
    <row r="10" spans="1:32" ht="15" customHeight="1" x14ac:dyDescent="0.25">
      <c r="A10" s="123"/>
      <c r="B10" s="704" t="s">
        <v>41</v>
      </c>
      <c r="C10" s="705"/>
      <c r="D10" s="706"/>
      <c r="E10" s="710" t="s">
        <v>19</v>
      </c>
      <c r="F10" s="712" t="s">
        <v>1124</v>
      </c>
      <c r="G10" s="712"/>
      <c r="H10" s="712"/>
      <c r="I10" s="705" t="s">
        <v>33</v>
      </c>
      <c r="J10" s="710" t="s">
        <v>20</v>
      </c>
      <c r="K10" s="710" t="s">
        <v>218</v>
      </c>
      <c r="L10" s="721" t="s">
        <v>15</v>
      </c>
      <c r="M10" s="721" t="s">
        <v>1307</v>
      </c>
      <c r="N10" s="724" t="s">
        <v>17</v>
      </c>
      <c r="O10" s="127"/>
      <c r="P10" s="127"/>
      <c r="Q10" s="127"/>
      <c r="R10" s="127"/>
      <c r="S10" s="127"/>
      <c r="T10" s="127"/>
      <c r="U10" s="127"/>
      <c r="V10" s="127"/>
      <c r="W10" s="127"/>
      <c r="X10" s="127"/>
      <c r="Y10" s="127"/>
      <c r="Z10" s="127"/>
      <c r="AA10" s="127"/>
      <c r="AB10" s="127"/>
      <c r="AC10" s="127"/>
      <c r="AD10" s="127"/>
      <c r="AE10" s="127"/>
      <c r="AF10" s="127"/>
    </row>
    <row r="11" spans="1:32" ht="30.75" customHeight="1" thickBot="1" x14ac:dyDescent="0.3">
      <c r="A11" s="131"/>
      <c r="B11" s="707"/>
      <c r="C11" s="708"/>
      <c r="D11" s="709"/>
      <c r="E11" s="711"/>
      <c r="F11" s="414" t="s">
        <v>32</v>
      </c>
      <c r="G11" s="414" t="s">
        <v>217</v>
      </c>
      <c r="H11" s="415" t="s">
        <v>1137</v>
      </c>
      <c r="I11" s="714"/>
      <c r="J11" s="711"/>
      <c r="K11" s="711"/>
      <c r="L11" s="723"/>
      <c r="M11" s="722"/>
      <c r="N11" s="725"/>
      <c r="O11" s="136"/>
      <c r="P11" s="137" t="s">
        <v>939</v>
      </c>
      <c r="Q11" s="137" t="s">
        <v>940</v>
      </c>
      <c r="R11" s="127"/>
      <c r="S11" s="127"/>
      <c r="T11" s="127"/>
      <c r="U11" s="127"/>
      <c r="V11" s="127"/>
      <c r="W11" s="127"/>
      <c r="X11" s="127"/>
      <c r="Y11" s="127"/>
      <c r="Z11" s="127"/>
      <c r="AA11" s="127"/>
      <c r="AB11" s="127"/>
      <c r="AC11" s="127"/>
      <c r="AD11" s="127"/>
      <c r="AE11" s="127"/>
      <c r="AF11" s="127"/>
    </row>
    <row r="12" spans="1:32" x14ac:dyDescent="0.25">
      <c r="A12" s="131"/>
      <c r="B12" s="726"/>
      <c r="C12" s="727"/>
      <c r="D12" s="727"/>
      <c r="E12" s="11">
        <v>0</v>
      </c>
      <c r="F12" s="12">
        <v>0</v>
      </c>
      <c r="G12" s="12">
        <v>0</v>
      </c>
      <c r="H12" s="12">
        <v>0</v>
      </c>
      <c r="I12" s="12">
        <v>0</v>
      </c>
      <c r="J12" s="13">
        <v>0.125</v>
      </c>
      <c r="K12" s="113">
        <v>3</v>
      </c>
      <c r="L12" s="13">
        <v>0.5</v>
      </c>
      <c r="M12" s="539">
        <f t="shared" ref="M12:M17" si="0">E12*J12</f>
        <v>0</v>
      </c>
      <c r="N12" s="149">
        <f t="shared" ref="N12:N100" ca="1" si="1">VCCINT/1000*VCCINT_N*$E12*IF(ISSTA=1,0.625,0.575)*($F12*$J12/2*(OFFSET(FANOUT,$P12+3,14)+$Q12)+$G12*$J12*(OFFSET(FANOUT,$P12,14)+$Q12)+$H12*$J12*($L12*(OFFSET(FANOUT,$P12+1,14)+$Q12)+(1-$L12)*(OFFSET(FANOUT,$P12+3,14)+$Q12))+$I12*$J12/2*(OFFSET(FANOUT,$P12+2,14)+$Q12))*OFFSET(OPTIMIZATION,0,3)</f>
        <v>0</v>
      </c>
      <c r="O12" s="136"/>
      <c r="P12" s="127">
        <f t="shared" ref="P12:P100" si="2">1+IF(ISSTA=1,7,0)</f>
        <v>8</v>
      </c>
      <c r="Q12" s="127">
        <f t="shared" ref="Q12:Q100" ca="1" si="3">IF(ISSTA=1,OFFSET(FANOUT,$P12,15)*$K12+OFFSET(FANOUT,$P12,16),IF($K12&lt;=5,OFFSET(FANOUT,INT($K12+0.5),6),OFFSET(FANOUT,$P12,15)*$K12+OFFSET(FANOUT,$P12,16)))</f>
        <v>6.4600000000000009E-4</v>
      </c>
      <c r="R12" s="127"/>
      <c r="S12" s="127"/>
      <c r="T12" s="127"/>
      <c r="U12" s="127"/>
      <c r="V12" s="127"/>
      <c r="W12" s="127"/>
      <c r="X12" s="127"/>
      <c r="Y12" s="127"/>
      <c r="Z12" s="127"/>
      <c r="AA12" s="127"/>
      <c r="AB12" s="127"/>
      <c r="AC12" s="127"/>
      <c r="AD12" s="127"/>
      <c r="AE12" s="127"/>
      <c r="AF12" s="127"/>
    </row>
    <row r="13" spans="1:32" x14ac:dyDescent="0.25">
      <c r="A13" s="131"/>
      <c r="B13" s="677"/>
      <c r="C13" s="678"/>
      <c r="D13" s="678"/>
      <c r="E13" s="11">
        <v>0</v>
      </c>
      <c r="F13" s="12">
        <v>0</v>
      </c>
      <c r="G13" s="12">
        <v>0</v>
      </c>
      <c r="H13" s="12">
        <v>0</v>
      </c>
      <c r="I13" s="12">
        <v>0</v>
      </c>
      <c r="J13" s="13">
        <v>0.125</v>
      </c>
      <c r="K13" s="113">
        <v>3</v>
      </c>
      <c r="L13" s="13">
        <v>0.5</v>
      </c>
      <c r="M13" s="539">
        <f t="shared" si="0"/>
        <v>0</v>
      </c>
      <c r="N13" s="147">
        <f t="shared" ca="1" si="1"/>
        <v>0</v>
      </c>
      <c r="O13" s="136"/>
      <c r="P13" s="127">
        <f t="shared" si="2"/>
        <v>8</v>
      </c>
      <c r="Q13" s="127">
        <f t="shared" ca="1" si="3"/>
        <v>6.4600000000000009E-4</v>
      </c>
      <c r="R13" s="127"/>
      <c r="S13" s="127"/>
      <c r="T13" s="127"/>
      <c r="U13" s="127"/>
      <c r="V13" s="127"/>
      <c r="W13" s="127"/>
      <c r="X13" s="127"/>
      <c r="Y13" s="127"/>
      <c r="Z13" s="127"/>
      <c r="AA13" s="127"/>
      <c r="AB13" s="127"/>
      <c r="AC13" s="127"/>
      <c r="AD13" s="127"/>
      <c r="AE13" s="127"/>
      <c r="AF13" s="127"/>
    </row>
    <row r="14" spans="1:32" x14ac:dyDescent="0.25">
      <c r="A14" s="131"/>
      <c r="B14" s="677"/>
      <c r="C14" s="678"/>
      <c r="D14" s="678"/>
      <c r="E14" s="11">
        <v>0</v>
      </c>
      <c r="F14" s="12">
        <v>0</v>
      </c>
      <c r="G14" s="12">
        <v>0</v>
      </c>
      <c r="H14" s="12">
        <v>0</v>
      </c>
      <c r="I14" s="12">
        <v>0</v>
      </c>
      <c r="J14" s="13">
        <v>0.125</v>
      </c>
      <c r="K14" s="113">
        <v>3</v>
      </c>
      <c r="L14" s="13">
        <v>0.5</v>
      </c>
      <c r="M14" s="539">
        <f t="shared" si="0"/>
        <v>0</v>
      </c>
      <c r="N14" s="147">
        <f t="shared" ca="1" si="1"/>
        <v>0</v>
      </c>
      <c r="O14" s="136"/>
      <c r="P14" s="127">
        <f t="shared" si="2"/>
        <v>8</v>
      </c>
      <c r="Q14" s="127">
        <f t="shared" ca="1" si="3"/>
        <v>6.4600000000000009E-4</v>
      </c>
      <c r="R14" s="127"/>
      <c r="S14" s="127"/>
      <c r="T14" s="127"/>
      <c r="U14" s="127"/>
      <c r="V14" s="127"/>
      <c r="W14" s="127"/>
      <c r="X14" s="127"/>
      <c r="Y14" s="127"/>
      <c r="Z14" s="127"/>
      <c r="AA14" s="127"/>
      <c r="AB14" s="127"/>
      <c r="AC14" s="127"/>
      <c r="AD14" s="127"/>
      <c r="AE14" s="127"/>
      <c r="AF14" s="127"/>
    </row>
    <row r="15" spans="1:32" x14ac:dyDescent="0.25">
      <c r="A15" s="131"/>
      <c r="B15" s="677"/>
      <c r="C15" s="678"/>
      <c r="D15" s="678"/>
      <c r="E15" s="11">
        <v>0</v>
      </c>
      <c r="F15" s="12">
        <v>0</v>
      </c>
      <c r="G15" s="12">
        <v>0</v>
      </c>
      <c r="H15" s="12">
        <v>0</v>
      </c>
      <c r="I15" s="12">
        <v>0</v>
      </c>
      <c r="J15" s="13">
        <v>0.125</v>
      </c>
      <c r="K15" s="113">
        <v>3</v>
      </c>
      <c r="L15" s="13">
        <v>0.5</v>
      </c>
      <c r="M15" s="539">
        <f t="shared" si="0"/>
        <v>0</v>
      </c>
      <c r="N15" s="147">
        <f t="shared" ca="1" si="1"/>
        <v>0</v>
      </c>
      <c r="O15" s="136"/>
      <c r="P15" s="127">
        <f t="shared" si="2"/>
        <v>8</v>
      </c>
      <c r="Q15" s="127">
        <f t="shared" ca="1" si="3"/>
        <v>6.4600000000000009E-4</v>
      </c>
      <c r="R15" s="127"/>
      <c r="S15" s="127"/>
      <c r="T15" s="127"/>
      <c r="U15" s="127"/>
      <c r="V15" s="127"/>
      <c r="W15" s="127"/>
      <c r="X15" s="127"/>
      <c r="Y15" s="127"/>
      <c r="Z15" s="127"/>
      <c r="AA15" s="127"/>
      <c r="AB15" s="127"/>
      <c r="AC15" s="127"/>
      <c r="AD15" s="127"/>
      <c r="AE15" s="127"/>
      <c r="AF15" s="127"/>
    </row>
    <row r="16" spans="1:32" x14ac:dyDescent="0.25">
      <c r="A16" s="131"/>
      <c r="B16" s="677"/>
      <c r="C16" s="678"/>
      <c r="D16" s="678"/>
      <c r="E16" s="11">
        <v>0</v>
      </c>
      <c r="F16" s="12">
        <v>0</v>
      </c>
      <c r="G16" s="12">
        <v>0</v>
      </c>
      <c r="H16" s="12">
        <v>0</v>
      </c>
      <c r="I16" s="12">
        <v>0</v>
      </c>
      <c r="J16" s="13">
        <v>0.125</v>
      </c>
      <c r="K16" s="113">
        <v>3</v>
      </c>
      <c r="L16" s="13">
        <v>0.5</v>
      </c>
      <c r="M16" s="539">
        <f t="shared" si="0"/>
        <v>0</v>
      </c>
      <c r="N16" s="147">
        <f t="shared" ca="1" si="1"/>
        <v>0</v>
      </c>
      <c r="O16" s="136"/>
      <c r="P16" s="127">
        <f t="shared" si="2"/>
        <v>8</v>
      </c>
      <c r="Q16" s="127">
        <f t="shared" ca="1" si="3"/>
        <v>6.4600000000000009E-4</v>
      </c>
      <c r="R16" s="127"/>
      <c r="S16" s="127"/>
      <c r="T16" s="127"/>
      <c r="U16" s="127"/>
      <c r="V16" s="127"/>
      <c r="W16" s="127"/>
      <c r="X16" s="127"/>
      <c r="Y16" s="127"/>
      <c r="Z16" s="127"/>
      <c r="AA16" s="127"/>
      <c r="AB16" s="127"/>
      <c r="AC16" s="127"/>
      <c r="AD16" s="127"/>
      <c r="AE16" s="127"/>
      <c r="AF16" s="127"/>
    </row>
    <row r="17" spans="1:32" x14ac:dyDescent="0.25">
      <c r="A17" s="131"/>
      <c r="B17" s="677"/>
      <c r="C17" s="678"/>
      <c r="D17" s="678"/>
      <c r="E17" s="11">
        <v>0</v>
      </c>
      <c r="F17" s="12">
        <v>0</v>
      </c>
      <c r="G17" s="12">
        <v>0</v>
      </c>
      <c r="H17" s="12">
        <v>0</v>
      </c>
      <c r="I17" s="12">
        <v>0</v>
      </c>
      <c r="J17" s="13">
        <v>0.125</v>
      </c>
      <c r="K17" s="113">
        <v>3</v>
      </c>
      <c r="L17" s="13">
        <v>0.5</v>
      </c>
      <c r="M17" s="539">
        <f t="shared" si="0"/>
        <v>0</v>
      </c>
      <c r="N17" s="147">
        <f t="shared" ca="1" si="1"/>
        <v>0</v>
      </c>
      <c r="O17" s="136"/>
      <c r="P17" s="127">
        <f t="shared" si="2"/>
        <v>8</v>
      </c>
      <c r="Q17" s="127">
        <f t="shared" ca="1" si="3"/>
        <v>6.4600000000000009E-4</v>
      </c>
      <c r="R17" s="127"/>
      <c r="S17" s="127"/>
      <c r="T17" s="127"/>
      <c r="U17" s="127"/>
      <c r="V17" s="127"/>
      <c r="W17" s="127"/>
      <c r="X17" s="127"/>
      <c r="Y17" s="127"/>
      <c r="Z17" s="127"/>
      <c r="AA17" s="127"/>
      <c r="AB17" s="127"/>
      <c r="AC17" s="127"/>
      <c r="AD17" s="127"/>
      <c r="AE17" s="127"/>
      <c r="AF17" s="127"/>
    </row>
    <row r="18" spans="1:32" x14ac:dyDescent="0.25">
      <c r="A18" s="131"/>
      <c r="B18" s="677"/>
      <c r="C18" s="678"/>
      <c r="D18" s="678"/>
      <c r="E18" s="11">
        <v>0</v>
      </c>
      <c r="F18" s="12">
        <v>0</v>
      </c>
      <c r="G18" s="12">
        <v>0</v>
      </c>
      <c r="H18" s="12">
        <v>0</v>
      </c>
      <c r="I18" s="12">
        <v>0</v>
      </c>
      <c r="J18" s="13">
        <v>0.125</v>
      </c>
      <c r="K18" s="113">
        <v>3</v>
      </c>
      <c r="L18" s="13">
        <v>0.5</v>
      </c>
      <c r="M18" s="539">
        <f t="shared" ref="M18:M67" si="4">E18*J18</f>
        <v>0</v>
      </c>
      <c r="N18" s="147">
        <f t="shared" ca="1" si="1"/>
        <v>0</v>
      </c>
      <c r="O18" s="136"/>
      <c r="P18" s="127">
        <f t="shared" si="2"/>
        <v>8</v>
      </c>
      <c r="Q18" s="127">
        <f t="shared" ca="1" si="3"/>
        <v>6.4600000000000009E-4</v>
      </c>
      <c r="R18" s="127"/>
      <c r="S18" s="127"/>
      <c r="T18" s="127"/>
      <c r="U18" s="127"/>
      <c r="V18" s="127"/>
      <c r="W18" s="127"/>
      <c r="X18" s="127"/>
      <c r="Y18" s="127"/>
      <c r="Z18" s="127"/>
      <c r="AA18" s="127"/>
      <c r="AB18" s="127"/>
      <c r="AC18" s="127"/>
      <c r="AD18" s="127"/>
      <c r="AE18" s="127"/>
      <c r="AF18" s="127"/>
    </row>
    <row r="19" spans="1:32" x14ac:dyDescent="0.25">
      <c r="A19" s="131"/>
      <c r="B19" s="677"/>
      <c r="C19" s="678"/>
      <c r="D19" s="678"/>
      <c r="E19" s="11">
        <v>0</v>
      </c>
      <c r="F19" s="12">
        <v>0</v>
      </c>
      <c r="G19" s="12">
        <v>0</v>
      </c>
      <c r="H19" s="12">
        <v>0</v>
      </c>
      <c r="I19" s="12">
        <v>0</v>
      </c>
      <c r="J19" s="13">
        <v>0.125</v>
      </c>
      <c r="K19" s="113">
        <v>3</v>
      </c>
      <c r="L19" s="13">
        <v>0.5</v>
      </c>
      <c r="M19" s="539">
        <f t="shared" si="4"/>
        <v>0</v>
      </c>
      <c r="N19" s="147">
        <f t="shared" ca="1" si="1"/>
        <v>0</v>
      </c>
      <c r="O19" s="136"/>
      <c r="P19" s="127">
        <f t="shared" si="2"/>
        <v>8</v>
      </c>
      <c r="Q19" s="127">
        <f t="shared" ca="1" si="3"/>
        <v>6.4600000000000009E-4</v>
      </c>
      <c r="R19" s="127"/>
      <c r="S19" s="127"/>
      <c r="T19" s="127"/>
      <c r="U19" s="127"/>
      <c r="V19" s="127"/>
      <c r="W19" s="127"/>
      <c r="X19" s="127"/>
      <c r="Y19" s="127"/>
      <c r="Z19" s="127"/>
      <c r="AA19" s="127"/>
      <c r="AB19" s="127"/>
      <c r="AC19" s="127"/>
      <c r="AD19" s="127"/>
      <c r="AE19" s="127"/>
      <c r="AF19" s="127"/>
    </row>
    <row r="20" spans="1:32" x14ac:dyDescent="0.25">
      <c r="A20" s="131"/>
      <c r="B20" s="677"/>
      <c r="C20" s="678"/>
      <c r="D20" s="678"/>
      <c r="E20" s="11">
        <v>0</v>
      </c>
      <c r="F20" s="12">
        <v>0</v>
      </c>
      <c r="G20" s="12">
        <v>0</v>
      </c>
      <c r="H20" s="12">
        <v>0</v>
      </c>
      <c r="I20" s="12">
        <v>0</v>
      </c>
      <c r="J20" s="13">
        <v>0.125</v>
      </c>
      <c r="K20" s="113">
        <v>3</v>
      </c>
      <c r="L20" s="13">
        <v>0.5</v>
      </c>
      <c r="M20" s="539">
        <f t="shared" si="4"/>
        <v>0</v>
      </c>
      <c r="N20" s="147">
        <f t="shared" ca="1" si="1"/>
        <v>0</v>
      </c>
      <c r="O20" s="136"/>
      <c r="P20" s="127">
        <f t="shared" si="2"/>
        <v>8</v>
      </c>
      <c r="Q20" s="127">
        <f t="shared" ca="1" si="3"/>
        <v>6.4600000000000009E-4</v>
      </c>
      <c r="R20" s="127"/>
      <c r="S20" s="127"/>
      <c r="T20" s="127"/>
      <c r="U20" s="127"/>
      <c r="V20" s="127"/>
      <c r="W20" s="127"/>
      <c r="X20" s="127"/>
      <c r="Y20" s="127"/>
      <c r="Z20" s="127"/>
      <c r="AA20" s="127"/>
      <c r="AB20" s="127"/>
      <c r="AC20" s="127"/>
      <c r="AD20" s="127"/>
      <c r="AE20" s="127"/>
      <c r="AF20" s="127"/>
    </row>
    <row r="21" spans="1:32" x14ac:dyDescent="0.25">
      <c r="A21" s="131"/>
      <c r="B21" s="677"/>
      <c r="C21" s="678"/>
      <c r="D21" s="678"/>
      <c r="E21" s="11">
        <v>0</v>
      </c>
      <c r="F21" s="12">
        <v>0</v>
      </c>
      <c r="G21" s="12">
        <v>0</v>
      </c>
      <c r="H21" s="12">
        <v>0</v>
      </c>
      <c r="I21" s="12">
        <v>0</v>
      </c>
      <c r="J21" s="13">
        <v>0.125</v>
      </c>
      <c r="K21" s="113">
        <v>3</v>
      </c>
      <c r="L21" s="13">
        <v>0.5</v>
      </c>
      <c r="M21" s="539">
        <f t="shared" si="4"/>
        <v>0</v>
      </c>
      <c r="N21" s="147">
        <f t="shared" ca="1" si="1"/>
        <v>0</v>
      </c>
      <c r="O21" s="136"/>
      <c r="P21" s="127">
        <f t="shared" si="2"/>
        <v>8</v>
      </c>
      <c r="Q21" s="127">
        <f t="shared" ca="1" si="3"/>
        <v>6.4600000000000009E-4</v>
      </c>
      <c r="R21" s="127"/>
      <c r="S21" s="127"/>
      <c r="T21" s="127"/>
      <c r="U21" s="127"/>
      <c r="V21" s="127"/>
      <c r="W21" s="127"/>
      <c r="X21" s="127"/>
      <c r="Y21" s="127"/>
      <c r="Z21" s="127"/>
      <c r="AA21" s="127"/>
      <c r="AB21" s="127"/>
      <c r="AC21" s="127"/>
      <c r="AD21" s="127"/>
      <c r="AE21" s="127"/>
      <c r="AF21" s="127"/>
    </row>
    <row r="22" spans="1:32" x14ac:dyDescent="0.25">
      <c r="A22" s="131"/>
      <c r="B22" s="677"/>
      <c r="C22" s="678"/>
      <c r="D22" s="678"/>
      <c r="E22" s="11">
        <v>0</v>
      </c>
      <c r="F22" s="12">
        <v>0</v>
      </c>
      <c r="G22" s="12">
        <v>0</v>
      </c>
      <c r="H22" s="12">
        <v>0</v>
      </c>
      <c r="I22" s="12">
        <v>0</v>
      </c>
      <c r="J22" s="13">
        <v>0.125</v>
      </c>
      <c r="K22" s="113">
        <v>3</v>
      </c>
      <c r="L22" s="13">
        <v>0.5</v>
      </c>
      <c r="M22" s="539">
        <f t="shared" si="4"/>
        <v>0</v>
      </c>
      <c r="N22" s="147">
        <f t="shared" ca="1" si="1"/>
        <v>0</v>
      </c>
      <c r="O22" s="136"/>
      <c r="P22" s="127">
        <f t="shared" si="2"/>
        <v>8</v>
      </c>
      <c r="Q22" s="127">
        <f t="shared" ca="1" si="3"/>
        <v>6.4600000000000009E-4</v>
      </c>
      <c r="R22" s="127"/>
      <c r="S22" s="127"/>
      <c r="T22" s="127"/>
      <c r="U22" s="127"/>
      <c r="V22" s="127"/>
      <c r="W22" s="127"/>
      <c r="X22" s="127"/>
      <c r="Y22" s="127"/>
      <c r="Z22" s="127"/>
      <c r="AA22" s="127"/>
      <c r="AB22" s="127"/>
      <c r="AC22" s="127"/>
      <c r="AD22" s="127"/>
      <c r="AE22" s="127"/>
      <c r="AF22" s="127"/>
    </row>
    <row r="23" spans="1:32" x14ac:dyDescent="0.25">
      <c r="A23" s="131"/>
      <c r="B23" s="677"/>
      <c r="C23" s="678"/>
      <c r="D23" s="678"/>
      <c r="E23" s="11">
        <v>0</v>
      </c>
      <c r="F23" s="12">
        <v>0</v>
      </c>
      <c r="G23" s="12">
        <v>0</v>
      </c>
      <c r="H23" s="12">
        <v>0</v>
      </c>
      <c r="I23" s="12">
        <v>0</v>
      </c>
      <c r="J23" s="13">
        <v>0.125</v>
      </c>
      <c r="K23" s="113">
        <v>3</v>
      </c>
      <c r="L23" s="13">
        <v>0.5</v>
      </c>
      <c r="M23" s="539">
        <f t="shared" si="4"/>
        <v>0</v>
      </c>
      <c r="N23" s="147">
        <f t="shared" ca="1" si="1"/>
        <v>0</v>
      </c>
      <c r="O23" s="136"/>
      <c r="P23" s="127">
        <f t="shared" si="2"/>
        <v>8</v>
      </c>
      <c r="Q23" s="127">
        <f t="shared" ca="1" si="3"/>
        <v>6.4600000000000009E-4</v>
      </c>
      <c r="R23" s="127"/>
      <c r="S23" s="127"/>
      <c r="T23" s="127"/>
      <c r="U23" s="127"/>
      <c r="V23" s="127"/>
      <c r="W23" s="127"/>
      <c r="X23" s="127"/>
      <c r="Y23" s="127"/>
      <c r="Z23" s="127"/>
      <c r="AA23" s="127"/>
      <c r="AB23" s="127"/>
      <c r="AC23" s="127"/>
      <c r="AD23" s="127"/>
      <c r="AE23" s="127"/>
      <c r="AF23" s="127"/>
    </row>
    <row r="24" spans="1:32" x14ac:dyDescent="0.25">
      <c r="A24" s="131"/>
      <c r="B24" s="677"/>
      <c r="C24" s="678"/>
      <c r="D24" s="678"/>
      <c r="E24" s="11">
        <v>0</v>
      </c>
      <c r="F24" s="12">
        <v>0</v>
      </c>
      <c r="G24" s="12">
        <v>0</v>
      </c>
      <c r="H24" s="12">
        <v>0</v>
      </c>
      <c r="I24" s="12">
        <v>0</v>
      </c>
      <c r="J24" s="13">
        <v>0.125</v>
      </c>
      <c r="K24" s="113">
        <v>3</v>
      </c>
      <c r="L24" s="13">
        <v>0.5</v>
      </c>
      <c r="M24" s="539">
        <f t="shared" si="4"/>
        <v>0</v>
      </c>
      <c r="N24" s="147">
        <f t="shared" ca="1" si="1"/>
        <v>0</v>
      </c>
      <c r="O24" s="136"/>
      <c r="P24" s="127">
        <f t="shared" si="2"/>
        <v>8</v>
      </c>
      <c r="Q24" s="127">
        <f t="shared" ca="1" si="3"/>
        <v>6.4600000000000009E-4</v>
      </c>
      <c r="R24" s="127"/>
      <c r="S24" s="127"/>
      <c r="T24" s="127"/>
      <c r="U24" s="127"/>
      <c r="V24" s="127"/>
      <c r="W24" s="127"/>
      <c r="X24" s="127"/>
      <c r="Y24" s="127"/>
      <c r="Z24" s="127"/>
      <c r="AA24" s="127"/>
      <c r="AB24" s="127"/>
      <c r="AC24" s="127"/>
      <c r="AD24" s="127"/>
      <c r="AE24" s="127"/>
      <c r="AF24" s="127"/>
    </row>
    <row r="25" spans="1:32" x14ac:dyDescent="0.25">
      <c r="A25" s="131"/>
      <c r="B25" s="677"/>
      <c r="C25" s="678"/>
      <c r="D25" s="678"/>
      <c r="E25" s="11">
        <v>0</v>
      </c>
      <c r="F25" s="12">
        <v>0</v>
      </c>
      <c r="G25" s="12">
        <v>0</v>
      </c>
      <c r="H25" s="12">
        <v>0</v>
      </c>
      <c r="I25" s="12">
        <v>0</v>
      </c>
      <c r="J25" s="13">
        <v>0.125</v>
      </c>
      <c r="K25" s="113">
        <v>3</v>
      </c>
      <c r="L25" s="13">
        <v>0.5</v>
      </c>
      <c r="M25" s="539">
        <f t="shared" si="4"/>
        <v>0</v>
      </c>
      <c r="N25" s="147">
        <f t="shared" ca="1" si="1"/>
        <v>0</v>
      </c>
      <c r="O25" s="136"/>
      <c r="P25" s="127">
        <f t="shared" si="2"/>
        <v>8</v>
      </c>
      <c r="Q25" s="127">
        <f t="shared" ca="1" si="3"/>
        <v>6.4600000000000009E-4</v>
      </c>
      <c r="R25" s="127"/>
      <c r="S25" s="127"/>
      <c r="T25" s="127"/>
      <c r="U25" s="127"/>
      <c r="V25" s="127"/>
      <c r="W25" s="127"/>
      <c r="X25" s="127"/>
      <c r="Y25" s="127"/>
      <c r="Z25" s="127"/>
      <c r="AA25" s="127"/>
      <c r="AB25" s="127"/>
      <c r="AC25" s="127"/>
      <c r="AD25" s="127"/>
      <c r="AE25" s="127"/>
      <c r="AF25" s="127"/>
    </row>
    <row r="26" spans="1:32" x14ac:dyDescent="0.25">
      <c r="A26" s="131"/>
      <c r="B26" s="677"/>
      <c r="C26" s="678"/>
      <c r="D26" s="678"/>
      <c r="E26" s="11">
        <v>0</v>
      </c>
      <c r="F26" s="12">
        <v>0</v>
      </c>
      <c r="G26" s="12">
        <v>0</v>
      </c>
      <c r="H26" s="12">
        <v>0</v>
      </c>
      <c r="I26" s="12">
        <v>0</v>
      </c>
      <c r="J26" s="13">
        <v>0.125</v>
      </c>
      <c r="K26" s="113">
        <v>3</v>
      </c>
      <c r="L26" s="13">
        <v>0.5</v>
      </c>
      <c r="M26" s="539">
        <f t="shared" si="4"/>
        <v>0</v>
      </c>
      <c r="N26" s="147">
        <f t="shared" ca="1" si="1"/>
        <v>0</v>
      </c>
      <c r="O26" s="136"/>
      <c r="P26" s="127">
        <f t="shared" si="2"/>
        <v>8</v>
      </c>
      <c r="Q26" s="127">
        <f t="shared" ca="1" si="3"/>
        <v>6.4600000000000009E-4</v>
      </c>
      <c r="R26" s="127"/>
      <c r="S26" s="127"/>
      <c r="T26" s="127"/>
      <c r="U26" s="127"/>
      <c r="V26" s="127"/>
      <c r="W26" s="127"/>
      <c r="X26" s="127"/>
      <c r="Y26" s="127"/>
      <c r="Z26" s="127"/>
      <c r="AA26" s="127"/>
      <c r="AB26" s="127"/>
      <c r="AC26" s="127"/>
      <c r="AD26" s="127"/>
      <c r="AE26" s="127"/>
      <c r="AF26" s="127"/>
    </row>
    <row r="27" spans="1:32" x14ac:dyDescent="0.25">
      <c r="A27" s="131"/>
      <c r="B27" s="677"/>
      <c r="C27" s="678"/>
      <c r="D27" s="678"/>
      <c r="E27" s="11">
        <v>0</v>
      </c>
      <c r="F27" s="12">
        <v>0</v>
      </c>
      <c r="G27" s="12">
        <v>0</v>
      </c>
      <c r="H27" s="12">
        <v>0</v>
      </c>
      <c r="I27" s="12">
        <v>0</v>
      </c>
      <c r="J27" s="13">
        <v>0.125</v>
      </c>
      <c r="K27" s="113">
        <v>3</v>
      </c>
      <c r="L27" s="13">
        <v>0.5</v>
      </c>
      <c r="M27" s="539">
        <f t="shared" si="4"/>
        <v>0</v>
      </c>
      <c r="N27" s="147">
        <f t="shared" ca="1" si="1"/>
        <v>0</v>
      </c>
      <c r="O27" s="136"/>
      <c r="P27" s="127">
        <f t="shared" si="2"/>
        <v>8</v>
      </c>
      <c r="Q27" s="127">
        <f t="shared" ca="1" si="3"/>
        <v>6.4600000000000009E-4</v>
      </c>
      <c r="R27" s="127"/>
      <c r="S27" s="127"/>
      <c r="T27" s="127"/>
      <c r="U27" s="127"/>
      <c r="V27" s="127"/>
      <c r="W27" s="127"/>
      <c r="X27" s="127"/>
      <c r="Y27" s="127"/>
      <c r="Z27" s="127"/>
      <c r="AA27" s="127"/>
      <c r="AB27" s="127"/>
      <c r="AC27" s="127"/>
      <c r="AD27" s="127"/>
      <c r="AE27" s="127"/>
      <c r="AF27" s="127"/>
    </row>
    <row r="28" spans="1:32" x14ac:dyDescent="0.25">
      <c r="A28" s="131"/>
      <c r="B28" s="677"/>
      <c r="C28" s="678"/>
      <c r="D28" s="678"/>
      <c r="E28" s="11">
        <v>0</v>
      </c>
      <c r="F28" s="12">
        <v>0</v>
      </c>
      <c r="G28" s="12">
        <v>0</v>
      </c>
      <c r="H28" s="12">
        <v>0</v>
      </c>
      <c r="I28" s="12">
        <v>0</v>
      </c>
      <c r="J28" s="13">
        <v>0.125</v>
      </c>
      <c r="K28" s="113">
        <v>3</v>
      </c>
      <c r="L28" s="13">
        <v>0.5</v>
      </c>
      <c r="M28" s="539">
        <f t="shared" si="4"/>
        <v>0</v>
      </c>
      <c r="N28" s="147">
        <f t="shared" ca="1" si="1"/>
        <v>0</v>
      </c>
      <c r="O28" s="136"/>
      <c r="P28" s="127">
        <f t="shared" si="2"/>
        <v>8</v>
      </c>
      <c r="Q28" s="127">
        <f t="shared" ca="1" si="3"/>
        <v>6.4600000000000009E-4</v>
      </c>
      <c r="R28" s="127"/>
      <c r="S28" s="127"/>
      <c r="T28" s="127"/>
      <c r="U28" s="127"/>
      <c r="V28" s="127"/>
      <c r="W28" s="127"/>
      <c r="X28" s="127"/>
      <c r="Y28" s="127"/>
      <c r="Z28" s="127"/>
      <c r="AA28" s="127"/>
      <c r="AB28" s="127"/>
      <c r="AC28" s="127"/>
      <c r="AD28" s="127"/>
      <c r="AE28" s="127"/>
      <c r="AF28" s="127"/>
    </row>
    <row r="29" spans="1:32" x14ac:dyDescent="0.25">
      <c r="A29" s="131"/>
      <c r="B29" s="677"/>
      <c r="C29" s="678"/>
      <c r="D29" s="678"/>
      <c r="E29" s="11">
        <v>0</v>
      </c>
      <c r="F29" s="12">
        <v>0</v>
      </c>
      <c r="G29" s="12">
        <v>0</v>
      </c>
      <c r="H29" s="12">
        <v>0</v>
      </c>
      <c r="I29" s="12">
        <v>0</v>
      </c>
      <c r="J29" s="13">
        <v>0.125</v>
      </c>
      <c r="K29" s="113">
        <v>3</v>
      </c>
      <c r="L29" s="13">
        <v>0.5</v>
      </c>
      <c r="M29" s="539">
        <f t="shared" si="4"/>
        <v>0</v>
      </c>
      <c r="N29" s="147">
        <f t="shared" ca="1" si="1"/>
        <v>0</v>
      </c>
      <c r="O29" s="136"/>
      <c r="P29" s="127">
        <f t="shared" si="2"/>
        <v>8</v>
      </c>
      <c r="Q29" s="127">
        <f t="shared" ca="1" si="3"/>
        <v>6.4600000000000009E-4</v>
      </c>
      <c r="R29" s="127"/>
      <c r="S29" s="127"/>
      <c r="T29" s="127"/>
      <c r="U29" s="127"/>
      <c r="V29" s="127"/>
      <c r="W29" s="127"/>
      <c r="X29" s="127"/>
      <c r="Y29" s="127"/>
      <c r="Z29" s="127"/>
      <c r="AA29" s="127"/>
      <c r="AB29" s="127"/>
      <c r="AC29" s="127"/>
      <c r="AD29" s="127"/>
      <c r="AE29" s="127"/>
      <c r="AF29" s="127"/>
    </row>
    <row r="30" spans="1:32" x14ac:dyDescent="0.25">
      <c r="A30" s="131"/>
      <c r="B30" s="677"/>
      <c r="C30" s="678"/>
      <c r="D30" s="678"/>
      <c r="E30" s="11">
        <v>0</v>
      </c>
      <c r="F30" s="12">
        <v>0</v>
      </c>
      <c r="G30" s="12">
        <v>0</v>
      </c>
      <c r="H30" s="12">
        <v>0</v>
      </c>
      <c r="I30" s="12">
        <v>0</v>
      </c>
      <c r="J30" s="13">
        <v>0.125</v>
      </c>
      <c r="K30" s="113">
        <v>3</v>
      </c>
      <c r="L30" s="13">
        <v>0.5</v>
      </c>
      <c r="M30" s="539">
        <f t="shared" si="4"/>
        <v>0</v>
      </c>
      <c r="N30" s="147">
        <f t="shared" ca="1" si="1"/>
        <v>0</v>
      </c>
      <c r="O30" s="136"/>
      <c r="P30" s="127">
        <f t="shared" si="2"/>
        <v>8</v>
      </c>
      <c r="Q30" s="127">
        <f t="shared" ca="1" si="3"/>
        <v>6.4600000000000009E-4</v>
      </c>
      <c r="R30" s="127"/>
      <c r="S30" s="127"/>
      <c r="T30" s="127"/>
      <c r="U30" s="127"/>
      <c r="V30" s="127"/>
      <c r="W30" s="127"/>
      <c r="X30" s="127"/>
      <c r="Y30" s="127"/>
      <c r="Z30" s="127"/>
      <c r="AA30" s="127"/>
      <c r="AB30" s="127"/>
      <c r="AC30" s="127"/>
      <c r="AD30" s="127"/>
      <c r="AE30" s="127"/>
      <c r="AF30" s="127"/>
    </row>
    <row r="31" spans="1:32" x14ac:dyDescent="0.25">
      <c r="A31" s="131"/>
      <c r="B31" s="677"/>
      <c r="C31" s="678"/>
      <c r="D31" s="678"/>
      <c r="E31" s="11">
        <v>0</v>
      </c>
      <c r="F31" s="12">
        <v>0</v>
      </c>
      <c r="G31" s="12">
        <v>0</v>
      </c>
      <c r="H31" s="12">
        <v>0</v>
      </c>
      <c r="I31" s="12">
        <v>0</v>
      </c>
      <c r="J31" s="13">
        <v>0.125</v>
      </c>
      <c r="K31" s="113">
        <v>3</v>
      </c>
      <c r="L31" s="13">
        <v>0.5</v>
      </c>
      <c r="M31" s="539">
        <f t="shared" si="4"/>
        <v>0</v>
      </c>
      <c r="N31" s="147">
        <f t="shared" ca="1" si="1"/>
        <v>0</v>
      </c>
      <c r="O31" s="136"/>
      <c r="P31" s="127">
        <f t="shared" si="2"/>
        <v>8</v>
      </c>
      <c r="Q31" s="127">
        <f t="shared" ca="1" si="3"/>
        <v>6.4600000000000009E-4</v>
      </c>
      <c r="R31" s="127"/>
      <c r="S31" s="127"/>
      <c r="T31" s="127"/>
      <c r="U31" s="127"/>
      <c r="V31" s="127"/>
      <c r="W31" s="127"/>
      <c r="X31" s="127"/>
      <c r="Y31" s="127"/>
      <c r="Z31" s="127"/>
      <c r="AA31" s="127"/>
      <c r="AB31" s="127"/>
      <c r="AC31" s="127"/>
      <c r="AD31" s="127"/>
      <c r="AE31" s="127"/>
      <c r="AF31" s="127"/>
    </row>
    <row r="32" spans="1:32" x14ac:dyDescent="0.25">
      <c r="A32" s="131"/>
      <c r="B32" s="677"/>
      <c r="C32" s="678"/>
      <c r="D32" s="678"/>
      <c r="E32" s="11">
        <v>0</v>
      </c>
      <c r="F32" s="12">
        <v>0</v>
      </c>
      <c r="G32" s="12">
        <v>0</v>
      </c>
      <c r="H32" s="12">
        <v>0</v>
      </c>
      <c r="I32" s="12">
        <v>0</v>
      </c>
      <c r="J32" s="13">
        <v>0.125</v>
      </c>
      <c r="K32" s="113">
        <v>3</v>
      </c>
      <c r="L32" s="13">
        <v>0.5</v>
      </c>
      <c r="M32" s="539">
        <f t="shared" si="4"/>
        <v>0</v>
      </c>
      <c r="N32" s="147">
        <f t="shared" ca="1" si="1"/>
        <v>0</v>
      </c>
      <c r="O32" s="136"/>
      <c r="P32" s="127">
        <f t="shared" si="2"/>
        <v>8</v>
      </c>
      <c r="Q32" s="127">
        <f t="shared" ca="1" si="3"/>
        <v>6.4600000000000009E-4</v>
      </c>
      <c r="R32" s="127"/>
      <c r="S32" s="127"/>
      <c r="T32" s="127"/>
      <c r="U32" s="127"/>
      <c r="V32" s="127"/>
      <c r="W32" s="127"/>
      <c r="X32" s="127"/>
      <c r="Y32" s="127"/>
      <c r="Z32" s="127"/>
      <c r="AA32" s="127"/>
      <c r="AB32" s="127"/>
      <c r="AC32" s="127"/>
      <c r="AD32" s="127"/>
      <c r="AE32" s="127"/>
      <c r="AF32" s="127"/>
    </row>
    <row r="33" spans="1:32" x14ac:dyDescent="0.25">
      <c r="A33" s="131"/>
      <c r="B33" s="677"/>
      <c r="C33" s="678"/>
      <c r="D33" s="678"/>
      <c r="E33" s="11">
        <v>0</v>
      </c>
      <c r="F33" s="12">
        <v>0</v>
      </c>
      <c r="G33" s="12">
        <v>0</v>
      </c>
      <c r="H33" s="12">
        <v>0</v>
      </c>
      <c r="I33" s="12">
        <v>0</v>
      </c>
      <c r="J33" s="13">
        <v>0.125</v>
      </c>
      <c r="K33" s="113">
        <v>3</v>
      </c>
      <c r="L33" s="13">
        <v>0.5</v>
      </c>
      <c r="M33" s="539">
        <f t="shared" si="4"/>
        <v>0</v>
      </c>
      <c r="N33" s="147">
        <f t="shared" ca="1" si="1"/>
        <v>0</v>
      </c>
      <c r="O33" s="136"/>
      <c r="P33" s="127">
        <f t="shared" si="2"/>
        <v>8</v>
      </c>
      <c r="Q33" s="127">
        <f t="shared" ca="1" si="3"/>
        <v>6.4600000000000009E-4</v>
      </c>
      <c r="R33" s="127"/>
      <c r="S33" s="127"/>
      <c r="T33" s="127"/>
      <c r="U33" s="127"/>
      <c r="V33" s="127"/>
      <c r="W33" s="127"/>
      <c r="X33" s="127"/>
      <c r="Y33" s="127"/>
      <c r="Z33" s="127"/>
      <c r="AA33" s="127"/>
      <c r="AB33" s="127"/>
      <c r="AC33" s="127"/>
      <c r="AD33" s="127"/>
      <c r="AE33" s="127"/>
      <c r="AF33" s="127"/>
    </row>
    <row r="34" spans="1:32" x14ac:dyDescent="0.25">
      <c r="A34" s="131"/>
      <c r="B34" s="677"/>
      <c r="C34" s="678"/>
      <c r="D34" s="678"/>
      <c r="E34" s="11">
        <v>0</v>
      </c>
      <c r="F34" s="12">
        <v>0</v>
      </c>
      <c r="G34" s="12">
        <v>0</v>
      </c>
      <c r="H34" s="12">
        <v>0</v>
      </c>
      <c r="I34" s="12">
        <v>0</v>
      </c>
      <c r="J34" s="13">
        <v>0.125</v>
      </c>
      <c r="K34" s="113">
        <v>3</v>
      </c>
      <c r="L34" s="13">
        <v>0.5</v>
      </c>
      <c r="M34" s="539">
        <f t="shared" si="4"/>
        <v>0</v>
      </c>
      <c r="N34" s="147">
        <f t="shared" ca="1" si="1"/>
        <v>0</v>
      </c>
      <c r="O34" s="136"/>
      <c r="P34" s="127">
        <f t="shared" si="2"/>
        <v>8</v>
      </c>
      <c r="Q34" s="127">
        <f t="shared" ca="1" si="3"/>
        <v>6.4600000000000009E-4</v>
      </c>
      <c r="R34" s="127"/>
      <c r="S34" s="127"/>
      <c r="T34" s="127"/>
      <c r="U34" s="127"/>
      <c r="V34" s="127"/>
      <c r="W34" s="127"/>
      <c r="X34" s="127"/>
      <c r="Y34" s="127"/>
      <c r="Z34" s="127"/>
      <c r="AA34" s="127"/>
      <c r="AB34" s="127"/>
      <c r="AC34" s="127"/>
      <c r="AD34" s="127"/>
      <c r="AE34" s="127"/>
      <c r="AF34" s="127"/>
    </row>
    <row r="35" spans="1:32" x14ac:dyDescent="0.25">
      <c r="A35" s="131"/>
      <c r="B35" s="677"/>
      <c r="C35" s="678"/>
      <c r="D35" s="678"/>
      <c r="E35" s="11">
        <v>0</v>
      </c>
      <c r="F35" s="12">
        <v>0</v>
      </c>
      <c r="G35" s="12">
        <v>0</v>
      </c>
      <c r="H35" s="12">
        <v>0</v>
      </c>
      <c r="I35" s="12">
        <v>0</v>
      </c>
      <c r="J35" s="13">
        <v>0.125</v>
      </c>
      <c r="K35" s="113">
        <v>3</v>
      </c>
      <c r="L35" s="13">
        <v>0.5</v>
      </c>
      <c r="M35" s="539">
        <f t="shared" si="4"/>
        <v>0</v>
      </c>
      <c r="N35" s="147">
        <f t="shared" ca="1" si="1"/>
        <v>0</v>
      </c>
      <c r="O35" s="136"/>
      <c r="P35" s="127">
        <f t="shared" si="2"/>
        <v>8</v>
      </c>
      <c r="Q35" s="127">
        <f t="shared" ca="1" si="3"/>
        <v>6.4600000000000009E-4</v>
      </c>
      <c r="R35" s="127"/>
      <c r="S35" s="127"/>
      <c r="T35" s="127"/>
      <c r="U35" s="127"/>
      <c r="V35" s="127"/>
      <c r="W35" s="127"/>
      <c r="X35" s="127"/>
      <c r="Y35" s="127"/>
      <c r="Z35" s="127"/>
      <c r="AA35" s="127"/>
      <c r="AB35" s="127"/>
      <c r="AC35" s="127"/>
      <c r="AD35" s="127"/>
      <c r="AE35" s="127"/>
      <c r="AF35" s="127"/>
    </row>
    <row r="36" spans="1:32" x14ac:dyDescent="0.25">
      <c r="A36" s="131"/>
      <c r="B36" s="677"/>
      <c r="C36" s="678"/>
      <c r="D36" s="678"/>
      <c r="E36" s="11">
        <v>0</v>
      </c>
      <c r="F36" s="12">
        <v>0</v>
      </c>
      <c r="G36" s="12">
        <v>0</v>
      </c>
      <c r="H36" s="12">
        <v>0</v>
      </c>
      <c r="I36" s="12">
        <v>0</v>
      </c>
      <c r="J36" s="13">
        <v>0.125</v>
      </c>
      <c r="K36" s="113">
        <v>3</v>
      </c>
      <c r="L36" s="13">
        <v>0.5</v>
      </c>
      <c r="M36" s="539">
        <f t="shared" si="4"/>
        <v>0</v>
      </c>
      <c r="N36" s="147">
        <f t="shared" ca="1" si="1"/>
        <v>0</v>
      </c>
      <c r="O36" s="136"/>
      <c r="P36" s="127">
        <f t="shared" si="2"/>
        <v>8</v>
      </c>
      <c r="Q36" s="127">
        <f t="shared" ca="1" si="3"/>
        <v>6.4600000000000009E-4</v>
      </c>
      <c r="R36" s="127"/>
      <c r="S36" s="127"/>
      <c r="T36" s="127"/>
      <c r="U36" s="127"/>
      <c r="V36" s="127"/>
      <c r="W36" s="127"/>
      <c r="X36" s="127"/>
      <c r="Y36" s="127"/>
      <c r="Z36" s="127"/>
      <c r="AA36" s="127"/>
      <c r="AB36" s="127"/>
      <c r="AC36" s="127"/>
      <c r="AD36" s="127"/>
      <c r="AE36" s="127"/>
      <c r="AF36" s="127"/>
    </row>
    <row r="37" spans="1:32" x14ac:dyDescent="0.25">
      <c r="A37" s="131"/>
      <c r="B37" s="677"/>
      <c r="C37" s="678"/>
      <c r="D37" s="678"/>
      <c r="E37" s="11">
        <v>0</v>
      </c>
      <c r="F37" s="12">
        <v>0</v>
      </c>
      <c r="G37" s="12">
        <v>0</v>
      </c>
      <c r="H37" s="12">
        <v>0</v>
      </c>
      <c r="I37" s="12">
        <v>0</v>
      </c>
      <c r="J37" s="13">
        <v>0.125</v>
      </c>
      <c r="K37" s="113">
        <v>3</v>
      </c>
      <c r="L37" s="13">
        <v>0.5</v>
      </c>
      <c r="M37" s="539">
        <f t="shared" si="4"/>
        <v>0</v>
      </c>
      <c r="N37" s="147">
        <f t="shared" ca="1" si="1"/>
        <v>0</v>
      </c>
      <c r="O37" s="136"/>
      <c r="P37" s="127">
        <f t="shared" si="2"/>
        <v>8</v>
      </c>
      <c r="Q37" s="127">
        <f t="shared" ca="1" si="3"/>
        <v>6.4600000000000009E-4</v>
      </c>
      <c r="R37" s="127"/>
      <c r="S37" s="127"/>
      <c r="T37" s="127"/>
      <c r="U37" s="127"/>
      <c r="V37" s="127"/>
      <c r="W37" s="127"/>
      <c r="X37" s="127"/>
      <c r="Y37" s="127"/>
      <c r="Z37" s="127"/>
      <c r="AA37" s="127"/>
      <c r="AB37" s="127"/>
      <c r="AC37" s="127"/>
      <c r="AD37" s="127"/>
      <c r="AE37" s="127"/>
      <c r="AF37" s="127"/>
    </row>
    <row r="38" spans="1:32" x14ac:dyDescent="0.25">
      <c r="A38" s="131"/>
      <c r="B38" s="677"/>
      <c r="C38" s="678"/>
      <c r="D38" s="678"/>
      <c r="E38" s="11">
        <v>0</v>
      </c>
      <c r="F38" s="12">
        <v>0</v>
      </c>
      <c r="G38" s="12">
        <v>0</v>
      </c>
      <c r="H38" s="12">
        <v>0</v>
      </c>
      <c r="I38" s="12">
        <v>0</v>
      </c>
      <c r="J38" s="13">
        <v>0.125</v>
      </c>
      <c r="K38" s="113">
        <v>3</v>
      </c>
      <c r="L38" s="13">
        <v>0.5</v>
      </c>
      <c r="M38" s="539">
        <f t="shared" si="4"/>
        <v>0</v>
      </c>
      <c r="N38" s="147">
        <f t="shared" ca="1" si="1"/>
        <v>0</v>
      </c>
      <c r="O38" s="136"/>
      <c r="P38" s="127">
        <f t="shared" si="2"/>
        <v>8</v>
      </c>
      <c r="Q38" s="127">
        <f t="shared" ca="1" si="3"/>
        <v>6.4600000000000009E-4</v>
      </c>
      <c r="R38" s="127"/>
      <c r="S38" s="127"/>
      <c r="T38" s="127"/>
      <c r="U38" s="127"/>
      <c r="V38" s="127"/>
      <c r="W38" s="127"/>
      <c r="X38" s="127"/>
      <c r="Y38" s="127"/>
      <c r="Z38" s="127"/>
      <c r="AA38" s="127"/>
      <c r="AB38" s="127"/>
      <c r="AC38" s="127"/>
      <c r="AD38" s="127"/>
      <c r="AE38" s="127"/>
      <c r="AF38" s="127"/>
    </row>
    <row r="39" spans="1:32" x14ac:dyDescent="0.25">
      <c r="A39" s="131"/>
      <c r="B39" s="677"/>
      <c r="C39" s="678"/>
      <c r="D39" s="678"/>
      <c r="E39" s="11">
        <v>0</v>
      </c>
      <c r="F39" s="12">
        <v>0</v>
      </c>
      <c r="G39" s="12">
        <v>0</v>
      </c>
      <c r="H39" s="12">
        <v>0</v>
      </c>
      <c r="I39" s="12">
        <v>0</v>
      </c>
      <c r="J39" s="13">
        <v>0.125</v>
      </c>
      <c r="K39" s="113">
        <v>3</v>
      </c>
      <c r="L39" s="13">
        <v>0.5</v>
      </c>
      <c r="M39" s="539">
        <f t="shared" si="4"/>
        <v>0</v>
      </c>
      <c r="N39" s="147">
        <f t="shared" ca="1" si="1"/>
        <v>0</v>
      </c>
      <c r="O39" s="136"/>
      <c r="P39" s="127">
        <f t="shared" si="2"/>
        <v>8</v>
      </c>
      <c r="Q39" s="127">
        <f t="shared" ca="1" si="3"/>
        <v>6.4600000000000009E-4</v>
      </c>
      <c r="R39" s="127"/>
      <c r="S39" s="127"/>
      <c r="T39" s="127"/>
      <c r="U39" s="127"/>
      <c r="V39" s="127"/>
      <c r="W39" s="127"/>
      <c r="X39" s="127"/>
      <c r="Y39" s="127"/>
      <c r="Z39" s="127"/>
      <c r="AA39" s="127"/>
      <c r="AB39" s="127"/>
      <c r="AC39" s="127"/>
      <c r="AD39" s="127"/>
      <c r="AE39" s="127"/>
      <c r="AF39" s="127"/>
    </row>
    <row r="40" spans="1:32" x14ac:dyDescent="0.25">
      <c r="A40" s="131"/>
      <c r="B40" s="677"/>
      <c r="C40" s="678"/>
      <c r="D40" s="678"/>
      <c r="E40" s="11">
        <v>0</v>
      </c>
      <c r="F40" s="12">
        <v>0</v>
      </c>
      <c r="G40" s="12">
        <v>0</v>
      </c>
      <c r="H40" s="12">
        <v>0</v>
      </c>
      <c r="I40" s="12">
        <v>0</v>
      </c>
      <c r="J40" s="13">
        <v>0.125</v>
      </c>
      <c r="K40" s="113">
        <v>3</v>
      </c>
      <c r="L40" s="13">
        <v>0.5</v>
      </c>
      <c r="M40" s="539">
        <f t="shared" si="4"/>
        <v>0</v>
      </c>
      <c r="N40" s="147">
        <f t="shared" ca="1" si="1"/>
        <v>0</v>
      </c>
      <c r="O40" s="136"/>
      <c r="P40" s="127">
        <f t="shared" si="2"/>
        <v>8</v>
      </c>
      <c r="Q40" s="127">
        <f t="shared" ca="1" si="3"/>
        <v>6.4600000000000009E-4</v>
      </c>
      <c r="R40" s="127"/>
      <c r="S40" s="127"/>
      <c r="T40" s="127"/>
      <c r="U40" s="127"/>
      <c r="V40" s="127"/>
      <c r="W40" s="127"/>
      <c r="X40" s="127"/>
      <c r="Y40" s="127"/>
      <c r="Z40" s="127"/>
      <c r="AA40" s="127"/>
      <c r="AB40" s="127"/>
      <c r="AC40" s="127"/>
      <c r="AD40" s="127"/>
      <c r="AE40" s="127"/>
      <c r="AF40" s="127"/>
    </row>
    <row r="41" spans="1:32" x14ac:dyDescent="0.25">
      <c r="A41" s="131"/>
      <c r="B41" s="677"/>
      <c r="C41" s="678"/>
      <c r="D41" s="678"/>
      <c r="E41" s="11">
        <v>0</v>
      </c>
      <c r="F41" s="12">
        <v>0</v>
      </c>
      <c r="G41" s="12">
        <v>0</v>
      </c>
      <c r="H41" s="12">
        <v>0</v>
      </c>
      <c r="I41" s="12">
        <v>0</v>
      </c>
      <c r="J41" s="13">
        <v>0.125</v>
      </c>
      <c r="K41" s="113">
        <v>3</v>
      </c>
      <c r="L41" s="13">
        <v>0.5</v>
      </c>
      <c r="M41" s="539">
        <f t="shared" si="4"/>
        <v>0</v>
      </c>
      <c r="N41" s="147">
        <f t="shared" ca="1" si="1"/>
        <v>0</v>
      </c>
      <c r="O41" s="136"/>
      <c r="P41" s="127">
        <f t="shared" si="2"/>
        <v>8</v>
      </c>
      <c r="Q41" s="127">
        <f t="shared" ca="1" si="3"/>
        <v>6.4600000000000009E-4</v>
      </c>
      <c r="R41" s="127"/>
      <c r="S41" s="127"/>
      <c r="T41" s="127"/>
      <c r="U41" s="127"/>
      <c r="V41" s="127"/>
      <c r="W41" s="127"/>
      <c r="X41" s="127"/>
      <c r="Y41" s="127"/>
      <c r="Z41" s="127"/>
      <c r="AA41" s="127"/>
      <c r="AB41" s="127"/>
      <c r="AC41" s="127"/>
      <c r="AD41" s="127"/>
      <c r="AE41" s="127"/>
      <c r="AF41" s="127"/>
    </row>
    <row r="42" spans="1:32" x14ac:dyDescent="0.25">
      <c r="A42" s="131"/>
      <c r="B42" s="677"/>
      <c r="C42" s="678"/>
      <c r="D42" s="678"/>
      <c r="E42" s="11">
        <v>0</v>
      </c>
      <c r="F42" s="12">
        <v>0</v>
      </c>
      <c r="G42" s="12">
        <v>0</v>
      </c>
      <c r="H42" s="12">
        <v>0</v>
      </c>
      <c r="I42" s="12">
        <v>0</v>
      </c>
      <c r="J42" s="13">
        <v>0.125</v>
      </c>
      <c r="K42" s="113">
        <v>3</v>
      </c>
      <c r="L42" s="13">
        <v>0.5</v>
      </c>
      <c r="M42" s="539">
        <f t="shared" si="4"/>
        <v>0</v>
      </c>
      <c r="N42" s="147">
        <f t="shared" ca="1" si="1"/>
        <v>0</v>
      </c>
      <c r="O42" s="136"/>
      <c r="P42" s="127">
        <f t="shared" si="2"/>
        <v>8</v>
      </c>
      <c r="Q42" s="127">
        <f t="shared" ca="1" si="3"/>
        <v>6.4600000000000009E-4</v>
      </c>
      <c r="R42" s="127"/>
      <c r="S42" s="127"/>
      <c r="T42" s="127"/>
      <c r="U42" s="127"/>
      <c r="V42" s="127"/>
      <c r="W42" s="127"/>
      <c r="X42" s="127"/>
      <c r="Y42" s="127"/>
      <c r="Z42" s="127"/>
      <c r="AA42" s="127"/>
      <c r="AB42" s="127"/>
      <c r="AC42" s="127"/>
      <c r="AD42" s="127"/>
      <c r="AE42" s="127"/>
      <c r="AF42" s="127"/>
    </row>
    <row r="43" spans="1:32" x14ac:dyDescent="0.25">
      <c r="A43" s="131"/>
      <c r="B43" s="677"/>
      <c r="C43" s="678"/>
      <c r="D43" s="678"/>
      <c r="E43" s="11">
        <v>0</v>
      </c>
      <c r="F43" s="12">
        <v>0</v>
      </c>
      <c r="G43" s="12">
        <v>0</v>
      </c>
      <c r="H43" s="12">
        <v>0</v>
      </c>
      <c r="I43" s="12">
        <v>0</v>
      </c>
      <c r="J43" s="13">
        <v>0.125</v>
      </c>
      <c r="K43" s="113">
        <v>3</v>
      </c>
      <c r="L43" s="13">
        <v>0.5</v>
      </c>
      <c r="M43" s="539">
        <f t="shared" si="4"/>
        <v>0</v>
      </c>
      <c r="N43" s="147">
        <f t="shared" ca="1" si="1"/>
        <v>0</v>
      </c>
      <c r="O43" s="136"/>
      <c r="P43" s="127">
        <f t="shared" si="2"/>
        <v>8</v>
      </c>
      <c r="Q43" s="127">
        <f t="shared" ca="1" si="3"/>
        <v>6.4600000000000009E-4</v>
      </c>
      <c r="R43" s="127"/>
      <c r="S43" s="127"/>
      <c r="T43" s="127"/>
      <c r="U43" s="127"/>
      <c r="V43" s="127"/>
      <c r="W43" s="127"/>
      <c r="X43" s="127"/>
      <c r="Y43" s="127"/>
      <c r="Z43" s="127"/>
      <c r="AA43" s="127"/>
      <c r="AB43" s="127"/>
      <c r="AC43" s="127"/>
      <c r="AD43" s="127"/>
      <c r="AE43" s="127"/>
      <c r="AF43" s="127"/>
    </row>
    <row r="44" spans="1:32" x14ac:dyDescent="0.25">
      <c r="A44" s="131"/>
      <c r="B44" s="677"/>
      <c r="C44" s="678"/>
      <c r="D44" s="678"/>
      <c r="E44" s="11">
        <v>0</v>
      </c>
      <c r="F44" s="12">
        <v>0</v>
      </c>
      <c r="G44" s="12">
        <v>0</v>
      </c>
      <c r="H44" s="12">
        <v>0</v>
      </c>
      <c r="I44" s="12">
        <v>0</v>
      </c>
      <c r="J44" s="13">
        <v>0.125</v>
      </c>
      <c r="K44" s="113">
        <v>3</v>
      </c>
      <c r="L44" s="13">
        <v>0.5</v>
      </c>
      <c r="M44" s="539">
        <f t="shared" si="4"/>
        <v>0</v>
      </c>
      <c r="N44" s="147">
        <f t="shared" ca="1" si="1"/>
        <v>0</v>
      </c>
      <c r="O44" s="136"/>
      <c r="P44" s="127">
        <f t="shared" si="2"/>
        <v>8</v>
      </c>
      <c r="Q44" s="127">
        <f t="shared" ca="1" si="3"/>
        <v>6.4600000000000009E-4</v>
      </c>
      <c r="R44" s="127"/>
      <c r="S44" s="127"/>
      <c r="T44" s="127"/>
      <c r="U44" s="127"/>
      <c r="V44" s="127"/>
      <c r="W44" s="127"/>
      <c r="X44" s="127"/>
      <c r="Y44" s="127"/>
      <c r="Z44" s="127"/>
      <c r="AA44" s="127"/>
      <c r="AB44" s="127"/>
      <c r="AC44" s="127"/>
      <c r="AD44" s="127"/>
      <c r="AE44" s="127"/>
      <c r="AF44" s="127"/>
    </row>
    <row r="45" spans="1:32" x14ac:dyDescent="0.25">
      <c r="A45" s="131"/>
      <c r="B45" s="677"/>
      <c r="C45" s="678"/>
      <c r="D45" s="678"/>
      <c r="E45" s="11">
        <v>0</v>
      </c>
      <c r="F45" s="12">
        <v>0</v>
      </c>
      <c r="G45" s="12">
        <v>0</v>
      </c>
      <c r="H45" s="12">
        <v>0</v>
      </c>
      <c r="I45" s="12">
        <v>0</v>
      </c>
      <c r="J45" s="13">
        <v>0.125</v>
      </c>
      <c r="K45" s="113">
        <v>3</v>
      </c>
      <c r="L45" s="13">
        <v>0.5</v>
      </c>
      <c r="M45" s="539">
        <f t="shared" si="4"/>
        <v>0</v>
      </c>
      <c r="N45" s="147">
        <f t="shared" ca="1" si="1"/>
        <v>0</v>
      </c>
      <c r="O45" s="136"/>
      <c r="P45" s="127">
        <f t="shared" si="2"/>
        <v>8</v>
      </c>
      <c r="Q45" s="127">
        <f t="shared" ca="1" si="3"/>
        <v>6.4600000000000009E-4</v>
      </c>
      <c r="R45" s="127"/>
      <c r="S45" s="127"/>
      <c r="T45" s="127"/>
      <c r="U45" s="127"/>
      <c r="V45" s="127"/>
      <c r="W45" s="127"/>
      <c r="X45" s="127"/>
      <c r="Y45" s="127"/>
      <c r="Z45" s="127"/>
      <c r="AA45" s="127"/>
      <c r="AB45" s="127"/>
      <c r="AC45" s="127"/>
      <c r="AD45" s="127"/>
      <c r="AE45" s="127"/>
      <c r="AF45" s="127"/>
    </row>
    <row r="46" spans="1:32" x14ac:dyDescent="0.25">
      <c r="A46" s="131"/>
      <c r="B46" s="677"/>
      <c r="C46" s="678"/>
      <c r="D46" s="678"/>
      <c r="E46" s="11">
        <v>0</v>
      </c>
      <c r="F46" s="12">
        <v>0</v>
      </c>
      <c r="G46" s="12">
        <v>0</v>
      </c>
      <c r="H46" s="12">
        <v>0</v>
      </c>
      <c r="I46" s="12">
        <v>0</v>
      </c>
      <c r="J46" s="13">
        <v>0.125</v>
      </c>
      <c r="K46" s="113">
        <v>3</v>
      </c>
      <c r="L46" s="13">
        <v>0.5</v>
      </c>
      <c r="M46" s="539">
        <f t="shared" si="4"/>
        <v>0</v>
      </c>
      <c r="N46" s="147">
        <f t="shared" ca="1" si="1"/>
        <v>0</v>
      </c>
      <c r="O46" s="136"/>
      <c r="P46" s="127">
        <f t="shared" si="2"/>
        <v>8</v>
      </c>
      <c r="Q46" s="127">
        <f t="shared" ca="1" si="3"/>
        <v>6.4600000000000009E-4</v>
      </c>
      <c r="R46" s="127"/>
      <c r="S46" s="127"/>
      <c r="T46" s="127"/>
      <c r="U46" s="127"/>
      <c r="V46" s="127"/>
      <c r="W46" s="127"/>
      <c r="X46" s="127"/>
      <c r="Y46" s="127"/>
      <c r="Z46" s="127"/>
      <c r="AA46" s="127"/>
      <c r="AB46" s="127"/>
      <c r="AC46" s="127"/>
      <c r="AD46" s="127"/>
      <c r="AE46" s="127"/>
      <c r="AF46" s="127"/>
    </row>
    <row r="47" spans="1:32" x14ac:dyDescent="0.25">
      <c r="A47" s="131"/>
      <c r="B47" s="677"/>
      <c r="C47" s="678"/>
      <c r="D47" s="678"/>
      <c r="E47" s="11">
        <v>0</v>
      </c>
      <c r="F47" s="12">
        <v>0</v>
      </c>
      <c r="G47" s="12">
        <v>0</v>
      </c>
      <c r="H47" s="12">
        <v>0</v>
      </c>
      <c r="I47" s="12">
        <v>0</v>
      </c>
      <c r="J47" s="13">
        <v>0.125</v>
      </c>
      <c r="K47" s="113">
        <v>3</v>
      </c>
      <c r="L47" s="13">
        <v>0.5</v>
      </c>
      <c r="M47" s="539">
        <f t="shared" si="4"/>
        <v>0</v>
      </c>
      <c r="N47" s="147">
        <f t="shared" ca="1" si="1"/>
        <v>0</v>
      </c>
      <c r="O47" s="136"/>
      <c r="P47" s="127">
        <f t="shared" si="2"/>
        <v>8</v>
      </c>
      <c r="Q47" s="127">
        <f t="shared" ca="1" si="3"/>
        <v>6.4600000000000009E-4</v>
      </c>
      <c r="R47" s="127"/>
      <c r="S47" s="127"/>
      <c r="T47" s="127"/>
      <c r="U47" s="127"/>
      <c r="V47" s="127"/>
      <c r="W47" s="127"/>
      <c r="X47" s="127"/>
      <c r="Y47" s="127"/>
      <c r="Z47" s="127"/>
      <c r="AA47" s="127"/>
      <c r="AB47" s="127"/>
      <c r="AC47" s="127"/>
      <c r="AD47" s="127"/>
      <c r="AE47" s="127"/>
      <c r="AF47" s="127"/>
    </row>
    <row r="48" spans="1:32" x14ac:dyDescent="0.25">
      <c r="A48" s="131"/>
      <c r="B48" s="677"/>
      <c r="C48" s="678"/>
      <c r="D48" s="678"/>
      <c r="E48" s="11">
        <v>0</v>
      </c>
      <c r="F48" s="12">
        <v>0</v>
      </c>
      <c r="G48" s="12">
        <v>0</v>
      </c>
      <c r="H48" s="12">
        <v>0</v>
      </c>
      <c r="I48" s="12">
        <v>0</v>
      </c>
      <c r="J48" s="13">
        <v>0.125</v>
      </c>
      <c r="K48" s="113">
        <v>3</v>
      </c>
      <c r="L48" s="13">
        <v>0.5</v>
      </c>
      <c r="M48" s="539">
        <f t="shared" si="4"/>
        <v>0</v>
      </c>
      <c r="N48" s="147">
        <f t="shared" ca="1" si="1"/>
        <v>0</v>
      </c>
      <c r="O48" s="136"/>
      <c r="P48" s="127">
        <f t="shared" si="2"/>
        <v>8</v>
      </c>
      <c r="Q48" s="127">
        <f t="shared" ca="1" si="3"/>
        <v>6.4600000000000009E-4</v>
      </c>
      <c r="R48" s="127"/>
      <c r="S48" s="127"/>
      <c r="T48" s="127"/>
      <c r="U48" s="127"/>
      <c r="V48" s="127"/>
      <c r="W48" s="127"/>
      <c r="X48" s="127"/>
      <c r="Y48" s="127"/>
      <c r="Z48" s="127"/>
      <c r="AA48" s="127"/>
      <c r="AB48" s="127"/>
      <c r="AC48" s="127"/>
      <c r="AD48" s="127"/>
      <c r="AE48" s="127"/>
      <c r="AF48" s="127"/>
    </row>
    <row r="49" spans="1:32" x14ac:dyDescent="0.25">
      <c r="A49" s="131"/>
      <c r="B49" s="677"/>
      <c r="C49" s="678"/>
      <c r="D49" s="678"/>
      <c r="E49" s="11">
        <v>0</v>
      </c>
      <c r="F49" s="12">
        <v>0</v>
      </c>
      <c r="G49" s="12">
        <v>0</v>
      </c>
      <c r="H49" s="12">
        <v>0</v>
      </c>
      <c r="I49" s="12">
        <v>0</v>
      </c>
      <c r="J49" s="13">
        <v>0.125</v>
      </c>
      <c r="K49" s="113">
        <v>3</v>
      </c>
      <c r="L49" s="13">
        <v>0.5</v>
      </c>
      <c r="M49" s="539">
        <f t="shared" si="4"/>
        <v>0</v>
      </c>
      <c r="N49" s="147">
        <f t="shared" ca="1" si="1"/>
        <v>0</v>
      </c>
      <c r="O49" s="136"/>
      <c r="P49" s="127">
        <f t="shared" si="2"/>
        <v>8</v>
      </c>
      <c r="Q49" s="127">
        <f t="shared" ca="1" si="3"/>
        <v>6.4600000000000009E-4</v>
      </c>
      <c r="R49" s="127"/>
      <c r="S49" s="127"/>
      <c r="T49" s="127"/>
      <c r="U49" s="127"/>
      <c r="V49" s="127"/>
      <c r="W49" s="127"/>
      <c r="X49" s="127"/>
      <c r="Y49" s="127"/>
      <c r="Z49" s="127"/>
      <c r="AA49" s="127"/>
      <c r="AB49" s="127"/>
      <c r="AC49" s="127"/>
      <c r="AD49" s="127"/>
      <c r="AE49" s="127"/>
      <c r="AF49" s="127"/>
    </row>
    <row r="50" spans="1:32" x14ac:dyDescent="0.25">
      <c r="A50" s="131"/>
      <c r="B50" s="677"/>
      <c r="C50" s="678"/>
      <c r="D50" s="678"/>
      <c r="E50" s="11">
        <v>0</v>
      </c>
      <c r="F50" s="12">
        <v>0</v>
      </c>
      <c r="G50" s="12">
        <v>0</v>
      </c>
      <c r="H50" s="12">
        <v>0</v>
      </c>
      <c r="I50" s="12">
        <v>0</v>
      </c>
      <c r="J50" s="13">
        <v>0.125</v>
      </c>
      <c r="K50" s="113">
        <v>3</v>
      </c>
      <c r="L50" s="13">
        <v>0.5</v>
      </c>
      <c r="M50" s="539">
        <f t="shared" si="4"/>
        <v>0</v>
      </c>
      <c r="N50" s="147">
        <f t="shared" ca="1" si="1"/>
        <v>0</v>
      </c>
      <c r="O50" s="136"/>
      <c r="P50" s="127">
        <f t="shared" si="2"/>
        <v>8</v>
      </c>
      <c r="Q50" s="127">
        <f t="shared" ca="1" si="3"/>
        <v>6.4600000000000009E-4</v>
      </c>
      <c r="R50" s="127"/>
      <c r="S50" s="127"/>
      <c r="T50" s="127"/>
      <c r="U50" s="127"/>
      <c r="V50" s="127"/>
      <c r="W50" s="127"/>
      <c r="X50" s="127"/>
      <c r="Y50" s="127"/>
      <c r="Z50" s="127"/>
      <c r="AA50" s="127"/>
      <c r="AB50" s="127"/>
      <c r="AC50" s="127"/>
      <c r="AD50" s="127"/>
      <c r="AE50" s="127"/>
      <c r="AF50" s="127"/>
    </row>
    <row r="51" spans="1:32" x14ac:dyDescent="0.25">
      <c r="A51" s="131"/>
      <c r="B51" s="677"/>
      <c r="C51" s="678"/>
      <c r="D51" s="678"/>
      <c r="E51" s="11">
        <v>0</v>
      </c>
      <c r="F51" s="12">
        <v>0</v>
      </c>
      <c r="G51" s="12">
        <v>0</v>
      </c>
      <c r="H51" s="12">
        <v>0</v>
      </c>
      <c r="I51" s="12">
        <v>0</v>
      </c>
      <c r="J51" s="13">
        <v>0.125</v>
      </c>
      <c r="K51" s="113">
        <v>3</v>
      </c>
      <c r="L51" s="13">
        <v>0.5</v>
      </c>
      <c r="M51" s="539">
        <f t="shared" si="4"/>
        <v>0</v>
      </c>
      <c r="N51" s="147">
        <f t="shared" ca="1" si="1"/>
        <v>0</v>
      </c>
      <c r="O51" s="136"/>
      <c r="P51" s="127">
        <f t="shared" si="2"/>
        <v>8</v>
      </c>
      <c r="Q51" s="127">
        <f t="shared" ca="1" si="3"/>
        <v>6.4600000000000009E-4</v>
      </c>
      <c r="R51" s="127"/>
      <c r="S51" s="127"/>
      <c r="T51" s="127"/>
      <c r="U51" s="127"/>
      <c r="V51" s="127"/>
      <c r="W51" s="127"/>
      <c r="X51" s="127"/>
      <c r="Y51" s="127"/>
      <c r="Z51" s="127"/>
      <c r="AA51" s="127"/>
      <c r="AB51" s="127"/>
      <c r="AC51" s="127"/>
      <c r="AD51" s="127"/>
      <c r="AE51" s="127"/>
      <c r="AF51" s="127"/>
    </row>
    <row r="52" spans="1:32" x14ac:dyDescent="0.25">
      <c r="A52" s="131"/>
      <c r="B52" s="677"/>
      <c r="C52" s="678"/>
      <c r="D52" s="678"/>
      <c r="E52" s="11">
        <v>0</v>
      </c>
      <c r="F52" s="12">
        <v>0</v>
      </c>
      <c r="G52" s="12">
        <v>0</v>
      </c>
      <c r="H52" s="12">
        <v>0</v>
      </c>
      <c r="I52" s="12">
        <v>0</v>
      </c>
      <c r="J52" s="13">
        <v>0.125</v>
      </c>
      <c r="K52" s="113">
        <v>3</v>
      </c>
      <c r="L52" s="13">
        <v>0.5</v>
      </c>
      <c r="M52" s="539">
        <f t="shared" si="4"/>
        <v>0</v>
      </c>
      <c r="N52" s="147">
        <f t="shared" ca="1" si="1"/>
        <v>0</v>
      </c>
      <c r="O52" s="136"/>
      <c r="P52" s="127">
        <f t="shared" si="2"/>
        <v>8</v>
      </c>
      <c r="Q52" s="127">
        <f t="shared" ca="1" si="3"/>
        <v>6.4600000000000009E-4</v>
      </c>
      <c r="R52" s="127"/>
      <c r="S52" s="127"/>
      <c r="T52" s="127"/>
      <c r="U52" s="127"/>
      <c r="V52" s="127"/>
      <c r="W52" s="127"/>
      <c r="X52" s="127"/>
      <c r="Y52" s="127"/>
      <c r="Z52" s="127"/>
      <c r="AA52" s="127"/>
      <c r="AB52" s="127"/>
      <c r="AC52" s="127"/>
      <c r="AD52" s="127"/>
      <c r="AE52" s="127"/>
      <c r="AF52" s="127"/>
    </row>
    <row r="53" spans="1:32" x14ac:dyDescent="0.25">
      <c r="A53" s="131"/>
      <c r="B53" s="677"/>
      <c r="C53" s="678"/>
      <c r="D53" s="678"/>
      <c r="E53" s="11">
        <v>0</v>
      </c>
      <c r="F53" s="12">
        <v>0</v>
      </c>
      <c r="G53" s="12">
        <v>0</v>
      </c>
      <c r="H53" s="12">
        <v>0</v>
      </c>
      <c r="I53" s="12">
        <v>0</v>
      </c>
      <c r="J53" s="13">
        <v>0.125</v>
      </c>
      <c r="K53" s="113">
        <v>3</v>
      </c>
      <c r="L53" s="13">
        <v>0.5</v>
      </c>
      <c r="M53" s="539">
        <f t="shared" si="4"/>
        <v>0</v>
      </c>
      <c r="N53" s="147">
        <f t="shared" ca="1" si="1"/>
        <v>0</v>
      </c>
      <c r="O53" s="136"/>
      <c r="P53" s="127">
        <f t="shared" si="2"/>
        <v>8</v>
      </c>
      <c r="Q53" s="127">
        <f t="shared" ca="1" si="3"/>
        <v>6.4600000000000009E-4</v>
      </c>
      <c r="R53" s="127"/>
      <c r="S53" s="127"/>
      <c r="T53" s="127"/>
      <c r="U53" s="127"/>
      <c r="V53" s="127"/>
      <c r="W53" s="127"/>
      <c r="X53" s="127"/>
      <c r="Y53" s="127"/>
      <c r="Z53" s="127"/>
      <c r="AA53" s="127"/>
      <c r="AB53" s="127"/>
      <c r="AC53" s="127"/>
      <c r="AD53" s="127"/>
      <c r="AE53" s="127"/>
      <c r="AF53" s="127"/>
    </row>
    <row r="54" spans="1:32" x14ac:dyDescent="0.25">
      <c r="A54" s="131"/>
      <c r="B54" s="677"/>
      <c r="C54" s="678"/>
      <c r="D54" s="678"/>
      <c r="E54" s="11">
        <v>0</v>
      </c>
      <c r="F54" s="12">
        <v>0</v>
      </c>
      <c r="G54" s="12">
        <v>0</v>
      </c>
      <c r="H54" s="12">
        <v>0</v>
      </c>
      <c r="I54" s="12">
        <v>0</v>
      </c>
      <c r="J54" s="13">
        <v>0.125</v>
      </c>
      <c r="K54" s="113">
        <v>3</v>
      </c>
      <c r="L54" s="13">
        <v>0.5</v>
      </c>
      <c r="M54" s="539">
        <f t="shared" si="4"/>
        <v>0</v>
      </c>
      <c r="N54" s="147">
        <f t="shared" ca="1" si="1"/>
        <v>0</v>
      </c>
      <c r="O54" s="136"/>
      <c r="P54" s="127">
        <f t="shared" si="2"/>
        <v>8</v>
      </c>
      <c r="Q54" s="127">
        <f t="shared" ca="1" si="3"/>
        <v>6.4600000000000009E-4</v>
      </c>
      <c r="R54" s="127"/>
      <c r="S54" s="127"/>
      <c r="T54" s="127"/>
      <c r="U54" s="127"/>
      <c r="V54" s="127"/>
      <c r="W54" s="127"/>
      <c r="X54" s="127"/>
      <c r="Y54" s="127"/>
      <c r="Z54" s="127"/>
      <c r="AA54" s="127"/>
      <c r="AB54" s="127"/>
      <c r="AC54" s="127"/>
      <c r="AD54" s="127"/>
      <c r="AE54" s="127"/>
      <c r="AF54" s="127"/>
    </row>
    <row r="55" spans="1:32" x14ac:dyDescent="0.25">
      <c r="A55" s="131"/>
      <c r="B55" s="677"/>
      <c r="C55" s="678"/>
      <c r="D55" s="678"/>
      <c r="E55" s="11">
        <v>0</v>
      </c>
      <c r="F55" s="12">
        <v>0</v>
      </c>
      <c r="G55" s="12">
        <v>0</v>
      </c>
      <c r="H55" s="12">
        <v>0</v>
      </c>
      <c r="I55" s="12">
        <v>0</v>
      </c>
      <c r="J55" s="13">
        <v>0.125</v>
      </c>
      <c r="K55" s="113">
        <v>3</v>
      </c>
      <c r="L55" s="13">
        <v>0.5</v>
      </c>
      <c r="M55" s="539">
        <f t="shared" si="4"/>
        <v>0</v>
      </c>
      <c r="N55" s="147">
        <f t="shared" ca="1" si="1"/>
        <v>0</v>
      </c>
      <c r="O55" s="136"/>
      <c r="P55" s="127">
        <f t="shared" si="2"/>
        <v>8</v>
      </c>
      <c r="Q55" s="127">
        <f t="shared" ca="1" si="3"/>
        <v>6.4600000000000009E-4</v>
      </c>
      <c r="R55" s="127"/>
      <c r="S55" s="127"/>
      <c r="T55" s="127"/>
      <c r="U55" s="127"/>
      <c r="V55" s="127"/>
      <c r="W55" s="127"/>
      <c r="X55" s="127"/>
      <c r="Y55" s="127"/>
      <c r="Z55" s="127"/>
      <c r="AA55" s="127"/>
      <c r="AB55" s="127"/>
      <c r="AC55" s="127"/>
      <c r="AD55" s="127"/>
      <c r="AE55" s="127"/>
      <c r="AF55" s="127"/>
    </row>
    <row r="56" spans="1:32" x14ac:dyDescent="0.25">
      <c r="A56" s="131"/>
      <c r="B56" s="677"/>
      <c r="C56" s="678"/>
      <c r="D56" s="678"/>
      <c r="E56" s="11">
        <v>0</v>
      </c>
      <c r="F56" s="12">
        <v>0</v>
      </c>
      <c r="G56" s="12">
        <v>0</v>
      </c>
      <c r="H56" s="12">
        <v>0</v>
      </c>
      <c r="I56" s="12">
        <v>0</v>
      </c>
      <c r="J56" s="13">
        <v>0.125</v>
      </c>
      <c r="K56" s="113">
        <v>3</v>
      </c>
      <c r="L56" s="13">
        <v>0.5</v>
      </c>
      <c r="M56" s="539">
        <f t="shared" si="4"/>
        <v>0</v>
      </c>
      <c r="N56" s="147">
        <f t="shared" ca="1" si="1"/>
        <v>0</v>
      </c>
      <c r="O56" s="136"/>
      <c r="P56" s="127">
        <f t="shared" si="2"/>
        <v>8</v>
      </c>
      <c r="Q56" s="127">
        <f t="shared" ca="1" si="3"/>
        <v>6.4600000000000009E-4</v>
      </c>
      <c r="R56" s="127"/>
      <c r="S56" s="127"/>
      <c r="T56" s="127"/>
      <c r="U56" s="127"/>
      <c r="V56" s="127"/>
      <c r="W56" s="127"/>
      <c r="X56" s="127"/>
      <c r="Y56" s="127"/>
      <c r="Z56" s="127"/>
      <c r="AA56" s="127"/>
      <c r="AB56" s="127"/>
      <c r="AC56" s="127"/>
      <c r="AD56" s="127"/>
      <c r="AE56" s="127"/>
      <c r="AF56" s="127"/>
    </row>
    <row r="57" spans="1:32" x14ac:dyDescent="0.25">
      <c r="A57" s="131"/>
      <c r="B57" s="677"/>
      <c r="C57" s="678"/>
      <c r="D57" s="678"/>
      <c r="E57" s="11">
        <v>0</v>
      </c>
      <c r="F57" s="12">
        <v>0</v>
      </c>
      <c r="G57" s="12">
        <v>0</v>
      </c>
      <c r="H57" s="12">
        <v>0</v>
      </c>
      <c r="I57" s="12">
        <v>0</v>
      </c>
      <c r="J57" s="13">
        <v>0.125</v>
      </c>
      <c r="K57" s="113">
        <v>3</v>
      </c>
      <c r="L57" s="13">
        <v>0.5</v>
      </c>
      <c r="M57" s="539">
        <f t="shared" si="4"/>
        <v>0</v>
      </c>
      <c r="N57" s="147">
        <f t="shared" ca="1" si="1"/>
        <v>0</v>
      </c>
      <c r="O57" s="136"/>
      <c r="P57" s="127">
        <f t="shared" si="2"/>
        <v>8</v>
      </c>
      <c r="Q57" s="127">
        <f t="shared" ca="1" si="3"/>
        <v>6.4600000000000009E-4</v>
      </c>
      <c r="R57" s="127"/>
      <c r="S57" s="127"/>
      <c r="T57" s="127"/>
      <c r="U57" s="127"/>
      <c r="V57" s="127"/>
      <c r="W57" s="127"/>
      <c r="X57" s="127"/>
      <c r="Y57" s="127"/>
      <c r="Z57" s="127"/>
      <c r="AA57" s="127"/>
      <c r="AB57" s="127"/>
      <c r="AC57" s="127"/>
      <c r="AD57" s="127"/>
      <c r="AE57" s="127"/>
      <c r="AF57" s="127"/>
    </row>
    <row r="58" spans="1:32" x14ac:dyDescent="0.25">
      <c r="A58" s="131"/>
      <c r="B58" s="677"/>
      <c r="C58" s="678"/>
      <c r="D58" s="678"/>
      <c r="E58" s="11">
        <v>0</v>
      </c>
      <c r="F58" s="12">
        <v>0</v>
      </c>
      <c r="G58" s="12">
        <v>0</v>
      </c>
      <c r="H58" s="12">
        <v>0</v>
      </c>
      <c r="I58" s="12">
        <v>0</v>
      </c>
      <c r="J58" s="13">
        <v>0.125</v>
      </c>
      <c r="K58" s="113">
        <v>3</v>
      </c>
      <c r="L58" s="13">
        <v>0.5</v>
      </c>
      <c r="M58" s="539">
        <f t="shared" si="4"/>
        <v>0</v>
      </c>
      <c r="N58" s="147">
        <f t="shared" ca="1" si="1"/>
        <v>0</v>
      </c>
      <c r="O58" s="136"/>
      <c r="P58" s="127">
        <f t="shared" si="2"/>
        <v>8</v>
      </c>
      <c r="Q58" s="127">
        <f t="shared" ca="1" si="3"/>
        <v>6.4600000000000009E-4</v>
      </c>
      <c r="R58" s="127"/>
      <c r="S58" s="127"/>
      <c r="T58" s="127"/>
      <c r="U58" s="127"/>
      <c r="V58" s="127"/>
      <c r="W58" s="127"/>
      <c r="X58" s="127"/>
      <c r="Y58" s="127"/>
      <c r="Z58" s="127"/>
      <c r="AA58" s="127"/>
      <c r="AB58" s="127"/>
      <c r="AC58" s="127"/>
      <c r="AD58" s="127"/>
      <c r="AE58" s="127"/>
      <c r="AF58" s="127"/>
    </row>
    <row r="59" spans="1:32" x14ac:dyDescent="0.25">
      <c r="A59" s="131"/>
      <c r="B59" s="677"/>
      <c r="C59" s="678"/>
      <c r="D59" s="678"/>
      <c r="E59" s="11">
        <v>0</v>
      </c>
      <c r="F59" s="12">
        <v>0</v>
      </c>
      <c r="G59" s="12">
        <v>0</v>
      </c>
      <c r="H59" s="12">
        <v>0</v>
      </c>
      <c r="I59" s="12">
        <v>0</v>
      </c>
      <c r="J59" s="13">
        <v>0.125</v>
      </c>
      <c r="K59" s="113">
        <v>3</v>
      </c>
      <c r="L59" s="13">
        <v>0.5</v>
      </c>
      <c r="M59" s="539">
        <f t="shared" si="4"/>
        <v>0</v>
      </c>
      <c r="N59" s="147">
        <f t="shared" ca="1" si="1"/>
        <v>0</v>
      </c>
      <c r="O59" s="136"/>
      <c r="P59" s="127">
        <f t="shared" si="2"/>
        <v>8</v>
      </c>
      <c r="Q59" s="127">
        <f t="shared" ca="1" si="3"/>
        <v>6.4600000000000009E-4</v>
      </c>
      <c r="R59" s="127"/>
      <c r="S59" s="127"/>
      <c r="T59" s="127"/>
      <c r="U59" s="127"/>
      <c r="V59" s="127"/>
      <c r="W59" s="127"/>
      <c r="X59" s="127"/>
      <c r="Y59" s="127"/>
      <c r="Z59" s="127"/>
      <c r="AA59" s="127"/>
      <c r="AB59" s="127"/>
      <c r="AC59" s="127"/>
      <c r="AD59" s="127"/>
      <c r="AE59" s="127"/>
      <c r="AF59" s="127"/>
    </row>
    <row r="60" spans="1:32" x14ac:dyDescent="0.25">
      <c r="A60" s="131"/>
      <c r="B60" s="677"/>
      <c r="C60" s="678"/>
      <c r="D60" s="678"/>
      <c r="E60" s="11">
        <v>0</v>
      </c>
      <c r="F60" s="12">
        <v>0</v>
      </c>
      <c r="G60" s="12">
        <v>0</v>
      </c>
      <c r="H60" s="12">
        <v>0</v>
      </c>
      <c r="I60" s="12">
        <v>0</v>
      </c>
      <c r="J60" s="13">
        <v>0.125</v>
      </c>
      <c r="K60" s="113">
        <v>3</v>
      </c>
      <c r="L60" s="13">
        <v>0.5</v>
      </c>
      <c r="M60" s="539">
        <f t="shared" si="4"/>
        <v>0</v>
      </c>
      <c r="N60" s="147">
        <f t="shared" ca="1" si="1"/>
        <v>0</v>
      </c>
      <c r="O60" s="136"/>
      <c r="P60" s="127">
        <f t="shared" si="2"/>
        <v>8</v>
      </c>
      <c r="Q60" s="127">
        <f t="shared" ca="1" si="3"/>
        <v>6.4600000000000009E-4</v>
      </c>
      <c r="R60" s="127"/>
      <c r="S60" s="127"/>
      <c r="T60" s="127"/>
      <c r="U60" s="127"/>
      <c r="V60" s="127"/>
      <c r="W60" s="127"/>
      <c r="X60" s="127"/>
      <c r="Y60" s="127"/>
      <c r="Z60" s="127"/>
      <c r="AA60" s="127"/>
      <c r="AB60" s="127"/>
      <c r="AC60" s="127"/>
      <c r="AD60" s="127"/>
      <c r="AE60" s="127"/>
      <c r="AF60" s="127"/>
    </row>
    <row r="61" spans="1:32" x14ac:dyDescent="0.25">
      <c r="A61" s="131"/>
      <c r="B61" s="677"/>
      <c r="C61" s="678"/>
      <c r="D61" s="678"/>
      <c r="E61" s="11">
        <v>0</v>
      </c>
      <c r="F61" s="12">
        <v>0</v>
      </c>
      <c r="G61" s="12">
        <v>0</v>
      </c>
      <c r="H61" s="12">
        <v>0</v>
      </c>
      <c r="I61" s="12">
        <v>0</v>
      </c>
      <c r="J61" s="13">
        <v>0.125</v>
      </c>
      <c r="K61" s="113">
        <v>3</v>
      </c>
      <c r="L61" s="13">
        <v>0.5</v>
      </c>
      <c r="M61" s="539">
        <f t="shared" si="4"/>
        <v>0</v>
      </c>
      <c r="N61" s="147">
        <f t="shared" ca="1" si="1"/>
        <v>0</v>
      </c>
      <c r="O61" s="136"/>
      <c r="P61" s="127">
        <f t="shared" si="2"/>
        <v>8</v>
      </c>
      <c r="Q61" s="127">
        <f t="shared" ca="1" si="3"/>
        <v>6.4600000000000009E-4</v>
      </c>
      <c r="R61" s="127"/>
      <c r="S61" s="127"/>
      <c r="T61" s="127"/>
      <c r="U61" s="127"/>
      <c r="V61" s="127"/>
      <c r="W61" s="127"/>
      <c r="X61" s="127"/>
      <c r="Y61" s="127"/>
      <c r="Z61" s="127"/>
      <c r="AA61" s="127"/>
      <c r="AB61" s="127"/>
      <c r="AC61" s="127"/>
      <c r="AD61" s="127"/>
      <c r="AE61" s="127"/>
      <c r="AF61" s="127"/>
    </row>
    <row r="62" spans="1:32" x14ac:dyDescent="0.25">
      <c r="A62" s="131"/>
      <c r="B62" s="677"/>
      <c r="C62" s="678"/>
      <c r="D62" s="678"/>
      <c r="E62" s="11">
        <v>0</v>
      </c>
      <c r="F62" s="12">
        <v>0</v>
      </c>
      <c r="G62" s="12">
        <v>0</v>
      </c>
      <c r="H62" s="12">
        <v>0</v>
      </c>
      <c r="I62" s="12">
        <v>0</v>
      </c>
      <c r="J62" s="13">
        <v>0.125</v>
      </c>
      <c r="K62" s="113">
        <v>3</v>
      </c>
      <c r="L62" s="13">
        <v>0.5</v>
      </c>
      <c r="M62" s="539">
        <f t="shared" si="4"/>
        <v>0</v>
      </c>
      <c r="N62" s="147">
        <f t="shared" ca="1" si="1"/>
        <v>0</v>
      </c>
      <c r="O62" s="136"/>
      <c r="P62" s="127">
        <f t="shared" si="2"/>
        <v>8</v>
      </c>
      <c r="Q62" s="127">
        <f t="shared" ca="1" si="3"/>
        <v>6.4600000000000009E-4</v>
      </c>
      <c r="R62" s="127"/>
      <c r="S62" s="127"/>
      <c r="T62" s="127"/>
      <c r="U62" s="127"/>
      <c r="V62" s="127"/>
      <c r="W62" s="127"/>
      <c r="X62" s="127"/>
      <c r="Y62" s="127"/>
      <c r="Z62" s="127"/>
      <c r="AA62" s="127"/>
      <c r="AB62" s="127"/>
      <c r="AC62" s="127"/>
      <c r="AD62" s="127"/>
      <c r="AE62" s="127"/>
      <c r="AF62" s="127"/>
    </row>
    <row r="63" spans="1:32" x14ac:dyDescent="0.25">
      <c r="A63" s="131"/>
      <c r="B63" s="677"/>
      <c r="C63" s="678"/>
      <c r="D63" s="678"/>
      <c r="E63" s="11">
        <v>0</v>
      </c>
      <c r="F63" s="12">
        <v>0</v>
      </c>
      <c r="G63" s="12">
        <v>0</v>
      </c>
      <c r="H63" s="12">
        <v>0</v>
      </c>
      <c r="I63" s="12">
        <v>0</v>
      </c>
      <c r="J63" s="13">
        <v>0.125</v>
      </c>
      <c r="K63" s="113">
        <v>3</v>
      </c>
      <c r="L63" s="13">
        <v>0.5</v>
      </c>
      <c r="M63" s="539">
        <f t="shared" si="4"/>
        <v>0</v>
      </c>
      <c r="N63" s="147">
        <f t="shared" ca="1" si="1"/>
        <v>0</v>
      </c>
      <c r="O63" s="136"/>
      <c r="P63" s="127">
        <f t="shared" si="2"/>
        <v>8</v>
      </c>
      <c r="Q63" s="127">
        <f t="shared" ca="1" si="3"/>
        <v>6.4600000000000009E-4</v>
      </c>
      <c r="R63" s="127"/>
      <c r="S63" s="127"/>
      <c r="T63" s="127"/>
      <c r="U63" s="127"/>
      <c r="V63" s="127"/>
      <c r="W63" s="127"/>
      <c r="X63" s="127"/>
      <c r="Y63" s="127"/>
      <c r="Z63" s="127"/>
      <c r="AA63" s="127"/>
      <c r="AB63" s="127"/>
      <c r="AC63" s="127"/>
      <c r="AD63" s="127"/>
      <c r="AE63" s="127"/>
      <c r="AF63" s="127"/>
    </row>
    <row r="64" spans="1:32" x14ac:dyDescent="0.25">
      <c r="A64" s="131"/>
      <c r="B64" s="677"/>
      <c r="C64" s="678"/>
      <c r="D64" s="678"/>
      <c r="E64" s="11">
        <v>0</v>
      </c>
      <c r="F64" s="12">
        <v>0</v>
      </c>
      <c r="G64" s="12">
        <v>0</v>
      </c>
      <c r="H64" s="12">
        <v>0</v>
      </c>
      <c r="I64" s="12">
        <v>0</v>
      </c>
      <c r="J64" s="13">
        <v>0.125</v>
      </c>
      <c r="K64" s="113">
        <v>3</v>
      </c>
      <c r="L64" s="13">
        <v>0.5</v>
      </c>
      <c r="M64" s="539">
        <f t="shared" si="4"/>
        <v>0</v>
      </c>
      <c r="N64" s="147">
        <f t="shared" ca="1" si="1"/>
        <v>0</v>
      </c>
      <c r="O64" s="136"/>
      <c r="P64" s="127">
        <f t="shared" si="2"/>
        <v>8</v>
      </c>
      <c r="Q64" s="127">
        <f t="shared" ca="1" si="3"/>
        <v>6.4600000000000009E-4</v>
      </c>
      <c r="R64" s="127"/>
      <c r="S64" s="127"/>
      <c r="T64" s="127"/>
      <c r="U64" s="127"/>
      <c r="V64" s="127"/>
      <c r="W64" s="127"/>
      <c r="X64" s="127"/>
      <c r="Y64" s="127"/>
      <c r="Z64" s="127"/>
      <c r="AA64" s="127"/>
      <c r="AB64" s="127"/>
      <c r="AC64" s="127"/>
      <c r="AD64" s="127"/>
      <c r="AE64" s="127"/>
      <c r="AF64" s="127"/>
    </row>
    <row r="65" spans="1:32" x14ac:dyDescent="0.25">
      <c r="A65" s="131"/>
      <c r="B65" s="677"/>
      <c r="C65" s="678"/>
      <c r="D65" s="678"/>
      <c r="E65" s="11">
        <v>0</v>
      </c>
      <c r="F65" s="12">
        <v>0</v>
      </c>
      <c r="G65" s="12">
        <v>0</v>
      </c>
      <c r="H65" s="12">
        <v>0</v>
      </c>
      <c r="I65" s="12">
        <v>0</v>
      </c>
      <c r="J65" s="13">
        <v>0.125</v>
      </c>
      <c r="K65" s="113">
        <v>3</v>
      </c>
      <c r="L65" s="13">
        <v>0.5</v>
      </c>
      <c r="M65" s="539">
        <f t="shared" si="4"/>
        <v>0</v>
      </c>
      <c r="N65" s="147">
        <f t="shared" ca="1" si="1"/>
        <v>0</v>
      </c>
      <c r="O65" s="136"/>
      <c r="P65" s="127">
        <f t="shared" si="2"/>
        <v>8</v>
      </c>
      <c r="Q65" s="127">
        <f t="shared" ca="1" si="3"/>
        <v>6.4600000000000009E-4</v>
      </c>
      <c r="R65" s="127"/>
      <c r="S65" s="127"/>
      <c r="T65" s="127"/>
      <c r="U65" s="127"/>
      <c r="V65" s="127"/>
      <c r="W65" s="127"/>
      <c r="X65" s="127"/>
      <c r="Y65" s="127"/>
      <c r="Z65" s="127"/>
      <c r="AA65" s="127"/>
      <c r="AB65" s="127"/>
      <c r="AC65" s="127"/>
      <c r="AD65" s="127"/>
      <c r="AE65" s="127"/>
      <c r="AF65" s="127"/>
    </row>
    <row r="66" spans="1:32" x14ac:dyDescent="0.25">
      <c r="A66" s="131"/>
      <c r="B66" s="677"/>
      <c r="C66" s="678"/>
      <c r="D66" s="678"/>
      <c r="E66" s="11">
        <v>0</v>
      </c>
      <c r="F66" s="12">
        <v>0</v>
      </c>
      <c r="G66" s="12">
        <v>0</v>
      </c>
      <c r="H66" s="12">
        <v>0</v>
      </c>
      <c r="I66" s="12">
        <v>0</v>
      </c>
      <c r="J66" s="13">
        <v>0.125</v>
      </c>
      <c r="K66" s="113">
        <v>3</v>
      </c>
      <c r="L66" s="13">
        <v>0.5</v>
      </c>
      <c r="M66" s="539">
        <f t="shared" si="4"/>
        <v>0</v>
      </c>
      <c r="N66" s="147">
        <f t="shared" ca="1" si="1"/>
        <v>0</v>
      </c>
      <c r="O66" s="136"/>
      <c r="P66" s="127">
        <f t="shared" si="2"/>
        <v>8</v>
      </c>
      <c r="Q66" s="127">
        <f t="shared" ca="1" si="3"/>
        <v>6.4600000000000009E-4</v>
      </c>
      <c r="R66" s="127"/>
      <c r="S66" s="127"/>
      <c r="T66" s="127"/>
      <c r="U66" s="127"/>
      <c r="V66" s="127"/>
      <c r="W66" s="127"/>
      <c r="X66" s="127"/>
      <c r="Y66" s="127"/>
      <c r="Z66" s="127"/>
      <c r="AA66" s="127"/>
      <c r="AB66" s="127"/>
      <c r="AC66" s="127"/>
      <c r="AD66" s="127"/>
      <c r="AE66" s="127"/>
      <c r="AF66" s="127"/>
    </row>
    <row r="67" spans="1:32" x14ac:dyDescent="0.25">
      <c r="A67" s="131"/>
      <c r="B67" s="677"/>
      <c r="C67" s="678"/>
      <c r="D67" s="678"/>
      <c r="E67" s="11">
        <v>0</v>
      </c>
      <c r="F67" s="12">
        <v>0</v>
      </c>
      <c r="G67" s="12">
        <v>0</v>
      </c>
      <c r="H67" s="12">
        <v>0</v>
      </c>
      <c r="I67" s="12">
        <v>0</v>
      </c>
      <c r="J67" s="13">
        <v>0.125</v>
      </c>
      <c r="K67" s="113">
        <v>3</v>
      </c>
      <c r="L67" s="13">
        <v>0.5</v>
      </c>
      <c r="M67" s="539">
        <f t="shared" si="4"/>
        <v>0</v>
      </c>
      <c r="N67" s="147">
        <f t="shared" ca="1" si="1"/>
        <v>0</v>
      </c>
      <c r="O67" s="136"/>
      <c r="P67" s="127">
        <f t="shared" si="2"/>
        <v>8</v>
      </c>
      <c r="Q67" s="127">
        <f t="shared" ca="1" si="3"/>
        <v>6.4600000000000009E-4</v>
      </c>
      <c r="R67" s="127"/>
      <c r="S67" s="127"/>
      <c r="T67" s="127"/>
      <c r="U67" s="127"/>
      <c r="V67" s="127"/>
      <c r="W67" s="127"/>
      <c r="X67" s="127"/>
      <c r="Y67" s="127"/>
      <c r="Z67" s="127"/>
      <c r="AA67" s="127"/>
      <c r="AB67" s="127"/>
      <c r="AC67" s="127"/>
      <c r="AD67" s="127"/>
      <c r="AE67" s="127"/>
      <c r="AF67" s="127"/>
    </row>
    <row r="68" spans="1:32" x14ac:dyDescent="0.25">
      <c r="A68" s="131"/>
      <c r="B68" s="677"/>
      <c r="C68" s="678"/>
      <c r="D68" s="678"/>
      <c r="E68" s="11">
        <v>0</v>
      </c>
      <c r="F68" s="12">
        <v>0</v>
      </c>
      <c r="G68" s="12">
        <v>0</v>
      </c>
      <c r="H68" s="12">
        <v>0</v>
      </c>
      <c r="I68" s="12">
        <v>0</v>
      </c>
      <c r="J68" s="13">
        <v>0.125</v>
      </c>
      <c r="K68" s="113">
        <v>3</v>
      </c>
      <c r="L68" s="13">
        <v>0.5</v>
      </c>
      <c r="M68" s="539">
        <f t="shared" ref="M68:M100" si="5">E68*J68</f>
        <v>0</v>
      </c>
      <c r="N68" s="147">
        <f t="shared" ca="1" si="1"/>
        <v>0</v>
      </c>
      <c r="O68" s="136"/>
      <c r="P68" s="127">
        <f t="shared" si="2"/>
        <v>8</v>
      </c>
      <c r="Q68" s="127">
        <f t="shared" ca="1" si="3"/>
        <v>6.4600000000000009E-4</v>
      </c>
      <c r="R68" s="127"/>
      <c r="S68" s="127"/>
      <c r="T68" s="127"/>
      <c r="U68" s="127"/>
      <c r="V68" s="127"/>
      <c r="W68" s="127"/>
      <c r="X68" s="127"/>
      <c r="Y68" s="127"/>
      <c r="Z68" s="127"/>
      <c r="AA68" s="127"/>
      <c r="AB68" s="127"/>
      <c r="AC68" s="127"/>
      <c r="AD68" s="127"/>
      <c r="AE68" s="127"/>
      <c r="AF68" s="127"/>
    </row>
    <row r="69" spans="1:32" x14ac:dyDescent="0.25">
      <c r="A69" s="131"/>
      <c r="B69" s="677"/>
      <c r="C69" s="678"/>
      <c r="D69" s="678"/>
      <c r="E69" s="11">
        <v>0</v>
      </c>
      <c r="F69" s="12">
        <v>0</v>
      </c>
      <c r="G69" s="12">
        <v>0</v>
      </c>
      <c r="H69" s="12">
        <v>0</v>
      </c>
      <c r="I69" s="12">
        <v>0</v>
      </c>
      <c r="J69" s="13">
        <v>0.125</v>
      </c>
      <c r="K69" s="113">
        <v>3</v>
      </c>
      <c r="L69" s="13">
        <v>0.5</v>
      </c>
      <c r="M69" s="539">
        <f t="shared" si="5"/>
        <v>0</v>
      </c>
      <c r="N69" s="147">
        <f t="shared" ca="1" si="1"/>
        <v>0</v>
      </c>
      <c r="O69" s="136"/>
      <c r="P69" s="127">
        <f t="shared" si="2"/>
        <v>8</v>
      </c>
      <c r="Q69" s="127">
        <f t="shared" ca="1" si="3"/>
        <v>6.4600000000000009E-4</v>
      </c>
      <c r="R69" s="127"/>
      <c r="S69" s="127"/>
      <c r="T69" s="127"/>
      <c r="U69" s="127"/>
      <c r="V69" s="127"/>
      <c r="W69" s="127"/>
      <c r="X69" s="127"/>
      <c r="Y69" s="127"/>
      <c r="Z69" s="127"/>
      <c r="AA69" s="127"/>
      <c r="AB69" s="127"/>
      <c r="AC69" s="127"/>
      <c r="AD69" s="127"/>
      <c r="AE69" s="127"/>
      <c r="AF69" s="127"/>
    </row>
    <row r="70" spans="1:32" x14ac:dyDescent="0.25">
      <c r="A70" s="131"/>
      <c r="B70" s="677"/>
      <c r="C70" s="678"/>
      <c r="D70" s="678"/>
      <c r="E70" s="11">
        <v>0</v>
      </c>
      <c r="F70" s="12">
        <v>0</v>
      </c>
      <c r="G70" s="12">
        <v>0</v>
      </c>
      <c r="H70" s="12">
        <v>0</v>
      </c>
      <c r="I70" s="12">
        <v>0</v>
      </c>
      <c r="J70" s="13">
        <v>0.125</v>
      </c>
      <c r="K70" s="113">
        <v>3</v>
      </c>
      <c r="L70" s="13">
        <v>0.5</v>
      </c>
      <c r="M70" s="539">
        <f t="shared" si="5"/>
        <v>0</v>
      </c>
      <c r="N70" s="147">
        <f t="shared" ca="1" si="1"/>
        <v>0</v>
      </c>
      <c r="O70" s="136"/>
      <c r="P70" s="127">
        <f t="shared" si="2"/>
        <v>8</v>
      </c>
      <c r="Q70" s="127">
        <f t="shared" ca="1" si="3"/>
        <v>6.4600000000000009E-4</v>
      </c>
      <c r="R70" s="127"/>
      <c r="S70" s="127"/>
      <c r="T70" s="127"/>
      <c r="U70" s="127"/>
      <c r="V70" s="127"/>
      <c r="W70" s="127"/>
      <c r="X70" s="127"/>
      <c r="Y70" s="127"/>
      <c r="Z70" s="127"/>
      <c r="AA70" s="127"/>
      <c r="AB70" s="127"/>
      <c r="AC70" s="127"/>
      <c r="AD70" s="127"/>
      <c r="AE70" s="127"/>
      <c r="AF70" s="127"/>
    </row>
    <row r="71" spans="1:32" x14ac:dyDescent="0.25">
      <c r="A71" s="131"/>
      <c r="B71" s="677"/>
      <c r="C71" s="678"/>
      <c r="D71" s="678"/>
      <c r="E71" s="11">
        <v>0</v>
      </c>
      <c r="F71" s="12">
        <v>0</v>
      </c>
      <c r="G71" s="12">
        <v>0</v>
      </c>
      <c r="H71" s="12">
        <v>0</v>
      </c>
      <c r="I71" s="12">
        <v>0</v>
      </c>
      <c r="J71" s="13">
        <v>0.125</v>
      </c>
      <c r="K71" s="113">
        <v>3</v>
      </c>
      <c r="L71" s="13">
        <v>0.5</v>
      </c>
      <c r="M71" s="539">
        <f t="shared" si="5"/>
        <v>0</v>
      </c>
      <c r="N71" s="147">
        <f t="shared" ca="1" si="1"/>
        <v>0</v>
      </c>
      <c r="O71" s="136"/>
      <c r="P71" s="127">
        <f t="shared" si="2"/>
        <v>8</v>
      </c>
      <c r="Q71" s="127">
        <f t="shared" ca="1" si="3"/>
        <v>6.4600000000000009E-4</v>
      </c>
      <c r="R71" s="127"/>
      <c r="S71" s="127"/>
      <c r="T71" s="127"/>
      <c r="U71" s="127"/>
      <c r="V71" s="127"/>
      <c r="W71" s="127"/>
      <c r="X71" s="127"/>
      <c r="Y71" s="127"/>
      <c r="Z71" s="127"/>
      <c r="AA71" s="127"/>
      <c r="AB71" s="127"/>
      <c r="AC71" s="127"/>
      <c r="AD71" s="127"/>
      <c r="AE71" s="127"/>
      <c r="AF71" s="127"/>
    </row>
    <row r="72" spans="1:32" x14ac:dyDescent="0.25">
      <c r="A72" s="131"/>
      <c r="B72" s="677"/>
      <c r="C72" s="678"/>
      <c r="D72" s="678"/>
      <c r="E72" s="11">
        <v>0</v>
      </c>
      <c r="F72" s="12">
        <v>0</v>
      </c>
      <c r="G72" s="12">
        <v>0</v>
      </c>
      <c r="H72" s="12">
        <v>0</v>
      </c>
      <c r="I72" s="12">
        <v>0</v>
      </c>
      <c r="J72" s="13">
        <v>0.125</v>
      </c>
      <c r="K72" s="113">
        <v>3</v>
      </c>
      <c r="L72" s="13">
        <v>0.5</v>
      </c>
      <c r="M72" s="539">
        <f t="shared" si="5"/>
        <v>0</v>
      </c>
      <c r="N72" s="147">
        <f t="shared" ca="1" si="1"/>
        <v>0</v>
      </c>
      <c r="O72" s="136"/>
      <c r="P72" s="127">
        <f t="shared" si="2"/>
        <v>8</v>
      </c>
      <c r="Q72" s="127">
        <f t="shared" ca="1" si="3"/>
        <v>6.4600000000000009E-4</v>
      </c>
      <c r="R72" s="127"/>
      <c r="S72" s="127"/>
      <c r="T72" s="127"/>
      <c r="U72" s="127"/>
      <c r="V72" s="127"/>
      <c r="W72" s="127"/>
      <c r="X72" s="127"/>
      <c r="Y72" s="127"/>
      <c r="Z72" s="127"/>
      <c r="AA72" s="127"/>
      <c r="AB72" s="127"/>
      <c r="AC72" s="127"/>
      <c r="AD72" s="127"/>
      <c r="AE72" s="127"/>
      <c r="AF72" s="127"/>
    </row>
    <row r="73" spans="1:32" x14ac:dyDescent="0.25">
      <c r="A73" s="131"/>
      <c r="B73" s="677"/>
      <c r="C73" s="678"/>
      <c r="D73" s="678"/>
      <c r="E73" s="11">
        <v>0</v>
      </c>
      <c r="F73" s="12">
        <v>0</v>
      </c>
      <c r="G73" s="12">
        <v>0</v>
      </c>
      <c r="H73" s="12">
        <v>0</v>
      </c>
      <c r="I73" s="12">
        <v>0</v>
      </c>
      <c r="J73" s="13">
        <v>0.125</v>
      </c>
      <c r="K73" s="113">
        <v>3</v>
      </c>
      <c r="L73" s="13">
        <v>0.5</v>
      </c>
      <c r="M73" s="539">
        <f t="shared" si="5"/>
        <v>0</v>
      </c>
      <c r="N73" s="147">
        <f t="shared" ca="1" si="1"/>
        <v>0</v>
      </c>
      <c r="O73" s="136"/>
      <c r="P73" s="127">
        <f t="shared" si="2"/>
        <v>8</v>
      </c>
      <c r="Q73" s="127">
        <f t="shared" ca="1" si="3"/>
        <v>6.4600000000000009E-4</v>
      </c>
      <c r="R73" s="127"/>
      <c r="S73" s="127"/>
      <c r="T73" s="127"/>
      <c r="U73" s="127"/>
      <c r="V73" s="127"/>
      <c r="W73" s="127"/>
      <c r="X73" s="127"/>
      <c r="Y73" s="127"/>
      <c r="Z73" s="127"/>
      <c r="AA73" s="127"/>
      <c r="AB73" s="127"/>
      <c r="AC73" s="127"/>
      <c r="AD73" s="127"/>
      <c r="AE73" s="127"/>
      <c r="AF73" s="127"/>
    </row>
    <row r="74" spans="1:32" x14ac:dyDescent="0.25">
      <c r="A74" s="131"/>
      <c r="B74" s="677"/>
      <c r="C74" s="678"/>
      <c r="D74" s="678"/>
      <c r="E74" s="11">
        <v>0</v>
      </c>
      <c r="F74" s="12">
        <v>0</v>
      </c>
      <c r="G74" s="12">
        <v>0</v>
      </c>
      <c r="H74" s="12">
        <v>0</v>
      </c>
      <c r="I74" s="12">
        <v>0</v>
      </c>
      <c r="J74" s="13">
        <v>0.125</v>
      </c>
      <c r="K74" s="113">
        <v>3</v>
      </c>
      <c r="L74" s="13">
        <v>0.5</v>
      </c>
      <c r="M74" s="539">
        <f t="shared" si="5"/>
        <v>0</v>
      </c>
      <c r="N74" s="147">
        <f t="shared" ca="1" si="1"/>
        <v>0</v>
      </c>
      <c r="O74" s="136"/>
      <c r="P74" s="127">
        <f t="shared" si="2"/>
        <v>8</v>
      </c>
      <c r="Q74" s="127">
        <f t="shared" ca="1" si="3"/>
        <v>6.4600000000000009E-4</v>
      </c>
      <c r="R74" s="127"/>
      <c r="S74" s="127"/>
      <c r="T74" s="127"/>
      <c r="U74" s="127"/>
      <c r="V74" s="127"/>
      <c r="W74" s="127"/>
      <c r="X74" s="127"/>
      <c r="Y74" s="127"/>
      <c r="Z74" s="127"/>
      <c r="AA74" s="127"/>
      <c r="AB74" s="127"/>
      <c r="AC74" s="127"/>
      <c r="AD74" s="127"/>
      <c r="AE74" s="127"/>
      <c r="AF74" s="127"/>
    </row>
    <row r="75" spans="1:32" x14ac:dyDescent="0.25">
      <c r="A75" s="131"/>
      <c r="B75" s="677"/>
      <c r="C75" s="678"/>
      <c r="D75" s="678"/>
      <c r="E75" s="11">
        <v>0</v>
      </c>
      <c r="F75" s="12">
        <v>0</v>
      </c>
      <c r="G75" s="12">
        <v>0</v>
      </c>
      <c r="H75" s="12">
        <v>0</v>
      </c>
      <c r="I75" s="12">
        <v>0</v>
      </c>
      <c r="J75" s="13">
        <v>0.125</v>
      </c>
      <c r="K75" s="113">
        <v>3</v>
      </c>
      <c r="L75" s="13">
        <v>0.5</v>
      </c>
      <c r="M75" s="539">
        <f t="shared" si="5"/>
        <v>0</v>
      </c>
      <c r="N75" s="147">
        <f t="shared" ca="1" si="1"/>
        <v>0</v>
      </c>
      <c r="O75" s="136"/>
      <c r="P75" s="127">
        <f t="shared" si="2"/>
        <v>8</v>
      </c>
      <c r="Q75" s="127">
        <f t="shared" ca="1" si="3"/>
        <v>6.4600000000000009E-4</v>
      </c>
      <c r="R75" s="127"/>
      <c r="S75" s="127"/>
      <c r="T75" s="127"/>
      <c r="U75" s="127"/>
      <c r="V75" s="127"/>
      <c r="W75" s="127"/>
      <c r="X75" s="127"/>
      <c r="Y75" s="127"/>
      <c r="Z75" s="127"/>
      <c r="AA75" s="127"/>
      <c r="AB75" s="127"/>
      <c r="AC75" s="127"/>
      <c r="AD75" s="127"/>
      <c r="AE75" s="127"/>
      <c r="AF75" s="127"/>
    </row>
    <row r="76" spans="1:32" x14ac:dyDescent="0.25">
      <c r="A76" s="131"/>
      <c r="B76" s="677"/>
      <c r="C76" s="678"/>
      <c r="D76" s="678"/>
      <c r="E76" s="11">
        <v>0</v>
      </c>
      <c r="F76" s="12">
        <v>0</v>
      </c>
      <c r="G76" s="12">
        <v>0</v>
      </c>
      <c r="H76" s="12">
        <v>0</v>
      </c>
      <c r="I76" s="12">
        <v>0</v>
      </c>
      <c r="J76" s="13">
        <v>0.125</v>
      </c>
      <c r="K76" s="113">
        <v>3</v>
      </c>
      <c r="L76" s="13">
        <v>0.5</v>
      </c>
      <c r="M76" s="539">
        <f t="shared" si="5"/>
        <v>0</v>
      </c>
      <c r="N76" s="147">
        <f t="shared" ca="1" si="1"/>
        <v>0</v>
      </c>
      <c r="O76" s="136"/>
      <c r="P76" s="127">
        <f t="shared" si="2"/>
        <v>8</v>
      </c>
      <c r="Q76" s="127">
        <f t="shared" ca="1" si="3"/>
        <v>6.4600000000000009E-4</v>
      </c>
      <c r="R76" s="127"/>
      <c r="S76" s="127"/>
      <c r="T76" s="127"/>
      <c r="U76" s="127"/>
      <c r="V76" s="127"/>
      <c r="W76" s="127"/>
      <c r="X76" s="127"/>
      <c r="Y76" s="127"/>
      <c r="Z76" s="127"/>
      <c r="AA76" s="127"/>
      <c r="AB76" s="127"/>
      <c r="AC76" s="127"/>
      <c r="AD76" s="127"/>
      <c r="AE76" s="127"/>
      <c r="AF76" s="127"/>
    </row>
    <row r="77" spans="1:32" x14ac:dyDescent="0.25">
      <c r="A77" s="131"/>
      <c r="B77" s="677"/>
      <c r="C77" s="678"/>
      <c r="D77" s="678"/>
      <c r="E77" s="11">
        <v>0</v>
      </c>
      <c r="F77" s="12">
        <v>0</v>
      </c>
      <c r="G77" s="12">
        <v>0</v>
      </c>
      <c r="H77" s="12">
        <v>0</v>
      </c>
      <c r="I77" s="12">
        <v>0</v>
      </c>
      <c r="J77" s="13">
        <v>0.125</v>
      </c>
      <c r="K77" s="113">
        <v>3</v>
      </c>
      <c r="L77" s="13">
        <v>0.5</v>
      </c>
      <c r="M77" s="539">
        <f t="shared" si="5"/>
        <v>0</v>
      </c>
      <c r="N77" s="147">
        <f t="shared" ca="1" si="1"/>
        <v>0</v>
      </c>
      <c r="O77" s="136"/>
      <c r="P77" s="127">
        <f t="shared" si="2"/>
        <v>8</v>
      </c>
      <c r="Q77" s="127">
        <f t="shared" ca="1" si="3"/>
        <v>6.4600000000000009E-4</v>
      </c>
      <c r="R77" s="127"/>
      <c r="S77" s="127"/>
      <c r="T77" s="127"/>
      <c r="U77" s="127"/>
      <c r="V77" s="127"/>
      <c r="W77" s="127"/>
      <c r="X77" s="127"/>
      <c r="Y77" s="127"/>
      <c r="Z77" s="127"/>
      <c r="AA77" s="127"/>
      <c r="AB77" s="127"/>
      <c r="AC77" s="127"/>
      <c r="AD77" s="127"/>
      <c r="AE77" s="127"/>
      <c r="AF77" s="127"/>
    </row>
    <row r="78" spans="1:32" x14ac:dyDescent="0.25">
      <c r="A78" s="131"/>
      <c r="B78" s="677"/>
      <c r="C78" s="678"/>
      <c r="D78" s="678"/>
      <c r="E78" s="11">
        <v>0</v>
      </c>
      <c r="F78" s="12">
        <v>0</v>
      </c>
      <c r="G78" s="12">
        <v>0</v>
      </c>
      <c r="H78" s="12">
        <v>0</v>
      </c>
      <c r="I78" s="12">
        <v>0</v>
      </c>
      <c r="J78" s="13">
        <v>0.125</v>
      </c>
      <c r="K78" s="113">
        <v>3</v>
      </c>
      <c r="L78" s="13">
        <v>0.5</v>
      </c>
      <c r="M78" s="539">
        <f t="shared" si="5"/>
        <v>0</v>
      </c>
      <c r="N78" s="147">
        <f t="shared" ca="1" si="1"/>
        <v>0</v>
      </c>
      <c r="O78" s="136"/>
      <c r="P78" s="127">
        <f t="shared" si="2"/>
        <v>8</v>
      </c>
      <c r="Q78" s="127">
        <f t="shared" ca="1" si="3"/>
        <v>6.4600000000000009E-4</v>
      </c>
      <c r="R78" s="127"/>
      <c r="S78" s="127"/>
      <c r="T78" s="127"/>
      <c r="U78" s="127"/>
      <c r="V78" s="127"/>
      <c r="W78" s="127"/>
      <c r="X78" s="127"/>
      <c r="Y78" s="127"/>
      <c r="Z78" s="127"/>
      <c r="AA78" s="127"/>
      <c r="AB78" s="127"/>
      <c r="AC78" s="127"/>
      <c r="AD78" s="127"/>
      <c r="AE78" s="127"/>
      <c r="AF78" s="127"/>
    </row>
    <row r="79" spans="1:32" x14ac:dyDescent="0.25">
      <c r="A79" s="131"/>
      <c r="B79" s="677"/>
      <c r="C79" s="678"/>
      <c r="D79" s="678"/>
      <c r="E79" s="11">
        <v>0</v>
      </c>
      <c r="F79" s="12">
        <v>0</v>
      </c>
      <c r="G79" s="12">
        <v>0</v>
      </c>
      <c r="H79" s="12">
        <v>0</v>
      </c>
      <c r="I79" s="12">
        <v>0</v>
      </c>
      <c r="J79" s="13">
        <v>0.125</v>
      </c>
      <c r="K79" s="113">
        <v>3</v>
      </c>
      <c r="L79" s="13">
        <v>0.5</v>
      </c>
      <c r="M79" s="539">
        <f t="shared" si="5"/>
        <v>0</v>
      </c>
      <c r="N79" s="147">
        <f t="shared" ca="1" si="1"/>
        <v>0</v>
      </c>
      <c r="O79" s="136"/>
      <c r="P79" s="127">
        <f t="shared" si="2"/>
        <v>8</v>
      </c>
      <c r="Q79" s="127">
        <f t="shared" ca="1" si="3"/>
        <v>6.4600000000000009E-4</v>
      </c>
      <c r="R79" s="127"/>
      <c r="S79" s="127"/>
      <c r="T79" s="127"/>
      <c r="U79" s="127"/>
      <c r="V79" s="127"/>
      <c r="W79" s="127"/>
      <c r="X79" s="127"/>
      <c r="Y79" s="127"/>
      <c r="Z79" s="127"/>
      <c r="AA79" s="127"/>
      <c r="AB79" s="127"/>
      <c r="AC79" s="127"/>
      <c r="AD79" s="127"/>
      <c r="AE79" s="127"/>
      <c r="AF79" s="127"/>
    </row>
    <row r="80" spans="1:32" x14ac:dyDescent="0.25">
      <c r="A80" s="131"/>
      <c r="B80" s="677"/>
      <c r="C80" s="678"/>
      <c r="D80" s="678"/>
      <c r="E80" s="11">
        <v>0</v>
      </c>
      <c r="F80" s="12">
        <v>0</v>
      </c>
      <c r="G80" s="12">
        <v>0</v>
      </c>
      <c r="H80" s="12">
        <v>0</v>
      </c>
      <c r="I80" s="12">
        <v>0</v>
      </c>
      <c r="J80" s="13">
        <v>0.125</v>
      </c>
      <c r="K80" s="113">
        <v>3</v>
      </c>
      <c r="L80" s="13">
        <v>0.5</v>
      </c>
      <c r="M80" s="539">
        <f t="shared" si="5"/>
        <v>0</v>
      </c>
      <c r="N80" s="147">
        <f t="shared" ca="1" si="1"/>
        <v>0</v>
      </c>
      <c r="O80" s="136"/>
      <c r="P80" s="127">
        <f t="shared" si="2"/>
        <v>8</v>
      </c>
      <c r="Q80" s="127">
        <f t="shared" ca="1" si="3"/>
        <v>6.4600000000000009E-4</v>
      </c>
      <c r="R80" s="127"/>
      <c r="S80" s="127"/>
      <c r="T80" s="127"/>
      <c r="U80" s="127"/>
      <c r="V80" s="127"/>
      <c r="W80" s="127"/>
      <c r="X80" s="127"/>
      <c r="Y80" s="127"/>
      <c r="Z80" s="127"/>
      <c r="AA80" s="127"/>
      <c r="AB80" s="127"/>
      <c r="AC80" s="127"/>
      <c r="AD80" s="127"/>
      <c r="AE80" s="127"/>
      <c r="AF80" s="127"/>
    </row>
    <row r="81" spans="1:32" x14ac:dyDescent="0.25">
      <c r="A81" s="131"/>
      <c r="B81" s="677"/>
      <c r="C81" s="678"/>
      <c r="D81" s="678"/>
      <c r="E81" s="11">
        <v>0</v>
      </c>
      <c r="F81" s="12">
        <v>0</v>
      </c>
      <c r="G81" s="12">
        <v>0</v>
      </c>
      <c r="H81" s="12">
        <v>0</v>
      </c>
      <c r="I81" s="12">
        <v>0</v>
      </c>
      <c r="J81" s="13">
        <v>0.125</v>
      </c>
      <c r="K81" s="113">
        <v>3</v>
      </c>
      <c r="L81" s="13">
        <v>0.5</v>
      </c>
      <c r="M81" s="539">
        <f t="shared" si="5"/>
        <v>0</v>
      </c>
      <c r="N81" s="147">
        <f t="shared" ca="1" si="1"/>
        <v>0</v>
      </c>
      <c r="O81" s="136"/>
      <c r="P81" s="127">
        <f t="shared" si="2"/>
        <v>8</v>
      </c>
      <c r="Q81" s="127">
        <f t="shared" ca="1" si="3"/>
        <v>6.4600000000000009E-4</v>
      </c>
      <c r="R81" s="127"/>
      <c r="S81" s="127"/>
      <c r="T81" s="127"/>
      <c r="U81" s="127"/>
      <c r="V81" s="127"/>
      <c r="W81" s="127"/>
      <c r="X81" s="127"/>
      <c r="Y81" s="127"/>
      <c r="Z81" s="127"/>
      <c r="AA81" s="127"/>
      <c r="AB81" s="127"/>
      <c r="AC81" s="127"/>
      <c r="AD81" s="127"/>
      <c r="AE81" s="127"/>
      <c r="AF81" s="127"/>
    </row>
    <row r="82" spans="1:32" x14ac:dyDescent="0.25">
      <c r="A82" s="131"/>
      <c r="B82" s="677"/>
      <c r="C82" s="678"/>
      <c r="D82" s="678"/>
      <c r="E82" s="11">
        <v>0</v>
      </c>
      <c r="F82" s="12">
        <v>0</v>
      </c>
      <c r="G82" s="12">
        <v>0</v>
      </c>
      <c r="H82" s="12">
        <v>0</v>
      </c>
      <c r="I82" s="12">
        <v>0</v>
      </c>
      <c r="J82" s="13">
        <v>0.125</v>
      </c>
      <c r="K82" s="113">
        <v>3</v>
      </c>
      <c r="L82" s="13">
        <v>0.5</v>
      </c>
      <c r="M82" s="539">
        <f t="shared" si="5"/>
        <v>0</v>
      </c>
      <c r="N82" s="147">
        <f t="shared" ca="1" si="1"/>
        <v>0</v>
      </c>
      <c r="O82" s="136"/>
      <c r="P82" s="127">
        <f t="shared" si="2"/>
        <v>8</v>
      </c>
      <c r="Q82" s="127">
        <f t="shared" ca="1" si="3"/>
        <v>6.4600000000000009E-4</v>
      </c>
      <c r="R82" s="127"/>
      <c r="S82" s="127"/>
      <c r="T82" s="127"/>
      <c r="U82" s="127"/>
      <c r="V82" s="127"/>
      <c r="W82" s="127"/>
      <c r="X82" s="127"/>
      <c r="Y82" s="127"/>
      <c r="Z82" s="127"/>
      <c r="AA82" s="127"/>
      <c r="AB82" s="127"/>
      <c r="AC82" s="127"/>
      <c r="AD82" s="127"/>
      <c r="AE82" s="127"/>
      <c r="AF82" s="127"/>
    </row>
    <row r="83" spans="1:32" x14ac:dyDescent="0.25">
      <c r="A83" s="131"/>
      <c r="B83" s="677"/>
      <c r="C83" s="678"/>
      <c r="D83" s="678"/>
      <c r="E83" s="11">
        <v>0</v>
      </c>
      <c r="F83" s="12">
        <v>0</v>
      </c>
      <c r="G83" s="12">
        <v>0</v>
      </c>
      <c r="H83" s="12">
        <v>0</v>
      </c>
      <c r="I83" s="12">
        <v>0</v>
      </c>
      <c r="J83" s="13">
        <v>0.125</v>
      </c>
      <c r="K83" s="113">
        <v>3</v>
      </c>
      <c r="L83" s="13">
        <v>0.5</v>
      </c>
      <c r="M83" s="539">
        <f t="shared" si="5"/>
        <v>0</v>
      </c>
      <c r="N83" s="147">
        <f t="shared" ca="1" si="1"/>
        <v>0</v>
      </c>
      <c r="O83" s="136"/>
      <c r="P83" s="127">
        <f t="shared" si="2"/>
        <v>8</v>
      </c>
      <c r="Q83" s="127">
        <f t="shared" ca="1" si="3"/>
        <v>6.4600000000000009E-4</v>
      </c>
      <c r="R83" s="127"/>
      <c r="S83" s="127"/>
      <c r="T83" s="127"/>
      <c r="U83" s="127"/>
      <c r="V83" s="127"/>
      <c r="W83" s="127"/>
      <c r="X83" s="127"/>
      <c r="Y83" s="127"/>
      <c r="Z83" s="127"/>
      <c r="AA83" s="127"/>
      <c r="AB83" s="127"/>
      <c r="AC83" s="127"/>
      <c r="AD83" s="127"/>
      <c r="AE83" s="127"/>
      <c r="AF83" s="127"/>
    </row>
    <row r="84" spans="1:32" x14ac:dyDescent="0.25">
      <c r="A84" s="131"/>
      <c r="B84" s="677"/>
      <c r="C84" s="678"/>
      <c r="D84" s="678"/>
      <c r="E84" s="11">
        <v>0</v>
      </c>
      <c r="F84" s="12">
        <v>0</v>
      </c>
      <c r="G84" s="12">
        <v>0</v>
      </c>
      <c r="H84" s="12">
        <v>0</v>
      </c>
      <c r="I84" s="12">
        <v>0</v>
      </c>
      <c r="J84" s="13">
        <v>0.125</v>
      </c>
      <c r="K84" s="113">
        <v>3</v>
      </c>
      <c r="L84" s="13">
        <v>0.5</v>
      </c>
      <c r="M84" s="539">
        <f t="shared" si="5"/>
        <v>0</v>
      </c>
      <c r="N84" s="147">
        <f t="shared" ca="1" si="1"/>
        <v>0</v>
      </c>
      <c r="O84" s="136"/>
      <c r="P84" s="127">
        <f t="shared" si="2"/>
        <v>8</v>
      </c>
      <c r="Q84" s="127">
        <f t="shared" ca="1" si="3"/>
        <v>6.4600000000000009E-4</v>
      </c>
      <c r="R84" s="127"/>
      <c r="S84" s="127"/>
      <c r="T84" s="127"/>
      <c r="U84" s="127"/>
      <c r="V84" s="127"/>
      <c r="W84" s="127"/>
      <c r="X84" s="127"/>
      <c r="Y84" s="127"/>
      <c r="Z84" s="127"/>
      <c r="AA84" s="127"/>
      <c r="AB84" s="127"/>
      <c r="AC84" s="127"/>
      <c r="AD84" s="127"/>
      <c r="AE84" s="127"/>
      <c r="AF84" s="127"/>
    </row>
    <row r="85" spans="1:32" x14ac:dyDescent="0.25">
      <c r="A85" s="131"/>
      <c r="B85" s="677"/>
      <c r="C85" s="678"/>
      <c r="D85" s="678"/>
      <c r="E85" s="11">
        <v>0</v>
      </c>
      <c r="F85" s="12">
        <v>0</v>
      </c>
      <c r="G85" s="12">
        <v>0</v>
      </c>
      <c r="H85" s="12">
        <v>0</v>
      </c>
      <c r="I85" s="12">
        <v>0</v>
      </c>
      <c r="J85" s="13">
        <v>0.125</v>
      </c>
      <c r="K85" s="113">
        <v>3</v>
      </c>
      <c r="L85" s="13">
        <v>0.5</v>
      </c>
      <c r="M85" s="539">
        <f t="shared" si="5"/>
        <v>0</v>
      </c>
      <c r="N85" s="147">
        <f t="shared" ca="1" si="1"/>
        <v>0</v>
      </c>
      <c r="O85" s="136"/>
      <c r="P85" s="127">
        <f t="shared" si="2"/>
        <v>8</v>
      </c>
      <c r="Q85" s="127">
        <f t="shared" ca="1" si="3"/>
        <v>6.4600000000000009E-4</v>
      </c>
      <c r="R85" s="127"/>
      <c r="S85" s="127"/>
      <c r="T85" s="127"/>
      <c r="U85" s="127"/>
      <c r="V85" s="127"/>
      <c r="W85" s="127"/>
      <c r="X85" s="127"/>
      <c r="Y85" s="127"/>
      <c r="Z85" s="127"/>
      <c r="AA85" s="127"/>
      <c r="AB85" s="127"/>
      <c r="AC85" s="127"/>
      <c r="AD85" s="127"/>
      <c r="AE85" s="127"/>
      <c r="AF85" s="127"/>
    </row>
    <row r="86" spans="1:32" x14ac:dyDescent="0.25">
      <c r="A86" s="131"/>
      <c r="B86" s="677"/>
      <c r="C86" s="678"/>
      <c r="D86" s="678"/>
      <c r="E86" s="11">
        <v>0</v>
      </c>
      <c r="F86" s="12">
        <v>0</v>
      </c>
      <c r="G86" s="12">
        <v>0</v>
      </c>
      <c r="H86" s="12">
        <v>0</v>
      </c>
      <c r="I86" s="12">
        <v>0</v>
      </c>
      <c r="J86" s="13">
        <v>0.125</v>
      </c>
      <c r="K86" s="113">
        <v>3</v>
      </c>
      <c r="L86" s="13">
        <v>0.5</v>
      </c>
      <c r="M86" s="539">
        <f t="shared" si="5"/>
        <v>0</v>
      </c>
      <c r="N86" s="147">
        <f t="shared" ca="1" si="1"/>
        <v>0</v>
      </c>
      <c r="O86" s="136"/>
      <c r="P86" s="127">
        <f t="shared" si="2"/>
        <v>8</v>
      </c>
      <c r="Q86" s="127">
        <f t="shared" ca="1" si="3"/>
        <v>6.4600000000000009E-4</v>
      </c>
      <c r="R86" s="127"/>
      <c r="S86" s="127"/>
      <c r="T86" s="127"/>
      <c r="U86" s="127"/>
      <c r="V86" s="127"/>
      <c r="W86" s="127"/>
      <c r="X86" s="127"/>
      <c r="Y86" s="127"/>
      <c r="Z86" s="127"/>
      <c r="AA86" s="127"/>
      <c r="AB86" s="127"/>
      <c r="AC86" s="127"/>
      <c r="AD86" s="127"/>
      <c r="AE86" s="127"/>
      <c r="AF86" s="127"/>
    </row>
    <row r="87" spans="1:32" x14ac:dyDescent="0.25">
      <c r="A87" s="131"/>
      <c r="B87" s="677"/>
      <c r="C87" s="678"/>
      <c r="D87" s="678"/>
      <c r="E87" s="11">
        <v>0</v>
      </c>
      <c r="F87" s="12">
        <v>0</v>
      </c>
      <c r="G87" s="12">
        <v>0</v>
      </c>
      <c r="H87" s="12">
        <v>0</v>
      </c>
      <c r="I87" s="12">
        <v>0</v>
      </c>
      <c r="J87" s="13">
        <v>0.125</v>
      </c>
      <c r="K87" s="113">
        <v>3</v>
      </c>
      <c r="L87" s="13">
        <v>0.5</v>
      </c>
      <c r="M87" s="539">
        <f t="shared" si="5"/>
        <v>0</v>
      </c>
      <c r="N87" s="147">
        <f t="shared" ca="1" si="1"/>
        <v>0</v>
      </c>
      <c r="O87" s="136"/>
      <c r="P87" s="127">
        <f t="shared" si="2"/>
        <v>8</v>
      </c>
      <c r="Q87" s="127">
        <f t="shared" ca="1" si="3"/>
        <v>6.4600000000000009E-4</v>
      </c>
      <c r="R87" s="127"/>
      <c r="S87" s="127"/>
      <c r="T87" s="127"/>
      <c r="U87" s="127"/>
      <c r="V87" s="127"/>
      <c r="W87" s="127"/>
      <c r="X87" s="127"/>
      <c r="Y87" s="127"/>
      <c r="Z87" s="127"/>
      <c r="AA87" s="127"/>
      <c r="AB87" s="127"/>
      <c r="AC87" s="127"/>
      <c r="AD87" s="127"/>
      <c r="AE87" s="127"/>
      <c r="AF87" s="127"/>
    </row>
    <row r="88" spans="1:32" x14ac:dyDescent="0.25">
      <c r="A88" s="131"/>
      <c r="B88" s="677"/>
      <c r="C88" s="678"/>
      <c r="D88" s="678"/>
      <c r="E88" s="11">
        <v>0</v>
      </c>
      <c r="F88" s="12">
        <v>0</v>
      </c>
      <c r="G88" s="12">
        <v>0</v>
      </c>
      <c r="H88" s="12">
        <v>0</v>
      </c>
      <c r="I88" s="12">
        <v>0</v>
      </c>
      <c r="J88" s="13">
        <v>0.125</v>
      </c>
      <c r="K88" s="113">
        <v>3</v>
      </c>
      <c r="L88" s="13">
        <v>0.5</v>
      </c>
      <c r="M88" s="539">
        <f t="shared" si="5"/>
        <v>0</v>
      </c>
      <c r="N88" s="147">
        <f t="shared" ca="1" si="1"/>
        <v>0</v>
      </c>
      <c r="O88" s="136"/>
      <c r="P88" s="127">
        <f t="shared" si="2"/>
        <v>8</v>
      </c>
      <c r="Q88" s="127">
        <f t="shared" ca="1" si="3"/>
        <v>6.4600000000000009E-4</v>
      </c>
      <c r="R88" s="127"/>
      <c r="S88" s="127"/>
      <c r="T88" s="127"/>
      <c r="U88" s="127"/>
      <c r="V88" s="127"/>
      <c r="W88" s="127"/>
      <c r="X88" s="127"/>
      <c r="Y88" s="127"/>
      <c r="Z88" s="127"/>
      <c r="AA88" s="127"/>
      <c r="AB88" s="127"/>
      <c r="AC88" s="127"/>
      <c r="AD88" s="127"/>
      <c r="AE88" s="127"/>
      <c r="AF88" s="127"/>
    </row>
    <row r="89" spans="1:32" x14ac:dyDescent="0.25">
      <c r="A89" s="131"/>
      <c r="B89" s="677"/>
      <c r="C89" s="678"/>
      <c r="D89" s="678"/>
      <c r="E89" s="11">
        <v>0</v>
      </c>
      <c r="F89" s="12">
        <v>0</v>
      </c>
      <c r="G89" s="12">
        <v>0</v>
      </c>
      <c r="H89" s="12">
        <v>0</v>
      </c>
      <c r="I89" s="12">
        <v>0</v>
      </c>
      <c r="J89" s="13">
        <v>0.125</v>
      </c>
      <c r="K89" s="113">
        <v>3</v>
      </c>
      <c r="L89" s="13">
        <v>0.5</v>
      </c>
      <c r="M89" s="539">
        <f t="shared" si="5"/>
        <v>0</v>
      </c>
      <c r="N89" s="147">
        <f t="shared" ca="1" si="1"/>
        <v>0</v>
      </c>
      <c r="O89" s="136"/>
      <c r="P89" s="127">
        <f t="shared" si="2"/>
        <v>8</v>
      </c>
      <c r="Q89" s="127">
        <f t="shared" ca="1" si="3"/>
        <v>6.4600000000000009E-4</v>
      </c>
      <c r="R89" s="127"/>
      <c r="S89" s="127"/>
      <c r="T89" s="127"/>
      <c r="U89" s="127"/>
      <c r="V89" s="127"/>
      <c r="W89" s="127"/>
      <c r="X89" s="127"/>
      <c r="Y89" s="127"/>
      <c r="Z89" s="127"/>
      <c r="AA89" s="127"/>
      <c r="AB89" s="127"/>
      <c r="AC89" s="127"/>
      <c r="AD89" s="127"/>
      <c r="AE89" s="127"/>
      <c r="AF89" s="127"/>
    </row>
    <row r="90" spans="1:32" x14ac:dyDescent="0.25">
      <c r="A90" s="131"/>
      <c r="B90" s="677"/>
      <c r="C90" s="678"/>
      <c r="D90" s="678"/>
      <c r="E90" s="11">
        <v>0</v>
      </c>
      <c r="F90" s="12">
        <v>0</v>
      </c>
      <c r="G90" s="12">
        <v>0</v>
      </c>
      <c r="H90" s="12">
        <v>0</v>
      </c>
      <c r="I90" s="12">
        <v>0</v>
      </c>
      <c r="J90" s="13">
        <v>0.125</v>
      </c>
      <c r="K90" s="113">
        <v>3</v>
      </c>
      <c r="L90" s="13">
        <v>0.5</v>
      </c>
      <c r="M90" s="539">
        <f t="shared" si="5"/>
        <v>0</v>
      </c>
      <c r="N90" s="147">
        <f t="shared" ca="1" si="1"/>
        <v>0</v>
      </c>
      <c r="O90" s="136"/>
      <c r="P90" s="127">
        <f t="shared" si="2"/>
        <v>8</v>
      </c>
      <c r="Q90" s="127">
        <f t="shared" ca="1" si="3"/>
        <v>6.4600000000000009E-4</v>
      </c>
      <c r="R90" s="127"/>
      <c r="S90" s="127"/>
      <c r="T90" s="127"/>
      <c r="U90" s="127"/>
      <c r="V90" s="127"/>
      <c r="W90" s="127"/>
      <c r="X90" s="127"/>
      <c r="Y90" s="127"/>
      <c r="Z90" s="127"/>
      <c r="AA90" s="127"/>
      <c r="AB90" s="127"/>
      <c r="AC90" s="127"/>
      <c r="AD90" s="127"/>
      <c r="AE90" s="127"/>
      <c r="AF90" s="127"/>
    </row>
    <row r="91" spans="1:32" x14ac:dyDescent="0.25">
      <c r="A91" s="131"/>
      <c r="B91" s="677"/>
      <c r="C91" s="678"/>
      <c r="D91" s="678"/>
      <c r="E91" s="11">
        <v>0</v>
      </c>
      <c r="F91" s="12">
        <v>0</v>
      </c>
      <c r="G91" s="12">
        <v>0</v>
      </c>
      <c r="H91" s="12">
        <v>0</v>
      </c>
      <c r="I91" s="12">
        <v>0</v>
      </c>
      <c r="J91" s="13">
        <v>0.125</v>
      </c>
      <c r="K91" s="113">
        <v>3</v>
      </c>
      <c r="L91" s="13">
        <v>0.5</v>
      </c>
      <c r="M91" s="539">
        <f t="shared" si="5"/>
        <v>0</v>
      </c>
      <c r="N91" s="147">
        <f t="shared" ca="1" si="1"/>
        <v>0</v>
      </c>
      <c r="O91" s="136"/>
      <c r="P91" s="127">
        <f t="shared" si="2"/>
        <v>8</v>
      </c>
      <c r="Q91" s="127">
        <f t="shared" ca="1" si="3"/>
        <v>6.4600000000000009E-4</v>
      </c>
      <c r="R91" s="127"/>
      <c r="S91" s="127"/>
      <c r="T91" s="127"/>
      <c r="U91" s="127"/>
      <c r="V91" s="127"/>
      <c r="W91" s="127"/>
      <c r="X91" s="127"/>
      <c r="Y91" s="127"/>
      <c r="Z91" s="127"/>
      <c r="AA91" s="127"/>
      <c r="AB91" s="127"/>
      <c r="AC91" s="127"/>
      <c r="AD91" s="127"/>
      <c r="AE91" s="127"/>
      <c r="AF91" s="127"/>
    </row>
    <row r="92" spans="1:32" x14ac:dyDescent="0.25">
      <c r="A92" s="131"/>
      <c r="B92" s="677"/>
      <c r="C92" s="678"/>
      <c r="D92" s="678"/>
      <c r="E92" s="11">
        <v>0</v>
      </c>
      <c r="F92" s="12">
        <v>0</v>
      </c>
      <c r="G92" s="12">
        <v>0</v>
      </c>
      <c r="H92" s="12">
        <v>0</v>
      </c>
      <c r="I92" s="12">
        <v>0</v>
      </c>
      <c r="J92" s="13">
        <v>0.125</v>
      </c>
      <c r="K92" s="113">
        <v>3</v>
      </c>
      <c r="L92" s="13">
        <v>0.5</v>
      </c>
      <c r="M92" s="539">
        <f t="shared" si="5"/>
        <v>0</v>
      </c>
      <c r="N92" s="147">
        <f t="shared" ca="1" si="1"/>
        <v>0</v>
      </c>
      <c r="O92" s="136"/>
      <c r="P92" s="127">
        <f t="shared" si="2"/>
        <v>8</v>
      </c>
      <c r="Q92" s="127">
        <f t="shared" ca="1" si="3"/>
        <v>6.4600000000000009E-4</v>
      </c>
      <c r="R92" s="127"/>
      <c r="S92" s="127"/>
      <c r="T92" s="127"/>
      <c r="U92" s="127"/>
      <c r="V92" s="127"/>
      <c r="W92" s="127"/>
      <c r="X92" s="127"/>
      <c r="Y92" s="127"/>
      <c r="Z92" s="127"/>
      <c r="AA92" s="127"/>
      <c r="AB92" s="127"/>
      <c r="AC92" s="127"/>
      <c r="AD92" s="127"/>
      <c r="AE92" s="127"/>
      <c r="AF92" s="127"/>
    </row>
    <row r="93" spans="1:32" x14ac:dyDescent="0.25">
      <c r="A93" s="131"/>
      <c r="B93" s="677"/>
      <c r="C93" s="678"/>
      <c r="D93" s="678"/>
      <c r="E93" s="11">
        <v>0</v>
      </c>
      <c r="F93" s="12">
        <v>0</v>
      </c>
      <c r="G93" s="12">
        <v>0</v>
      </c>
      <c r="H93" s="12">
        <v>0</v>
      </c>
      <c r="I93" s="12">
        <v>0</v>
      </c>
      <c r="J93" s="13">
        <v>0.125</v>
      </c>
      <c r="K93" s="113">
        <v>3</v>
      </c>
      <c r="L93" s="13">
        <v>0.5</v>
      </c>
      <c r="M93" s="539">
        <f t="shared" si="5"/>
        <v>0</v>
      </c>
      <c r="N93" s="147">
        <f t="shared" ca="1" si="1"/>
        <v>0</v>
      </c>
      <c r="O93" s="136"/>
      <c r="P93" s="127">
        <f t="shared" si="2"/>
        <v>8</v>
      </c>
      <c r="Q93" s="127">
        <f t="shared" ca="1" si="3"/>
        <v>6.4600000000000009E-4</v>
      </c>
      <c r="R93" s="127"/>
      <c r="S93" s="127"/>
      <c r="T93" s="127"/>
      <c r="U93" s="127"/>
      <c r="V93" s="127"/>
      <c r="W93" s="127"/>
      <c r="X93" s="127"/>
      <c r="Y93" s="127"/>
      <c r="Z93" s="127"/>
      <c r="AA93" s="127"/>
      <c r="AB93" s="127"/>
      <c r="AC93" s="127"/>
      <c r="AD93" s="127"/>
      <c r="AE93" s="127"/>
      <c r="AF93" s="127"/>
    </row>
    <row r="94" spans="1:32" x14ac:dyDescent="0.25">
      <c r="A94" s="131"/>
      <c r="B94" s="677"/>
      <c r="C94" s="678"/>
      <c r="D94" s="678"/>
      <c r="E94" s="11">
        <v>0</v>
      </c>
      <c r="F94" s="12">
        <v>0</v>
      </c>
      <c r="G94" s="12">
        <v>0</v>
      </c>
      <c r="H94" s="12">
        <v>0</v>
      </c>
      <c r="I94" s="12">
        <v>0</v>
      </c>
      <c r="J94" s="13">
        <v>0.125</v>
      </c>
      <c r="K94" s="113">
        <v>3</v>
      </c>
      <c r="L94" s="13">
        <v>0.5</v>
      </c>
      <c r="M94" s="539">
        <f t="shared" si="5"/>
        <v>0</v>
      </c>
      <c r="N94" s="147">
        <f t="shared" ca="1" si="1"/>
        <v>0</v>
      </c>
      <c r="O94" s="136"/>
      <c r="P94" s="127">
        <f t="shared" si="2"/>
        <v>8</v>
      </c>
      <c r="Q94" s="127">
        <f t="shared" ca="1" si="3"/>
        <v>6.4600000000000009E-4</v>
      </c>
      <c r="R94" s="127"/>
      <c r="S94" s="127"/>
      <c r="T94" s="127"/>
      <c r="U94" s="127"/>
      <c r="V94" s="127"/>
      <c r="W94" s="127"/>
      <c r="X94" s="127"/>
      <c r="Y94" s="127"/>
      <c r="Z94" s="127"/>
      <c r="AA94" s="127"/>
      <c r="AB94" s="127"/>
      <c r="AC94" s="127"/>
      <c r="AD94" s="127"/>
      <c r="AE94" s="127"/>
      <c r="AF94" s="127"/>
    </row>
    <row r="95" spans="1:32" x14ac:dyDescent="0.25">
      <c r="A95" s="131"/>
      <c r="B95" s="677"/>
      <c r="C95" s="678"/>
      <c r="D95" s="678"/>
      <c r="E95" s="11">
        <v>0</v>
      </c>
      <c r="F95" s="12">
        <v>0</v>
      </c>
      <c r="G95" s="12">
        <v>0</v>
      </c>
      <c r="H95" s="12">
        <v>0</v>
      </c>
      <c r="I95" s="12">
        <v>0</v>
      </c>
      <c r="J95" s="13">
        <v>0.125</v>
      </c>
      <c r="K95" s="113">
        <v>3</v>
      </c>
      <c r="L95" s="13">
        <v>0.5</v>
      </c>
      <c r="M95" s="539">
        <f t="shared" si="5"/>
        <v>0</v>
      </c>
      <c r="N95" s="147">
        <f t="shared" ca="1" si="1"/>
        <v>0</v>
      </c>
      <c r="O95" s="136"/>
      <c r="P95" s="127">
        <f t="shared" si="2"/>
        <v>8</v>
      </c>
      <c r="Q95" s="127">
        <f t="shared" ca="1" si="3"/>
        <v>6.4600000000000009E-4</v>
      </c>
      <c r="R95" s="127"/>
      <c r="S95" s="127"/>
      <c r="T95" s="127"/>
      <c r="U95" s="127"/>
      <c r="V95" s="127"/>
      <c r="W95" s="127"/>
      <c r="X95" s="127"/>
      <c r="Y95" s="127"/>
      <c r="Z95" s="127"/>
      <c r="AA95" s="127"/>
      <c r="AB95" s="127"/>
      <c r="AC95" s="127"/>
      <c r="AD95" s="127"/>
      <c r="AE95" s="127"/>
      <c r="AF95" s="127"/>
    </row>
    <row r="96" spans="1:32" x14ac:dyDescent="0.25">
      <c r="A96" s="131"/>
      <c r="B96" s="677"/>
      <c r="C96" s="678"/>
      <c r="D96" s="678"/>
      <c r="E96" s="11">
        <v>0</v>
      </c>
      <c r="F96" s="12">
        <v>0</v>
      </c>
      <c r="G96" s="12">
        <v>0</v>
      </c>
      <c r="H96" s="12">
        <v>0</v>
      </c>
      <c r="I96" s="12">
        <v>0</v>
      </c>
      <c r="J96" s="13">
        <v>0.125</v>
      </c>
      <c r="K96" s="113">
        <v>3</v>
      </c>
      <c r="L96" s="13">
        <v>0.5</v>
      </c>
      <c r="M96" s="539">
        <f t="shared" si="5"/>
        <v>0</v>
      </c>
      <c r="N96" s="147">
        <f t="shared" ca="1" si="1"/>
        <v>0</v>
      </c>
      <c r="O96" s="136"/>
      <c r="P96" s="127">
        <f t="shared" si="2"/>
        <v>8</v>
      </c>
      <c r="Q96" s="127">
        <f t="shared" ca="1" si="3"/>
        <v>6.4600000000000009E-4</v>
      </c>
      <c r="R96" s="127"/>
      <c r="S96" s="127"/>
      <c r="T96" s="127"/>
      <c r="U96" s="127"/>
      <c r="V96" s="127"/>
      <c r="W96" s="127"/>
      <c r="X96" s="127"/>
      <c r="Y96" s="127"/>
      <c r="Z96" s="127"/>
      <c r="AA96" s="127"/>
      <c r="AB96" s="127"/>
      <c r="AC96" s="127"/>
      <c r="AD96" s="127"/>
      <c r="AE96" s="127"/>
      <c r="AF96" s="127"/>
    </row>
    <row r="97" spans="1:32" x14ac:dyDescent="0.25">
      <c r="A97" s="131"/>
      <c r="B97" s="677"/>
      <c r="C97" s="678"/>
      <c r="D97" s="678"/>
      <c r="E97" s="11">
        <v>0</v>
      </c>
      <c r="F97" s="12">
        <v>0</v>
      </c>
      <c r="G97" s="12">
        <v>0</v>
      </c>
      <c r="H97" s="12">
        <v>0</v>
      </c>
      <c r="I97" s="12">
        <v>0</v>
      </c>
      <c r="J97" s="13">
        <v>0.125</v>
      </c>
      <c r="K97" s="113">
        <v>3</v>
      </c>
      <c r="L97" s="13">
        <v>0.5</v>
      </c>
      <c r="M97" s="539">
        <f t="shared" si="5"/>
        <v>0</v>
      </c>
      <c r="N97" s="147">
        <f t="shared" ca="1" si="1"/>
        <v>0</v>
      </c>
      <c r="O97" s="136"/>
      <c r="P97" s="127">
        <f t="shared" si="2"/>
        <v>8</v>
      </c>
      <c r="Q97" s="127">
        <f t="shared" ca="1" si="3"/>
        <v>6.4600000000000009E-4</v>
      </c>
      <c r="R97" s="127"/>
      <c r="S97" s="127"/>
      <c r="T97" s="127"/>
      <c r="U97" s="127"/>
      <c r="V97" s="127"/>
      <c r="W97" s="127"/>
      <c r="X97" s="127"/>
      <c r="Y97" s="127"/>
      <c r="Z97" s="127"/>
      <c r="AA97" s="127"/>
      <c r="AB97" s="127"/>
      <c r="AC97" s="127"/>
      <c r="AD97" s="127"/>
      <c r="AE97" s="127"/>
      <c r="AF97" s="127"/>
    </row>
    <row r="98" spans="1:32" x14ac:dyDescent="0.25">
      <c r="A98" s="131"/>
      <c r="B98" s="677"/>
      <c r="C98" s="678"/>
      <c r="D98" s="678"/>
      <c r="E98" s="11">
        <v>0</v>
      </c>
      <c r="F98" s="12">
        <v>0</v>
      </c>
      <c r="G98" s="12">
        <v>0</v>
      </c>
      <c r="H98" s="12">
        <v>0</v>
      </c>
      <c r="I98" s="12">
        <v>0</v>
      </c>
      <c r="J98" s="13">
        <v>0.125</v>
      </c>
      <c r="K98" s="113">
        <v>3</v>
      </c>
      <c r="L98" s="13">
        <v>0.5</v>
      </c>
      <c r="M98" s="539">
        <f t="shared" si="5"/>
        <v>0</v>
      </c>
      <c r="N98" s="147">
        <f t="shared" ca="1" si="1"/>
        <v>0</v>
      </c>
      <c r="O98" s="136"/>
      <c r="P98" s="127">
        <f t="shared" si="2"/>
        <v>8</v>
      </c>
      <c r="Q98" s="127">
        <f t="shared" ca="1" si="3"/>
        <v>6.4600000000000009E-4</v>
      </c>
      <c r="R98" s="127"/>
      <c r="S98" s="127"/>
      <c r="T98" s="127"/>
      <c r="U98" s="127"/>
      <c r="V98" s="127"/>
      <c r="W98" s="127"/>
      <c r="X98" s="127"/>
      <c r="Y98" s="127"/>
      <c r="Z98" s="127"/>
      <c r="AA98" s="127"/>
      <c r="AB98" s="127"/>
      <c r="AC98" s="127"/>
      <c r="AD98" s="127"/>
      <c r="AE98" s="127"/>
      <c r="AF98" s="127"/>
    </row>
    <row r="99" spans="1:32" x14ac:dyDescent="0.25">
      <c r="A99" s="131"/>
      <c r="B99" s="677"/>
      <c r="C99" s="678"/>
      <c r="D99" s="678"/>
      <c r="E99" s="11">
        <v>0</v>
      </c>
      <c r="F99" s="12">
        <v>0</v>
      </c>
      <c r="G99" s="12">
        <v>0</v>
      </c>
      <c r="H99" s="12">
        <v>0</v>
      </c>
      <c r="I99" s="12">
        <v>0</v>
      </c>
      <c r="J99" s="13">
        <v>0.125</v>
      </c>
      <c r="K99" s="113">
        <v>3</v>
      </c>
      <c r="L99" s="13">
        <v>0.5</v>
      </c>
      <c r="M99" s="539">
        <f t="shared" si="5"/>
        <v>0</v>
      </c>
      <c r="N99" s="147">
        <f t="shared" ca="1" si="1"/>
        <v>0</v>
      </c>
      <c r="O99" s="136"/>
      <c r="P99" s="127">
        <f t="shared" si="2"/>
        <v>8</v>
      </c>
      <c r="Q99" s="127">
        <f t="shared" ca="1" si="3"/>
        <v>6.4600000000000009E-4</v>
      </c>
      <c r="R99" s="127"/>
      <c r="S99" s="127"/>
      <c r="T99" s="127"/>
      <c r="U99" s="127"/>
      <c r="V99" s="127"/>
      <c r="W99" s="127"/>
      <c r="X99" s="127"/>
      <c r="Y99" s="127"/>
      <c r="Z99" s="127"/>
      <c r="AA99" s="127"/>
      <c r="AB99" s="127"/>
      <c r="AC99" s="127"/>
      <c r="AD99" s="127"/>
      <c r="AE99" s="127"/>
      <c r="AF99" s="127"/>
    </row>
    <row r="100" spans="1:32" ht="13.8" thickBot="1" x14ac:dyDescent="0.3">
      <c r="A100" s="131"/>
      <c r="B100" s="682"/>
      <c r="C100" s="683"/>
      <c r="D100" s="683"/>
      <c r="E100" s="120">
        <v>0</v>
      </c>
      <c r="F100" s="138">
        <v>0</v>
      </c>
      <c r="G100" s="138">
        <v>0</v>
      </c>
      <c r="H100" s="138">
        <v>0</v>
      </c>
      <c r="I100" s="138">
        <v>0</v>
      </c>
      <c r="J100" s="139">
        <v>0.125</v>
      </c>
      <c r="K100" s="140">
        <v>3</v>
      </c>
      <c r="L100" s="139">
        <v>0.5</v>
      </c>
      <c r="M100" s="540">
        <f t="shared" si="5"/>
        <v>0</v>
      </c>
      <c r="N100" s="189">
        <f t="shared" ca="1" si="1"/>
        <v>0</v>
      </c>
      <c r="O100" s="136"/>
      <c r="P100" s="127">
        <f t="shared" si="2"/>
        <v>8</v>
      </c>
      <c r="Q100" s="127">
        <f t="shared" ca="1" si="3"/>
        <v>6.4600000000000009E-4</v>
      </c>
      <c r="R100" s="127"/>
      <c r="S100" s="127"/>
      <c r="T100" s="127"/>
      <c r="U100" s="127"/>
      <c r="V100" s="127"/>
      <c r="W100" s="127"/>
      <c r="X100" s="127"/>
      <c r="Y100" s="127"/>
      <c r="Z100" s="127"/>
      <c r="AA100" s="127"/>
      <c r="AB100" s="127"/>
      <c r="AC100" s="127"/>
      <c r="AD100" s="127"/>
      <c r="AE100" s="127"/>
      <c r="AF100" s="127"/>
    </row>
    <row r="101" spans="1:32" ht="15" x14ac:dyDescent="0.25">
      <c r="A101" s="131"/>
      <c r="B101" s="131"/>
      <c r="C101" s="131"/>
      <c r="D101" s="131"/>
      <c r="E101" s="133"/>
      <c r="F101" s="134"/>
      <c r="G101" s="134"/>
      <c r="H101" s="134"/>
      <c r="I101" s="134"/>
      <c r="J101" s="131"/>
      <c r="K101" s="131"/>
      <c r="L101" s="131"/>
      <c r="M101" s="131"/>
      <c r="N101" s="269"/>
      <c r="O101" s="136"/>
      <c r="P101" s="127"/>
      <c r="Q101" s="127"/>
      <c r="R101" s="127"/>
      <c r="S101" s="127"/>
      <c r="T101" s="127"/>
      <c r="U101" s="127"/>
      <c r="V101" s="127"/>
      <c r="W101" s="127"/>
      <c r="X101" s="127"/>
      <c r="Y101" s="127"/>
      <c r="Z101" s="127"/>
      <c r="AA101" s="127"/>
      <c r="AB101" s="127"/>
      <c r="AC101" s="127"/>
      <c r="AD101" s="127"/>
      <c r="AE101" s="127"/>
      <c r="AF101" s="127"/>
    </row>
    <row r="102" spans="1:32" x14ac:dyDescent="0.25">
      <c r="A102" s="131"/>
      <c r="B102" s="131"/>
      <c r="C102" s="131"/>
      <c r="D102" s="131"/>
      <c r="E102" s="131"/>
      <c r="F102" s="131"/>
      <c r="G102" s="131"/>
      <c r="H102" s="131"/>
      <c r="I102" s="131"/>
      <c r="J102" s="131"/>
      <c r="K102" s="131"/>
      <c r="L102" s="131"/>
      <c r="M102" s="131"/>
      <c r="N102" s="131"/>
      <c r="O102" s="136"/>
      <c r="P102" s="127"/>
      <c r="Q102" s="127"/>
      <c r="R102" s="127"/>
      <c r="S102" s="127"/>
      <c r="T102" s="127"/>
      <c r="U102" s="127"/>
      <c r="V102" s="127"/>
      <c r="W102" s="127"/>
      <c r="X102" s="127"/>
      <c r="Y102" s="127"/>
      <c r="Z102" s="127"/>
      <c r="AA102" s="127"/>
      <c r="AB102" s="127"/>
      <c r="AC102" s="127"/>
      <c r="AD102" s="127"/>
      <c r="AE102" s="127"/>
      <c r="AF102" s="127"/>
    </row>
    <row r="103" spans="1:32" ht="15" x14ac:dyDescent="0.25">
      <c r="A103" s="131"/>
      <c r="B103" s="696"/>
      <c r="C103" s="696"/>
      <c r="D103" s="696"/>
      <c r="E103" s="696"/>
      <c r="F103" s="132"/>
      <c r="G103" s="694"/>
      <c r="H103" s="695"/>
      <c r="I103" s="132"/>
      <c r="J103" s="132"/>
      <c r="K103" s="131"/>
      <c r="L103" s="133"/>
      <c r="M103" s="133"/>
      <c r="N103" s="135"/>
      <c r="O103" s="136"/>
      <c r="P103" s="127"/>
      <c r="Q103" s="127"/>
      <c r="R103" s="127"/>
      <c r="S103" s="127"/>
      <c r="T103" s="127"/>
      <c r="U103" s="127"/>
      <c r="V103" s="127"/>
      <c r="W103" s="127"/>
      <c r="X103" s="127"/>
      <c r="Y103" s="127"/>
      <c r="Z103" s="127"/>
      <c r="AA103" s="127"/>
      <c r="AB103" s="127"/>
      <c r="AC103" s="127"/>
      <c r="AD103" s="127"/>
      <c r="AE103" s="127"/>
      <c r="AF103" s="127"/>
    </row>
    <row r="104" spans="1:32" x14ac:dyDescent="0.25">
      <c r="A104" s="131"/>
      <c r="B104" s="131"/>
      <c r="C104" s="131"/>
      <c r="D104" s="131"/>
      <c r="E104" s="131"/>
      <c r="F104" s="131"/>
      <c r="G104" s="131"/>
      <c r="H104" s="131"/>
      <c r="I104" s="131"/>
      <c r="J104" s="131"/>
      <c r="K104" s="131"/>
      <c r="L104" s="131"/>
      <c r="M104" s="131"/>
      <c r="N104" s="131"/>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4"/>
      <c r="B105" s="124"/>
      <c r="C105" s="124"/>
      <c r="D105" s="124"/>
      <c r="E105" s="124"/>
      <c r="F105" s="124"/>
      <c r="G105" s="124"/>
      <c r="H105" s="124"/>
      <c r="I105" s="124"/>
      <c r="J105" s="124"/>
      <c r="K105" s="124"/>
      <c r="L105" s="124"/>
      <c r="M105" s="124"/>
      <c r="N105" s="124"/>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4"/>
      <c r="B106" s="124"/>
      <c r="C106" s="124"/>
      <c r="D106" s="124"/>
      <c r="E106" s="124"/>
      <c r="F106" s="124"/>
      <c r="G106" s="124"/>
      <c r="H106" s="124"/>
      <c r="I106" s="124"/>
      <c r="J106" s="124"/>
      <c r="K106" s="124"/>
      <c r="L106" s="124"/>
      <c r="M106" s="124"/>
      <c r="N106" s="124"/>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4"/>
      <c r="B107" s="124"/>
      <c r="C107" s="124"/>
      <c r="D107" s="124"/>
      <c r="E107" s="124"/>
      <c r="F107" s="124"/>
      <c r="G107" s="124"/>
      <c r="H107" s="124"/>
      <c r="I107" s="124"/>
      <c r="J107" s="124"/>
      <c r="K107" s="124"/>
      <c r="L107" s="124"/>
      <c r="M107" s="124"/>
      <c r="N107" s="124"/>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4"/>
      <c r="B108" s="124"/>
      <c r="C108" s="124"/>
      <c r="D108" s="124"/>
      <c r="E108" s="124"/>
      <c r="F108" s="124"/>
      <c r="G108" s="124"/>
      <c r="H108" s="124"/>
      <c r="I108" s="124"/>
      <c r="J108" s="124"/>
      <c r="K108" s="124"/>
      <c r="L108" s="124"/>
      <c r="M108" s="124"/>
      <c r="N108" s="124"/>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4"/>
      <c r="B109" s="124"/>
      <c r="C109" s="124"/>
      <c r="D109" s="124"/>
      <c r="E109" s="124"/>
      <c r="F109" s="124"/>
      <c r="G109" s="124"/>
      <c r="H109" s="124"/>
      <c r="I109" s="124"/>
      <c r="J109" s="124"/>
      <c r="K109" s="124"/>
      <c r="L109" s="124"/>
      <c r="M109" s="124"/>
      <c r="N109" s="124"/>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4"/>
      <c r="B110" s="124"/>
      <c r="C110" s="124"/>
      <c r="D110" s="124"/>
      <c r="E110" s="124"/>
      <c r="F110" s="124"/>
      <c r="G110" s="124"/>
      <c r="H110" s="124"/>
      <c r="I110" s="124"/>
      <c r="J110" s="124"/>
      <c r="K110" s="124"/>
      <c r="L110" s="124"/>
      <c r="M110" s="124"/>
      <c r="N110" s="124"/>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4"/>
      <c r="B111" s="124"/>
      <c r="C111" s="124"/>
      <c r="D111" s="124"/>
      <c r="E111" s="124"/>
      <c r="F111" s="124"/>
      <c r="G111" s="124"/>
      <c r="H111" s="124"/>
      <c r="I111" s="124"/>
      <c r="J111" s="124"/>
      <c r="K111" s="124"/>
      <c r="L111" s="124"/>
      <c r="M111" s="124"/>
      <c r="N111" s="124"/>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4"/>
      <c r="B112" s="124"/>
      <c r="C112" s="124"/>
      <c r="D112" s="124"/>
      <c r="E112" s="124"/>
      <c r="F112" s="124"/>
      <c r="G112" s="124"/>
      <c r="H112" s="124"/>
      <c r="I112" s="124"/>
      <c r="J112" s="124"/>
      <c r="K112" s="124"/>
      <c r="L112" s="124"/>
      <c r="M112" s="124"/>
      <c r="N112" s="124"/>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4"/>
      <c r="B113" s="124"/>
      <c r="C113" s="124"/>
      <c r="D113" s="124"/>
      <c r="E113" s="124"/>
      <c r="F113" s="124"/>
      <c r="G113" s="124"/>
      <c r="H113" s="124"/>
      <c r="I113" s="124"/>
      <c r="J113" s="124"/>
      <c r="K113" s="124"/>
      <c r="L113" s="124"/>
      <c r="M113" s="124"/>
      <c r="N113" s="124"/>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4"/>
      <c r="B114" s="124"/>
      <c r="C114" s="124"/>
      <c r="D114" s="124"/>
      <c r="E114" s="124"/>
      <c r="F114" s="124"/>
      <c r="G114" s="124"/>
      <c r="H114" s="124"/>
      <c r="I114" s="124"/>
      <c r="J114" s="124"/>
      <c r="K114" s="124"/>
      <c r="L114" s="124"/>
      <c r="M114" s="124"/>
      <c r="N114" s="124"/>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4"/>
      <c r="B115" s="124"/>
      <c r="C115" s="124"/>
      <c r="D115" s="124"/>
      <c r="E115" s="124"/>
      <c r="F115" s="124"/>
      <c r="G115" s="124"/>
      <c r="H115" s="124"/>
      <c r="I115" s="124"/>
      <c r="J115" s="124"/>
      <c r="K115" s="124"/>
      <c r="L115" s="124"/>
      <c r="M115" s="124"/>
      <c r="N115" s="124"/>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4"/>
      <c r="B116" s="124"/>
      <c r="C116" s="124"/>
      <c r="D116" s="124"/>
      <c r="E116" s="124"/>
      <c r="F116" s="124"/>
      <c r="G116" s="124"/>
      <c r="H116" s="124"/>
      <c r="I116" s="124"/>
      <c r="J116" s="124"/>
      <c r="K116" s="124"/>
      <c r="L116" s="124"/>
      <c r="M116" s="124"/>
      <c r="N116" s="124"/>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4"/>
      <c r="B117" s="124"/>
      <c r="C117" s="124"/>
      <c r="D117" s="124"/>
      <c r="E117" s="124"/>
      <c r="F117" s="124"/>
      <c r="G117" s="124"/>
      <c r="H117" s="124"/>
      <c r="I117" s="124"/>
      <c r="J117" s="124"/>
      <c r="K117" s="124"/>
      <c r="L117" s="124"/>
      <c r="M117" s="124"/>
      <c r="N117" s="124"/>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4"/>
      <c r="B118" s="124"/>
      <c r="C118" s="124"/>
      <c r="D118" s="124"/>
      <c r="E118" s="124"/>
      <c r="F118" s="124"/>
      <c r="G118" s="124"/>
      <c r="H118" s="124"/>
      <c r="I118" s="124"/>
      <c r="J118" s="124"/>
      <c r="K118" s="124"/>
      <c r="L118" s="124"/>
      <c r="M118" s="124"/>
      <c r="N118" s="124"/>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4"/>
      <c r="B119" s="124"/>
      <c r="C119" s="124"/>
      <c r="D119" s="124"/>
      <c r="E119" s="124"/>
      <c r="F119" s="124"/>
      <c r="G119" s="124"/>
      <c r="H119" s="124"/>
      <c r="I119" s="124"/>
      <c r="J119" s="124"/>
      <c r="K119" s="124"/>
      <c r="L119" s="124"/>
      <c r="M119" s="124"/>
      <c r="N119" s="124"/>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4"/>
      <c r="B120" s="124"/>
      <c r="C120" s="124"/>
      <c r="D120" s="124"/>
      <c r="E120" s="124"/>
      <c r="F120" s="124"/>
      <c r="G120" s="124"/>
      <c r="H120" s="124"/>
      <c r="I120" s="124"/>
      <c r="J120" s="124"/>
      <c r="K120" s="124"/>
      <c r="L120" s="124"/>
      <c r="M120" s="124"/>
      <c r="N120" s="124"/>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4"/>
      <c r="B121" s="124"/>
      <c r="C121" s="124"/>
      <c r="D121" s="124"/>
      <c r="E121" s="124"/>
      <c r="F121" s="124"/>
      <c r="G121" s="124"/>
      <c r="H121" s="124"/>
      <c r="I121" s="124"/>
      <c r="J121" s="124"/>
      <c r="K121" s="124"/>
      <c r="L121" s="124"/>
      <c r="M121" s="124"/>
      <c r="N121" s="124"/>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4"/>
      <c r="B122" s="124"/>
      <c r="C122" s="124"/>
      <c r="D122" s="124"/>
      <c r="E122" s="124"/>
      <c r="F122" s="124"/>
      <c r="G122" s="124"/>
      <c r="H122" s="124"/>
      <c r="I122" s="124"/>
      <c r="J122" s="124"/>
      <c r="K122" s="124"/>
      <c r="L122" s="124"/>
      <c r="M122" s="124"/>
      <c r="N122" s="124"/>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4"/>
      <c r="B123" s="124"/>
      <c r="C123" s="124"/>
      <c r="D123" s="124"/>
      <c r="E123" s="124"/>
      <c r="F123" s="124"/>
      <c r="G123" s="124"/>
      <c r="H123" s="124"/>
      <c r="I123" s="124"/>
      <c r="J123" s="124"/>
      <c r="K123" s="124"/>
      <c r="L123" s="124"/>
      <c r="M123" s="124"/>
      <c r="N123" s="124"/>
      <c r="O123" s="127"/>
      <c r="P123" s="127"/>
      <c r="Q123" s="127"/>
      <c r="R123" s="127"/>
      <c r="S123" s="127"/>
      <c r="T123" s="127"/>
      <c r="U123" s="127"/>
      <c r="V123" s="127"/>
      <c r="W123" s="127"/>
      <c r="X123" s="127"/>
      <c r="Y123" s="127"/>
      <c r="Z123" s="127"/>
      <c r="AA123" s="127"/>
      <c r="AB123" s="127"/>
      <c r="AC123" s="127"/>
      <c r="AD123" s="127"/>
      <c r="AE123" s="127"/>
      <c r="AF123" s="127"/>
    </row>
    <row r="124" spans="1:32" x14ac:dyDescent="0.25">
      <c r="A124" s="124"/>
      <c r="B124" s="124"/>
      <c r="C124" s="124"/>
      <c r="D124" s="124"/>
      <c r="E124" s="124"/>
      <c r="F124" s="124"/>
      <c r="G124" s="124"/>
      <c r="H124" s="124"/>
      <c r="I124" s="124"/>
      <c r="J124" s="124"/>
      <c r="K124" s="124"/>
      <c r="L124" s="124"/>
      <c r="M124" s="124"/>
      <c r="N124" s="124"/>
      <c r="O124" s="127"/>
      <c r="P124" s="127"/>
      <c r="Q124" s="127"/>
      <c r="R124" s="127"/>
      <c r="S124" s="127"/>
      <c r="T124" s="127"/>
      <c r="U124" s="127"/>
      <c r="V124" s="127"/>
      <c r="W124" s="127"/>
      <c r="X124" s="127"/>
      <c r="Y124" s="127"/>
      <c r="Z124" s="127"/>
      <c r="AA124" s="127"/>
      <c r="AB124" s="127"/>
      <c r="AC124" s="127"/>
      <c r="AD124" s="127"/>
      <c r="AE124" s="127"/>
      <c r="AF124" s="127"/>
    </row>
    <row r="125" spans="1:32" x14ac:dyDescent="0.25">
      <c r="A125" s="124"/>
      <c r="B125" s="124"/>
      <c r="C125" s="124"/>
      <c r="D125" s="124"/>
      <c r="E125" s="124"/>
      <c r="F125" s="124"/>
      <c r="G125" s="124"/>
      <c r="H125" s="124"/>
      <c r="I125" s="124"/>
      <c r="J125" s="124"/>
      <c r="K125" s="124"/>
      <c r="L125" s="124"/>
      <c r="M125" s="124"/>
      <c r="N125" s="124"/>
      <c r="O125" s="127"/>
      <c r="P125" s="127"/>
      <c r="Q125" s="127"/>
      <c r="R125" s="127"/>
      <c r="S125" s="127"/>
      <c r="T125" s="127"/>
      <c r="U125" s="127"/>
      <c r="V125" s="127"/>
      <c r="W125" s="127"/>
      <c r="X125" s="127"/>
      <c r="Y125" s="127"/>
      <c r="Z125" s="127"/>
      <c r="AA125" s="127"/>
      <c r="AB125" s="127"/>
      <c r="AC125" s="127"/>
      <c r="AD125" s="127"/>
      <c r="AE125" s="127"/>
      <c r="AF125" s="127"/>
    </row>
    <row r="126" spans="1:32" x14ac:dyDescent="0.25">
      <c r="A126" s="124"/>
      <c r="B126" s="124"/>
      <c r="C126" s="124"/>
      <c r="D126" s="124"/>
      <c r="E126" s="124"/>
      <c r="F126" s="124"/>
      <c r="G126" s="124"/>
      <c r="H126" s="124"/>
      <c r="I126" s="124"/>
      <c r="J126" s="124"/>
      <c r="K126" s="124"/>
      <c r="L126" s="124"/>
      <c r="M126" s="124"/>
      <c r="N126" s="124"/>
      <c r="O126" s="127"/>
      <c r="P126" s="127"/>
      <c r="Q126" s="127"/>
      <c r="R126" s="127"/>
      <c r="S126" s="127"/>
      <c r="T126" s="127"/>
      <c r="U126" s="127"/>
      <c r="V126" s="127"/>
      <c r="W126" s="127"/>
      <c r="X126" s="127"/>
      <c r="Y126" s="127"/>
      <c r="Z126" s="127"/>
      <c r="AA126" s="127"/>
      <c r="AB126" s="127"/>
      <c r="AC126" s="127"/>
      <c r="AD126" s="127"/>
      <c r="AE126" s="127"/>
      <c r="AF126" s="127"/>
    </row>
    <row r="127" spans="1:32" x14ac:dyDescent="0.25">
      <c r="A127" s="124"/>
      <c r="B127" s="124"/>
      <c r="C127" s="124"/>
      <c r="D127" s="124"/>
      <c r="E127" s="124"/>
      <c r="F127" s="124"/>
      <c r="G127" s="124"/>
      <c r="H127" s="124"/>
      <c r="I127" s="124"/>
      <c r="J127" s="124"/>
      <c r="K127" s="124"/>
      <c r="L127" s="124"/>
      <c r="M127" s="124"/>
      <c r="N127" s="124"/>
      <c r="O127" s="127"/>
      <c r="P127" s="127"/>
      <c r="Q127" s="127"/>
      <c r="R127" s="127"/>
      <c r="S127" s="127"/>
      <c r="T127" s="127"/>
      <c r="U127" s="127"/>
      <c r="V127" s="127"/>
      <c r="W127" s="127"/>
      <c r="X127" s="127"/>
      <c r="Y127" s="127"/>
      <c r="Z127" s="127"/>
      <c r="AA127" s="127"/>
      <c r="AB127" s="127"/>
      <c r="AC127" s="127"/>
      <c r="AD127" s="127"/>
      <c r="AE127" s="127"/>
      <c r="AF127" s="127"/>
    </row>
    <row r="128" spans="1:32" x14ac:dyDescent="0.25">
      <c r="A128" s="124"/>
      <c r="B128" s="124"/>
      <c r="C128" s="124"/>
      <c r="D128" s="124"/>
      <c r="E128" s="124"/>
      <c r="F128" s="124"/>
      <c r="G128" s="124"/>
      <c r="H128" s="124"/>
      <c r="I128" s="124"/>
      <c r="J128" s="124"/>
      <c r="K128" s="124"/>
      <c r="L128" s="124"/>
      <c r="M128" s="124"/>
      <c r="N128" s="124"/>
      <c r="O128" s="127"/>
      <c r="P128" s="127"/>
      <c r="Q128" s="127"/>
      <c r="R128" s="127"/>
      <c r="S128" s="127"/>
      <c r="T128" s="127"/>
      <c r="U128" s="127"/>
      <c r="V128" s="127"/>
      <c r="W128" s="127"/>
      <c r="X128" s="127"/>
      <c r="Y128" s="127"/>
      <c r="Z128" s="127"/>
      <c r="AA128" s="127"/>
      <c r="AB128" s="127"/>
      <c r="AC128" s="127"/>
      <c r="AD128" s="127"/>
      <c r="AE128" s="127"/>
      <c r="AF128" s="127"/>
    </row>
    <row r="129" spans="1:32" x14ac:dyDescent="0.25">
      <c r="A129" s="124"/>
      <c r="B129" s="124"/>
      <c r="C129" s="124"/>
      <c r="D129" s="124"/>
      <c r="E129" s="124"/>
      <c r="F129" s="124"/>
      <c r="G129" s="124"/>
      <c r="H129" s="124"/>
      <c r="I129" s="124"/>
      <c r="J129" s="124"/>
      <c r="K129" s="124"/>
      <c r="L129" s="124"/>
      <c r="M129" s="124"/>
      <c r="N129" s="124"/>
      <c r="O129" s="127"/>
      <c r="P129" s="127"/>
      <c r="Q129" s="127"/>
      <c r="R129" s="127"/>
      <c r="S129" s="127"/>
      <c r="T129" s="127"/>
      <c r="U129" s="127"/>
      <c r="V129" s="127"/>
      <c r="W129" s="127"/>
      <c r="X129" s="127"/>
      <c r="Y129" s="127"/>
      <c r="Z129" s="127"/>
      <c r="AA129" s="127"/>
      <c r="AB129" s="127"/>
      <c r="AC129" s="127"/>
      <c r="AD129" s="127"/>
      <c r="AE129" s="127"/>
      <c r="AF129" s="127"/>
    </row>
    <row r="130" spans="1:32" x14ac:dyDescent="0.25">
      <c r="A130" s="124"/>
      <c r="B130" s="124"/>
      <c r="C130" s="124"/>
      <c r="D130" s="124"/>
      <c r="E130" s="124"/>
      <c r="F130" s="124"/>
      <c r="G130" s="124"/>
      <c r="H130" s="124"/>
      <c r="I130" s="124"/>
      <c r="J130" s="124"/>
      <c r="K130" s="124"/>
      <c r="L130" s="124"/>
      <c r="M130" s="124"/>
      <c r="N130" s="124"/>
      <c r="O130" s="127"/>
      <c r="P130" s="127"/>
      <c r="Q130" s="127"/>
      <c r="R130" s="127"/>
      <c r="S130" s="127"/>
      <c r="T130" s="127"/>
      <c r="U130" s="127"/>
      <c r="V130" s="127"/>
      <c r="W130" s="127"/>
      <c r="X130" s="127"/>
      <c r="Y130" s="127"/>
      <c r="Z130" s="127"/>
      <c r="AA130" s="127"/>
      <c r="AB130" s="127"/>
      <c r="AC130" s="127"/>
      <c r="AD130" s="127"/>
      <c r="AE130" s="127"/>
      <c r="AF130" s="127"/>
    </row>
    <row r="131" spans="1:32" x14ac:dyDescent="0.25">
      <c r="A131" s="124"/>
      <c r="B131" s="124"/>
      <c r="C131" s="124"/>
      <c r="D131" s="124"/>
      <c r="E131" s="124"/>
      <c r="F131" s="124"/>
      <c r="G131" s="124"/>
      <c r="H131" s="124"/>
      <c r="I131" s="124"/>
      <c r="J131" s="124"/>
      <c r="K131" s="124"/>
      <c r="L131" s="124"/>
      <c r="M131" s="124"/>
      <c r="N131" s="124"/>
      <c r="O131" s="127"/>
      <c r="P131" s="127"/>
      <c r="Q131" s="127"/>
      <c r="R131" s="127"/>
      <c r="S131" s="127"/>
      <c r="T131" s="127"/>
      <c r="U131" s="127"/>
      <c r="V131" s="127"/>
      <c r="W131" s="127"/>
      <c r="X131" s="127"/>
      <c r="Y131" s="127"/>
      <c r="Z131" s="127"/>
      <c r="AA131" s="127"/>
      <c r="AB131" s="127"/>
      <c r="AC131" s="127"/>
      <c r="AD131" s="127"/>
      <c r="AE131" s="127"/>
      <c r="AF131" s="127"/>
    </row>
    <row r="132" spans="1:32" x14ac:dyDescent="0.25">
      <c r="A132" s="124"/>
      <c r="B132" s="124"/>
      <c r="C132" s="124"/>
      <c r="D132" s="124"/>
      <c r="E132" s="124"/>
      <c r="F132" s="124"/>
      <c r="G132" s="124"/>
      <c r="H132" s="124"/>
      <c r="I132" s="124"/>
      <c r="J132" s="124"/>
      <c r="K132" s="124"/>
      <c r="L132" s="124"/>
      <c r="M132" s="124"/>
      <c r="N132" s="124"/>
      <c r="O132" s="127"/>
      <c r="P132" s="127"/>
      <c r="Q132" s="127"/>
      <c r="R132" s="127"/>
      <c r="S132" s="127"/>
      <c r="T132" s="127"/>
      <c r="U132" s="127"/>
      <c r="V132" s="127"/>
      <c r="W132" s="127"/>
      <c r="X132" s="127"/>
      <c r="Y132" s="127"/>
      <c r="Z132" s="127"/>
      <c r="AA132" s="127"/>
      <c r="AB132" s="127"/>
      <c r="AC132" s="127"/>
      <c r="AD132" s="127"/>
      <c r="AE132" s="127"/>
      <c r="AF132" s="127"/>
    </row>
    <row r="133" spans="1:32" x14ac:dyDescent="0.25">
      <c r="A133" s="124"/>
      <c r="B133" s="124"/>
      <c r="C133" s="124"/>
      <c r="D133" s="124"/>
      <c r="E133" s="124"/>
      <c r="F133" s="124"/>
      <c r="G133" s="124"/>
      <c r="H133" s="124"/>
      <c r="I133" s="124"/>
      <c r="J133" s="124"/>
      <c r="K133" s="124"/>
      <c r="L133" s="124"/>
      <c r="M133" s="124"/>
      <c r="N133" s="124"/>
      <c r="O133" s="127"/>
      <c r="P133" s="127"/>
      <c r="Q133" s="127"/>
      <c r="R133" s="127"/>
      <c r="S133" s="127"/>
      <c r="T133" s="127"/>
      <c r="U133" s="127"/>
      <c r="V133" s="127"/>
      <c r="W133" s="127"/>
      <c r="X133" s="127"/>
      <c r="Y133" s="127"/>
      <c r="Z133" s="127"/>
      <c r="AA133" s="127"/>
      <c r="AB133" s="127"/>
      <c r="AC133" s="127"/>
      <c r="AD133" s="127"/>
      <c r="AE133" s="127"/>
      <c r="AF133" s="127"/>
    </row>
    <row r="134" spans="1:32" x14ac:dyDescent="0.25">
      <c r="A134" s="124"/>
      <c r="B134" s="124"/>
      <c r="C134" s="124"/>
      <c r="D134" s="124"/>
      <c r="E134" s="124"/>
      <c r="F134" s="124"/>
      <c r="G134" s="124"/>
      <c r="H134" s="124"/>
      <c r="I134" s="124"/>
      <c r="J134" s="124"/>
      <c r="K134" s="124"/>
      <c r="L134" s="124"/>
      <c r="M134" s="124"/>
      <c r="N134" s="124"/>
      <c r="O134" s="127"/>
      <c r="P134" s="127"/>
      <c r="Q134" s="127"/>
      <c r="R134" s="127"/>
      <c r="S134" s="127"/>
      <c r="T134" s="127"/>
      <c r="U134" s="127"/>
      <c r="V134" s="127"/>
      <c r="W134" s="127"/>
      <c r="X134" s="127"/>
      <c r="Y134" s="127"/>
      <c r="Z134" s="127"/>
      <c r="AA134" s="127"/>
      <c r="AB134" s="127"/>
      <c r="AC134" s="127"/>
      <c r="AD134" s="127"/>
      <c r="AE134" s="127"/>
      <c r="AF134" s="127"/>
    </row>
    <row r="135" spans="1:32" x14ac:dyDescent="0.25">
      <c r="A135" s="124"/>
      <c r="B135" s="124"/>
      <c r="C135" s="124"/>
      <c r="D135" s="124"/>
      <c r="E135" s="124"/>
      <c r="F135" s="124"/>
      <c r="G135" s="124"/>
      <c r="H135" s="124"/>
      <c r="I135" s="124"/>
      <c r="J135" s="124"/>
      <c r="K135" s="124"/>
      <c r="L135" s="124"/>
      <c r="M135" s="124"/>
      <c r="N135" s="124"/>
      <c r="O135" s="127"/>
      <c r="P135" s="127"/>
      <c r="Q135" s="127"/>
      <c r="R135" s="127"/>
      <c r="S135" s="127"/>
      <c r="T135" s="127"/>
      <c r="U135" s="127"/>
      <c r="V135" s="127"/>
      <c r="W135" s="127"/>
      <c r="X135" s="127"/>
      <c r="Y135" s="127"/>
      <c r="Z135" s="127"/>
      <c r="AA135" s="127"/>
      <c r="AB135" s="127"/>
      <c r="AC135" s="127"/>
      <c r="AD135" s="127"/>
      <c r="AE135" s="127"/>
      <c r="AF135" s="127"/>
    </row>
    <row r="136" spans="1:32" x14ac:dyDescent="0.25">
      <c r="A136" s="124"/>
      <c r="B136" s="124"/>
      <c r="C136" s="124"/>
      <c r="D136" s="124"/>
      <c r="E136" s="124"/>
      <c r="F136" s="124"/>
      <c r="G136" s="124"/>
      <c r="H136" s="124"/>
      <c r="I136" s="124"/>
      <c r="J136" s="124"/>
      <c r="K136" s="124"/>
      <c r="L136" s="124"/>
      <c r="M136" s="124"/>
      <c r="N136" s="124"/>
      <c r="O136" s="127"/>
      <c r="P136" s="127"/>
      <c r="Q136" s="127"/>
      <c r="R136" s="127"/>
      <c r="S136" s="127"/>
      <c r="T136" s="127"/>
      <c r="U136" s="127"/>
      <c r="V136" s="127"/>
      <c r="W136" s="127"/>
      <c r="X136" s="127"/>
      <c r="Y136" s="127"/>
      <c r="Z136" s="127"/>
      <c r="AA136" s="127"/>
      <c r="AB136" s="127"/>
      <c r="AC136" s="127"/>
      <c r="AD136" s="127"/>
      <c r="AE136" s="127"/>
      <c r="AF136" s="127"/>
    </row>
    <row r="137" spans="1:32" x14ac:dyDescent="0.25">
      <c r="A137" s="124"/>
      <c r="B137" s="124"/>
      <c r="C137" s="124"/>
      <c r="D137" s="124"/>
      <c r="E137" s="124"/>
      <c r="F137" s="124"/>
      <c r="G137" s="124"/>
      <c r="H137" s="124"/>
      <c r="I137" s="124"/>
      <c r="J137" s="124"/>
      <c r="K137" s="124"/>
      <c r="L137" s="124"/>
      <c r="M137" s="124"/>
      <c r="N137" s="124"/>
      <c r="O137" s="127"/>
      <c r="P137" s="127"/>
      <c r="Q137" s="127"/>
      <c r="R137" s="127"/>
      <c r="S137" s="127"/>
      <c r="T137" s="127"/>
      <c r="U137" s="127"/>
      <c r="V137" s="127"/>
      <c r="W137" s="127"/>
      <c r="X137" s="127"/>
      <c r="Y137" s="127"/>
      <c r="Z137" s="127"/>
      <c r="AA137" s="127"/>
      <c r="AB137" s="127"/>
      <c r="AC137" s="127"/>
      <c r="AD137" s="127"/>
      <c r="AE137" s="127"/>
      <c r="AF137" s="127"/>
    </row>
    <row r="138" spans="1:32" x14ac:dyDescent="0.25">
      <c r="A138" s="124"/>
      <c r="B138" s="124"/>
      <c r="C138" s="124"/>
      <c r="D138" s="124"/>
      <c r="E138" s="124"/>
      <c r="F138" s="124"/>
      <c r="G138" s="124"/>
      <c r="H138" s="124"/>
      <c r="I138" s="124"/>
      <c r="J138" s="124"/>
      <c r="K138" s="124"/>
      <c r="L138" s="124"/>
      <c r="M138" s="124"/>
      <c r="N138" s="124"/>
      <c r="O138" s="127"/>
      <c r="P138" s="127"/>
      <c r="Q138" s="127"/>
      <c r="R138" s="127"/>
      <c r="S138" s="127"/>
      <c r="T138" s="127"/>
      <c r="U138" s="127"/>
      <c r="V138" s="127"/>
      <c r="W138" s="127"/>
      <c r="X138" s="127"/>
      <c r="Y138" s="127"/>
      <c r="Z138" s="127"/>
      <c r="AA138" s="127"/>
      <c r="AB138" s="127"/>
      <c r="AC138" s="127"/>
      <c r="AD138" s="127"/>
      <c r="AE138" s="127"/>
      <c r="AF138" s="127"/>
    </row>
    <row r="139" spans="1:32" x14ac:dyDescent="0.25">
      <c r="A139" s="124"/>
      <c r="B139" s="124"/>
      <c r="C139" s="124"/>
      <c r="D139" s="124"/>
      <c r="E139" s="124"/>
      <c r="F139" s="124"/>
      <c r="G139" s="124"/>
      <c r="H139" s="124"/>
      <c r="I139" s="124"/>
      <c r="J139" s="124"/>
      <c r="K139" s="124"/>
      <c r="L139" s="124"/>
      <c r="M139" s="124"/>
      <c r="N139" s="124"/>
      <c r="O139" s="127"/>
      <c r="P139" s="127"/>
      <c r="Q139" s="127"/>
      <c r="R139" s="127"/>
      <c r="S139" s="127"/>
      <c r="T139" s="127"/>
      <c r="U139" s="127"/>
      <c r="V139" s="127"/>
      <c r="W139" s="127"/>
      <c r="X139" s="127"/>
      <c r="Y139" s="127"/>
      <c r="Z139" s="127"/>
      <c r="AA139" s="127"/>
      <c r="AB139" s="127"/>
      <c r="AC139" s="127"/>
      <c r="AD139" s="127"/>
      <c r="AE139" s="127"/>
      <c r="AF139" s="127"/>
    </row>
    <row r="140" spans="1:32" x14ac:dyDescent="0.25">
      <c r="A140" s="124"/>
      <c r="B140" s="124"/>
      <c r="C140" s="124"/>
      <c r="D140" s="124"/>
      <c r="E140" s="124"/>
      <c r="F140" s="124"/>
      <c r="G140" s="124"/>
      <c r="H140" s="124"/>
      <c r="I140" s="124"/>
      <c r="J140" s="124"/>
      <c r="K140" s="124"/>
      <c r="L140" s="124"/>
      <c r="M140" s="124"/>
      <c r="N140" s="124"/>
      <c r="O140" s="127"/>
      <c r="P140" s="127"/>
      <c r="Q140" s="127"/>
      <c r="R140" s="127"/>
      <c r="S140" s="127"/>
      <c r="T140" s="127"/>
      <c r="U140" s="127"/>
      <c r="V140" s="127"/>
      <c r="W140" s="127"/>
      <c r="X140" s="127"/>
      <c r="Y140" s="127"/>
      <c r="Z140" s="127"/>
      <c r="AA140" s="127"/>
      <c r="AB140" s="127"/>
      <c r="AC140" s="127"/>
      <c r="AD140" s="127"/>
      <c r="AE140" s="127"/>
      <c r="AF140" s="127"/>
    </row>
    <row r="141" spans="1:32" x14ac:dyDescent="0.25">
      <c r="A141" s="124"/>
      <c r="B141" s="124"/>
      <c r="C141" s="124"/>
      <c r="D141" s="124"/>
      <c r="E141" s="124"/>
      <c r="F141" s="124"/>
      <c r="G141" s="124"/>
      <c r="H141" s="124"/>
      <c r="I141" s="124"/>
      <c r="J141" s="124"/>
      <c r="K141" s="124"/>
      <c r="L141" s="124"/>
      <c r="M141" s="124"/>
      <c r="N141" s="124"/>
      <c r="O141" s="127"/>
      <c r="P141" s="127"/>
      <c r="Q141" s="127"/>
      <c r="R141" s="127"/>
      <c r="S141" s="127"/>
      <c r="T141" s="127"/>
      <c r="U141" s="127"/>
      <c r="V141" s="127"/>
      <c r="W141" s="127"/>
      <c r="X141" s="127"/>
      <c r="Y141" s="127"/>
      <c r="Z141" s="127"/>
      <c r="AA141" s="127"/>
      <c r="AB141" s="127"/>
      <c r="AC141" s="127"/>
      <c r="AD141" s="127"/>
      <c r="AE141" s="127"/>
      <c r="AF141" s="127"/>
    </row>
    <row r="142" spans="1:32" x14ac:dyDescent="0.25">
      <c r="A142" s="124"/>
      <c r="B142" s="124"/>
      <c r="C142" s="124"/>
      <c r="D142" s="124"/>
      <c r="E142" s="124"/>
      <c r="F142" s="124"/>
      <c r="G142" s="124"/>
      <c r="H142" s="124"/>
      <c r="I142" s="124"/>
      <c r="J142" s="124"/>
      <c r="K142" s="124"/>
      <c r="L142" s="124"/>
      <c r="M142" s="124"/>
      <c r="N142" s="124"/>
      <c r="O142" s="127"/>
      <c r="P142" s="127"/>
      <c r="Q142" s="127"/>
      <c r="R142" s="127"/>
      <c r="S142" s="127"/>
      <c r="T142" s="127"/>
      <c r="U142" s="127"/>
      <c r="V142" s="127"/>
      <c r="W142" s="127"/>
      <c r="X142" s="127"/>
      <c r="Y142" s="127"/>
      <c r="Z142" s="127"/>
      <c r="AA142" s="127"/>
      <c r="AB142" s="127"/>
      <c r="AC142" s="127"/>
      <c r="AD142" s="127"/>
      <c r="AE142" s="127"/>
      <c r="AF142" s="127"/>
    </row>
    <row r="143" spans="1:32" x14ac:dyDescent="0.25">
      <c r="A143" s="124"/>
      <c r="B143" s="124"/>
      <c r="C143" s="124"/>
      <c r="D143" s="124"/>
      <c r="E143" s="124"/>
      <c r="F143" s="124"/>
      <c r="G143" s="124"/>
      <c r="H143" s="124"/>
      <c r="I143" s="124"/>
      <c r="J143" s="124"/>
      <c r="K143" s="124"/>
      <c r="L143" s="124"/>
      <c r="M143" s="124"/>
      <c r="N143" s="124"/>
      <c r="O143" s="127"/>
      <c r="P143" s="127"/>
      <c r="Q143" s="127"/>
      <c r="R143" s="127"/>
      <c r="S143" s="127"/>
      <c r="T143" s="127"/>
      <c r="U143" s="127"/>
      <c r="V143" s="127"/>
      <c r="W143" s="127"/>
      <c r="X143" s="127"/>
      <c r="Y143" s="127"/>
      <c r="Z143" s="127"/>
      <c r="AA143" s="127"/>
      <c r="AB143" s="127"/>
      <c r="AC143" s="127"/>
      <c r="AD143" s="127"/>
      <c r="AE143" s="127"/>
      <c r="AF143" s="127"/>
    </row>
    <row r="144" spans="1:32" x14ac:dyDescent="0.25">
      <c r="A144" s="124"/>
      <c r="B144" s="124"/>
      <c r="C144" s="124"/>
      <c r="D144" s="124"/>
      <c r="E144" s="124"/>
      <c r="F144" s="124"/>
      <c r="G144" s="124"/>
      <c r="H144" s="124"/>
      <c r="I144" s="124"/>
      <c r="J144" s="124"/>
      <c r="K144" s="124"/>
      <c r="L144" s="124"/>
      <c r="M144" s="124"/>
      <c r="N144" s="124"/>
      <c r="O144" s="127"/>
      <c r="P144" s="127"/>
      <c r="Q144" s="127"/>
      <c r="R144" s="127"/>
      <c r="S144" s="127"/>
      <c r="T144" s="127"/>
      <c r="U144" s="127"/>
      <c r="V144" s="127"/>
      <c r="W144" s="127"/>
      <c r="X144" s="127"/>
      <c r="Y144" s="127"/>
      <c r="Z144" s="127"/>
      <c r="AA144" s="127"/>
      <c r="AB144" s="127"/>
      <c r="AC144" s="127"/>
      <c r="AD144" s="127"/>
      <c r="AE144" s="127"/>
      <c r="AF144" s="127"/>
    </row>
    <row r="145" spans="1:32" x14ac:dyDescent="0.25">
      <c r="A145" s="124"/>
      <c r="B145" s="124"/>
      <c r="C145" s="124"/>
      <c r="D145" s="124"/>
      <c r="E145" s="124"/>
      <c r="F145" s="124"/>
      <c r="G145" s="124"/>
      <c r="H145" s="124"/>
      <c r="I145" s="124"/>
      <c r="J145" s="124"/>
      <c r="K145" s="124"/>
      <c r="L145" s="124"/>
      <c r="M145" s="124"/>
      <c r="N145" s="124"/>
      <c r="O145" s="127"/>
      <c r="P145" s="127"/>
      <c r="Q145" s="127"/>
      <c r="R145" s="127"/>
      <c r="S145" s="127"/>
      <c r="T145" s="127"/>
      <c r="U145" s="127"/>
      <c r="V145" s="127"/>
      <c r="W145" s="127"/>
      <c r="X145" s="127"/>
      <c r="Y145" s="127"/>
      <c r="Z145" s="127"/>
      <c r="AA145" s="127"/>
      <c r="AB145" s="127"/>
      <c r="AC145" s="127"/>
      <c r="AD145" s="127"/>
      <c r="AE145" s="127"/>
      <c r="AF145" s="127"/>
    </row>
    <row r="146" spans="1:32" x14ac:dyDescent="0.25">
      <c r="A146" s="124"/>
      <c r="B146" s="124"/>
      <c r="C146" s="124"/>
      <c r="D146" s="124"/>
      <c r="E146" s="124"/>
      <c r="F146" s="124"/>
      <c r="G146" s="124"/>
      <c r="H146" s="124"/>
      <c r="I146" s="124"/>
      <c r="J146" s="124"/>
      <c r="K146" s="124"/>
      <c r="L146" s="124"/>
      <c r="M146" s="124"/>
      <c r="N146" s="124"/>
      <c r="O146" s="127"/>
      <c r="P146" s="127"/>
      <c r="Q146" s="127"/>
      <c r="R146" s="127"/>
      <c r="S146" s="127"/>
      <c r="T146" s="127"/>
      <c r="U146" s="127"/>
      <c r="V146" s="127"/>
      <c r="W146" s="127"/>
      <c r="X146" s="127"/>
      <c r="Y146" s="127"/>
      <c r="Z146" s="127"/>
      <c r="AA146" s="127"/>
      <c r="AB146" s="127"/>
      <c r="AC146" s="127"/>
      <c r="AD146" s="127"/>
      <c r="AE146" s="127"/>
      <c r="AF146" s="127"/>
    </row>
    <row r="147" spans="1:32" x14ac:dyDescent="0.25">
      <c r="A147" s="124"/>
      <c r="B147" s="124"/>
      <c r="C147" s="124"/>
      <c r="D147" s="124"/>
      <c r="E147" s="124"/>
      <c r="F147" s="124"/>
      <c r="G147" s="124"/>
      <c r="H147" s="124"/>
      <c r="I147" s="124"/>
      <c r="J147" s="124"/>
      <c r="K147" s="124"/>
      <c r="L147" s="124"/>
      <c r="M147" s="124"/>
      <c r="N147" s="124"/>
      <c r="O147" s="127"/>
      <c r="P147" s="127"/>
      <c r="Q147" s="127"/>
      <c r="R147" s="127"/>
      <c r="S147" s="127"/>
      <c r="T147" s="127"/>
      <c r="U147" s="127"/>
      <c r="V147" s="127"/>
      <c r="W147" s="127"/>
      <c r="X147" s="127"/>
      <c r="Y147" s="127"/>
      <c r="Z147" s="127"/>
      <c r="AA147" s="127"/>
      <c r="AB147" s="127"/>
      <c r="AC147" s="127"/>
      <c r="AD147" s="127"/>
      <c r="AE147" s="127"/>
      <c r="AF147" s="127"/>
    </row>
    <row r="148" spans="1:32" x14ac:dyDescent="0.25">
      <c r="A148" s="124"/>
      <c r="B148" s="124"/>
      <c r="C148" s="124"/>
      <c r="D148" s="124"/>
      <c r="E148" s="124"/>
      <c r="F148" s="124"/>
      <c r="G148" s="124"/>
      <c r="H148" s="124"/>
      <c r="I148" s="124"/>
      <c r="J148" s="124"/>
      <c r="K148" s="124"/>
      <c r="L148" s="124"/>
      <c r="M148" s="124"/>
      <c r="N148" s="124"/>
      <c r="O148" s="127"/>
      <c r="P148" s="127"/>
      <c r="Q148" s="127"/>
      <c r="R148" s="127"/>
      <c r="S148" s="127"/>
      <c r="T148" s="127"/>
      <c r="U148" s="127"/>
      <c r="V148" s="127"/>
      <c r="W148" s="127"/>
      <c r="X148" s="127"/>
      <c r="Y148" s="127"/>
      <c r="Z148" s="127"/>
      <c r="AA148" s="127"/>
      <c r="AB148" s="127"/>
      <c r="AC148" s="127"/>
      <c r="AD148" s="127"/>
      <c r="AE148" s="127"/>
      <c r="AF148" s="127"/>
    </row>
    <row r="149" spans="1:32" x14ac:dyDescent="0.25">
      <c r="A149" s="124"/>
      <c r="B149" s="124"/>
      <c r="C149" s="124"/>
      <c r="D149" s="124"/>
      <c r="E149" s="124"/>
      <c r="F149" s="124"/>
      <c r="G149" s="124"/>
      <c r="H149" s="124"/>
      <c r="I149" s="124"/>
      <c r="J149" s="124"/>
      <c r="K149" s="124"/>
      <c r="L149" s="124"/>
      <c r="M149" s="124"/>
      <c r="N149" s="124"/>
      <c r="O149" s="127"/>
      <c r="P149" s="127"/>
      <c r="Q149" s="127"/>
      <c r="R149" s="127"/>
      <c r="S149" s="127"/>
      <c r="T149" s="127"/>
      <c r="U149" s="127"/>
      <c r="V149" s="127"/>
      <c r="W149" s="127"/>
      <c r="X149" s="127"/>
      <c r="Y149" s="127"/>
      <c r="Z149" s="127"/>
      <c r="AA149" s="127"/>
      <c r="AB149" s="127"/>
      <c r="AC149" s="127"/>
      <c r="AD149" s="127"/>
      <c r="AE149" s="127"/>
      <c r="AF149" s="127"/>
    </row>
    <row r="150" spans="1:32" x14ac:dyDescent="0.25">
      <c r="A150" s="124"/>
      <c r="B150" s="124"/>
      <c r="C150" s="124"/>
      <c r="D150" s="124"/>
      <c r="E150" s="124"/>
      <c r="F150" s="124"/>
      <c r="G150" s="124"/>
      <c r="H150" s="124"/>
      <c r="I150" s="124"/>
      <c r="J150" s="124"/>
      <c r="K150" s="124"/>
      <c r="L150" s="124"/>
      <c r="M150" s="124"/>
      <c r="N150" s="124"/>
      <c r="O150" s="127"/>
      <c r="P150" s="127"/>
      <c r="Q150" s="127"/>
      <c r="R150" s="127"/>
      <c r="S150" s="127"/>
      <c r="T150" s="127"/>
      <c r="U150" s="127"/>
      <c r="V150" s="127"/>
      <c r="W150" s="127"/>
      <c r="X150" s="127"/>
      <c r="Y150" s="127"/>
      <c r="Z150" s="127"/>
      <c r="AA150" s="127"/>
      <c r="AB150" s="127"/>
      <c r="AC150" s="127"/>
      <c r="AD150" s="127"/>
      <c r="AE150" s="127"/>
      <c r="AF150" s="127"/>
    </row>
    <row r="151" spans="1:32" x14ac:dyDescent="0.25">
      <c r="A151" s="124"/>
      <c r="B151" s="124"/>
      <c r="C151" s="124"/>
      <c r="D151" s="124"/>
      <c r="E151" s="124"/>
      <c r="F151" s="124"/>
      <c r="G151" s="124"/>
      <c r="H151" s="124"/>
      <c r="I151" s="124"/>
      <c r="J151" s="124"/>
      <c r="K151" s="124"/>
      <c r="L151" s="124"/>
      <c r="M151" s="124"/>
      <c r="N151" s="124"/>
      <c r="O151" s="127"/>
      <c r="P151" s="127"/>
      <c r="Q151" s="127"/>
      <c r="R151" s="127"/>
      <c r="S151" s="127"/>
      <c r="T151" s="127"/>
      <c r="U151" s="127"/>
      <c r="V151" s="127"/>
      <c r="W151" s="127"/>
      <c r="X151" s="127"/>
      <c r="Y151" s="127"/>
      <c r="Z151" s="127"/>
      <c r="AA151" s="127"/>
      <c r="AB151" s="127"/>
      <c r="AC151" s="127"/>
      <c r="AD151" s="127"/>
      <c r="AE151" s="127"/>
      <c r="AF151" s="127"/>
    </row>
    <row r="152" spans="1:32" x14ac:dyDescent="0.25">
      <c r="A152" s="124"/>
      <c r="B152" s="124"/>
      <c r="C152" s="124"/>
      <c r="D152" s="124"/>
      <c r="E152" s="124"/>
      <c r="F152" s="124"/>
      <c r="G152" s="124"/>
      <c r="H152" s="124"/>
      <c r="I152" s="124"/>
      <c r="J152" s="124"/>
      <c r="K152" s="124"/>
      <c r="L152" s="124"/>
      <c r="M152" s="124"/>
      <c r="N152" s="124"/>
      <c r="O152" s="127"/>
      <c r="P152" s="127"/>
      <c r="Q152" s="127"/>
      <c r="R152" s="127"/>
      <c r="S152" s="127"/>
      <c r="T152" s="127"/>
      <c r="U152" s="127"/>
      <c r="V152" s="127"/>
      <c r="W152" s="127"/>
      <c r="X152" s="127"/>
      <c r="Y152" s="127"/>
      <c r="Z152" s="127"/>
      <c r="AA152" s="127"/>
      <c r="AB152" s="127"/>
      <c r="AC152" s="127"/>
      <c r="AD152" s="127"/>
      <c r="AE152" s="127"/>
      <c r="AF152" s="127"/>
    </row>
    <row r="153" spans="1:32" x14ac:dyDescent="0.25">
      <c r="A153" s="124"/>
      <c r="B153" s="124"/>
      <c r="C153" s="124"/>
      <c r="D153" s="124"/>
      <c r="E153" s="124"/>
      <c r="F153" s="124"/>
      <c r="G153" s="124"/>
      <c r="H153" s="124"/>
      <c r="I153" s="124"/>
      <c r="J153" s="124"/>
      <c r="K153" s="124"/>
      <c r="L153" s="124"/>
      <c r="M153" s="124"/>
      <c r="N153" s="124"/>
      <c r="O153" s="127"/>
      <c r="P153" s="127"/>
      <c r="Q153" s="127"/>
      <c r="R153" s="127"/>
      <c r="S153" s="127"/>
      <c r="T153" s="127"/>
      <c r="U153" s="127"/>
      <c r="V153" s="127"/>
      <c r="W153" s="127"/>
      <c r="X153" s="127"/>
      <c r="Y153" s="127"/>
      <c r="Z153" s="127"/>
      <c r="AA153" s="127"/>
      <c r="AB153" s="127"/>
      <c r="AC153" s="127"/>
      <c r="AD153" s="127"/>
      <c r="AE153" s="127"/>
      <c r="AF153" s="127"/>
    </row>
    <row r="154" spans="1:32" x14ac:dyDescent="0.25">
      <c r="A154" s="124"/>
      <c r="B154" s="124"/>
      <c r="C154" s="124"/>
      <c r="D154" s="124"/>
      <c r="E154" s="124"/>
      <c r="F154" s="124"/>
      <c r="G154" s="124"/>
      <c r="H154" s="124"/>
      <c r="I154" s="124"/>
      <c r="J154" s="124"/>
      <c r="K154" s="124"/>
      <c r="L154" s="124"/>
      <c r="M154" s="124"/>
      <c r="N154" s="124"/>
      <c r="O154" s="127"/>
      <c r="P154" s="127"/>
      <c r="Q154" s="127"/>
      <c r="R154" s="127"/>
      <c r="S154" s="127"/>
      <c r="T154" s="127"/>
      <c r="U154" s="127"/>
      <c r="V154" s="127"/>
      <c r="W154" s="127"/>
      <c r="X154" s="127"/>
      <c r="Y154" s="127"/>
      <c r="Z154" s="127"/>
      <c r="AA154" s="127"/>
      <c r="AB154" s="127"/>
      <c r="AC154" s="127"/>
      <c r="AD154" s="127"/>
      <c r="AE154" s="127"/>
      <c r="AF154" s="127"/>
    </row>
    <row r="155" spans="1:32" x14ac:dyDescent="0.25">
      <c r="A155" s="124"/>
      <c r="B155" s="124"/>
      <c r="C155" s="124"/>
      <c r="D155" s="124"/>
      <c r="E155" s="124"/>
      <c r="F155" s="124"/>
      <c r="G155" s="124"/>
      <c r="H155" s="124"/>
      <c r="I155" s="124"/>
      <c r="J155" s="124"/>
      <c r="K155" s="124"/>
      <c r="L155" s="124"/>
      <c r="M155" s="124"/>
      <c r="N155" s="124"/>
      <c r="O155" s="127"/>
      <c r="P155" s="127"/>
      <c r="Q155" s="127"/>
      <c r="R155" s="127"/>
      <c r="S155" s="127"/>
      <c r="T155" s="127"/>
      <c r="U155" s="127"/>
      <c r="V155" s="127"/>
      <c r="W155" s="127"/>
      <c r="X155" s="127"/>
      <c r="Y155" s="127"/>
      <c r="Z155" s="127"/>
      <c r="AA155" s="127"/>
      <c r="AB155" s="127"/>
      <c r="AC155" s="127"/>
      <c r="AD155" s="127"/>
      <c r="AE155" s="127"/>
      <c r="AF155" s="127"/>
    </row>
    <row r="156" spans="1:32" x14ac:dyDescent="0.25">
      <c r="A156" s="124"/>
      <c r="B156" s="124"/>
      <c r="C156" s="124"/>
      <c r="D156" s="124"/>
      <c r="E156" s="124"/>
      <c r="F156" s="124"/>
      <c r="G156" s="124"/>
      <c r="H156" s="124"/>
      <c r="I156" s="124"/>
      <c r="J156" s="124"/>
      <c r="K156" s="124"/>
      <c r="L156" s="124"/>
      <c r="M156" s="124"/>
      <c r="N156" s="124"/>
      <c r="O156" s="127"/>
      <c r="P156" s="127"/>
      <c r="Q156" s="127"/>
      <c r="R156" s="127"/>
      <c r="S156" s="127"/>
      <c r="T156" s="127"/>
      <c r="U156" s="127"/>
      <c r="V156" s="127"/>
      <c r="W156" s="127"/>
      <c r="X156" s="127"/>
      <c r="Y156" s="127"/>
      <c r="Z156" s="127"/>
      <c r="AA156" s="127"/>
      <c r="AB156" s="127"/>
      <c r="AC156" s="127"/>
      <c r="AD156" s="127"/>
      <c r="AE156" s="127"/>
      <c r="AF156" s="127"/>
    </row>
    <row r="157" spans="1:32" x14ac:dyDescent="0.25">
      <c r="A157" s="124"/>
      <c r="B157" s="124"/>
      <c r="C157" s="124"/>
      <c r="D157" s="124"/>
      <c r="E157" s="124"/>
      <c r="F157" s="124"/>
      <c r="G157" s="124"/>
      <c r="H157" s="124"/>
      <c r="I157" s="124"/>
      <c r="J157" s="124"/>
      <c r="K157" s="124"/>
      <c r="L157" s="124"/>
      <c r="M157" s="124"/>
      <c r="N157" s="124"/>
      <c r="O157" s="127"/>
      <c r="P157" s="127"/>
      <c r="Q157" s="127"/>
      <c r="R157" s="127"/>
      <c r="S157" s="127"/>
      <c r="T157" s="127"/>
      <c r="U157" s="127"/>
      <c r="V157" s="127"/>
      <c r="W157" s="127"/>
      <c r="X157" s="127"/>
      <c r="Y157" s="127"/>
      <c r="Z157" s="127"/>
      <c r="AA157" s="127"/>
      <c r="AB157" s="127"/>
      <c r="AC157" s="127"/>
      <c r="AD157" s="127"/>
      <c r="AE157" s="127"/>
      <c r="AF157" s="127"/>
    </row>
    <row r="158" spans="1:32" x14ac:dyDescent="0.25">
      <c r="A158" s="124"/>
      <c r="B158" s="124"/>
      <c r="C158" s="124"/>
      <c r="D158" s="124"/>
      <c r="E158" s="124"/>
      <c r="F158" s="124"/>
      <c r="G158" s="124"/>
      <c r="H158" s="124"/>
      <c r="I158" s="124"/>
      <c r="J158" s="124"/>
      <c r="K158" s="124"/>
      <c r="L158" s="124"/>
      <c r="M158" s="124"/>
      <c r="N158" s="124"/>
      <c r="O158" s="127"/>
      <c r="P158" s="127"/>
      <c r="Q158" s="127"/>
      <c r="R158" s="127"/>
      <c r="S158" s="127"/>
      <c r="T158" s="127"/>
      <c r="U158" s="127"/>
      <c r="V158" s="127"/>
      <c r="W158" s="127"/>
      <c r="X158" s="127"/>
      <c r="Y158" s="127"/>
      <c r="Z158" s="127"/>
      <c r="AA158" s="127"/>
      <c r="AB158" s="127"/>
      <c r="AC158" s="127"/>
      <c r="AD158" s="127"/>
      <c r="AE158" s="127"/>
      <c r="AF158" s="127"/>
    </row>
    <row r="159" spans="1:32" x14ac:dyDescent="0.25">
      <c r="A159" s="124"/>
      <c r="B159" s="124"/>
      <c r="C159" s="124"/>
      <c r="D159" s="124"/>
      <c r="E159" s="124"/>
      <c r="F159" s="124"/>
      <c r="G159" s="124"/>
      <c r="H159" s="124"/>
      <c r="I159" s="124"/>
      <c r="J159" s="124"/>
      <c r="K159" s="124"/>
      <c r="L159" s="124"/>
      <c r="M159" s="124"/>
      <c r="N159" s="124"/>
      <c r="O159" s="127"/>
      <c r="P159" s="127"/>
      <c r="Q159" s="127"/>
      <c r="R159" s="127"/>
      <c r="S159" s="127"/>
      <c r="T159" s="127"/>
      <c r="U159" s="127"/>
      <c r="V159" s="127"/>
      <c r="W159" s="127"/>
      <c r="X159" s="127"/>
      <c r="Y159" s="127"/>
      <c r="Z159" s="127"/>
      <c r="AA159" s="127"/>
      <c r="AB159" s="127"/>
      <c r="AC159" s="127"/>
      <c r="AD159" s="127"/>
      <c r="AE159" s="127"/>
      <c r="AF159" s="127"/>
    </row>
    <row r="160" spans="1:32" x14ac:dyDescent="0.25">
      <c r="A160" s="124"/>
      <c r="B160" s="124"/>
      <c r="C160" s="124"/>
      <c r="D160" s="124"/>
      <c r="E160" s="124"/>
      <c r="F160" s="124"/>
      <c r="G160" s="124"/>
      <c r="H160" s="124"/>
      <c r="I160" s="124"/>
      <c r="J160" s="124"/>
      <c r="K160" s="124"/>
      <c r="L160" s="124"/>
      <c r="M160" s="124"/>
      <c r="N160" s="124"/>
      <c r="O160" s="127"/>
      <c r="P160" s="127"/>
      <c r="Q160" s="127"/>
      <c r="R160" s="127"/>
      <c r="S160" s="127"/>
      <c r="T160" s="127"/>
      <c r="U160" s="127"/>
      <c r="V160" s="127"/>
      <c r="W160" s="127"/>
      <c r="X160" s="127"/>
      <c r="Y160" s="127"/>
      <c r="Z160" s="127"/>
      <c r="AA160" s="127"/>
      <c r="AB160" s="127"/>
      <c r="AC160" s="127"/>
      <c r="AD160" s="127"/>
      <c r="AE160" s="127"/>
      <c r="AF160" s="127"/>
    </row>
    <row r="161" spans="1:32" x14ac:dyDescent="0.25">
      <c r="A161" s="124"/>
      <c r="B161" s="124"/>
      <c r="C161" s="124"/>
      <c r="D161" s="124"/>
      <c r="E161" s="124"/>
      <c r="F161" s="124"/>
      <c r="G161" s="124"/>
      <c r="H161" s="124"/>
      <c r="I161" s="124"/>
      <c r="J161" s="124"/>
      <c r="K161" s="124"/>
      <c r="L161" s="124"/>
      <c r="M161" s="124"/>
      <c r="N161" s="124"/>
      <c r="O161" s="127"/>
      <c r="P161" s="127"/>
      <c r="Q161" s="127"/>
      <c r="R161" s="127"/>
      <c r="S161" s="127"/>
      <c r="T161" s="127"/>
      <c r="U161" s="127"/>
      <c r="V161" s="127"/>
      <c r="W161" s="127"/>
      <c r="X161" s="127"/>
      <c r="Y161" s="127"/>
      <c r="Z161" s="127"/>
      <c r="AA161" s="127"/>
      <c r="AB161" s="127"/>
      <c r="AC161" s="127"/>
      <c r="AD161" s="127"/>
      <c r="AE161" s="127"/>
      <c r="AF161" s="127"/>
    </row>
    <row r="162" spans="1:32" x14ac:dyDescent="0.25">
      <c r="A162" s="124"/>
      <c r="B162" s="124"/>
      <c r="C162" s="124"/>
      <c r="D162" s="124"/>
      <c r="E162" s="124"/>
      <c r="F162" s="124"/>
      <c r="G162" s="124"/>
      <c r="H162" s="124"/>
      <c r="I162" s="124"/>
      <c r="J162" s="124"/>
      <c r="K162" s="124"/>
      <c r="L162" s="124"/>
      <c r="M162" s="124"/>
      <c r="N162" s="124"/>
      <c r="O162" s="127"/>
      <c r="P162" s="127"/>
      <c r="Q162" s="127"/>
      <c r="R162" s="127"/>
      <c r="S162" s="127"/>
      <c r="T162" s="127"/>
      <c r="U162" s="127"/>
      <c r="V162" s="127"/>
      <c r="W162" s="127"/>
      <c r="X162" s="127"/>
      <c r="Y162" s="127"/>
      <c r="Z162" s="127"/>
      <c r="AA162" s="127"/>
      <c r="AB162" s="127"/>
      <c r="AC162" s="127"/>
      <c r="AD162" s="127"/>
      <c r="AE162" s="127"/>
      <c r="AF162" s="127"/>
    </row>
    <row r="163" spans="1:32" x14ac:dyDescent="0.25">
      <c r="A163" s="124"/>
      <c r="B163" s="124"/>
      <c r="C163" s="124"/>
      <c r="D163" s="124"/>
      <c r="E163" s="124"/>
      <c r="F163" s="124"/>
      <c r="G163" s="124"/>
      <c r="H163" s="124"/>
      <c r="I163" s="124"/>
      <c r="J163" s="124"/>
      <c r="K163" s="124"/>
      <c r="L163" s="124"/>
      <c r="M163" s="124"/>
      <c r="N163" s="124"/>
      <c r="O163" s="127"/>
      <c r="P163" s="127"/>
      <c r="Q163" s="127"/>
      <c r="R163" s="127"/>
      <c r="S163" s="127"/>
      <c r="T163" s="127"/>
      <c r="U163" s="127"/>
      <c r="V163" s="127"/>
      <c r="W163" s="127"/>
      <c r="X163" s="127"/>
      <c r="Y163" s="127"/>
      <c r="Z163" s="127"/>
      <c r="AA163" s="127"/>
      <c r="AB163" s="127"/>
      <c r="AC163" s="127"/>
      <c r="AD163" s="127"/>
      <c r="AE163" s="127"/>
      <c r="AF163" s="127"/>
    </row>
    <row r="164" spans="1:32" x14ac:dyDescent="0.25">
      <c r="A164" s="124"/>
      <c r="B164" s="124"/>
      <c r="C164" s="124"/>
      <c r="D164" s="124"/>
      <c r="E164" s="124"/>
      <c r="F164" s="124"/>
      <c r="G164" s="124"/>
      <c r="H164" s="124"/>
      <c r="I164" s="124"/>
      <c r="J164" s="124"/>
      <c r="K164" s="124"/>
      <c r="L164" s="124"/>
      <c r="M164" s="124"/>
      <c r="N164" s="124"/>
      <c r="O164" s="127"/>
      <c r="P164" s="127"/>
      <c r="Q164" s="127"/>
      <c r="R164" s="127"/>
      <c r="S164" s="127"/>
      <c r="T164" s="127"/>
      <c r="U164" s="127"/>
      <c r="V164" s="127"/>
      <c r="W164" s="127"/>
      <c r="X164" s="127"/>
      <c r="Y164" s="127"/>
      <c r="Z164" s="127"/>
      <c r="AA164" s="127"/>
      <c r="AB164" s="127"/>
      <c r="AC164" s="127"/>
      <c r="AD164" s="127"/>
      <c r="AE164" s="127"/>
      <c r="AF164" s="127"/>
    </row>
    <row r="165" spans="1:32" x14ac:dyDescent="0.25">
      <c r="A165" s="124"/>
      <c r="B165" s="124"/>
      <c r="C165" s="124"/>
      <c r="D165" s="124"/>
      <c r="E165" s="124"/>
      <c r="F165" s="124"/>
      <c r="G165" s="124"/>
      <c r="H165" s="124"/>
      <c r="I165" s="124"/>
      <c r="J165" s="124"/>
      <c r="K165" s="124"/>
      <c r="L165" s="124"/>
      <c r="M165" s="124"/>
      <c r="N165" s="124"/>
      <c r="O165" s="127"/>
      <c r="P165" s="127"/>
      <c r="Q165" s="127"/>
      <c r="R165" s="127"/>
      <c r="S165" s="127"/>
      <c r="T165" s="127"/>
      <c r="U165" s="127"/>
      <c r="V165" s="127"/>
      <c r="W165" s="127"/>
      <c r="X165" s="127"/>
      <c r="Y165" s="127"/>
      <c r="Z165" s="127"/>
      <c r="AA165" s="127"/>
      <c r="AB165" s="127"/>
      <c r="AC165" s="127"/>
      <c r="AD165" s="127"/>
      <c r="AE165" s="127"/>
      <c r="AF165" s="127"/>
    </row>
    <row r="166" spans="1:32" x14ac:dyDescent="0.25">
      <c r="A166" s="124"/>
      <c r="B166" s="124"/>
      <c r="C166" s="124"/>
      <c r="D166" s="124"/>
      <c r="E166" s="124"/>
      <c r="F166" s="124"/>
      <c r="G166" s="124"/>
      <c r="H166" s="124"/>
      <c r="I166" s="124"/>
      <c r="J166" s="124"/>
      <c r="K166" s="124"/>
      <c r="L166" s="124"/>
      <c r="M166" s="124"/>
      <c r="N166" s="124"/>
      <c r="O166" s="127"/>
      <c r="P166" s="127"/>
      <c r="Q166" s="127"/>
      <c r="R166" s="127"/>
      <c r="S166" s="127"/>
      <c r="T166" s="127"/>
      <c r="U166" s="127"/>
      <c r="V166" s="127"/>
      <c r="W166" s="127"/>
      <c r="X166" s="127"/>
      <c r="Y166" s="127"/>
      <c r="Z166" s="127"/>
      <c r="AA166" s="127"/>
      <c r="AB166" s="127"/>
      <c r="AC166" s="127"/>
      <c r="AD166" s="127"/>
      <c r="AE166" s="127"/>
      <c r="AF166" s="127"/>
    </row>
    <row r="167" spans="1:32" x14ac:dyDescent="0.25">
      <c r="A167" s="124"/>
      <c r="B167" s="124"/>
      <c r="C167" s="124"/>
      <c r="D167" s="124"/>
      <c r="E167" s="124"/>
      <c r="F167" s="124"/>
      <c r="G167" s="124"/>
      <c r="H167" s="124"/>
      <c r="I167" s="124"/>
      <c r="J167" s="124"/>
      <c r="K167" s="124"/>
      <c r="L167" s="124"/>
      <c r="M167" s="124"/>
      <c r="N167" s="124"/>
      <c r="O167" s="127"/>
      <c r="P167" s="127"/>
      <c r="Q167" s="127"/>
      <c r="R167" s="127"/>
      <c r="S167" s="127"/>
      <c r="T167" s="127"/>
      <c r="U167" s="127"/>
      <c r="V167" s="127"/>
      <c r="W167" s="127"/>
      <c r="X167" s="127"/>
      <c r="Y167" s="127"/>
      <c r="Z167" s="127"/>
      <c r="AA167" s="127"/>
      <c r="AB167" s="127"/>
      <c r="AC167" s="127"/>
      <c r="AD167" s="127"/>
      <c r="AE167" s="127"/>
      <c r="AF167" s="127"/>
    </row>
    <row r="168" spans="1:32" x14ac:dyDescent="0.25">
      <c r="A168" s="124"/>
      <c r="B168" s="124"/>
      <c r="C168" s="124"/>
      <c r="D168" s="124"/>
      <c r="E168" s="124"/>
      <c r="F168" s="124"/>
      <c r="G168" s="124"/>
      <c r="H168" s="124"/>
      <c r="I168" s="124"/>
      <c r="J168" s="124"/>
      <c r="K168" s="124"/>
      <c r="L168" s="124"/>
      <c r="M168" s="124"/>
      <c r="N168" s="124"/>
      <c r="O168" s="127"/>
      <c r="P168" s="127"/>
      <c r="Q168" s="127"/>
      <c r="R168" s="127"/>
      <c r="S168" s="127"/>
      <c r="T168" s="127"/>
      <c r="U168" s="127"/>
      <c r="V168" s="127"/>
      <c r="W168" s="127"/>
      <c r="X168" s="127"/>
      <c r="Y168" s="127"/>
      <c r="Z168" s="127"/>
      <c r="AA168" s="127"/>
      <c r="AB168" s="127"/>
      <c r="AC168" s="127"/>
      <c r="AD168" s="127"/>
      <c r="AE168" s="127"/>
      <c r="AF168" s="127"/>
    </row>
    <row r="169" spans="1:32" x14ac:dyDescent="0.25">
      <c r="A169" s="124"/>
      <c r="B169" s="124"/>
      <c r="C169" s="124"/>
      <c r="D169" s="124"/>
      <c r="E169" s="124"/>
      <c r="F169" s="124"/>
      <c r="G169" s="124"/>
      <c r="H169" s="124"/>
      <c r="I169" s="124"/>
      <c r="J169" s="124"/>
      <c r="K169" s="124"/>
      <c r="L169" s="124"/>
      <c r="M169" s="124"/>
      <c r="N169" s="124"/>
      <c r="O169" s="127"/>
      <c r="P169" s="127"/>
      <c r="Q169" s="127"/>
      <c r="R169" s="127"/>
      <c r="S169" s="127"/>
      <c r="T169" s="127"/>
      <c r="U169" s="127"/>
      <c r="V169" s="127"/>
      <c r="W169" s="127"/>
      <c r="X169" s="127"/>
      <c r="Y169" s="127"/>
      <c r="Z169" s="127"/>
      <c r="AA169" s="127"/>
      <c r="AB169" s="127"/>
      <c r="AC169" s="127"/>
      <c r="AD169" s="127"/>
      <c r="AE169" s="127"/>
      <c r="AF169" s="127"/>
    </row>
    <row r="170" spans="1:32" x14ac:dyDescent="0.25">
      <c r="A170" s="124"/>
      <c r="B170" s="124"/>
      <c r="C170" s="124"/>
      <c r="D170" s="124"/>
      <c r="E170" s="124"/>
      <c r="F170" s="124"/>
      <c r="G170" s="124"/>
      <c r="H170" s="124"/>
      <c r="I170" s="124"/>
      <c r="J170" s="124"/>
      <c r="K170" s="124"/>
      <c r="L170" s="124"/>
      <c r="M170" s="124"/>
      <c r="N170" s="124"/>
      <c r="O170" s="127"/>
      <c r="P170" s="127"/>
      <c r="Q170" s="127"/>
      <c r="R170" s="127"/>
      <c r="S170" s="127"/>
      <c r="T170" s="127"/>
      <c r="U170" s="127"/>
      <c r="V170" s="127"/>
      <c r="W170" s="127"/>
      <c r="X170" s="127"/>
      <c r="Y170" s="127"/>
      <c r="Z170" s="127"/>
      <c r="AA170" s="127"/>
      <c r="AB170" s="127"/>
      <c r="AC170" s="127"/>
      <c r="AD170" s="127"/>
      <c r="AE170" s="127"/>
      <c r="AF170" s="127"/>
    </row>
    <row r="171" spans="1:32" x14ac:dyDescent="0.25">
      <c r="A171" s="124"/>
      <c r="B171" s="124"/>
      <c r="C171" s="124"/>
      <c r="D171" s="124"/>
      <c r="E171" s="124"/>
      <c r="F171" s="124"/>
      <c r="G171" s="124"/>
      <c r="H171" s="124"/>
      <c r="I171" s="124"/>
      <c r="J171" s="124"/>
      <c r="K171" s="124"/>
      <c r="L171" s="124"/>
      <c r="M171" s="124"/>
      <c r="N171" s="124"/>
      <c r="O171" s="127"/>
      <c r="P171" s="127"/>
      <c r="Q171" s="127"/>
      <c r="R171" s="127"/>
      <c r="S171" s="127"/>
      <c r="T171" s="127"/>
      <c r="U171" s="127"/>
      <c r="V171" s="127"/>
      <c r="W171" s="127"/>
      <c r="X171" s="127"/>
      <c r="Y171" s="127"/>
      <c r="Z171" s="127"/>
      <c r="AA171" s="127"/>
      <c r="AB171" s="127"/>
      <c r="AC171" s="127"/>
      <c r="AD171" s="127"/>
      <c r="AE171" s="127"/>
      <c r="AF171" s="127"/>
    </row>
    <row r="172" spans="1:32" x14ac:dyDescent="0.25">
      <c r="A172" s="124"/>
      <c r="B172" s="124"/>
      <c r="C172" s="124"/>
      <c r="D172" s="124"/>
      <c r="E172" s="124"/>
      <c r="F172" s="124"/>
      <c r="G172" s="124"/>
      <c r="H172" s="124"/>
      <c r="I172" s="124"/>
      <c r="J172" s="124"/>
      <c r="K172" s="124"/>
      <c r="L172" s="124"/>
      <c r="M172" s="124"/>
      <c r="N172" s="124"/>
      <c r="O172" s="127"/>
      <c r="P172" s="127"/>
      <c r="Q172" s="127"/>
      <c r="R172" s="127"/>
      <c r="S172" s="127"/>
      <c r="T172" s="127"/>
      <c r="U172" s="127"/>
      <c r="V172" s="127"/>
      <c r="W172" s="127"/>
      <c r="X172" s="127"/>
      <c r="Y172" s="127"/>
      <c r="Z172" s="127"/>
      <c r="AA172" s="127"/>
      <c r="AB172" s="127"/>
      <c r="AC172" s="127"/>
      <c r="AD172" s="127"/>
      <c r="AE172" s="127"/>
      <c r="AF172" s="127"/>
    </row>
    <row r="173" spans="1:32" x14ac:dyDescent="0.25">
      <c r="A173" s="124"/>
      <c r="B173" s="124"/>
      <c r="C173" s="124"/>
      <c r="D173" s="124"/>
      <c r="E173" s="124"/>
      <c r="F173" s="124"/>
      <c r="G173" s="124"/>
      <c r="H173" s="124"/>
      <c r="I173" s="124"/>
      <c r="J173" s="124"/>
      <c r="K173" s="124"/>
      <c r="L173" s="124"/>
      <c r="M173" s="124"/>
      <c r="N173" s="124"/>
      <c r="O173" s="127"/>
      <c r="P173" s="127"/>
      <c r="Q173" s="127"/>
      <c r="R173" s="127"/>
      <c r="S173" s="127"/>
      <c r="T173" s="127"/>
      <c r="U173" s="127"/>
      <c r="V173" s="127"/>
      <c r="W173" s="127"/>
      <c r="X173" s="127"/>
      <c r="Y173" s="127"/>
      <c r="Z173" s="127"/>
      <c r="AA173" s="127"/>
      <c r="AB173" s="127"/>
      <c r="AC173" s="127"/>
      <c r="AD173" s="127"/>
      <c r="AE173" s="127"/>
      <c r="AF173" s="127"/>
    </row>
    <row r="174" spans="1:32" x14ac:dyDescent="0.25">
      <c r="A174" s="124"/>
      <c r="B174" s="124"/>
      <c r="C174" s="124"/>
      <c r="D174" s="124"/>
      <c r="E174" s="124"/>
      <c r="F174" s="124"/>
      <c r="G174" s="124"/>
      <c r="H174" s="124"/>
      <c r="I174" s="124"/>
      <c r="J174" s="124"/>
      <c r="K174" s="124"/>
      <c r="L174" s="124"/>
      <c r="M174" s="124"/>
      <c r="N174" s="124"/>
      <c r="O174" s="127"/>
      <c r="P174" s="127"/>
      <c r="Q174" s="127"/>
      <c r="R174" s="127"/>
      <c r="S174" s="127"/>
      <c r="T174" s="127"/>
      <c r="U174" s="127"/>
      <c r="V174" s="127"/>
      <c r="W174" s="127"/>
      <c r="X174" s="127"/>
      <c r="Y174" s="127"/>
      <c r="Z174" s="127"/>
      <c r="AA174" s="127"/>
      <c r="AB174" s="127"/>
      <c r="AC174" s="127"/>
      <c r="AD174" s="127"/>
      <c r="AE174" s="127"/>
      <c r="AF174" s="127"/>
    </row>
  </sheetData>
  <sheetProtection password="CF7D" sheet="1" objects="1" scenarios="1"/>
  <mergeCells count="110">
    <mergeCell ref="B17:D17"/>
    <mergeCell ref="B70:D70"/>
    <mergeCell ref="B71:D71"/>
    <mergeCell ref="B72:D72"/>
    <mergeCell ref="B12:D12"/>
    <mergeCell ref="B18:D18"/>
    <mergeCell ref="B19:D19"/>
    <mergeCell ref="B20:D20"/>
    <mergeCell ref="B21:D21"/>
    <mergeCell ref="B22:D22"/>
    <mergeCell ref="B23:D23"/>
    <mergeCell ref="B41:D41"/>
    <mergeCell ref="B42:D42"/>
    <mergeCell ref="B43:D43"/>
    <mergeCell ref="B44:D44"/>
    <mergeCell ref="B45:D45"/>
    <mergeCell ref="B46:D46"/>
    <mergeCell ref="B1:N1"/>
    <mergeCell ref="I7:I8"/>
    <mergeCell ref="F8:G8"/>
    <mergeCell ref="B10:D11"/>
    <mergeCell ref="E10:E11"/>
    <mergeCell ref="F10:H10"/>
    <mergeCell ref="F3:I3"/>
    <mergeCell ref="I10:I11"/>
    <mergeCell ref="J10:J11"/>
    <mergeCell ref="K10:K11"/>
    <mergeCell ref="F4:G4"/>
    <mergeCell ref="F5:G5"/>
    <mergeCell ref="F6:G6"/>
    <mergeCell ref="B3:D3"/>
    <mergeCell ref="B5:D5"/>
    <mergeCell ref="M10:M11"/>
    <mergeCell ref="L10:L11"/>
    <mergeCell ref="N10:N11"/>
    <mergeCell ref="F7:G7"/>
    <mergeCell ref="B13:D13"/>
    <mergeCell ref="B69:D69"/>
    <mergeCell ref="B14:D14"/>
    <mergeCell ref="B15:D15"/>
    <mergeCell ref="B16:D16"/>
    <mergeCell ref="B24:D24"/>
    <mergeCell ref="B25:D25"/>
    <mergeCell ref="B26:D26"/>
    <mergeCell ref="B27:D27"/>
    <mergeCell ref="B28:D28"/>
    <mergeCell ref="B29:D29"/>
    <mergeCell ref="B30:D30"/>
    <mergeCell ref="B31:D31"/>
    <mergeCell ref="B32:D32"/>
    <mergeCell ref="B33:D33"/>
    <mergeCell ref="B34:D34"/>
    <mergeCell ref="B35:D35"/>
    <mergeCell ref="B36:D36"/>
    <mergeCell ref="B37:D37"/>
    <mergeCell ref="B38:D38"/>
    <mergeCell ref="B39:D39"/>
    <mergeCell ref="B40:D40"/>
    <mergeCell ref="B62:D62"/>
    <mergeCell ref="B98:D98"/>
    <mergeCell ref="B99:D99"/>
    <mergeCell ref="B92:D92"/>
    <mergeCell ref="B68:D68"/>
    <mergeCell ref="B81:D81"/>
    <mergeCell ref="B82:D82"/>
    <mergeCell ref="B94:D94"/>
    <mergeCell ref="B78:D78"/>
    <mergeCell ref="B88:D88"/>
    <mergeCell ref="B77:D77"/>
    <mergeCell ref="B73:D73"/>
    <mergeCell ref="B75:D75"/>
    <mergeCell ref="B47:D47"/>
    <mergeCell ref="B48:D48"/>
    <mergeCell ref="B49:D49"/>
    <mergeCell ref="B50:D50"/>
    <mergeCell ref="G103:H103"/>
    <mergeCell ref="B103:E103"/>
    <mergeCell ref="B89:D89"/>
    <mergeCell ref="B90:D90"/>
    <mergeCell ref="B91:D91"/>
    <mergeCell ref="B95:D95"/>
    <mergeCell ref="B100:D100"/>
    <mergeCell ref="B96:D96"/>
    <mergeCell ref="B97:D97"/>
    <mergeCell ref="B93:D93"/>
    <mergeCell ref="B74:D74"/>
    <mergeCell ref="B85:D85"/>
    <mergeCell ref="B86:D86"/>
    <mergeCell ref="B76:D76"/>
    <mergeCell ref="B87:D87"/>
    <mergeCell ref="B79:D79"/>
    <mergeCell ref="B83:D83"/>
    <mergeCell ref="B84:D84"/>
    <mergeCell ref="B80:D80"/>
    <mergeCell ref="B51:D51"/>
    <mergeCell ref="B67:D67"/>
    <mergeCell ref="B60:D60"/>
    <mergeCell ref="B61:D61"/>
    <mergeCell ref="B52:D52"/>
    <mergeCell ref="B53:D53"/>
    <mergeCell ref="B54:D54"/>
    <mergeCell ref="B55:D55"/>
    <mergeCell ref="B56:D56"/>
    <mergeCell ref="B57:D57"/>
    <mergeCell ref="B58:D58"/>
    <mergeCell ref="B59:D59"/>
    <mergeCell ref="B66:D66"/>
    <mergeCell ref="B63:D63"/>
    <mergeCell ref="B64:D64"/>
    <mergeCell ref="B65:D65"/>
  </mergeCells>
  <phoneticPr fontId="2" type="noConversion"/>
  <conditionalFormatting sqref="E12:E100">
    <cfRule type="cellIs" dxfId="48" priority="9" stopIfTrue="1" operator="greaterThan">
      <formula>1000</formula>
    </cfRule>
  </conditionalFormatting>
  <conditionalFormatting sqref="I4:I5">
    <cfRule type="cellIs" dxfId="47" priority="2" stopIfTrue="1" operator="equal">
      <formula>"N/A"</formula>
    </cfRule>
    <cfRule type="cellIs" dxfId="46" priority="3" stopIfTrue="1" operator="greaterThan">
      <formula>1</formula>
    </cfRule>
  </conditionalFormatting>
  <conditionalFormatting sqref="M12:M100">
    <cfRule type="cellIs" dxfId="45" priority="14" stopIfTrue="1" operator="lessThanOrEqual">
      <formula>0</formula>
    </cfRule>
  </conditionalFormatting>
  <conditionalFormatting sqref="N12:N100">
    <cfRule type="cellIs" dxfId="44" priority="1" stopIfTrue="1" operator="lessThanOrEqual">
      <formula>0</formula>
    </cfRule>
  </conditionalFormatting>
  <dataValidations count="8">
    <dataValidation type="decimal" operator="greaterThanOrEqual" allowBlank="1" showInputMessage="1" showErrorMessage="1" errorTitle="Invalid Clock Frequency" error="The clock frequency must be a decimal number greater than 0.0." sqref="E12:E100" xr:uid="{00000000-0002-0000-0200-000000000000}">
      <formula1>0</formula1>
    </dataValidation>
    <dataValidation type="whole" operator="greaterThanOrEqual" allowBlank="1" showInputMessage="1" showErrorMessage="1" errorTitle="Invalid Number of LUTs" error="The number of LUTs must be an integer greater than 0." sqref="F12:F101" xr:uid="{00000000-0002-0000-0200-000001000000}">
      <formula1>0</formula1>
    </dataValidation>
    <dataValidation type="whole" operator="greaterThanOrEqual" allowBlank="1" showInputMessage="1" showErrorMessage="1" errorTitle="Invalid Number of ShiftRegs" error="The number of ShiftRegs must be an integer greater than 0." sqref="G12:G101" xr:uid="{00000000-0002-0000-0200-000002000000}">
      <formula1>0</formula1>
    </dataValidation>
    <dataValidation type="whole" operator="greaterThanOrEqual" allowBlank="1" showInputMessage="1" showErrorMessage="1" errorTitle="Invalid Number of SelRAMs" error="The number of SelRAMs must be an integer greater than 0." sqref="H12:H101" xr:uid="{00000000-0002-0000-0200-000003000000}">
      <formula1>0</formula1>
    </dataValidation>
    <dataValidation type="whole" operator="greaterThanOrEqual" allowBlank="1" showInputMessage="1" showErrorMessage="1" errorTitle="Invalid Number of FFs" error="The number of FFs must be an integer greater than 0." sqref="I12:I101" xr:uid="{00000000-0002-0000-0200-000004000000}">
      <formula1>0</formula1>
    </dataValidation>
    <dataValidation type="decimal" allowBlank="1" showInputMessage="1" showErrorMessage="1" errorTitle="Invalid Rate Setting" error="Rate must be between 0% and 1,000%." sqref="J12:J100" xr:uid="{00000000-0002-0000-0200-000005000000}">
      <formula1>0</formula1>
      <formula2>10</formula2>
    </dataValidation>
    <dataValidation type="decimal" allowBlank="1" showInputMessage="1" showErrorMessage="1" errorTitle="Invalid Rate Setting" error="Rate must be between 0% and 100%." sqref="L12:L100" xr:uid="{00000000-0002-0000-0200-000006000000}">
      <formula1>0</formula1>
      <formula2>1</formula2>
    </dataValidation>
    <dataValidation type="decimal" allowBlank="1" showInputMessage="1" showErrorMessage="1" errorTitle="Invalid Net Fanout" error="Average fanout must be a decimal value between 1 and 50." sqref="K12:K100" xr:uid="{00000000-0002-0000-0200-000007000000}">
      <formula1>1</formula1>
      <formula2>50</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4103" r:id="rId4" name="Summary">
          <controlPr defaultSize="0" autoLine="0" r:id="rId5">
            <anchor moveWithCells="1">
              <from>
                <xdr:col>1</xdr:col>
                <xdr:colOff>38100</xdr:colOff>
                <xdr:row>0</xdr:row>
                <xdr:rowOff>38100</xdr:rowOff>
              </from>
              <to>
                <xdr:col>2</xdr:col>
                <xdr:colOff>464820</xdr:colOff>
                <xdr:row>0</xdr:row>
                <xdr:rowOff>312420</xdr:rowOff>
              </to>
            </anchor>
          </controlPr>
        </control>
      </mc:Choice>
      <mc:Fallback>
        <control shapeId="4103" r:id="rId4" name="Summary"/>
      </mc:Fallback>
    </mc:AlternateContent>
  </control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CG204"/>
  <sheetViews>
    <sheetView tabSelected="1" zoomScaleNormal="100" workbookViewId="0">
      <selection activeCell="U11" sqref="U11"/>
    </sheetView>
  </sheetViews>
  <sheetFormatPr baseColWidth="10" defaultColWidth="9" defaultRowHeight="13.2" x14ac:dyDescent="0.25"/>
  <cols>
    <col min="1" max="1" width="2.77734375" customWidth="1"/>
    <col min="2" max="2" width="8.6640625" customWidth="1"/>
    <col min="3" max="3" width="9" customWidth="1"/>
    <col min="4" max="6" width="9.77734375" customWidth="1"/>
    <col min="7" max="7" width="9.6640625" customWidth="1"/>
    <col min="8" max="10" width="7.6640625" customWidth="1"/>
    <col min="11" max="12" width="9.21875" customWidth="1"/>
    <col min="13" max="13" width="14.77734375" customWidth="1"/>
    <col min="14" max="14" width="12.77734375" customWidth="1"/>
    <col min="15" max="15" width="9.88671875" customWidth="1"/>
    <col min="16" max="16" width="7.6640625" customWidth="1"/>
    <col min="17" max="17" width="7.88671875" customWidth="1"/>
    <col min="18" max="18" width="6.88671875" customWidth="1"/>
    <col min="19" max="20" width="8" customWidth="1"/>
    <col min="21" max="21" width="7.6640625" customWidth="1"/>
    <col min="22" max="22" width="9.21875" customWidth="1"/>
    <col min="23" max="23" width="9" customWidth="1"/>
    <col min="24" max="24" width="9.21875" customWidth="1"/>
    <col min="25" max="25" width="12.77734375" hidden="1" customWidth="1"/>
    <col min="26" max="26" width="9.109375" hidden="1" customWidth="1"/>
    <col min="27" max="27" width="12.77734375" hidden="1" customWidth="1"/>
    <col min="28" max="29" width="9.21875" hidden="1" customWidth="1"/>
    <col min="30" max="30" width="10.109375" customWidth="1"/>
    <col min="31" max="31" width="8.77734375" customWidth="1"/>
    <col min="32" max="32" width="10.88671875" customWidth="1"/>
    <col min="33" max="63" width="9.21875" customWidth="1"/>
  </cols>
  <sheetData>
    <row r="1" spans="1:85" ht="28.5" customHeight="1" x14ac:dyDescent="0.25">
      <c r="A1" s="127"/>
      <c r="B1" s="687" t="s">
        <v>237</v>
      </c>
      <c r="C1" s="687"/>
      <c r="D1" s="687"/>
      <c r="E1" s="687"/>
      <c r="F1" s="687"/>
      <c r="G1" s="687"/>
      <c r="H1" s="687"/>
      <c r="I1" s="687"/>
      <c r="J1" s="687"/>
      <c r="K1" s="687"/>
      <c r="L1" s="687"/>
      <c r="M1" s="687"/>
      <c r="N1" s="687"/>
      <c r="O1" s="687"/>
      <c r="P1" s="687"/>
      <c r="Q1" s="687"/>
      <c r="R1" s="687"/>
      <c r="S1" s="687"/>
      <c r="T1" s="687"/>
      <c r="U1" s="687"/>
      <c r="V1" s="687"/>
      <c r="W1" s="687"/>
      <c r="X1" s="687"/>
      <c r="Y1" s="687"/>
      <c r="Z1" s="687"/>
      <c r="AA1" s="687"/>
      <c r="AB1" s="687"/>
      <c r="AC1" s="687"/>
      <c r="AD1" s="687"/>
      <c r="AE1" s="341"/>
      <c r="AF1" s="341"/>
      <c r="AG1" s="341"/>
      <c r="AH1" s="341"/>
      <c r="AI1" s="341"/>
      <c r="AJ1" s="341"/>
      <c r="AK1" s="341"/>
      <c r="AL1" s="341"/>
      <c r="AM1" s="333" t="s">
        <v>458</v>
      </c>
      <c r="AN1" s="333" t="s">
        <v>458</v>
      </c>
      <c r="AO1" s="333" t="s">
        <v>396</v>
      </c>
      <c r="AP1" s="341"/>
      <c r="AQ1" s="341"/>
      <c r="AR1" s="341"/>
      <c r="AS1" s="341"/>
      <c r="AT1" s="341"/>
      <c r="AU1" s="341"/>
      <c r="AV1" s="341"/>
      <c r="AW1" s="341"/>
      <c r="AX1" s="341"/>
      <c r="AY1" s="341"/>
      <c r="AZ1" s="341"/>
      <c r="BA1" s="341"/>
      <c r="BB1" s="341"/>
      <c r="BC1" s="341"/>
      <c r="BD1" s="341"/>
      <c r="BE1" s="341"/>
      <c r="BF1" s="341"/>
      <c r="BG1" s="341"/>
      <c r="BH1" s="341"/>
      <c r="BI1" s="341"/>
      <c r="BJ1" s="341"/>
      <c r="BK1" s="341"/>
      <c r="BL1" s="341"/>
      <c r="BM1" s="341"/>
      <c r="BN1" s="341"/>
      <c r="BO1" s="341"/>
      <c r="BP1" s="341" t="s">
        <v>1085</v>
      </c>
      <c r="BQ1" s="341" t="s">
        <v>512</v>
      </c>
      <c r="BR1" s="479"/>
      <c r="BS1" s="479"/>
      <c r="BT1" s="341"/>
      <c r="BU1" s="341"/>
      <c r="BV1" s="341"/>
      <c r="BW1" s="341"/>
      <c r="BX1" s="341"/>
      <c r="BY1" s="341"/>
      <c r="BZ1" s="341"/>
      <c r="CA1" s="125"/>
    </row>
    <row r="2" spans="1:85" ht="13.65" customHeight="1" thickBot="1" x14ac:dyDescent="0.3">
      <c r="A2" s="127"/>
      <c r="B2" s="127"/>
      <c r="C2" s="127"/>
      <c r="D2" s="127"/>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341"/>
      <c r="AF2" s="341"/>
      <c r="AG2" s="341"/>
      <c r="AH2" s="341"/>
      <c r="AI2" s="341"/>
      <c r="AJ2" s="341"/>
      <c r="AK2" s="341"/>
      <c r="AL2" s="341"/>
      <c r="AM2" s="333" t="s">
        <v>679</v>
      </c>
      <c r="AN2" s="333" t="s">
        <v>686</v>
      </c>
      <c r="AO2" s="333" t="s">
        <v>397</v>
      </c>
      <c r="AP2" s="341"/>
      <c r="AQ2" s="341"/>
      <c r="AR2" s="341"/>
      <c r="AS2" s="341"/>
      <c r="AT2" s="341"/>
      <c r="AU2" s="341"/>
      <c r="AV2" s="341"/>
      <c r="AW2" s="341"/>
      <c r="AX2" s="341"/>
      <c r="AY2" s="341"/>
      <c r="AZ2" s="341"/>
      <c r="BA2" s="341"/>
      <c r="BB2" s="341"/>
      <c r="BC2" s="341"/>
      <c r="BD2" s="341"/>
      <c r="BE2" s="341"/>
      <c r="BF2" s="341"/>
      <c r="BG2" s="341"/>
      <c r="BH2" s="341"/>
      <c r="BI2" s="341"/>
      <c r="BJ2" s="341"/>
      <c r="BK2" s="341"/>
      <c r="BL2" s="341"/>
      <c r="BM2" s="341"/>
      <c r="BN2" s="341"/>
      <c r="BO2" s="341"/>
      <c r="BP2" s="341" t="s">
        <v>458</v>
      </c>
      <c r="BQ2" s="341" t="s">
        <v>774</v>
      </c>
      <c r="BR2" s="479"/>
      <c r="BS2" s="479"/>
      <c r="BT2" s="341"/>
      <c r="BU2" s="341"/>
      <c r="BV2" s="341"/>
      <c r="BW2" s="341"/>
      <c r="BX2" s="341"/>
      <c r="BY2" s="341"/>
      <c r="BZ2" s="341"/>
      <c r="CA2" s="125"/>
    </row>
    <row r="3" spans="1:85" ht="16.5" customHeight="1" x14ac:dyDescent="0.25">
      <c r="A3" s="127"/>
      <c r="B3" s="691" t="s">
        <v>1128</v>
      </c>
      <c r="C3" s="841"/>
      <c r="D3" s="841"/>
      <c r="E3" s="841"/>
      <c r="F3" s="841"/>
      <c r="G3" s="842"/>
      <c r="H3" s="127"/>
      <c r="I3" s="838" t="s">
        <v>1157</v>
      </c>
      <c r="J3" s="839"/>
      <c r="K3" s="839"/>
      <c r="L3" s="840"/>
      <c r="M3" s="127"/>
      <c r="N3" s="127"/>
      <c r="O3" s="479"/>
      <c r="P3" s="479"/>
      <c r="Q3" s="479"/>
      <c r="R3" s="479"/>
      <c r="S3" s="127"/>
      <c r="T3" s="127"/>
      <c r="U3" s="127"/>
      <c r="V3" s="127"/>
      <c r="W3" s="127"/>
      <c r="X3" s="127"/>
      <c r="Y3" s="127"/>
      <c r="Z3" s="127"/>
      <c r="AA3" s="127"/>
      <c r="AB3" s="127"/>
      <c r="AC3" s="127"/>
      <c r="AD3" s="127"/>
      <c r="AE3" s="341"/>
      <c r="AF3" s="341"/>
      <c r="AG3" s="341"/>
      <c r="AH3" s="341"/>
      <c r="AI3" s="341"/>
      <c r="AJ3" s="341"/>
      <c r="AK3" s="341"/>
      <c r="AL3" s="341"/>
      <c r="AM3" s="333" t="s">
        <v>681</v>
      </c>
      <c r="AN3" s="333" t="s">
        <v>687</v>
      </c>
      <c r="AO3" s="333" t="s">
        <v>398</v>
      </c>
      <c r="AP3" s="341"/>
      <c r="AQ3" s="341"/>
      <c r="AR3" s="341"/>
      <c r="AS3" s="341"/>
      <c r="AT3" s="341"/>
      <c r="AU3" s="341"/>
      <c r="AV3" s="341"/>
      <c r="AW3" s="341"/>
      <c r="AX3" s="341"/>
      <c r="AY3" s="341"/>
      <c r="AZ3" s="341"/>
      <c r="BA3" s="341"/>
      <c r="BB3" s="341"/>
      <c r="BC3" s="341"/>
      <c r="BD3" s="341"/>
      <c r="BE3" s="341"/>
      <c r="BF3" s="341"/>
      <c r="BG3" s="341"/>
      <c r="BH3" s="341"/>
      <c r="BI3" s="341"/>
      <c r="BJ3" s="341"/>
      <c r="BK3" s="341"/>
      <c r="BL3" s="341"/>
      <c r="BM3" s="341"/>
      <c r="BN3" s="341"/>
      <c r="BO3" s="341"/>
      <c r="BP3" s="341" t="s">
        <v>1165</v>
      </c>
      <c r="BQ3" s="341" t="s">
        <v>1168</v>
      </c>
      <c r="BR3" s="479"/>
      <c r="BS3" s="479"/>
      <c r="BT3" s="341"/>
      <c r="BU3" s="341"/>
      <c r="BV3" s="341"/>
      <c r="BW3" s="341"/>
      <c r="BX3" s="341"/>
      <c r="BY3" s="341"/>
      <c r="BZ3" s="341"/>
      <c r="CA3" s="125"/>
    </row>
    <row r="4" spans="1:85" ht="17.25" customHeight="1" x14ac:dyDescent="0.25">
      <c r="A4" s="127"/>
      <c r="B4" s="843" t="s">
        <v>18</v>
      </c>
      <c r="C4" s="844"/>
      <c r="D4" s="845"/>
      <c r="E4" s="210" t="s">
        <v>1138</v>
      </c>
      <c r="F4" s="210" t="s">
        <v>1139</v>
      </c>
      <c r="G4" s="211" t="s">
        <v>141</v>
      </c>
      <c r="H4" s="127"/>
      <c r="I4" s="826" t="s">
        <v>1140</v>
      </c>
      <c r="J4" s="827"/>
      <c r="K4" s="828"/>
      <c r="L4" s="217">
        <f ca="1">SUM(V127:X127)</f>
        <v>0.34024679642857136</v>
      </c>
      <c r="M4" s="383"/>
      <c r="N4" s="127"/>
      <c r="O4" s="479"/>
      <c r="P4" s="479"/>
      <c r="Q4" s="479"/>
      <c r="R4" s="479"/>
      <c r="S4" s="125"/>
      <c r="T4" s="125"/>
      <c r="U4" s="125"/>
      <c r="V4" s="125"/>
      <c r="W4" s="125"/>
      <c r="X4" s="125"/>
      <c r="Y4" s="127"/>
      <c r="Z4" s="127"/>
      <c r="AA4" s="127"/>
      <c r="AB4" s="127"/>
      <c r="AC4" s="127"/>
      <c r="AD4" s="127"/>
      <c r="AE4" s="341"/>
      <c r="AF4" s="341"/>
      <c r="AG4" s="341"/>
      <c r="AH4" s="341"/>
      <c r="AI4" s="341"/>
      <c r="AJ4" s="341"/>
      <c r="AK4" s="341"/>
      <c r="AL4" s="341"/>
      <c r="AM4" s="333" t="s">
        <v>682</v>
      </c>
      <c r="AN4" s="333" t="s">
        <v>688</v>
      </c>
      <c r="AO4" s="333" t="s">
        <v>399</v>
      </c>
      <c r="AP4" s="341"/>
      <c r="AQ4" s="341"/>
      <c r="AR4" s="341"/>
      <c r="AS4" s="341"/>
      <c r="AT4" s="341"/>
      <c r="AU4" s="341"/>
      <c r="AV4" s="341"/>
      <c r="AW4" s="341"/>
      <c r="AX4" s="341"/>
      <c r="AY4" s="341"/>
      <c r="AZ4" s="341"/>
      <c r="BA4" s="341"/>
      <c r="BB4" s="341"/>
      <c r="BC4" s="341"/>
      <c r="BD4" s="341"/>
      <c r="BE4" s="341"/>
      <c r="BF4" s="341"/>
      <c r="BG4" s="341"/>
      <c r="BH4" s="341"/>
      <c r="BI4" s="341"/>
      <c r="BJ4" s="341"/>
      <c r="BK4" s="341"/>
      <c r="BL4" s="341"/>
      <c r="BM4" s="341"/>
      <c r="BN4" s="341"/>
      <c r="BO4" s="341"/>
      <c r="BP4" s="341" t="s">
        <v>1166</v>
      </c>
      <c r="BQ4" s="341"/>
      <c r="BR4" s="479"/>
      <c r="BS4" s="479"/>
      <c r="BT4" s="341"/>
      <c r="BU4" s="341"/>
      <c r="BV4" s="341"/>
      <c r="BW4" s="341"/>
      <c r="BX4" s="341"/>
      <c r="BY4" s="341"/>
      <c r="BZ4" s="341"/>
      <c r="CA4" s="125"/>
    </row>
    <row r="5" spans="1:85" ht="17.25" customHeight="1" x14ac:dyDescent="0.25">
      <c r="A5" s="127"/>
      <c r="B5" s="802" t="s">
        <v>1217</v>
      </c>
      <c r="C5" s="803"/>
      <c r="D5" s="212">
        <f>VCCINT</f>
        <v>1.2</v>
      </c>
      <c r="E5" s="373">
        <f ca="1">IF(VCCINT&gt;0,IOINT_POWER/VCCINT,0)</f>
        <v>1.6057919999999996E-2</v>
      </c>
      <c r="F5" s="374"/>
      <c r="G5" s="213">
        <f ca="1">E5</f>
        <v>1.6057919999999996E-2</v>
      </c>
      <c r="H5" s="127"/>
      <c r="I5" s="379"/>
      <c r="J5" s="380" t="s">
        <v>691</v>
      </c>
      <c r="K5" s="380"/>
      <c r="L5" s="218">
        <f ca="1">IOINT_POWER</f>
        <v>1.9269503999999996E-2</v>
      </c>
      <c r="M5" s="127"/>
      <c r="N5" s="127"/>
      <c r="O5" s="479"/>
      <c r="P5" s="479"/>
      <c r="Q5" s="479"/>
      <c r="R5" s="479"/>
      <c r="S5" s="125"/>
      <c r="T5" s="125"/>
      <c r="U5" s="125"/>
      <c r="V5" s="125"/>
      <c r="W5" s="125"/>
      <c r="X5" s="125"/>
      <c r="Y5" s="127"/>
      <c r="Z5" s="127"/>
      <c r="AA5" s="127"/>
      <c r="AB5" s="127"/>
      <c r="AC5" s="127"/>
      <c r="AD5" s="127"/>
      <c r="AE5" s="341"/>
      <c r="AF5" s="341"/>
      <c r="AG5" s="341"/>
      <c r="AH5" s="341"/>
      <c r="AI5" s="341"/>
      <c r="AJ5" s="341"/>
      <c r="AK5" s="341"/>
      <c r="AL5" s="341"/>
      <c r="AM5" s="341" t="s">
        <v>458</v>
      </c>
      <c r="AN5" s="341"/>
      <c r="AO5" s="333" t="s">
        <v>400</v>
      </c>
      <c r="AP5" s="341"/>
      <c r="AQ5" s="341"/>
      <c r="AR5" s="341"/>
      <c r="AS5" s="341"/>
      <c r="AT5" s="341"/>
      <c r="AU5" s="341"/>
      <c r="AV5" s="341"/>
      <c r="AW5" s="341"/>
      <c r="AX5" s="341"/>
      <c r="AY5" s="341"/>
      <c r="AZ5" s="341"/>
      <c r="BA5" s="341"/>
      <c r="BB5" s="341"/>
      <c r="BC5" s="341"/>
      <c r="BD5" s="341"/>
      <c r="BE5" s="341"/>
      <c r="BF5" s="341"/>
      <c r="BG5" s="341"/>
      <c r="BH5" s="341"/>
      <c r="BI5" s="341"/>
      <c r="BJ5" s="341"/>
      <c r="BK5" s="341"/>
      <c r="BL5" s="341"/>
      <c r="BM5" s="341"/>
      <c r="BN5" s="341"/>
      <c r="BO5" s="341"/>
      <c r="BP5" s="341" t="s">
        <v>1167</v>
      </c>
      <c r="BQ5" s="341"/>
      <c r="BR5" s="479"/>
      <c r="BS5" s="479"/>
      <c r="BT5" s="341"/>
      <c r="BU5" s="341"/>
      <c r="BV5" s="341"/>
      <c r="BW5" s="341"/>
      <c r="BX5" s="341"/>
      <c r="BY5" s="341"/>
      <c r="BZ5" s="341"/>
      <c r="CA5" s="125"/>
    </row>
    <row r="6" spans="1:85" ht="17.25" customHeight="1" x14ac:dyDescent="0.25">
      <c r="A6" s="127"/>
      <c r="B6" s="802" t="s">
        <v>1218</v>
      </c>
      <c r="C6" s="803"/>
      <c r="D6" s="212">
        <f>VCCAUX</f>
        <v>3.3</v>
      </c>
      <c r="E6" s="375">
        <f ca="1">IF(VCCAUX&gt;0,IOAUX_POWER/VCCAUX,0)</f>
        <v>3.9132512857142844E-2</v>
      </c>
      <c r="F6" s="376"/>
      <c r="G6" s="214">
        <f ca="1">E6</f>
        <v>3.9132512857142844E-2</v>
      </c>
      <c r="H6" s="127"/>
      <c r="I6" s="379"/>
      <c r="J6" s="380" t="s">
        <v>1141</v>
      </c>
      <c r="K6" s="380"/>
      <c r="L6" s="219">
        <f ca="1">IOAUX_POWER+SUM(X17:X126)</f>
        <v>0.32097729242857143</v>
      </c>
      <c r="M6" s="127"/>
      <c r="N6" s="127"/>
      <c r="O6" s="479"/>
      <c r="P6" s="479"/>
      <c r="Q6" s="479"/>
      <c r="R6" s="479"/>
      <c r="S6" s="125"/>
      <c r="T6" s="125"/>
      <c r="U6" s="125"/>
      <c r="V6" s="125"/>
      <c r="W6" s="125"/>
      <c r="X6" s="125"/>
      <c r="Y6" s="127"/>
      <c r="Z6" s="127"/>
      <c r="AA6" s="127"/>
      <c r="AB6" s="127"/>
      <c r="AC6" s="127"/>
      <c r="AD6" s="127"/>
      <c r="AE6" s="341"/>
      <c r="AF6" s="341"/>
      <c r="AG6" s="341"/>
      <c r="AH6" s="341"/>
      <c r="AI6" s="341"/>
      <c r="AJ6" s="341"/>
      <c r="AK6" s="341"/>
      <c r="AL6" s="341"/>
      <c r="AM6" s="341" t="s">
        <v>1085</v>
      </c>
      <c r="AN6" s="341"/>
      <c r="AO6" s="333" t="s">
        <v>719</v>
      </c>
      <c r="AP6" s="341"/>
      <c r="AQ6" s="341"/>
      <c r="AR6" s="341"/>
      <c r="AS6" s="341"/>
      <c r="AT6" s="341"/>
      <c r="AU6" s="341"/>
      <c r="AV6" s="341"/>
      <c r="AW6" s="341"/>
      <c r="AX6" s="341"/>
      <c r="AY6" s="341"/>
      <c r="AZ6" s="341"/>
      <c r="BA6" s="341"/>
      <c r="BB6" s="341"/>
      <c r="BC6" s="341"/>
      <c r="BD6" s="341"/>
      <c r="BE6" s="341"/>
      <c r="BF6" s="341"/>
      <c r="BG6" s="341"/>
      <c r="BH6" s="341"/>
      <c r="BI6" s="341"/>
      <c r="BJ6" s="341"/>
      <c r="BK6" s="341"/>
      <c r="BL6" s="341"/>
      <c r="BM6" s="341"/>
      <c r="BN6" s="341"/>
      <c r="BO6" s="341"/>
      <c r="BP6" s="341"/>
      <c r="BQ6" s="341"/>
      <c r="BR6" s="341"/>
      <c r="BS6" s="341"/>
      <c r="BT6" s="341"/>
      <c r="BU6" s="341"/>
      <c r="BV6" s="341"/>
      <c r="BW6" s="341"/>
      <c r="BX6" s="341"/>
      <c r="BY6" s="341"/>
      <c r="BZ6" s="341"/>
      <c r="CA6" s="125"/>
    </row>
    <row r="7" spans="1:85" ht="17.25" customHeight="1" x14ac:dyDescent="0.25">
      <c r="A7" s="127"/>
      <c r="B7" s="802" t="s">
        <v>1219</v>
      </c>
      <c r="C7" s="803"/>
      <c r="D7" s="212">
        <f>VCCO33</f>
        <v>3.3</v>
      </c>
      <c r="E7" s="375">
        <f ca="1">SUM(BB17:BB126)</f>
        <v>0</v>
      </c>
      <c r="F7" s="376">
        <f ca="1">SUM(BG17:BG126)</f>
        <v>0</v>
      </c>
      <c r="G7" s="214">
        <f ca="1">SUM(E7:F7)</f>
        <v>0</v>
      </c>
      <c r="H7" s="127"/>
      <c r="I7" s="379"/>
      <c r="J7" s="380"/>
      <c r="K7" s="380"/>
      <c r="L7" s="356"/>
      <c r="M7" s="127"/>
      <c r="N7" s="127"/>
      <c r="O7" s="479"/>
      <c r="P7" s="479"/>
      <c r="Q7" s="479"/>
      <c r="R7" s="479"/>
      <c r="S7" s="125"/>
      <c r="T7" s="125"/>
      <c r="U7" s="125"/>
      <c r="V7" s="125"/>
      <c r="W7" s="125"/>
      <c r="X7" s="125"/>
      <c r="Y7" s="127"/>
      <c r="Z7" s="127"/>
      <c r="AA7" s="127"/>
      <c r="AB7" s="127"/>
      <c r="AC7" s="127"/>
      <c r="AD7" s="127"/>
      <c r="AE7" s="341"/>
      <c r="AF7" s="341"/>
      <c r="AG7" s="341"/>
      <c r="AH7" s="341"/>
      <c r="AI7" s="341"/>
      <c r="AJ7" s="341"/>
      <c r="AK7" s="341"/>
      <c r="AL7" s="341"/>
      <c r="AM7" s="341"/>
      <c r="AN7" s="341"/>
      <c r="AO7" s="341"/>
      <c r="AP7" s="341"/>
      <c r="AQ7" s="341"/>
      <c r="AR7" s="341"/>
      <c r="AS7" s="341"/>
      <c r="AT7" s="341"/>
      <c r="AU7" s="341"/>
      <c r="AV7" s="341"/>
      <c r="AW7" s="341"/>
      <c r="AX7" s="341"/>
      <c r="AY7" s="341"/>
      <c r="AZ7" s="341"/>
      <c r="BA7" s="341"/>
      <c r="BB7" s="341"/>
      <c r="BC7" s="341"/>
      <c r="BD7" s="341"/>
      <c r="BE7" s="341"/>
      <c r="BF7" s="341"/>
      <c r="BG7" s="341"/>
      <c r="BH7" s="341"/>
      <c r="BI7" s="341"/>
      <c r="BJ7" s="341"/>
      <c r="BK7" s="341"/>
      <c r="BL7" s="341"/>
      <c r="BM7" s="341"/>
      <c r="BN7" s="341"/>
      <c r="BO7" s="341"/>
      <c r="BP7" s="341"/>
      <c r="BQ7" s="341"/>
      <c r="BR7" s="341"/>
      <c r="BS7" s="341"/>
      <c r="BT7" s="341"/>
      <c r="BU7" s="341"/>
      <c r="BV7" s="341"/>
      <c r="BW7" s="341"/>
      <c r="BX7" s="341"/>
      <c r="BY7" s="341"/>
      <c r="BZ7" s="341"/>
      <c r="CA7" s="125"/>
    </row>
    <row r="8" spans="1:85" ht="17.25" customHeight="1" x14ac:dyDescent="0.25">
      <c r="A8" s="127"/>
      <c r="B8" s="802" t="s">
        <v>1220</v>
      </c>
      <c r="C8" s="803"/>
      <c r="D8" s="212">
        <f>VCCO25</f>
        <v>2.5</v>
      </c>
      <c r="E8" s="375">
        <f ca="1">SUM(BC17:BC126)</f>
        <v>0</v>
      </c>
      <c r="F8" s="376">
        <f ca="1">SUM(BH17:BH126)</f>
        <v>0</v>
      </c>
      <c r="G8" s="214">
        <f ca="1">SUM(E8:F8)</f>
        <v>0</v>
      </c>
      <c r="H8" s="127"/>
      <c r="I8" s="829" t="str">
        <f ca="1">TEXT(IF(TOTAL_POWER&gt;0,IO_POWER/TOTAL_POWER),"0%")&amp;" of total on-chip power "&amp;TEXT(TOTAL_POWER,"#.###")&amp;"W"</f>
        <v>70% of total on-chip power .488W</v>
      </c>
      <c r="J8" s="830"/>
      <c r="K8" s="830"/>
      <c r="L8" s="831"/>
      <c r="M8" s="127"/>
      <c r="N8" s="127"/>
      <c r="O8" s="479"/>
      <c r="P8" s="479"/>
      <c r="Q8" s="479"/>
      <c r="R8" s="479"/>
      <c r="S8" s="125"/>
      <c r="T8" s="125"/>
      <c r="U8" s="125"/>
      <c r="V8" s="125"/>
      <c r="W8" s="125"/>
      <c r="X8" s="125"/>
      <c r="Y8" s="127"/>
      <c r="Z8" s="127"/>
      <c r="AA8" s="127"/>
      <c r="AB8" s="127"/>
      <c r="AC8" s="127"/>
      <c r="AD8" s="127"/>
      <c r="AE8" s="341"/>
      <c r="AF8" s="341"/>
      <c r="AG8" s="341"/>
      <c r="AH8" s="341"/>
      <c r="AI8" s="341"/>
      <c r="AJ8" s="341"/>
      <c r="AK8" s="341"/>
      <c r="AL8" s="341"/>
      <c r="AM8" s="341"/>
      <c r="AN8" s="341"/>
      <c r="AO8" s="341"/>
      <c r="AP8" s="341"/>
      <c r="AQ8" s="341"/>
      <c r="AR8" s="341"/>
      <c r="AS8" s="341"/>
      <c r="AT8" s="341"/>
      <c r="AU8" s="341"/>
      <c r="AV8" s="341"/>
      <c r="AW8" s="341"/>
      <c r="AX8" s="341"/>
      <c r="AY8" s="341"/>
      <c r="AZ8" s="341"/>
      <c r="BA8" s="341"/>
      <c r="BB8" s="341"/>
      <c r="BC8" s="341"/>
      <c r="BD8" s="341"/>
      <c r="BE8" s="341"/>
      <c r="BF8" s="341"/>
      <c r="BG8" s="341"/>
      <c r="BH8" s="341"/>
      <c r="BI8" s="341"/>
      <c r="BJ8" s="341"/>
      <c r="BK8" s="341"/>
      <c r="BL8" s="341"/>
      <c r="BM8" s="341"/>
      <c r="BN8" s="341"/>
      <c r="BO8" s="341"/>
      <c r="BP8" s="341"/>
      <c r="BQ8" s="341"/>
      <c r="BR8" s="341"/>
      <c r="BS8" s="341"/>
      <c r="BT8" s="341"/>
      <c r="BU8" s="341"/>
      <c r="BV8" s="341"/>
      <c r="BW8" s="341"/>
      <c r="BX8" s="341"/>
      <c r="BY8" s="341"/>
      <c r="BZ8" s="341"/>
      <c r="CA8" s="125"/>
    </row>
    <row r="9" spans="1:85" ht="17.25" customHeight="1" x14ac:dyDescent="0.25">
      <c r="A9" s="127"/>
      <c r="B9" s="802" t="s">
        <v>1221</v>
      </c>
      <c r="C9" s="803"/>
      <c r="D9" s="212">
        <f>VCCO18</f>
        <v>1.8</v>
      </c>
      <c r="E9" s="375">
        <f ca="1">SUM(BD17:BD126)</f>
        <v>0</v>
      </c>
      <c r="F9" s="376">
        <f ca="1">SUM(BI17:BI126)</f>
        <v>0</v>
      </c>
      <c r="G9" s="214">
        <f ca="1">SUM(E9:F9)</f>
        <v>0</v>
      </c>
      <c r="H9" s="127"/>
      <c r="I9" s="832" t="s">
        <v>1142</v>
      </c>
      <c r="J9" s="833"/>
      <c r="K9" s="833"/>
      <c r="L9" s="220">
        <f>SUM(AD17:AD126)</f>
        <v>0</v>
      </c>
      <c r="M9" s="127"/>
      <c r="N9" s="127"/>
      <c r="O9" s="479"/>
      <c r="P9" s="479"/>
      <c r="Q9" s="479"/>
      <c r="R9" s="479"/>
      <c r="S9" s="125"/>
      <c r="T9" s="125"/>
      <c r="U9" s="125"/>
      <c r="V9" s="125"/>
      <c r="W9" s="125"/>
      <c r="X9" s="125"/>
      <c r="Y9" s="127"/>
      <c r="Z9" s="127"/>
      <c r="AA9" s="127"/>
      <c r="AB9" s="127"/>
      <c r="AC9" s="127"/>
      <c r="AD9" s="127"/>
      <c r="AE9" s="341"/>
      <c r="AF9" s="341"/>
      <c r="AG9" s="341"/>
      <c r="AH9" s="341"/>
      <c r="AI9" s="341"/>
      <c r="AJ9" s="341"/>
      <c r="AK9" s="341"/>
      <c r="AL9" s="341"/>
      <c r="AM9" s="341"/>
      <c r="AN9" s="341"/>
      <c r="AO9" s="341"/>
      <c r="AP9" s="341"/>
      <c r="AQ9" s="341"/>
      <c r="AR9" s="341"/>
      <c r="AS9" s="341"/>
      <c r="AT9" s="341"/>
      <c r="AU9" s="341"/>
      <c r="AV9" s="341"/>
      <c r="AW9" s="341"/>
      <c r="AX9" s="341"/>
      <c r="AY9" s="341"/>
      <c r="AZ9" s="341"/>
      <c r="BA9" s="341"/>
      <c r="BB9" s="341"/>
      <c r="BC9" s="341"/>
      <c r="BD9" s="341"/>
      <c r="BE9" s="341"/>
      <c r="BF9" s="341"/>
      <c r="BG9" s="341"/>
      <c r="BH9" s="341"/>
      <c r="BI9" s="341"/>
      <c r="BJ9" s="341"/>
      <c r="BK9" s="341"/>
      <c r="BL9" s="341"/>
      <c r="BM9" s="341"/>
      <c r="BN9" s="341"/>
      <c r="BO9" s="341"/>
      <c r="BP9" s="341"/>
      <c r="BQ9" s="341"/>
      <c r="BR9" s="341"/>
      <c r="BS9" s="341"/>
      <c r="BT9" s="341"/>
      <c r="BU9" s="341"/>
      <c r="BV9" s="341"/>
      <c r="BW9" s="341"/>
      <c r="BX9" s="341"/>
      <c r="BY9" s="341"/>
      <c r="BZ9" s="341"/>
      <c r="CA9" s="125"/>
    </row>
    <row r="10" spans="1:85" ht="17.25" customHeight="1" x14ac:dyDescent="0.25">
      <c r="A10" s="127"/>
      <c r="B10" s="802" t="s">
        <v>1222</v>
      </c>
      <c r="C10" s="803"/>
      <c r="D10" s="212">
        <f>VCCO15</f>
        <v>1.5</v>
      </c>
      <c r="E10" s="375">
        <f ca="1">SUM(BE17:BE126)</f>
        <v>0.12789333333333333</v>
      </c>
      <c r="F10" s="376">
        <f ca="1">SUM(BJ17:BJ126)</f>
        <v>0</v>
      </c>
      <c r="G10" s="214">
        <f ca="1">SUM(E10:F10)</f>
        <v>0.12789333333333333</v>
      </c>
      <c r="H10" s="127"/>
      <c r="I10" s="819" t="s">
        <v>1143</v>
      </c>
      <c r="J10" s="820"/>
      <c r="K10" s="820"/>
      <c r="L10" s="221">
        <f>SUM(H127:J127)</f>
        <v>64</v>
      </c>
      <c r="M10" s="127"/>
      <c r="N10" s="127"/>
      <c r="O10" s="479"/>
      <c r="P10" s="479"/>
      <c r="Q10" s="479"/>
      <c r="R10" s="479"/>
      <c r="S10" s="125"/>
      <c r="T10" s="125"/>
      <c r="U10" s="125"/>
      <c r="V10" s="125"/>
      <c r="W10" s="125"/>
      <c r="X10" s="125"/>
      <c r="Y10" s="127"/>
      <c r="Z10" s="127"/>
      <c r="AA10" s="127"/>
      <c r="AB10" s="127"/>
      <c r="AC10" s="127"/>
      <c r="AD10" s="127"/>
      <c r="AE10" s="341"/>
      <c r="AF10" s="341"/>
      <c r="AG10" s="341"/>
      <c r="AH10" s="341"/>
      <c r="AI10" s="341"/>
      <c r="AJ10" s="341"/>
      <c r="AK10" s="341"/>
      <c r="AL10" s="341"/>
      <c r="AM10" s="341"/>
      <c r="AN10" s="341"/>
      <c r="AO10" s="341"/>
      <c r="AP10" s="341"/>
      <c r="AQ10" s="341"/>
      <c r="AR10" s="341"/>
      <c r="AS10" s="341"/>
      <c r="AT10" s="341"/>
      <c r="AU10" s="341"/>
      <c r="AV10" s="341"/>
      <c r="AW10" s="341"/>
      <c r="AX10" s="341"/>
      <c r="AY10" s="341"/>
      <c r="AZ10" s="341"/>
      <c r="BA10" s="341"/>
      <c r="BB10" s="341"/>
      <c r="BC10" s="341"/>
      <c r="BD10" s="341"/>
      <c r="BE10" s="341"/>
      <c r="BF10" s="341"/>
      <c r="BG10" s="341"/>
      <c r="BH10" s="341"/>
      <c r="BI10" s="341"/>
      <c r="BJ10" s="341"/>
      <c r="BK10" s="341"/>
      <c r="BL10" s="341"/>
      <c r="BM10" s="341"/>
      <c r="BN10" s="341"/>
      <c r="BO10" s="341"/>
      <c r="BP10" s="341"/>
      <c r="BQ10" s="341"/>
      <c r="BR10" s="341"/>
      <c r="BS10" s="341"/>
      <c r="BT10" s="341"/>
      <c r="BU10" s="341"/>
      <c r="BV10" s="341"/>
      <c r="BW10" s="341"/>
      <c r="BX10" s="341"/>
      <c r="BY10" s="341"/>
      <c r="BZ10" s="341"/>
      <c r="CA10" s="125"/>
    </row>
    <row r="11" spans="1:85" ht="17.25" customHeight="1" thickBot="1" x14ac:dyDescent="0.3">
      <c r="A11" s="127"/>
      <c r="B11" s="804" t="s">
        <v>1223</v>
      </c>
      <c r="C11" s="805"/>
      <c r="D11" s="215">
        <f>VCCO12</f>
        <v>1.2</v>
      </c>
      <c r="E11" s="377">
        <f ca="1">SUM(BF17:BF126)</f>
        <v>0</v>
      </c>
      <c r="F11" s="378">
        <f ca="1">SUM(BK17:BK126)</f>
        <v>0</v>
      </c>
      <c r="G11" s="216">
        <f ca="1">SUM(E11:F11)</f>
        <v>0</v>
      </c>
      <c r="H11" s="127"/>
      <c r="I11" s="834" t="s">
        <v>1144</v>
      </c>
      <c r="J11" s="835"/>
      <c r="K11" s="835"/>
      <c r="L11" s="402">
        <f>L10/NUM_PINS</f>
        <v>0.13333333333333333</v>
      </c>
      <c r="M11" s="127"/>
      <c r="N11" s="127"/>
      <c r="O11" s="479"/>
      <c r="P11" s="479"/>
      <c r="Q11" s="479"/>
      <c r="R11" s="479"/>
      <c r="S11" s="125"/>
      <c r="T11" s="125"/>
      <c r="U11" s="125"/>
      <c r="V11" s="125"/>
      <c r="W11" s="125"/>
      <c r="X11" s="125"/>
      <c r="Y11" s="127"/>
      <c r="Z11" s="127"/>
      <c r="AA11" s="127"/>
      <c r="AB11" s="127"/>
      <c r="AC11" s="127"/>
      <c r="AD11" s="127"/>
      <c r="AE11" s="341"/>
      <c r="AF11" s="341"/>
      <c r="AG11" s="341"/>
      <c r="AH11" s="341"/>
      <c r="AI11" s="341"/>
      <c r="AJ11" s="341"/>
      <c r="AK11" s="341"/>
      <c r="AL11" s="341"/>
      <c r="AM11" s="341"/>
      <c r="AN11" s="341"/>
      <c r="AO11" s="341"/>
      <c r="AP11" s="341"/>
      <c r="AQ11" s="341"/>
      <c r="AR11" s="341"/>
      <c r="AS11" s="341"/>
      <c r="AT11" s="341"/>
      <c r="AU11" s="341"/>
      <c r="AV11" s="341"/>
      <c r="AW11" s="341"/>
      <c r="AX11" s="341"/>
      <c r="AY11" s="341"/>
      <c r="AZ11" s="341"/>
      <c r="BA11" s="341"/>
      <c r="BB11" s="341"/>
      <c r="BC11" s="341"/>
      <c r="BD11" s="341"/>
      <c r="BE11" s="341"/>
      <c r="BF11" s="341"/>
      <c r="BG11" s="341"/>
      <c r="BH11" s="341"/>
      <c r="BI11" s="341"/>
      <c r="BJ11" s="341"/>
      <c r="BK11" s="341"/>
      <c r="BL11" s="341"/>
      <c r="BM11" s="341"/>
      <c r="BN11" s="341"/>
      <c r="BO11" s="341"/>
      <c r="BP11" s="341"/>
      <c r="BQ11" s="341"/>
      <c r="BR11" s="341"/>
      <c r="BS11" s="341"/>
      <c r="BT11" s="341"/>
      <c r="BU11" s="341"/>
      <c r="BV11" s="341"/>
      <c r="BW11" s="341"/>
      <c r="BX11" s="341"/>
      <c r="BY11" s="341"/>
      <c r="BZ11" s="341"/>
      <c r="CA11" s="125"/>
    </row>
    <row r="12" spans="1:85" ht="16.5" customHeight="1" x14ac:dyDescent="0.25">
      <c r="A12" s="127"/>
      <c r="B12" s="127"/>
      <c r="C12" s="127"/>
      <c r="D12" s="127"/>
      <c r="E12" s="127"/>
      <c r="F12" s="127"/>
      <c r="G12" s="127"/>
      <c r="H12" s="127"/>
      <c r="I12" s="127"/>
      <c r="J12" s="127"/>
      <c r="K12" s="127"/>
      <c r="L12" s="127"/>
      <c r="M12" s="127"/>
      <c r="N12" s="127"/>
      <c r="O12" s="127" t="str">
        <f ca="1">IF(ISERROR(IO_POWER),"ERROR: Unsupported I/O standard(s) for target device.","")</f>
        <v/>
      </c>
      <c r="P12" s="125"/>
      <c r="Q12" s="125"/>
      <c r="R12" s="125"/>
      <c r="S12" s="125"/>
      <c r="T12" s="125"/>
      <c r="U12" s="125"/>
      <c r="V12" s="125"/>
      <c r="W12" s="125"/>
      <c r="X12" s="125"/>
      <c r="Y12" s="127"/>
      <c r="Z12" s="127"/>
      <c r="AA12" s="127"/>
      <c r="AB12" s="127"/>
      <c r="AC12" s="127"/>
      <c r="AD12" s="127"/>
      <c r="AE12" s="341"/>
      <c r="AF12" s="341"/>
      <c r="AG12" s="341"/>
      <c r="AH12" s="341"/>
      <c r="AI12" s="341"/>
      <c r="AJ12" s="341"/>
      <c r="AK12" s="341"/>
      <c r="AL12" s="341"/>
      <c r="AM12" s="341"/>
      <c r="AN12" s="341"/>
      <c r="AO12" s="341"/>
      <c r="AP12" s="341"/>
      <c r="AQ12" s="341"/>
      <c r="AR12" s="341"/>
      <c r="AS12" s="341"/>
      <c r="AT12" s="341"/>
      <c r="AU12" s="341"/>
      <c r="AV12" s="341"/>
      <c r="AW12" s="341"/>
      <c r="AX12" s="341"/>
      <c r="AY12" s="341"/>
      <c r="AZ12" s="341"/>
      <c r="BA12" s="341"/>
      <c r="BB12" s="341"/>
      <c r="BC12" s="341"/>
      <c r="BD12" s="341"/>
      <c r="BE12" s="341"/>
      <c r="BF12" s="341"/>
      <c r="BG12" s="341"/>
      <c r="BH12" s="341"/>
      <c r="BI12" s="341"/>
      <c r="BJ12" s="341"/>
      <c r="BK12" s="341"/>
      <c r="BL12" s="341"/>
      <c r="BM12" s="341"/>
      <c r="BN12" s="341"/>
      <c r="BO12" s="341"/>
      <c r="BP12" s="341"/>
      <c r="BQ12" s="341"/>
      <c r="BR12" s="341"/>
      <c r="BS12" s="341"/>
      <c r="BT12" s="341"/>
      <c r="BU12" s="341"/>
      <c r="BV12" s="341"/>
      <c r="BW12" s="341"/>
      <c r="BX12" s="341"/>
      <c r="BY12" s="341"/>
      <c r="BZ12" s="341"/>
      <c r="CA12" s="125"/>
    </row>
    <row r="13" spans="1:85" ht="16.5" customHeight="1" thickBot="1" x14ac:dyDescent="0.3">
      <c r="A13" s="127"/>
      <c r="B13" s="491"/>
      <c r="C13" s="491"/>
      <c r="D13" s="491"/>
      <c r="E13" s="491"/>
      <c r="F13" s="127"/>
      <c r="G13" s="127"/>
      <c r="H13" s="127"/>
      <c r="I13" s="127"/>
      <c r="J13" s="127"/>
      <c r="K13" s="127"/>
      <c r="L13" s="127"/>
      <c r="M13" s="127"/>
      <c r="N13" s="127"/>
      <c r="O13" s="127"/>
      <c r="P13" s="127"/>
      <c r="Q13" s="127"/>
      <c r="R13" s="127"/>
      <c r="S13" s="127"/>
      <c r="T13" s="127"/>
      <c r="U13" s="127"/>
      <c r="V13" s="127"/>
      <c r="W13" s="127"/>
      <c r="X13" s="127"/>
      <c r="Y13" s="127"/>
      <c r="Z13" s="127"/>
      <c r="AA13" s="127"/>
      <c r="AB13" s="127"/>
      <c r="AC13" s="127"/>
      <c r="AD13" s="127"/>
      <c r="AE13" s="341"/>
      <c r="AF13" s="341"/>
      <c r="AG13" s="341"/>
      <c r="AH13" s="341"/>
      <c r="AI13" s="341"/>
      <c r="AJ13" s="341"/>
      <c r="AK13" s="341"/>
      <c r="AL13" s="341"/>
      <c r="AM13" s="341"/>
      <c r="AN13" s="341"/>
      <c r="AO13" s="341"/>
      <c r="AP13" s="341"/>
      <c r="AQ13" s="341"/>
      <c r="AR13" s="341"/>
      <c r="AS13" s="341"/>
      <c r="AT13" s="341"/>
      <c r="AU13" s="341"/>
      <c r="AV13" s="341"/>
      <c r="AW13" s="341"/>
      <c r="AX13" s="341"/>
      <c r="AY13" s="341"/>
      <c r="AZ13" s="341"/>
      <c r="BA13" s="341"/>
      <c r="BB13" s="341"/>
      <c r="BC13" s="341"/>
      <c r="BD13" s="341"/>
      <c r="BE13" s="341"/>
      <c r="BF13" s="341"/>
      <c r="BG13" s="341"/>
      <c r="BH13" s="341"/>
      <c r="BI13" s="341"/>
      <c r="BJ13" s="341"/>
      <c r="BK13" s="341"/>
      <c r="BL13" s="341"/>
      <c r="BM13" s="341"/>
      <c r="BN13" s="341"/>
      <c r="BO13" s="341"/>
      <c r="BP13" s="341"/>
      <c r="BQ13" s="341"/>
      <c r="BR13" s="341"/>
      <c r="BS13" s="341"/>
      <c r="BT13" s="341"/>
      <c r="BU13" s="341"/>
      <c r="BV13" s="341"/>
      <c r="BW13" s="341"/>
      <c r="BX13" s="341"/>
      <c r="BY13" s="341"/>
      <c r="BZ13" s="341"/>
      <c r="CA13" s="125"/>
    </row>
    <row r="14" spans="1:85" ht="18" customHeight="1" x14ac:dyDescent="0.25">
      <c r="A14" s="127"/>
      <c r="B14" s="853" t="s">
        <v>41</v>
      </c>
      <c r="C14" s="854"/>
      <c r="D14" s="855"/>
      <c r="E14" s="836" t="s">
        <v>1145</v>
      </c>
      <c r="F14" s="689"/>
      <c r="G14" s="689"/>
      <c r="H14" s="689"/>
      <c r="I14" s="689"/>
      <c r="J14" s="689"/>
      <c r="K14" s="689"/>
      <c r="L14" s="689"/>
      <c r="M14" s="689"/>
      <c r="N14" s="689"/>
      <c r="O14" s="837"/>
      <c r="P14" s="812" t="s">
        <v>1149</v>
      </c>
      <c r="Q14" s="813"/>
      <c r="R14" s="813"/>
      <c r="S14" s="814"/>
      <c r="T14" s="807" t="s">
        <v>34</v>
      </c>
      <c r="U14" s="817" t="s">
        <v>1307</v>
      </c>
      <c r="V14" s="795" t="s">
        <v>1150</v>
      </c>
      <c r="W14" s="796"/>
      <c r="X14" s="797"/>
      <c r="Y14" s="788" t="s">
        <v>1230</v>
      </c>
      <c r="Z14" s="789"/>
      <c r="AA14" s="789"/>
      <c r="AB14" s="789"/>
      <c r="AC14" s="790"/>
      <c r="AD14" s="443" t="s">
        <v>1151</v>
      </c>
      <c r="AE14" s="341"/>
      <c r="AF14" s="341"/>
      <c r="AG14" s="341"/>
      <c r="AH14" s="341"/>
      <c r="AI14" s="341"/>
      <c r="AJ14" s="341"/>
      <c r="AK14" s="341"/>
      <c r="AL14" s="341"/>
      <c r="AM14" s="341"/>
      <c r="AN14" s="341"/>
      <c r="AO14" s="341"/>
      <c r="AP14" s="341"/>
      <c r="AQ14" s="341"/>
      <c r="AR14" s="341"/>
      <c r="AS14" s="341"/>
      <c r="AT14" s="341"/>
      <c r="AU14" s="341"/>
      <c r="AV14" s="341"/>
      <c r="AW14" s="341"/>
      <c r="AX14" s="341"/>
      <c r="AY14" s="341"/>
      <c r="AZ14" s="341"/>
      <c r="BA14" s="341"/>
      <c r="BB14" s="341"/>
      <c r="BC14" s="806" t="s">
        <v>1159</v>
      </c>
      <c r="BD14" s="806"/>
      <c r="BE14" s="806"/>
      <c r="BF14" s="806"/>
      <c r="BG14" s="806"/>
      <c r="BH14" s="806" t="s">
        <v>1158</v>
      </c>
      <c r="BI14" s="806"/>
      <c r="BJ14" s="806"/>
      <c r="BK14" s="806"/>
      <c r="BL14" s="806"/>
      <c r="BM14" s="806" t="s">
        <v>526</v>
      </c>
      <c r="BN14" s="806"/>
      <c r="BO14" s="806"/>
      <c r="BP14" s="806"/>
      <c r="BQ14" s="806"/>
      <c r="BR14" s="341"/>
      <c r="BS14" s="341"/>
      <c r="BT14" s="357"/>
      <c r="BU14" s="358"/>
      <c r="BV14" s="358"/>
      <c r="BW14" s="358"/>
      <c r="BX14" s="358"/>
      <c r="BY14" s="358"/>
      <c r="BZ14" s="358"/>
      <c r="CA14" s="231"/>
      <c r="CB14" s="127"/>
      <c r="CC14" s="125"/>
      <c r="CD14" s="125"/>
      <c r="CE14" s="125"/>
      <c r="CF14" s="125"/>
      <c r="CG14" s="125"/>
    </row>
    <row r="15" spans="1:85" ht="21" customHeight="1" x14ac:dyDescent="0.25">
      <c r="A15" s="136"/>
      <c r="B15" s="856"/>
      <c r="C15" s="791"/>
      <c r="D15" s="799"/>
      <c r="E15" s="798" t="s">
        <v>29</v>
      </c>
      <c r="F15" s="791"/>
      <c r="G15" s="799"/>
      <c r="H15" s="791" t="s">
        <v>30</v>
      </c>
      <c r="I15" s="791" t="s">
        <v>31</v>
      </c>
      <c r="J15" s="791" t="s">
        <v>125</v>
      </c>
      <c r="K15" s="851" t="s">
        <v>772</v>
      </c>
      <c r="L15" s="821" t="s">
        <v>513</v>
      </c>
      <c r="M15" s="798" t="s">
        <v>650</v>
      </c>
      <c r="N15" s="815" t="s">
        <v>651</v>
      </c>
      <c r="O15" s="848" t="s">
        <v>381</v>
      </c>
      <c r="P15" s="798" t="s">
        <v>19</v>
      </c>
      <c r="Q15" s="791" t="s">
        <v>20</v>
      </c>
      <c r="R15" s="791" t="s">
        <v>27</v>
      </c>
      <c r="S15" s="815" t="s">
        <v>26</v>
      </c>
      <c r="T15" s="808"/>
      <c r="U15" s="818"/>
      <c r="V15" s="239" t="s">
        <v>1154</v>
      </c>
      <c r="W15" s="222" t="s">
        <v>1155</v>
      </c>
      <c r="X15" s="455" t="s">
        <v>1156</v>
      </c>
      <c r="Y15" s="793" t="s">
        <v>110</v>
      </c>
      <c r="Z15" s="794"/>
      <c r="AA15" s="809" t="s">
        <v>111</v>
      </c>
      <c r="AB15" s="810"/>
      <c r="AC15" s="811"/>
      <c r="AD15" s="444" t="s">
        <v>1152</v>
      </c>
      <c r="AE15" s="359" t="s">
        <v>99</v>
      </c>
      <c r="AF15" s="359" t="s">
        <v>126</v>
      </c>
      <c r="AG15" s="359" t="s">
        <v>55</v>
      </c>
      <c r="AH15" s="359" t="s">
        <v>128</v>
      </c>
      <c r="AI15" s="359" t="s">
        <v>127</v>
      </c>
      <c r="AJ15" s="359" t="s">
        <v>129</v>
      </c>
      <c r="AK15" s="359" t="s">
        <v>1172</v>
      </c>
      <c r="AL15" s="359" t="s">
        <v>1214</v>
      </c>
      <c r="AM15" s="359" t="s">
        <v>1215</v>
      </c>
      <c r="AN15" s="359" t="s">
        <v>463</v>
      </c>
      <c r="AO15" s="359" t="s">
        <v>660</v>
      </c>
      <c r="AP15" s="359" t="s">
        <v>661</v>
      </c>
      <c r="AQ15" s="359" t="s">
        <v>467</v>
      </c>
      <c r="AR15" s="359" t="s">
        <v>1174</v>
      </c>
      <c r="AS15" s="359" t="s">
        <v>1170</v>
      </c>
      <c r="AT15" s="359" t="s">
        <v>1171</v>
      </c>
      <c r="AU15" s="359" t="s">
        <v>1173</v>
      </c>
      <c r="AV15" s="359" t="s">
        <v>652</v>
      </c>
      <c r="AW15" s="359" t="s">
        <v>515</v>
      </c>
      <c r="AX15" s="359" t="s">
        <v>240</v>
      </c>
      <c r="AY15" s="359" t="s">
        <v>54</v>
      </c>
      <c r="AZ15" s="359" t="s">
        <v>115</v>
      </c>
      <c r="BA15" s="359" t="s">
        <v>238</v>
      </c>
      <c r="BB15" s="359" t="s">
        <v>21</v>
      </c>
      <c r="BC15" s="359" t="s">
        <v>22</v>
      </c>
      <c r="BD15" s="359" t="s">
        <v>23</v>
      </c>
      <c r="BE15" s="359" t="s">
        <v>24</v>
      </c>
      <c r="BF15" s="359" t="s">
        <v>25</v>
      </c>
      <c r="BG15" s="494" t="s">
        <v>21</v>
      </c>
      <c r="BH15" s="494" t="s">
        <v>22</v>
      </c>
      <c r="BI15" s="494" t="s">
        <v>23</v>
      </c>
      <c r="BJ15" s="494" t="s">
        <v>24</v>
      </c>
      <c r="BK15" s="494" t="s">
        <v>25</v>
      </c>
      <c r="BL15" s="359" t="s">
        <v>21</v>
      </c>
      <c r="BM15" s="359" t="s">
        <v>22</v>
      </c>
      <c r="BN15" s="359" t="s">
        <v>23</v>
      </c>
      <c r="BO15" s="359" t="s">
        <v>24</v>
      </c>
      <c r="BP15" s="359" t="s">
        <v>25</v>
      </c>
      <c r="BQ15" s="360" t="s">
        <v>520</v>
      </c>
      <c r="BR15" s="341" t="s">
        <v>1160</v>
      </c>
      <c r="BS15" s="361" t="s">
        <v>1161</v>
      </c>
      <c r="BT15" s="361" t="s">
        <v>1162</v>
      </c>
      <c r="BU15" s="361" t="s">
        <v>1163</v>
      </c>
      <c r="BV15" s="341" t="s">
        <v>1164</v>
      </c>
      <c r="BW15" s="341"/>
      <c r="BX15" s="341"/>
      <c r="BY15" s="341"/>
      <c r="BZ15" s="341"/>
      <c r="CA15" s="127"/>
      <c r="CB15" s="127"/>
      <c r="CC15" s="125"/>
      <c r="CD15" s="125"/>
      <c r="CE15" s="125"/>
      <c r="CF15" s="125"/>
      <c r="CG15" s="125"/>
    </row>
    <row r="16" spans="1:85" ht="21" customHeight="1" thickBot="1" x14ac:dyDescent="0.3">
      <c r="A16" s="136"/>
      <c r="B16" s="857"/>
      <c r="C16" s="792"/>
      <c r="D16" s="801"/>
      <c r="E16" s="800"/>
      <c r="F16" s="792"/>
      <c r="G16" s="801"/>
      <c r="H16" s="792"/>
      <c r="I16" s="792"/>
      <c r="J16" s="792"/>
      <c r="K16" s="852"/>
      <c r="L16" s="822"/>
      <c r="M16" s="850"/>
      <c r="N16" s="825"/>
      <c r="O16" s="849"/>
      <c r="P16" s="800"/>
      <c r="Q16" s="792"/>
      <c r="R16" s="792"/>
      <c r="S16" s="816"/>
      <c r="T16" s="808"/>
      <c r="U16" s="818"/>
      <c r="V16" s="240" t="str">
        <f>VCCINT&amp;"V"</f>
        <v>1.2V</v>
      </c>
      <c r="W16" s="241" t="str">
        <f>VCCAUX&amp;"V"</f>
        <v>3.3V</v>
      </c>
      <c r="X16" s="456" t="s">
        <v>1153</v>
      </c>
      <c r="Y16" s="446" t="s">
        <v>1146</v>
      </c>
      <c r="Z16" s="242" t="s">
        <v>1147</v>
      </c>
      <c r="AA16" s="242" t="s">
        <v>1146</v>
      </c>
      <c r="AB16" s="242" t="s">
        <v>1147</v>
      </c>
      <c r="AC16" s="447" t="s">
        <v>1148</v>
      </c>
      <c r="AD16" s="445" t="s">
        <v>1153</v>
      </c>
      <c r="AE16" s="362"/>
      <c r="AF16" s="362"/>
      <c r="AG16" s="362"/>
      <c r="AH16" s="362"/>
      <c r="AI16" s="362"/>
      <c r="AJ16" s="362"/>
      <c r="AK16" s="362"/>
      <c r="AL16" s="362"/>
      <c r="AM16" s="362"/>
      <c r="AN16" s="362"/>
      <c r="AO16" s="361"/>
      <c r="AP16" s="361"/>
      <c r="AQ16" s="361"/>
      <c r="AR16" s="361"/>
      <c r="AS16" s="361"/>
      <c r="AT16" s="361"/>
      <c r="AU16" s="361"/>
      <c r="AV16" s="362"/>
      <c r="AW16" s="362"/>
      <c r="AX16" s="362"/>
      <c r="AY16" s="362"/>
      <c r="AZ16" s="362"/>
      <c r="BA16" s="362"/>
      <c r="BB16" s="362"/>
      <c r="BC16" s="362"/>
      <c r="BD16" s="362"/>
      <c r="BE16" s="362"/>
      <c r="BF16" s="362"/>
      <c r="BG16" s="495"/>
      <c r="BH16" s="495"/>
      <c r="BI16" s="495"/>
      <c r="BJ16" s="495"/>
      <c r="BK16" s="495"/>
      <c r="BL16" s="362"/>
      <c r="BM16" s="362"/>
      <c r="BN16" s="362"/>
      <c r="BO16" s="362"/>
      <c r="BP16" s="362"/>
      <c r="BQ16" s="341"/>
      <c r="BR16" s="363"/>
      <c r="BS16" s="357"/>
      <c r="BT16" s="358"/>
      <c r="BU16" s="358"/>
      <c r="BV16" s="358"/>
      <c r="BW16" s="358"/>
      <c r="BX16" s="358"/>
      <c r="BY16" s="358"/>
      <c r="BZ16" s="358"/>
      <c r="CA16" s="127"/>
      <c r="CB16" s="127"/>
    </row>
    <row r="17" spans="1:80" x14ac:dyDescent="0.25">
      <c r="A17" s="136"/>
      <c r="B17" s="823"/>
      <c r="C17" s="824"/>
      <c r="D17" s="824"/>
      <c r="E17" s="846" t="s">
        <v>757</v>
      </c>
      <c r="F17" s="847"/>
      <c r="G17" s="847"/>
      <c r="H17" s="12">
        <v>20</v>
      </c>
      <c r="I17" s="12">
        <v>44</v>
      </c>
      <c r="J17" s="12">
        <v>0</v>
      </c>
      <c r="K17" s="10" t="s">
        <v>512</v>
      </c>
      <c r="L17" s="243" t="s">
        <v>514</v>
      </c>
      <c r="M17" s="243" t="s">
        <v>458</v>
      </c>
      <c r="N17" s="243" t="s">
        <v>458</v>
      </c>
      <c r="O17" s="12" t="s">
        <v>396</v>
      </c>
      <c r="P17" s="233">
        <v>400</v>
      </c>
      <c r="Q17" s="13">
        <v>0.5</v>
      </c>
      <c r="R17" s="14" t="s">
        <v>28</v>
      </c>
      <c r="S17" s="236">
        <v>1</v>
      </c>
      <c r="T17" s="10">
        <v>0</v>
      </c>
      <c r="U17" s="548">
        <f t="shared" ref="U17:U48" si="0">P17*Q17*IF(R17="DDR",2,1)</f>
        <v>200</v>
      </c>
      <c r="V17" s="484">
        <f t="shared" ref="V17:V48" ca="1" si="1">IF(POWERMODE="Active",VCCINT/1000*VCCINT_N*((IF($K17="No",0,$P17*(SUM($H17:$J17))*OFFSET(CLOCK_DATA,IF(ISSTA=1,2,1),7)))+($AF17*2*OFFSET(FANOUT,3,6)*(SUM($H17:$J17)))+OFFSET(IO_STANDARDS,$AE17,7)*(H17+(1-S17)*J17) +$AW17 + $AV17),0)*IF(LEFT($E17,4)="Diff",2,1)</f>
        <v>1.9269503999999996E-2</v>
      </c>
      <c r="W17" s="484">
        <f t="shared" ref="W17:W126" ca="1" si="2">(IF(POWERMODE="Active",$AX17,0) + $AY17)*VCCAUX/1000</f>
        <v>0.12913729242857139</v>
      </c>
      <c r="X17" s="485">
        <f t="shared" ref="X17:X48" ca="1" si="3">IF((POWERMODE="Suspend")*($O17="OCT_ON")*($M17&lt;&gt;"None"),$AM17,IF((POWERMODE="Suspend")*($O17="Drivelast")*($BA17&lt;&gt;2)+(POWERMODE="Active"),$AL17,0))</f>
        <v>0.19184000000000001</v>
      </c>
      <c r="Y17" s="448" t="s">
        <v>458</v>
      </c>
      <c r="Z17" s="368"/>
      <c r="AA17" s="369" t="s">
        <v>458</v>
      </c>
      <c r="AB17" s="370"/>
      <c r="AC17" s="449"/>
      <c r="AD17" s="488">
        <f t="shared" ref="AD17:AD48" si="4">IF((POWERMODE="Hibernate")+(AA17="None")+(NOT(M17="None"))+(NOT(N17="None")),0,$BV17*(($I17+J17)*$S17))</f>
        <v>0</v>
      </c>
      <c r="AE17" s="341">
        <f t="shared" ref="AE17:AE126" si="5">MATCH($E17,IF(ISSTA=1,S6IOSTD_LIST,IOSTD_LIST),FALSE)+IF(ISSTA=1,ROW(S6IOSTD_LIST)-ROW(IOSTD_LIST),0)</f>
        <v>262</v>
      </c>
      <c r="AF17" s="341">
        <f t="shared" ref="AF17:AF126" si="6">IF(EXACT(POWERMODE,"Suspend"),0,$P17*$Q17*IF(EXACT($R17,"SDR"),0.5,1))</f>
        <v>100</v>
      </c>
      <c r="AG17" s="341">
        <f t="shared" ref="AG17:AG48" ca="1" si="7">IF((POWERMODE="Suspend")*($O17="OCT_ON")*($M17&lt;&gt;"None"),(($H17+$J17*(1-$S17))*$AP17)/1000,IF((POWERMODE="Suspend")*($O17="Drivelast")*($BA17&lt;&gt;2)+(POWERMODE="Active"),IF($BA17=2,IF(ISSTA=1,OFFSET(S6IODELAY_DATA,6,1)/1000,0.0012),0)*($I17+$J17) + ( (($H17+$J17*(1-$S17))*$AP17) + ((($I17+$J17)*$S17)*$AO17) )/1000  + $AN17,0))</f>
        <v>0.50639999999999996</v>
      </c>
      <c r="AH17" s="341">
        <f t="shared" ref="AH17:AH48" ca="1" si="8">((OFFSET(IO_STANDARDS,$AE17,3)*$AZ17+IF(OFFSET(IO_STANDARDS,$AE17,10)=0,$T17,$T17/2)*$BQ17)*($I17+$J17)*$BQ17*$AF17*$S17)/1000000</f>
        <v>6.8640000000000007E-2</v>
      </c>
      <c r="AI17" s="341">
        <f t="shared" ref="AI17:AI48" ca="1" si="9">MAX(0,(OFFSET(IO_STANDARDS,$AE17,3)*($I17+$J17)*$AZ17*$AZ17*$AF17*$S17/1000000))</f>
        <v>0.12870000000000001</v>
      </c>
      <c r="AJ17" s="341">
        <f t="shared" ref="AJ17:AJ48" ca="1" si="10">((OFFSET(IO_STANDARDS,$AE17,3)*$AZ17+IF(OFFSET(IO_STANDARDS,$AE17,10)=0,$T17,$T17/2)*$BQ17)*($I17+$J17)*$BQ17*$AF17*$S17)/1000000</f>
        <v>6.8640000000000007E-2</v>
      </c>
      <c r="AK17" s="341">
        <f t="shared" ref="AK17:AK48" ca="1" si="11">IF(OFFSET(IO_STANDARDS,$AE17,9)=0,0,IF(OR(LEFT($E17,14)="HSTL Class III",LEFT($E17,13)="HSTL Class IV",LEFT($E17,3)="GTL"),$AZ17,$AZ17/2))</f>
        <v>0.75</v>
      </c>
      <c r="AL17" s="341">
        <f t="shared" ref="AL17:AL48" ca="1" si="12">(IF($BA17=2,0.0012,0)*($I17+$J17)+$AN17)*$AZ17+OFFSET($AG17,0,$BA17)+IF($M17="None",0,(($H17+$J17*(1-$S17))*$AP17*$AZ17/1000)+$H17*OFFSET(IO_STANDARDS,$AE17,14)/1000)+(($I17+J17)*$S17)*$AQ17</f>
        <v>0.19184000000000001</v>
      </c>
      <c r="AM17" s="341">
        <f t="shared" ref="AM17:AM48" ca="1" si="13">(($H17+$J17*(1-$S17))*$AP17*$AZ17/1000)</f>
        <v>0.22500000000000001</v>
      </c>
      <c r="AN17" s="341">
        <f t="shared" ref="AN17:AN48" ca="1" si="14">IF(IF(LEFT($E17,5)="LVDCI",$I17+$J17,SUM($H17:$J17))&gt;0,((OFFSET(IO_STANDARDS,$AE17,6)*INT((SUM($H17:$J17)+40)/40))/1000),0)</f>
        <v>0</v>
      </c>
      <c r="AO17" s="341">
        <f t="shared" ref="AO17:AO48" ca="1" si="15">IF(AND(ISSTA=1,NOT(LEFT($N17,4)="None")),$AR17,OFFSET(IO_STANDARDS,$AE17,10))</f>
        <v>8.1</v>
      </c>
      <c r="AP17" s="341">
        <f t="shared" ref="AP17:AP48" ca="1" si="16">IF(AND(ISSTA=1,NOT(LEFT($M17,4)="None")),$AS17,OFFSET(IO_STANDARDS,$AE17,11))</f>
        <v>7.5</v>
      </c>
      <c r="AQ17" s="341">
        <f t="shared" ref="AQ17:AQ48" ca="1" si="17">IF(AND(ISSTA=1,NOT(LEFT($N17,4)="None")),$AT17/1000,$BU17)</f>
        <v>2.8E-3</v>
      </c>
      <c r="AR17" s="341">
        <f t="shared" ref="AR17:AR48" ca="1" si="18">IF(ISSTA=1,IF($N17="Tuned_Split",OFFSET(IO_STANDARDS,$AE17,16),IF($N17="Untuned_25",OFFSET(IO_STANDARDS,$AE17,17),IF($N17="Untuned_50",OFFSET(IO_STANDARDS,$AE17,18),IF($N17="Untuned_75",OFFSET(IO_STANDARDS,$AE17,19),0)))),0)</f>
        <v>0</v>
      </c>
      <c r="AS17" s="341">
        <f t="shared" ref="AS17:AS48" ca="1" si="19">IF(ISSTA=1,IF($M17="Tuned_Split",OFFSET(IO_STANDARDS,$AE17,20),IF($M17="Untuned_Split_25",OFFSET(IO_STANDARDS,$AE17,21),IF($M17="Untuned_Split_50",OFFSET(IO_STANDARDS,$AE17,22),IF($M17="Untuned_Split_75",OFFSET(IO_STANDARDS,$AE17,23),0)))),0)</f>
        <v>0</v>
      </c>
      <c r="AT17" s="341">
        <f t="shared" ref="AT17:AT48" ca="1" si="20">IF(ISSTA=1,IF($N17="Tuned_Split",OFFSET(IO_STANDARDS,$AE17,28),IF($N17="Untuned_25",OFFSET(IO_STANDARDS,$AE17,29),IF($N17="Untuned_50",OFFSET(IO_STANDARDS,$AE17,30),IF($N17="Untuned_75",OFFSET(IO_STANDARDS,$AE17,31),0)))),0)</f>
        <v>0</v>
      </c>
      <c r="AU17" s="341">
        <f t="shared" ref="AU17:AU48" ca="1" si="21">IF((POWERMODE="Suspend")*($O17="OCT_ON")*($M17&lt;&gt;"None"),(($H17+$J17*(1-$S17))*$AS17*$AZ17/1000),IF((POWERMODE="Suspend")*($O17="Drivelast")*($BA17&lt;&gt;2)+(POWERMODE="Active"),(IF($M17="None",0,(($H17+$J17*(1-$S17))*$AS17*$AZ17/1000))+(($I17+J17)*$S17)*$AT17/1000),0))</f>
        <v>0</v>
      </c>
      <c r="AV17" s="341">
        <f t="shared" ref="AV17:AV48" ca="1" si="22">IF(ISSTA=1,IF($K17="No",0,$AF17*(OFFSET(S6IODELAY_DATA,3,3)*(H17+(1-S17)*J17) + IF($K17="Yes",OFFSET(S6IODELAY_DATA,4,3),OFFSET(S6IODELAY_DATA,5,3))*(I17+S17*J17))),0)</f>
        <v>0</v>
      </c>
      <c r="AW17" s="333">
        <f ca="1">IF($L17="Off",0,$AF17*OFFSET(IF(ISSTA=1,S6IODELAY_DATA,IODELAY_DATA),2,3)*SUM($H17:$J17))</f>
        <v>0</v>
      </c>
      <c r="AX17" s="333">
        <f t="shared" ref="AX17:AX48" ca="1" si="23">IF($L17="Off",0,$AF17*OFFSET(IF(ISSTA=1,S6IODELAY_DATA,IODELAY_DATA),1,3)*SUM($H17:$J17))+OFFSET(IO_STANDARDS,$AE17,4)*$S17*$AF17*($I17+$J17)</f>
        <v>25.332512857142852</v>
      </c>
      <c r="AY17" s="333">
        <f t="shared" ref="AY17:AY48" ca="1" si="24">IF(POWERMODE="Active",IF($L17="On",OFFSET(IF(ISSTA=1,S6IODELAY_DATA,IODELAY_DATA),1,1),0)*SUM($H17:$J17)*IF(RIGHT($E17,6) ="(pair)",2,1)+OFFSET(IO_STANDARDS,$AE17,5)*($H17+$J17),IF(AND(POWERMODE="Suspend",OFFSET(IO_STANDARDS,$AE17,5)&gt;0),OFFSET(IO_STANDARDS,$AE17,5)*($H17+$J17),0))</f>
        <v>13.799999999999999</v>
      </c>
      <c r="AZ17" s="341">
        <f t="shared" ref="AZ17:AZ126" ca="1" si="25">OFFSET(IO_STANDARDS,$AE17,1)</f>
        <v>1.5</v>
      </c>
      <c r="BA17" s="341">
        <f t="shared" ref="BA17:BA126" ca="1" si="26">OFFSET(IO_STANDARDS,$AE17,2)</f>
        <v>1</v>
      </c>
      <c r="BB17" s="341">
        <f t="shared" ref="BB17:BB126" ca="1" si="27">IF($AZ17=VCCO33,$X17/$AZ17,0)</f>
        <v>0</v>
      </c>
      <c r="BC17" s="341">
        <f t="shared" ref="BC17:BC126" ca="1" si="28">IF($AZ17=VCCO25,$X17/$AZ17,0)</f>
        <v>0</v>
      </c>
      <c r="BD17" s="341">
        <f t="shared" ref="BD17:BD126" ca="1" si="29">IF($AZ17=VCCO18,$X17/$AZ17,0)</f>
        <v>0</v>
      </c>
      <c r="BE17" s="341">
        <f t="shared" ref="BE17:BE126" ca="1" si="30">IF($AZ17=VCCO15,$X17/$AZ17,0)</f>
        <v>0.12789333333333333</v>
      </c>
      <c r="BF17" s="341">
        <f t="shared" ref="BF17:BF126" ca="1" si="31">IF($AZ17=VCCO12,$X17/$AZ17,0)</f>
        <v>0</v>
      </c>
      <c r="BG17" s="441">
        <f t="shared" ref="BG17:BG126" ca="1" si="32">IF($AZ17=VCCO33,$AD17/$AZ17,0)</f>
        <v>0</v>
      </c>
      <c r="BH17" s="441">
        <f t="shared" ref="BH17:BH126" ca="1" si="33">IF($AZ17=VCCO25,$AD17/$AZ17,0)</f>
        <v>0</v>
      </c>
      <c r="BI17" s="441">
        <f t="shared" ref="BI17:BI126" ca="1" si="34">IF($AZ17=VCCO18,$AD17/$AZ17,0)</f>
        <v>0</v>
      </c>
      <c r="BJ17" s="441">
        <f t="shared" ref="BJ17:BJ126" ca="1" si="35">IF($AZ17=VCCO15,$AD17/$AZ17,0)</f>
        <v>0</v>
      </c>
      <c r="BK17" s="441">
        <f t="shared" ref="BK17:BK126" ca="1" si="36">IF($AZ17=VCCO12,$AD17/$AZ17,0)</f>
        <v>0</v>
      </c>
      <c r="BL17" s="341">
        <f t="shared" ref="BL17:BL126" ca="1" si="37">IF($AZ17=VCCO33,$AG17,0)</f>
        <v>0</v>
      </c>
      <c r="BM17" s="341">
        <f t="shared" ref="BM17:BM126" ca="1" si="38">IF($AZ17=VCCO25,$AG17,0)</f>
        <v>0</v>
      </c>
      <c r="BN17" s="341">
        <f t="shared" ref="BN17:BN126" ca="1" si="39">IF($AZ17=VCCO18,$AG17,0)</f>
        <v>0</v>
      </c>
      <c r="BO17" s="341">
        <f t="shared" ref="BO17:BO126" ca="1" si="40">IF($AZ17=VCCO15,$AG17,0)</f>
        <v>0.50639999999999996</v>
      </c>
      <c r="BP17" s="341">
        <f t="shared" ref="BP17:BP126" ca="1" si="41">IF($AZ17=VCCO12,$AG17,0)</f>
        <v>0</v>
      </c>
      <c r="BQ17" s="341">
        <f t="shared" ref="BQ17:BQ126" ca="1" si="42" xml:space="preserve"> IF((OFFSET(IO_STANDARDS,$AE17,8) - OFFSET(IO_STANDARDS,$AE17,9)) =0,$AZ17,(OFFSET(IO_STANDARDS,$AE17,8) - OFFSET(IO_STANDARDS,$AE17,9)))</f>
        <v>0.79999999999999993</v>
      </c>
      <c r="BR17" s="341" t="str">
        <f t="shared" ref="BR17:BR48" ca="1" si="43">IF(AND($BA17=2,OFFSET(IO_STANDARDS,$AE17,14)=0),"BP1:BP2",IF(OR(AND(ISSTA=1,OR(NOT(LEFT($M17,4)="None"),NOT(LEFT($N17,4)="None"))),OFFSET(IO_STANDARDS,$AE17,6)&gt;0,OFFSET(IO_STANDARDS,$AE17,8)=0),"BP2","BP2:BP3"))</f>
        <v>BP2:BP3</v>
      </c>
      <c r="BS17" s="357" t="str">
        <f t="shared" ref="BS17:BS48" ca="1" si="44">IF($BA17=2,"BP2",IF(OR(AND(ISSTA=1,OR(NOT(LEFT($M17,4)="None"),NOT(LEFT($N17,4)="None"))),OFFSET(IO_STANDARDS,$AE17,6)&gt;0,OFFSET(IO_STANDARDS,$AE17,8)=0),"BP2","BP2:BP5"))</f>
        <v>BP2:BP5</v>
      </c>
      <c r="BT17" s="358">
        <f xml:space="preserve"> IF(LEFT($AA17,8) = "Parallel",IF($AB17&lt;=0,50,$AB17/2),IF($AA17="Series",IF($AC17&lt;=0,20,$AC17)+50,IF($AA17="Series-Parallel",IF(OR($AC17&lt;=0,$AB17&lt;=0),70,($AC17 + ($AB17/2))),50)))</f>
        <v>50</v>
      </c>
      <c r="BU17" s="358">
        <f t="shared" ref="BU17:BU126" ca="1" si="45">IF($AA17="None",OFFSET(IO_STANDARDS,$AE17,13)/1000,(($AZ17-OFFSET(IO_STANDARDS,$AE17,8))*(ABS($AK17-OFFSET(IO_STANDARDS,$AE17,8))/$BT17)+OFFSET(IO_STANDARDS,$AE17,9)*($AK17-OFFSET(IO_STANDARDS,$AE17,9))/$BT17)/2)</f>
        <v>2.8E-3</v>
      </c>
      <c r="BV17" s="358">
        <f t="shared" ref="BV17:BV126" ca="1" si="46">IF($BU17&lt;=0,0,MAX(0,$BU17*OFFSET(IO_STANDARDS,$AE17,1)*OFFSET(IO_STANDARDS,$AE17,10)/OFFSET(IO_STANDARDS,$AE17,13)-$BU17))</f>
        <v>9.3499999999999989E-3</v>
      </c>
      <c r="BW17" s="358"/>
      <c r="BX17" s="358"/>
      <c r="BY17" s="358"/>
      <c r="BZ17" s="358"/>
      <c r="CA17" s="127"/>
      <c r="CB17" s="127"/>
    </row>
    <row r="18" spans="1:80" x14ac:dyDescent="0.25">
      <c r="A18" s="136"/>
      <c r="B18" s="728"/>
      <c r="C18" s="678"/>
      <c r="D18" s="678"/>
      <c r="E18" s="729" t="s">
        <v>173</v>
      </c>
      <c r="F18" s="678"/>
      <c r="G18" s="678"/>
      <c r="H18" s="12">
        <v>0</v>
      </c>
      <c r="I18" s="12">
        <v>0</v>
      </c>
      <c r="J18" s="12">
        <v>0</v>
      </c>
      <c r="K18" s="10" t="s">
        <v>512</v>
      </c>
      <c r="L18" s="244" t="s">
        <v>514</v>
      </c>
      <c r="M18" s="244" t="s">
        <v>458</v>
      </c>
      <c r="N18" s="244" t="s">
        <v>458</v>
      </c>
      <c r="O18" s="12" t="s">
        <v>396</v>
      </c>
      <c r="P18" s="234">
        <v>100</v>
      </c>
      <c r="Q18" s="13">
        <v>0.125</v>
      </c>
      <c r="R18" s="14" t="s">
        <v>28</v>
      </c>
      <c r="S18" s="237">
        <v>1</v>
      </c>
      <c r="T18" s="10">
        <v>0</v>
      </c>
      <c r="U18" s="548">
        <f t="shared" si="0"/>
        <v>12.5</v>
      </c>
      <c r="V18" s="484">
        <f t="shared" ca="1" si="1"/>
        <v>0</v>
      </c>
      <c r="W18" s="484">
        <f t="shared" ca="1" si="2"/>
        <v>0</v>
      </c>
      <c r="X18" s="485">
        <f t="shared" ca="1" si="3"/>
        <v>0</v>
      </c>
      <c r="Y18" s="450" t="s">
        <v>458</v>
      </c>
      <c r="Z18" s="370"/>
      <c r="AA18" s="371" t="s">
        <v>458</v>
      </c>
      <c r="AB18" s="370"/>
      <c r="AC18" s="449"/>
      <c r="AD18" s="489">
        <f t="shared" si="4"/>
        <v>0</v>
      </c>
      <c r="AE18" s="341">
        <f t="shared" si="5"/>
        <v>231</v>
      </c>
      <c r="AF18" s="341">
        <f t="shared" si="6"/>
        <v>6.25</v>
      </c>
      <c r="AG18" s="341">
        <f t="shared" ca="1" si="7"/>
        <v>0</v>
      </c>
      <c r="AH18" s="341">
        <f t="shared" ca="1" si="8"/>
        <v>0</v>
      </c>
      <c r="AI18" s="341">
        <f t="shared" ca="1" si="9"/>
        <v>0</v>
      </c>
      <c r="AJ18" s="341">
        <f t="shared" ca="1" si="10"/>
        <v>0</v>
      </c>
      <c r="AK18" s="341">
        <f t="shared" ca="1" si="11"/>
        <v>0</v>
      </c>
      <c r="AL18" s="341">
        <f t="shared" ca="1" si="12"/>
        <v>0</v>
      </c>
      <c r="AM18" s="341">
        <f t="shared" ca="1" si="13"/>
        <v>0</v>
      </c>
      <c r="AN18" s="341">
        <f t="shared" ca="1" si="14"/>
        <v>0</v>
      </c>
      <c r="AO18" s="341">
        <f t="shared" ca="1" si="15"/>
        <v>0</v>
      </c>
      <c r="AP18" s="341">
        <f t="shared" ca="1" si="16"/>
        <v>0</v>
      </c>
      <c r="AQ18" s="341">
        <f t="shared" ca="1" si="17"/>
        <v>0</v>
      </c>
      <c r="AR18" s="341">
        <f t="shared" ca="1" si="18"/>
        <v>0</v>
      </c>
      <c r="AS18" s="341">
        <f t="shared" ca="1" si="19"/>
        <v>0</v>
      </c>
      <c r="AT18" s="341">
        <f t="shared" ca="1" si="20"/>
        <v>0</v>
      </c>
      <c r="AU18" s="341">
        <f t="shared" ca="1" si="21"/>
        <v>0</v>
      </c>
      <c r="AV18" s="341">
        <f t="shared" ca="1" si="22"/>
        <v>0</v>
      </c>
      <c r="AW18" s="333">
        <f t="shared" ref="AW18:AW48" ca="1" si="47">IF($L18="Off",0,$AF18*OFFSET(IF(ISSTA=1,S6IODELAY_DATA,IODELAY_DATA),2,3)*($H18+$J18))</f>
        <v>0</v>
      </c>
      <c r="AX18" s="333">
        <f t="shared" ca="1" si="23"/>
        <v>0</v>
      </c>
      <c r="AY18" s="333">
        <f t="shared" ca="1" si="24"/>
        <v>0</v>
      </c>
      <c r="AZ18" s="341">
        <f t="shared" ca="1" si="25"/>
        <v>3.3</v>
      </c>
      <c r="BA18" s="341">
        <f t="shared" ca="1" si="26"/>
        <v>1</v>
      </c>
      <c r="BB18" s="341">
        <f t="shared" ca="1" si="27"/>
        <v>0</v>
      </c>
      <c r="BC18" s="341">
        <f t="shared" ca="1" si="28"/>
        <v>0</v>
      </c>
      <c r="BD18" s="341">
        <f t="shared" ca="1" si="29"/>
        <v>0</v>
      </c>
      <c r="BE18" s="341">
        <f t="shared" ca="1" si="30"/>
        <v>0</v>
      </c>
      <c r="BF18" s="341">
        <f t="shared" ca="1" si="31"/>
        <v>0</v>
      </c>
      <c r="BG18" s="441">
        <f t="shared" ca="1" si="32"/>
        <v>0</v>
      </c>
      <c r="BH18" s="441">
        <f t="shared" ca="1" si="33"/>
        <v>0</v>
      </c>
      <c r="BI18" s="441">
        <f t="shared" ca="1" si="34"/>
        <v>0</v>
      </c>
      <c r="BJ18" s="441">
        <f t="shared" ca="1" si="35"/>
        <v>0</v>
      </c>
      <c r="BK18" s="441">
        <f t="shared" ca="1" si="36"/>
        <v>0</v>
      </c>
      <c r="BL18" s="341">
        <f t="shared" ca="1" si="37"/>
        <v>0</v>
      </c>
      <c r="BM18" s="341">
        <f t="shared" ca="1" si="38"/>
        <v>0</v>
      </c>
      <c r="BN18" s="341">
        <f t="shared" ca="1" si="39"/>
        <v>0</v>
      </c>
      <c r="BO18" s="341">
        <f t="shared" ca="1" si="40"/>
        <v>0</v>
      </c>
      <c r="BP18" s="341">
        <f t="shared" ca="1" si="41"/>
        <v>0</v>
      </c>
      <c r="BQ18" s="341">
        <f t="shared" ca="1" si="42"/>
        <v>3.3</v>
      </c>
      <c r="BR18" s="341" t="str">
        <f t="shared" ca="1" si="43"/>
        <v>BP2</v>
      </c>
      <c r="BS18" s="357" t="str">
        <f t="shared" ca="1" si="44"/>
        <v>BP2</v>
      </c>
      <c r="BT18" s="358">
        <f t="shared" ref="BT18:BT126" si="48" xml:space="preserve"> IF(LEFT($AA18,8) = "Parallel",IF($AB18&lt;=0,50,$AB18/2),IF($AA18="Series",IF($AC18&lt;=0,20,$AC18)+50,IF($AA18="Series-Parallel",IF(OR($AC18&lt;=0,$AB18&lt;=0),70,($AC18 + ($AB18/2))),50)))</f>
        <v>50</v>
      </c>
      <c r="BU18" s="358">
        <f t="shared" ca="1" si="45"/>
        <v>0</v>
      </c>
      <c r="BV18" s="358">
        <f t="shared" ca="1" si="46"/>
        <v>0</v>
      </c>
      <c r="BW18" s="358"/>
      <c r="BX18" s="358"/>
      <c r="BY18" s="358"/>
      <c r="BZ18" s="358"/>
      <c r="CA18" s="127"/>
      <c r="CB18" s="127"/>
    </row>
    <row r="19" spans="1:80" x14ac:dyDescent="0.25">
      <c r="A19" s="136"/>
      <c r="B19" s="728"/>
      <c r="C19" s="678"/>
      <c r="D19" s="678"/>
      <c r="E19" s="729" t="s">
        <v>196</v>
      </c>
      <c r="F19" s="678"/>
      <c r="G19" s="678"/>
      <c r="H19" s="12">
        <v>0</v>
      </c>
      <c r="I19" s="12">
        <v>0</v>
      </c>
      <c r="J19" s="12">
        <v>0</v>
      </c>
      <c r="K19" s="10" t="s">
        <v>512</v>
      </c>
      <c r="L19" s="244" t="s">
        <v>514</v>
      </c>
      <c r="M19" s="244" t="s">
        <v>458</v>
      </c>
      <c r="N19" s="244" t="s">
        <v>458</v>
      </c>
      <c r="O19" s="12" t="s">
        <v>396</v>
      </c>
      <c r="P19" s="234">
        <v>0</v>
      </c>
      <c r="Q19" s="13">
        <v>0.125</v>
      </c>
      <c r="R19" s="14" t="s">
        <v>28</v>
      </c>
      <c r="S19" s="237">
        <v>1</v>
      </c>
      <c r="T19" s="10">
        <v>0</v>
      </c>
      <c r="U19" s="548">
        <f t="shared" si="0"/>
        <v>0</v>
      </c>
      <c r="V19" s="484">
        <f t="shared" ca="1" si="1"/>
        <v>0</v>
      </c>
      <c r="W19" s="484">
        <f t="shared" ca="1" si="2"/>
        <v>0</v>
      </c>
      <c r="X19" s="485">
        <f t="shared" ca="1" si="3"/>
        <v>0</v>
      </c>
      <c r="Y19" s="450" t="s">
        <v>458</v>
      </c>
      <c r="Z19" s="370"/>
      <c r="AA19" s="371" t="s">
        <v>458</v>
      </c>
      <c r="AB19" s="370"/>
      <c r="AC19" s="449"/>
      <c r="AD19" s="489">
        <f t="shared" si="4"/>
        <v>0</v>
      </c>
      <c r="AE19" s="341">
        <f t="shared" si="5"/>
        <v>212</v>
      </c>
      <c r="AF19" s="341">
        <f t="shared" si="6"/>
        <v>0</v>
      </c>
      <c r="AG19" s="341">
        <f t="shared" ca="1" si="7"/>
        <v>0</v>
      </c>
      <c r="AH19" s="341">
        <f t="shared" ca="1" si="8"/>
        <v>0</v>
      </c>
      <c r="AI19" s="341">
        <f t="shared" ca="1" si="9"/>
        <v>0</v>
      </c>
      <c r="AJ19" s="341">
        <f t="shared" ca="1" si="10"/>
        <v>0</v>
      </c>
      <c r="AK19" s="341">
        <f t="shared" ca="1" si="11"/>
        <v>0</v>
      </c>
      <c r="AL19" s="341">
        <f t="shared" ca="1" si="12"/>
        <v>0</v>
      </c>
      <c r="AM19" s="341">
        <f t="shared" ca="1" si="13"/>
        <v>0</v>
      </c>
      <c r="AN19" s="341">
        <f t="shared" ca="1" si="14"/>
        <v>0</v>
      </c>
      <c r="AO19" s="341">
        <f t="shared" ca="1" si="15"/>
        <v>0</v>
      </c>
      <c r="AP19" s="341">
        <f t="shared" ca="1" si="16"/>
        <v>0</v>
      </c>
      <c r="AQ19" s="341">
        <f t="shared" ca="1" si="17"/>
        <v>0</v>
      </c>
      <c r="AR19" s="341">
        <f t="shared" ca="1" si="18"/>
        <v>0</v>
      </c>
      <c r="AS19" s="341">
        <f t="shared" ca="1" si="19"/>
        <v>0</v>
      </c>
      <c r="AT19" s="341">
        <f t="shared" ca="1" si="20"/>
        <v>0</v>
      </c>
      <c r="AU19" s="341">
        <f t="shared" ca="1" si="21"/>
        <v>0</v>
      </c>
      <c r="AV19" s="341">
        <f t="shared" ca="1" si="22"/>
        <v>0</v>
      </c>
      <c r="AW19" s="333">
        <f t="shared" ca="1" si="47"/>
        <v>0</v>
      </c>
      <c r="AX19" s="333">
        <f t="shared" ca="1" si="23"/>
        <v>0</v>
      </c>
      <c r="AY19" s="333">
        <f t="shared" ca="1" si="24"/>
        <v>0</v>
      </c>
      <c r="AZ19" s="341">
        <f t="shared" ca="1" si="25"/>
        <v>2.5</v>
      </c>
      <c r="BA19" s="341">
        <f t="shared" ca="1" si="26"/>
        <v>1</v>
      </c>
      <c r="BB19" s="341">
        <f t="shared" ca="1" si="27"/>
        <v>0</v>
      </c>
      <c r="BC19" s="341">
        <f t="shared" ca="1" si="28"/>
        <v>0</v>
      </c>
      <c r="BD19" s="341">
        <f t="shared" ca="1" si="29"/>
        <v>0</v>
      </c>
      <c r="BE19" s="341">
        <f t="shared" ca="1" si="30"/>
        <v>0</v>
      </c>
      <c r="BF19" s="341">
        <f t="shared" ca="1" si="31"/>
        <v>0</v>
      </c>
      <c r="BG19" s="441">
        <f t="shared" ca="1" si="32"/>
        <v>0</v>
      </c>
      <c r="BH19" s="441">
        <f t="shared" ca="1" si="33"/>
        <v>0</v>
      </c>
      <c r="BI19" s="441">
        <f t="shared" ca="1" si="34"/>
        <v>0</v>
      </c>
      <c r="BJ19" s="441">
        <f t="shared" ca="1" si="35"/>
        <v>0</v>
      </c>
      <c r="BK19" s="441">
        <f t="shared" ca="1" si="36"/>
        <v>0</v>
      </c>
      <c r="BL19" s="341">
        <f t="shared" ca="1" si="37"/>
        <v>0</v>
      </c>
      <c r="BM19" s="341">
        <f t="shared" ca="1" si="38"/>
        <v>0</v>
      </c>
      <c r="BN19" s="341">
        <f t="shared" ca="1" si="39"/>
        <v>0</v>
      </c>
      <c r="BO19" s="341">
        <f t="shared" ca="1" si="40"/>
        <v>0</v>
      </c>
      <c r="BP19" s="341">
        <f t="shared" ca="1" si="41"/>
        <v>0</v>
      </c>
      <c r="BQ19" s="341">
        <f t="shared" ca="1" si="42"/>
        <v>2.5</v>
      </c>
      <c r="BR19" s="341" t="str">
        <f t="shared" ca="1" si="43"/>
        <v>BP2</v>
      </c>
      <c r="BS19" s="357" t="str">
        <f t="shared" ca="1" si="44"/>
        <v>BP2</v>
      </c>
      <c r="BT19" s="358">
        <f t="shared" si="48"/>
        <v>50</v>
      </c>
      <c r="BU19" s="358">
        <f t="shared" ca="1" si="45"/>
        <v>0</v>
      </c>
      <c r="BV19" s="358">
        <f t="shared" ca="1" si="46"/>
        <v>0</v>
      </c>
      <c r="BW19" s="341"/>
      <c r="BX19" s="341"/>
      <c r="BY19" s="341"/>
      <c r="BZ19" s="341"/>
      <c r="CA19" s="127"/>
      <c r="CB19" s="127"/>
    </row>
    <row r="20" spans="1:80" x14ac:dyDescent="0.25">
      <c r="A20" s="136"/>
      <c r="B20" s="728"/>
      <c r="C20" s="678"/>
      <c r="D20" s="678"/>
      <c r="E20" s="729" t="s">
        <v>196</v>
      </c>
      <c r="F20" s="678"/>
      <c r="G20" s="678"/>
      <c r="H20" s="12">
        <v>0</v>
      </c>
      <c r="I20" s="12">
        <v>0</v>
      </c>
      <c r="J20" s="12">
        <v>0</v>
      </c>
      <c r="K20" s="10" t="s">
        <v>512</v>
      </c>
      <c r="L20" s="244" t="s">
        <v>514</v>
      </c>
      <c r="M20" s="244" t="s">
        <v>458</v>
      </c>
      <c r="N20" s="244" t="s">
        <v>458</v>
      </c>
      <c r="O20" s="12" t="s">
        <v>396</v>
      </c>
      <c r="P20" s="234">
        <v>0</v>
      </c>
      <c r="Q20" s="13">
        <v>0.125</v>
      </c>
      <c r="R20" s="14" t="s">
        <v>28</v>
      </c>
      <c r="S20" s="237">
        <v>1</v>
      </c>
      <c r="T20" s="10">
        <v>0</v>
      </c>
      <c r="U20" s="548">
        <f t="shared" si="0"/>
        <v>0</v>
      </c>
      <c r="V20" s="484">
        <f t="shared" ca="1" si="1"/>
        <v>0</v>
      </c>
      <c r="W20" s="484">
        <f t="shared" ca="1" si="2"/>
        <v>0</v>
      </c>
      <c r="X20" s="485">
        <f t="shared" ca="1" si="3"/>
        <v>0</v>
      </c>
      <c r="Y20" s="450" t="s">
        <v>458</v>
      </c>
      <c r="Z20" s="370"/>
      <c r="AA20" s="371" t="s">
        <v>458</v>
      </c>
      <c r="AB20" s="370"/>
      <c r="AC20" s="449"/>
      <c r="AD20" s="489">
        <f t="shared" si="4"/>
        <v>0</v>
      </c>
      <c r="AE20" s="341">
        <f t="shared" si="5"/>
        <v>212</v>
      </c>
      <c r="AF20" s="341">
        <f t="shared" si="6"/>
        <v>0</v>
      </c>
      <c r="AG20" s="341">
        <f t="shared" ca="1" si="7"/>
        <v>0</v>
      </c>
      <c r="AH20" s="341">
        <f t="shared" ca="1" si="8"/>
        <v>0</v>
      </c>
      <c r="AI20" s="341">
        <f t="shared" ca="1" si="9"/>
        <v>0</v>
      </c>
      <c r="AJ20" s="341">
        <f t="shared" ca="1" si="10"/>
        <v>0</v>
      </c>
      <c r="AK20" s="341">
        <f t="shared" ca="1" si="11"/>
        <v>0</v>
      </c>
      <c r="AL20" s="341">
        <f t="shared" ca="1" si="12"/>
        <v>0</v>
      </c>
      <c r="AM20" s="341">
        <f t="shared" ca="1" si="13"/>
        <v>0</v>
      </c>
      <c r="AN20" s="341">
        <f t="shared" ca="1" si="14"/>
        <v>0</v>
      </c>
      <c r="AO20" s="341">
        <f t="shared" ca="1" si="15"/>
        <v>0</v>
      </c>
      <c r="AP20" s="341">
        <f t="shared" ca="1" si="16"/>
        <v>0</v>
      </c>
      <c r="AQ20" s="341">
        <f t="shared" ca="1" si="17"/>
        <v>0</v>
      </c>
      <c r="AR20" s="341">
        <f t="shared" ca="1" si="18"/>
        <v>0</v>
      </c>
      <c r="AS20" s="341">
        <f t="shared" ca="1" si="19"/>
        <v>0</v>
      </c>
      <c r="AT20" s="341">
        <f t="shared" ca="1" si="20"/>
        <v>0</v>
      </c>
      <c r="AU20" s="341">
        <f t="shared" ca="1" si="21"/>
        <v>0</v>
      </c>
      <c r="AV20" s="341">
        <f t="shared" ca="1" si="22"/>
        <v>0</v>
      </c>
      <c r="AW20" s="333">
        <f t="shared" ca="1" si="47"/>
        <v>0</v>
      </c>
      <c r="AX20" s="333">
        <f t="shared" ca="1" si="23"/>
        <v>0</v>
      </c>
      <c r="AY20" s="333">
        <f t="shared" ca="1" si="24"/>
        <v>0</v>
      </c>
      <c r="AZ20" s="341">
        <f t="shared" ca="1" si="25"/>
        <v>2.5</v>
      </c>
      <c r="BA20" s="341">
        <f t="shared" ca="1" si="26"/>
        <v>1</v>
      </c>
      <c r="BB20" s="341">
        <f t="shared" ca="1" si="27"/>
        <v>0</v>
      </c>
      <c r="BC20" s="341">
        <f t="shared" ca="1" si="28"/>
        <v>0</v>
      </c>
      <c r="BD20" s="341">
        <f t="shared" ca="1" si="29"/>
        <v>0</v>
      </c>
      <c r="BE20" s="341">
        <f t="shared" ca="1" si="30"/>
        <v>0</v>
      </c>
      <c r="BF20" s="341">
        <f t="shared" ca="1" si="31"/>
        <v>0</v>
      </c>
      <c r="BG20" s="441">
        <f t="shared" ca="1" si="32"/>
        <v>0</v>
      </c>
      <c r="BH20" s="441">
        <f t="shared" ca="1" si="33"/>
        <v>0</v>
      </c>
      <c r="BI20" s="441">
        <f t="shared" ca="1" si="34"/>
        <v>0</v>
      </c>
      <c r="BJ20" s="441">
        <f t="shared" ca="1" si="35"/>
        <v>0</v>
      </c>
      <c r="BK20" s="441">
        <f t="shared" ca="1" si="36"/>
        <v>0</v>
      </c>
      <c r="BL20" s="341">
        <f t="shared" ca="1" si="37"/>
        <v>0</v>
      </c>
      <c r="BM20" s="341">
        <f t="shared" ca="1" si="38"/>
        <v>0</v>
      </c>
      <c r="BN20" s="341">
        <f t="shared" ca="1" si="39"/>
        <v>0</v>
      </c>
      <c r="BO20" s="341">
        <f t="shared" ca="1" si="40"/>
        <v>0</v>
      </c>
      <c r="BP20" s="341">
        <f t="shared" ca="1" si="41"/>
        <v>0</v>
      </c>
      <c r="BQ20" s="341">
        <f t="shared" ca="1" si="42"/>
        <v>2.5</v>
      </c>
      <c r="BR20" s="341" t="str">
        <f t="shared" ca="1" si="43"/>
        <v>BP2</v>
      </c>
      <c r="BS20" s="357" t="str">
        <f t="shared" ca="1" si="44"/>
        <v>BP2</v>
      </c>
      <c r="BT20" s="358">
        <f t="shared" si="48"/>
        <v>50</v>
      </c>
      <c r="BU20" s="358">
        <f t="shared" ca="1" si="45"/>
        <v>0</v>
      </c>
      <c r="BV20" s="358">
        <f t="shared" ca="1" si="46"/>
        <v>0</v>
      </c>
      <c r="BW20" s="341"/>
      <c r="BX20" s="341"/>
      <c r="BY20" s="341"/>
      <c r="BZ20" s="341"/>
      <c r="CA20" s="127"/>
      <c r="CB20" s="127"/>
    </row>
    <row r="21" spans="1:80" x14ac:dyDescent="0.25">
      <c r="A21" s="136"/>
      <c r="B21" s="728"/>
      <c r="C21" s="678"/>
      <c r="D21" s="678"/>
      <c r="E21" s="729" t="s">
        <v>196</v>
      </c>
      <c r="F21" s="678"/>
      <c r="G21" s="678"/>
      <c r="H21" s="12">
        <v>0</v>
      </c>
      <c r="I21" s="12">
        <v>0</v>
      </c>
      <c r="J21" s="12">
        <v>0</v>
      </c>
      <c r="K21" s="10" t="s">
        <v>512</v>
      </c>
      <c r="L21" s="244" t="s">
        <v>514</v>
      </c>
      <c r="M21" s="244" t="s">
        <v>458</v>
      </c>
      <c r="N21" s="244" t="s">
        <v>458</v>
      </c>
      <c r="O21" s="12" t="s">
        <v>396</v>
      </c>
      <c r="P21" s="234">
        <v>0</v>
      </c>
      <c r="Q21" s="13">
        <v>0.125</v>
      </c>
      <c r="R21" s="14" t="s">
        <v>28</v>
      </c>
      <c r="S21" s="237">
        <v>1</v>
      </c>
      <c r="T21" s="10">
        <v>0</v>
      </c>
      <c r="U21" s="548">
        <f t="shared" si="0"/>
        <v>0</v>
      </c>
      <c r="V21" s="484">
        <f t="shared" ca="1" si="1"/>
        <v>0</v>
      </c>
      <c r="W21" s="484">
        <f t="shared" ca="1" si="2"/>
        <v>0</v>
      </c>
      <c r="X21" s="485">
        <f t="shared" ca="1" si="3"/>
        <v>0</v>
      </c>
      <c r="Y21" s="450" t="s">
        <v>458</v>
      </c>
      <c r="Z21" s="370"/>
      <c r="AA21" s="371" t="s">
        <v>458</v>
      </c>
      <c r="AB21" s="370"/>
      <c r="AC21" s="449"/>
      <c r="AD21" s="489">
        <f t="shared" si="4"/>
        <v>0</v>
      </c>
      <c r="AE21" s="341">
        <f t="shared" si="5"/>
        <v>212</v>
      </c>
      <c r="AF21" s="341">
        <f t="shared" si="6"/>
        <v>0</v>
      </c>
      <c r="AG21" s="341">
        <f t="shared" ca="1" si="7"/>
        <v>0</v>
      </c>
      <c r="AH21" s="341">
        <f t="shared" ca="1" si="8"/>
        <v>0</v>
      </c>
      <c r="AI21" s="341">
        <f t="shared" ca="1" si="9"/>
        <v>0</v>
      </c>
      <c r="AJ21" s="341">
        <f t="shared" ca="1" si="10"/>
        <v>0</v>
      </c>
      <c r="AK21" s="341">
        <f t="shared" ca="1" si="11"/>
        <v>0</v>
      </c>
      <c r="AL21" s="341">
        <f t="shared" ca="1" si="12"/>
        <v>0</v>
      </c>
      <c r="AM21" s="341">
        <f t="shared" ca="1" si="13"/>
        <v>0</v>
      </c>
      <c r="AN21" s="341">
        <f t="shared" ca="1" si="14"/>
        <v>0</v>
      </c>
      <c r="AO21" s="341">
        <f t="shared" ca="1" si="15"/>
        <v>0</v>
      </c>
      <c r="AP21" s="341">
        <f t="shared" ca="1" si="16"/>
        <v>0</v>
      </c>
      <c r="AQ21" s="341">
        <f t="shared" ca="1" si="17"/>
        <v>0</v>
      </c>
      <c r="AR21" s="341">
        <f t="shared" ca="1" si="18"/>
        <v>0</v>
      </c>
      <c r="AS21" s="341">
        <f t="shared" ca="1" si="19"/>
        <v>0</v>
      </c>
      <c r="AT21" s="341">
        <f t="shared" ca="1" si="20"/>
        <v>0</v>
      </c>
      <c r="AU21" s="341">
        <f t="shared" ca="1" si="21"/>
        <v>0</v>
      </c>
      <c r="AV21" s="341">
        <f t="shared" ca="1" si="22"/>
        <v>0</v>
      </c>
      <c r="AW21" s="333">
        <f t="shared" ca="1" si="47"/>
        <v>0</v>
      </c>
      <c r="AX21" s="333">
        <f t="shared" ca="1" si="23"/>
        <v>0</v>
      </c>
      <c r="AY21" s="333">
        <f t="shared" ca="1" si="24"/>
        <v>0</v>
      </c>
      <c r="AZ21" s="341">
        <f t="shared" ca="1" si="25"/>
        <v>2.5</v>
      </c>
      <c r="BA21" s="341">
        <f t="shared" ca="1" si="26"/>
        <v>1</v>
      </c>
      <c r="BB21" s="341">
        <f t="shared" ca="1" si="27"/>
        <v>0</v>
      </c>
      <c r="BC21" s="341">
        <f t="shared" ca="1" si="28"/>
        <v>0</v>
      </c>
      <c r="BD21" s="341">
        <f t="shared" ca="1" si="29"/>
        <v>0</v>
      </c>
      <c r="BE21" s="341">
        <f t="shared" ca="1" si="30"/>
        <v>0</v>
      </c>
      <c r="BF21" s="341">
        <f t="shared" ca="1" si="31"/>
        <v>0</v>
      </c>
      <c r="BG21" s="441">
        <f t="shared" ca="1" si="32"/>
        <v>0</v>
      </c>
      <c r="BH21" s="441">
        <f t="shared" ca="1" si="33"/>
        <v>0</v>
      </c>
      <c r="BI21" s="441">
        <f t="shared" ca="1" si="34"/>
        <v>0</v>
      </c>
      <c r="BJ21" s="441">
        <f t="shared" ca="1" si="35"/>
        <v>0</v>
      </c>
      <c r="BK21" s="441">
        <f t="shared" ca="1" si="36"/>
        <v>0</v>
      </c>
      <c r="BL21" s="341">
        <f t="shared" ca="1" si="37"/>
        <v>0</v>
      </c>
      <c r="BM21" s="341">
        <f t="shared" ca="1" si="38"/>
        <v>0</v>
      </c>
      <c r="BN21" s="341">
        <f t="shared" ca="1" si="39"/>
        <v>0</v>
      </c>
      <c r="BO21" s="341">
        <f t="shared" ca="1" si="40"/>
        <v>0</v>
      </c>
      <c r="BP21" s="341">
        <f t="shared" ca="1" si="41"/>
        <v>0</v>
      </c>
      <c r="BQ21" s="341">
        <f t="shared" ca="1" si="42"/>
        <v>2.5</v>
      </c>
      <c r="BR21" s="341" t="str">
        <f t="shared" ca="1" si="43"/>
        <v>BP2</v>
      </c>
      <c r="BS21" s="357" t="str">
        <f t="shared" ca="1" si="44"/>
        <v>BP2</v>
      </c>
      <c r="BT21" s="358">
        <f t="shared" si="48"/>
        <v>50</v>
      </c>
      <c r="BU21" s="358">
        <f t="shared" ca="1" si="45"/>
        <v>0</v>
      </c>
      <c r="BV21" s="358">
        <f t="shared" ca="1" si="46"/>
        <v>0</v>
      </c>
      <c r="BW21" s="341"/>
      <c r="BX21" s="341"/>
      <c r="BY21" s="341"/>
      <c r="BZ21" s="341"/>
      <c r="CA21" s="127"/>
      <c r="CB21" s="127"/>
    </row>
    <row r="22" spans="1:80" x14ac:dyDescent="0.25">
      <c r="A22" s="136"/>
      <c r="B22" s="728"/>
      <c r="C22" s="678"/>
      <c r="D22" s="678"/>
      <c r="E22" s="729" t="s">
        <v>196</v>
      </c>
      <c r="F22" s="678"/>
      <c r="G22" s="678"/>
      <c r="H22" s="12">
        <v>0</v>
      </c>
      <c r="I22" s="12">
        <v>0</v>
      </c>
      <c r="J22" s="12">
        <v>0</v>
      </c>
      <c r="K22" s="10" t="s">
        <v>512</v>
      </c>
      <c r="L22" s="244" t="s">
        <v>514</v>
      </c>
      <c r="M22" s="244" t="s">
        <v>458</v>
      </c>
      <c r="N22" s="244" t="s">
        <v>458</v>
      </c>
      <c r="O22" s="12" t="s">
        <v>396</v>
      </c>
      <c r="P22" s="234">
        <v>0</v>
      </c>
      <c r="Q22" s="13">
        <v>0.125</v>
      </c>
      <c r="R22" s="14" t="s">
        <v>28</v>
      </c>
      <c r="S22" s="237">
        <v>1</v>
      </c>
      <c r="T22" s="10">
        <v>0</v>
      </c>
      <c r="U22" s="548">
        <f t="shared" si="0"/>
        <v>0</v>
      </c>
      <c r="V22" s="484">
        <f t="shared" ca="1" si="1"/>
        <v>0</v>
      </c>
      <c r="W22" s="484">
        <f t="shared" ca="1" si="2"/>
        <v>0</v>
      </c>
      <c r="X22" s="485">
        <f t="shared" ca="1" si="3"/>
        <v>0</v>
      </c>
      <c r="Y22" s="450" t="s">
        <v>458</v>
      </c>
      <c r="Z22" s="370"/>
      <c r="AA22" s="371" t="s">
        <v>458</v>
      </c>
      <c r="AB22" s="370"/>
      <c r="AC22" s="449"/>
      <c r="AD22" s="489">
        <f t="shared" si="4"/>
        <v>0</v>
      </c>
      <c r="AE22" s="341">
        <f t="shared" si="5"/>
        <v>212</v>
      </c>
      <c r="AF22" s="341">
        <f t="shared" si="6"/>
        <v>0</v>
      </c>
      <c r="AG22" s="341">
        <f t="shared" ca="1" si="7"/>
        <v>0</v>
      </c>
      <c r="AH22" s="341">
        <f t="shared" ca="1" si="8"/>
        <v>0</v>
      </c>
      <c r="AI22" s="341">
        <f t="shared" ca="1" si="9"/>
        <v>0</v>
      </c>
      <c r="AJ22" s="341">
        <f t="shared" ca="1" si="10"/>
        <v>0</v>
      </c>
      <c r="AK22" s="341">
        <f t="shared" ca="1" si="11"/>
        <v>0</v>
      </c>
      <c r="AL22" s="341">
        <f t="shared" ca="1" si="12"/>
        <v>0</v>
      </c>
      <c r="AM22" s="341">
        <f t="shared" ca="1" si="13"/>
        <v>0</v>
      </c>
      <c r="AN22" s="341">
        <f t="shared" ca="1" si="14"/>
        <v>0</v>
      </c>
      <c r="AO22" s="341">
        <f t="shared" ca="1" si="15"/>
        <v>0</v>
      </c>
      <c r="AP22" s="341">
        <f t="shared" ca="1" si="16"/>
        <v>0</v>
      </c>
      <c r="AQ22" s="341">
        <f t="shared" ca="1" si="17"/>
        <v>0</v>
      </c>
      <c r="AR22" s="341">
        <f t="shared" ca="1" si="18"/>
        <v>0</v>
      </c>
      <c r="AS22" s="341">
        <f t="shared" ca="1" si="19"/>
        <v>0</v>
      </c>
      <c r="AT22" s="341">
        <f t="shared" ca="1" si="20"/>
        <v>0</v>
      </c>
      <c r="AU22" s="341">
        <f t="shared" ca="1" si="21"/>
        <v>0</v>
      </c>
      <c r="AV22" s="341">
        <f t="shared" ca="1" si="22"/>
        <v>0</v>
      </c>
      <c r="AW22" s="333">
        <f t="shared" ca="1" si="47"/>
        <v>0</v>
      </c>
      <c r="AX22" s="333">
        <f t="shared" ca="1" si="23"/>
        <v>0</v>
      </c>
      <c r="AY22" s="333">
        <f t="shared" ca="1" si="24"/>
        <v>0</v>
      </c>
      <c r="AZ22" s="341">
        <f t="shared" ca="1" si="25"/>
        <v>2.5</v>
      </c>
      <c r="BA22" s="341">
        <f t="shared" ca="1" si="26"/>
        <v>1</v>
      </c>
      <c r="BB22" s="341">
        <f t="shared" ca="1" si="27"/>
        <v>0</v>
      </c>
      <c r="BC22" s="341">
        <f t="shared" ca="1" si="28"/>
        <v>0</v>
      </c>
      <c r="BD22" s="341">
        <f t="shared" ca="1" si="29"/>
        <v>0</v>
      </c>
      <c r="BE22" s="341">
        <f t="shared" ca="1" si="30"/>
        <v>0</v>
      </c>
      <c r="BF22" s="341">
        <f t="shared" ca="1" si="31"/>
        <v>0</v>
      </c>
      <c r="BG22" s="441">
        <f t="shared" ca="1" si="32"/>
        <v>0</v>
      </c>
      <c r="BH22" s="441">
        <f t="shared" ca="1" si="33"/>
        <v>0</v>
      </c>
      <c r="BI22" s="441">
        <f t="shared" ca="1" si="34"/>
        <v>0</v>
      </c>
      <c r="BJ22" s="441">
        <f t="shared" ca="1" si="35"/>
        <v>0</v>
      </c>
      <c r="BK22" s="441">
        <f t="shared" ca="1" si="36"/>
        <v>0</v>
      </c>
      <c r="BL22" s="341">
        <f t="shared" ca="1" si="37"/>
        <v>0</v>
      </c>
      <c r="BM22" s="341">
        <f t="shared" ca="1" si="38"/>
        <v>0</v>
      </c>
      <c r="BN22" s="341">
        <f t="shared" ca="1" si="39"/>
        <v>0</v>
      </c>
      <c r="BO22" s="341">
        <f t="shared" ca="1" si="40"/>
        <v>0</v>
      </c>
      <c r="BP22" s="341">
        <f t="shared" ca="1" si="41"/>
        <v>0</v>
      </c>
      <c r="BQ22" s="341">
        <f t="shared" ca="1" si="42"/>
        <v>2.5</v>
      </c>
      <c r="BR22" s="341" t="str">
        <f t="shared" ca="1" si="43"/>
        <v>BP2</v>
      </c>
      <c r="BS22" s="357" t="str">
        <f t="shared" ca="1" si="44"/>
        <v>BP2</v>
      </c>
      <c r="BT22" s="358">
        <f t="shared" si="48"/>
        <v>50</v>
      </c>
      <c r="BU22" s="358">
        <f t="shared" ca="1" si="45"/>
        <v>0</v>
      </c>
      <c r="BV22" s="358">
        <f t="shared" ca="1" si="46"/>
        <v>0</v>
      </c>
      <c r="BW22" s="341"/>
      <c r="BX22" s="341"/>
      <c r="BY22" s="341"/>
      <c r="BZ22" s="341"/>
      <c r="CA22" s="127"/>
      <c r="CB22" s="127"/>
    </row>
    <row r="23" spans="1:80" x14ac:dyDescent="0.25">
      <c r="A23" s="136"/>
      <c r="B23" s="728"/>
      <c r="C23" s="678"/>
      <c r="D23" s="678"/>
      <c r="E23" s="729" t="s">
        <v>196</v>
      </c>
      <c r="F23" s="678"/>
      <c r="G23" s="678"/>
      <c r="H23" s="12">
        <v>0</v>
      </c>
      <c r="I23" s="12">
        <v>0</v>
      </c>
      <c r="J23" s="12">
        <v>0</v>
      </c>
      <c r="K23" s="10" t="s">
        <v>512</v>
      </c>
      <c r="L23" s="244" t="s">
        <v>514</v>
      </c>
      <c r="M23" s="244" t="s">
        <v>458</v>
      </c>
      <c r="N23" s="244" t="s">
        <v>458</v>
      </c>
      <c r="O23" s="12" t="s">
        <v>396</v>
      </c>
      <c r="P23" s="234">
        <v>0</v>
      </c>
      <c r="Q23" s="13">
        <v>0.125</v>
      </c>
      <c r="R23" s="14" t="s">
        <v>28</v>
      </c>
      <c r="S23" s="237">
        <v>1</v>
      </c>
      <c r="T23" s="10">
        <v>0</v>
      </c>
      <c r="U23" s="548">
        <f t="shared" si="0"/>
        <v>0</v>
      </c>
      <c r="V23" s="484">
        <f t="shared" ca="1" si="1"/>
        <v>0</v>
      </c>
      <c r="W23" s="484">
        <f t="shared" ca="1" si="2"/>
        <v>0</v>
      </c>
      <c r="X23" s="485">
        <f t="shared" ca="1" si="3"/>
        <v>0</v>
      </c>
      <c r="Y23" s="450" t="s">
        <v>458</v>
      </c>
      <c r="Z23" s="370"/>
      <c r="AA23" s="371" t="s">
        <v>458</v>
      </c>
      <c r="AB23" s="370"/>
      <c r="AC23" s="449"/>
      <c r="AD23" s="489">
        <f t="shared" si="4"/>
        <v>0</v>
      </c>
      <c r="AE23" s="341">
        <f t="shared" si="5"/>
        <v>212</v>
      </c>
      <c r="AF23" s="341">
        <f t="shared" si="6"/>
        <v>0</v>
      </c>
      <c r="AG23" s="341">
        <f t="shared" ca="1" si="7"/>
        <v>0</v>
      </c>
      <c r="AH23" s="341">
        <f t="shared" ca="1" si="8"/>
        <v>0</v>
      </c>
      <c r="AI23" s="341">
        <f t="shared" ca="1" si="9"/>
        <v>0</v>
      </c>
      <c r="AJ23" s="341">
        <f t="shared" ca="1" si="10"/>
        <v>0</v>
      </c>
      <c r="AK23" s="341">
        <f t="shared" ca="1" si="11"/>
        <v>0</v>
      </c>
      <c r="AL23" s="341">
        <f t="shared" ca="1" si="12"/>
        <v>0</v>
      </c>
      <c r="AM23" s="341">
        <f t="shared" ca="1" si="13"/>
        <v>0</v>
      </c>
      <c r="AN23" s="341">
        <f t="shared" ca="1" si="14"/>
        <v>0</v>
      </c>
      <c r="AO23" s="341">
        <f t="shared" ca="1" si="15"/>
        <v>0</v>
      </c>
      <c r="AP23" s="341">
        <f t="shared" ca="1" si="16"/>
        <v>0</v>
      </c>
      <c r="AQ23" s="341">
        <f t="shared" ca="1" si="17"/>
        <v>0</v>
      </c>
      <c r="AR23" s="341">
        <f t="shared" ca="1" si="18"/>
        <v>0</v>
      </c>
      <c r="AS23" s="341">
        <f t="shared" ca="1" si="19"/>
        <v>0</v>
      </c>
      <c r="AT23" s="341">
        <f t="shared" ca="1" si="20"/>
        <v>0</v>
      </c>
      <c r="AU23" s="341">
        <f t="shared" ca="1" si="21"/>
        <v>0</v>
      </c>
      <c r="AV23" s="341">
        <f t="shared" ca="1" si="22"/>
        <v>0</v>
      </c>
      <c r="AW23" s="333">
        <f t="shared" ca="1" si="47"/>
        <v>0</v>
      </c>
      <c r="AX23" s="333">
        <f t="shared" ca="1" si="23"/>
        <v>0</v>
      </c>
      <c r="AY23" s="333">
        <f t="shared" ca="1" si="24"/>
        <v>0</v>
      </c>
      <c r="AZ23" s="341">
        <f t="shared" ca="1" si="25"/>
        <v>2.5</v>
      </c>
      <c r="BA23" s="341">
        <f t="shared" ca="1" si="26"/>
        <v>1</v>
      </c>
      <c r="BB23" s="341">
        <f t="shared" ca="1" si="27"/>
        <v>0</v>
      </c>
      <c r="BC23" s="341">
        <f t="shared" ca="1" si="28"/>
        <v>0</v>
      </c>
      <c r="BD23" s="341">
        <f t="shared" ca="1" si="29"/>
        <v>0</v>
      </c>
      <c r="BE23" s="341">
        <f t="shared" ca="1" si="30"/>
        <v>0</v>
      </c>
      <c r="BF23" s="341">
        <f t="shared" ca="1" si="31"/>
        <v>0</v>
      </c>
      <c r="BG23" s="441">
        <f t="shared" ca="1" si="32"/>
        <v>0</v>
      </c>
      <c r="BH23" s="441">
        <f t="shared" ca="1" si="33"/>
        <v>0</v>
      </c>
      <c r="BI23" s="441">
        <f t="shared" ca="1" si="34"/>
        <v>0</v>
      </c>
      <c r="BJ23" s="441">
        <f t="shared" ca="1" si="35"/>
        <v>0</v>
      </c>
      <c r="BK23" s="441">
        <f t="shared" ca="1" si="36"/>
        <v>0</v>
      </c>
      <c r="BL23" s="341">
        <f t="shared" ca="1" si="37"/>
        <v>0</v>
      </c>
      <c r="BM23" s="341">
        <f t="shared" ca="1" si="38"/>
        <v>0</v>
      </c>
      <c r="BN23" s="341">
        <f t="shared" ca="1" si="39"/>
        <v>0</v>
      </c>
      <c r="BO23" s="341">
        <f t="shared" ca="1" si="40"/>
        <v>0</v>
      </c>
      <c r="BP23" s="341">
        <f t="shared" ca="1" si="41"/>
        <v>0</v>
      </c>
      <c r="BQ23" s="341">
        <f t="shared" ca="1" si="42"/>
        <v>2.5</v>
      </c>
      <c r="BR23" s="341" t="str">
        <f t="shared" ca="1" si="43"/>
        <v>BP2</v>
      </c>
      <c r="BS23" s="357" t="str">
        <f t="shared" ca="1" si="44"/>
        <v>BP2</v>
      </c>
      <c r="BT23" s="358">
        <f t="shared" si="48"/>
        <v>50</v>
      </c>
      <c r="BU23" s="358">
        <f t="shared" ca="1" si="45"/>
        <v>0</v>
      </c>
      <c r="BV23" s="358">
        <f t="shared" ca="1" si="46"/>
        <v>0</v>
      </c>
      <c r="BW23" s="341"/>
      <c r="BX23" s="341"/>
      <c r="BY23" s="341"/>
      <c r="BZ23" s="341"/>
      <c r="CA23" s="127"/>
      <c r="CB23" s="127"/>
    </row>
    <row r="24" spans="1:80" x14ac:dyDescent="0.25">
      <c r="A24" s="136"/>
      <c r="B24" s="728"/>
      <c r="C24" s="678"/>
      <c r="D24" s="678"/>
      <c r="E24" s="729" t="s">
        <v>196</v>
      </c>
      <c r="F24" s="678"/>
      <c r="G24" s="678"/>
      <c r="H24" s="12">
        <v>0</v>
      </c>
      <c r="I24" s="12">
        <v>0</v>
      </c>
      <c r="J24" s="12">
        <v>0</v>
      </c>
      <c r="K24" s="10" t="s">
        <v>512</v>
      </c>
      <c r="L24" s="244" t="s">
        <v>514</v>
      </c>
      <c r="M24" s="244" t="s">
        <v>458</v>
      </c>
      <c r="N24" s="244" t="s">
        <v>458</v>
      </c>
      <c r="O24" s="12" t="s">
        <v>396</v>
      </c>
      <c r="P24" s="234">
        <v>0</v>
      </c>
      <c r="Q24" s="13">
        <v>0.125</v>
      </c>
      <c r="R24" s="14" t="s">
        <v>28</v>
      </c>
      <c r="S24" s="237">
        <v>1</v>
      </c>
      <c r="T24" s="10">
        <v>0</v>
      </c>
      <c r="U24" s="548">
        <f t="shared" si="0"/>
        <v>0</v>
      </c>
      <c r="V24" s="484">
        <f t="shared" ca="1" si="1"/>
        <v>0</v>
      </c>
      <c r="W24" s="484">
        <f t="shared" ca="1" si="2"/>
        <v>0</v>
      </c>
      <c r="X24" s="485">
        <f t="shared" ca="1" si="3"/>
        <v>0</v>
      </c>
      <c r="Y24" s="450" t="s">
        <v>458</v>
      </c>
      <c r="Z24" s="370"/>
      <c r="AA24" s="371" t="s">
        <v>458</v>
      </c>
      <c r="AB24" s="370"/>
      <c r="AC24" s="449"/>
      <c r="AD24" s="489">
        <f t="shared" si="4"/>
        <v>0</v>
      </c>
      <c r="AE24" s="341">
        <f t="shared" si="5"/>
        <v>212</v>
      </c>
      <c r="AF24" s="341">
        <f t="shared" si="6"/>
        <v>0</v>
      </c>
      <c r="AG24" s="341">
        <f t="shared" ca="1" si="7"/>
        <v>0</v>
      </c>
      <c r="AH24" s="341">
        <f t="shared" ca="1" si="8"/>
        <v>0</v>
      </c>
      <c r="AI24" s="341">
        <f t="shared" ca="1" si="9"/>
        <v>0</v>
      </c>
      <c r="AJ24" s="341">
        <f t="shared" ca="1" si="10"/>
        <v>0</v>
      </c>
      <c r="AK24" s="341">
        <f t="shared" ca="1" si="11"/>
        <v>0</v>
      </c>
      <c r="AL24" s="341">
        <f t="shared" ca="1" si="12"/>
        <v>0</v>
      </c>
      <c r="AM24" s="341">
        <f t="shared" ca="1" si="13"/>
        <v>0</v>
      </c>
      <c r="AN24" s="341">
        <f t="shared" ca="1" si="14"/>
        <v>0</v>
      </c>
      <c r="AO24" s="341">
        <f t="shared" ca="1" si="15"/>
        <v>0</v>
      </c>
      <c r="AP24" s="341">
        <f t="shared" ca="1" si="16"/>
        <v>0</v>
      </c>
      <c r="AQ24" s="341">
        <f t="shared" ca="1" si="17"/>
        <v>0</v>
      </c>
      <c r="AR24" s="341">
        <f t="shared" ca="1" si="18"/>
        <v>0</v>
      </c>
      <c r="AS24" s="341">
        <f t="shared" ca="1" si="19"/>
        <v>0</v>
      </c>
      <c r="AT24" s="341">
        <f t="shared" ca="1" si="20"/>
        <v>0</v>
      </c>
      <c r="AU24" s="341">
        <f t="shared" ca="1" si="21"/>
        <v>0</v>
      </c>
      <c r="AV24" s="341">
        <f t="shared" ca="1" si="22"/>
        <v>0</v>
      </c>
      <c r="AW24" s="333">
        <f t="shared" ca="1" si="47"/>
        <v>0</v>
      </c>
      <c r="AX24" s="333">
        <f t="shared" ca="1" si="23"/>
        <v>0</v>
      </c>
      <c r="AY24" s="333">
        <f t="shared" ca="1" si="24"/>
        <v>0</v>
      </c>
      <c r="AZ24" s="341">
        <f t="shared" ca="1" si="25"/>
        <v>2.5</v>
      </c>
      <c r="BA24" s="341">
        <f t="shared" ca="1" si="26"/>
        <v>1</v>
      </c>
      <c r="BB24" s="341">
        <f t="shared" ca="1" si="27"/>
        <v>0</v>
      </c>
      <c r="BC24" s="341">
        <f t="shared" ca="1" si="28"/>
        <v>0</v>
      </c>
      <c r="BD24" s="341">
        <f t="shared" ca="1" si="29"/>
        <v>0</v>
      </c>
      <c r="BE24" s="341">
        <f t="shared" ca="1" si="30"/>
        <v>0</v>
      </c>
      <c r="BF24" s="341">
        <f t="shared" ca="1" si="31"/>
        <v>0</v>
      </c>
      <c r="BG24" s="441">
        <f t="shared" ca="1" si="32"/>
        <v>0</v>
      </c>
      <c r="BH24" s="441">
        <f t="shared" ca="1" si="33"/>
        <v>0</v>
      </c>
      <c r="BI24" s="441">
        <f t="shared" ca="1" si="34"/>
        <v>0</v>
      </c>
      <c r="BJ24" s="441">
        <f t="shared" ca="1" si="35"/>
        <v>0</v>
      </c>
      <c r="BK24" s="441">
        <f t="shared" ca="1" si="36"/>
        <v>0</v>
      </c>
      <c r="BL24" s="341">
        <f t="shared" ca="1" si="37"/>
        <v>0</v>
      </c>
      <c r="BM24" s="341">
        <f t="shared" ca="1" si="38"/>
        <v>0</v>
      </c>
      <c r="BN24" s="341">
        <f t="shared" ca="1" si="39"/>
        <v>0</v>
      </c>
      <c r="BO24" s="341">
        <f t="shared" ca="1" si="40"/>
        <v>0</v>
      </c>
      <c r="BP24" s="341">
        <f t="shared" ca="1" si="41"/>
        <v>0</v>
      </c>
      <c r="BQ24" s="341">
        <f t="shared" ca="1" si="42"/>
        <v>2.5</v>
      </c>
      <c r="BR24" s="341" t="str">
        <f t="shared" ca="1" si="43"/>
        <v>BP2</v>
      </c>
      <c r="BS24" s="357" t="str">
        <f t="shared" ca="1" si="44"/>
        <v>BP2</v>
      </c>
      <c r="BT24" s="358">
        <f t="shared" si="48"/>
        <v>50</v>
      </c>
      <c r="BU24" s="358">
        <f t="shared" ca="1" si="45"/>
        <v>0</v>
      </c>
      <c r="BV24" s="358">
        <f t="shared" ca="1" si="46"/>
        <v>0</v>
      </c>
      <c r="BW24" s="341"/>
      <c r="BX24" s="341"/>
      <c r="BY24" s="341"/>
      <c r="BZ24" s="341"/>
      <c r="CA24" s="127"/>
      <c r="CB24" s="127"/>
    </row>
    <row r="25" spans="1:80" x14ac:dyDescent="0.25">
      <c r="A25" s="136"/>
      <c r="B25" s="728"/>
      <c r="C25" s="678"/>
      <c r="D25" s="678"/>
      <c r="E25" s="729" t="s">
        <v>196</v>
      </c>
      <c r="F25" s="678"/>
      <c r="G25" s="678"/>
      <c r="H25" s="12">
        <v>0</v>
      </c>
      <c r="I25" s="12">
        <v>0</v>
      </c>
      <c r="J25" s="12">
        <v>0</v>
      </c>
      <c r="K25" s="10" t="s">
        <v>512</v>
      </c>
      <c r="L25" s="244" t="s">
        <v>514</v>
      </c>
      <c r="M25" s="244" t="s">
        <v>458</v>
      </c>
      <c r="N25" s="244" t="s">
        <v>458</v>
      </c>
      <c r="O25" s="12" t="s">
        <v>396</v>
      </c>
      <c r="P25" s="234">
        <v>0</v>
      </c>
      <c r="Q25" s="13">
        <v>0.125</v>
      </c>
      <c r="R25" s="14" t="s">
        <v>28</v>
      </c>
      <c r="S25" s="237">
        <v>1</v>
      </c>
      <c r="T25" s="10">
        <v>0</v>
      </c>
      <c r="U25" s="548">
        <f t="shared" si="0"/>
        <v>0</v>
      </c>
      <c r="V25" s="484">
        <f t="shared" ca="1" si="1"/>
        <v>0</v>
      </c>
      <c r="W25" s="484">
        <f t="shared" ca="1" si="2"/>
        <v>0</v>
      </c>
      <c r="X25" s="485">
        <f t="shared" ca="1" si="3"/>
        <v>0</v>
      </c>
      <c r="Y25" s="450" t="s">
        <v>458</v>
      </c>
      <c r="Z25" s="370"/>
      <c r="AA25" s="371" t="s">
        <v>458</v>
      </c>
      <c r="AB25" s="370"/>
      <c r="AC25" s="449"/>
      <c r="AD25" s="489">
        <f t="shared" si="4"/>
        <v>0</v>
      </c>
      <c r="AE25" s="341">
        <f t="shared" si="5"/>
        <v>212</v>
      </c>
      <c r="AF25" s="341">
        <f t="shared" si="6"/>
        <v>0</v>
      </c>
      <c r="AG25" s="341">
        <f t="shared" ca="1" si="7"/>
        <v>0</v>
      </c>
      <c r="AH25" s="341">
        <f t="shared" ca="1" si="8"/>
        <v>0</v>
      </c>
      <c r="AI25" s="341">
        <f t="shared" ca="1" si="9"/>
        <v>0</v>
      </c>
      <c r="AJ25" s="341">
        <f t="shared" ca="1" si="10"/>
        <v>0</v>
      </c>
      <c r="AK25" s="341">
        <f t="shared" ca="1" si="11"/>
        <v>0</v>
      </c>
      <c r="AL25" s="341">
        <f t="shared" ca="1" si="12"/>
        <v>0</v>
      </c>
      <c r="AM25" s="341">
        <f t="shared" ca="1" si="13"/>
        <v>0</v>
      </c>
      <c r="AN25" s="341">
        <f t="shared" ca="1" si="14"/>
        <v>0</v>
      </c>
      <c r="AO25" s="341">
        <f t="shared" ca="1" si="15"/>
        <v>0</v>
      </c>
      <c r="AP25" s="341">
        <f t="shared" ca="1" si="16"/>
        <v>0</v>
      </c>
      <c r="AQ25" s="341">
        <f t="shared" ca="1" si="17"/>
        <v>0</v>
      </c>
      <c r="AR25" s="341">
        <f t="shared" ca="1" si="18"/>
        <v>0</v>
      </c>
      <c r="AS25" s="341">
        <f t="shared" ca="1" si="19"/>
        <v>0</v>
      </c>
      <c r="AT25" s="341">
        <f t="shared" ca="1" si="20"/>
        <v>0</v>
      </c>
      <c r="AU25" s="341">
        <f t="shared" ca="1" si="21"/>
        <v>0</v>
      </c>
      <c r="AV25" s="341">
        <f t="shared" ca="1" si="22"/>
        <v>0</v>
      </c>
      <c r="AW25" s="333">
        <f t="shared" ca="1" si="47"/>
        <v>0</v>
      </c>
      <c r="AX25" s="333">
        <f t="shared" ca="1" si="23"/>
        <v>0</v>
      </c>
      <c r="AY25" s="333">
        <f t="shared" ca="1" si="24"/>
        <v>0</v>
      </c>
      <c r="AZ25" s="341">
        <f t="shared" ca="1" si="25"/>
        <v>2.5</v>
      </c>
      <c r="BA25" s="341">
        <f t="shared" ca="1" si="26"/>
        <v>1</v>
      </c>
      <c r="BB25" s="341">
        <f t="shared" ca="1" si="27"/>
        <v>0</v>
      </c>
      <c r="BC25" s="341">
        <f t="shared" ca="1" si="28"/>
        <v>0</v>
      </c>
      <c r="BD25" s="341">
        <f t="shared" ca="1" si="29"/>
        <v>0</v>
      </c>
      <c r="BE25" s="341">
        <f t="shared" ca="1" si="30"/>
        <v>0</v>
      </c>
      <c r="BF25" s="341">
        <f t="shared" ca="1" si="31"/>
        <v>0</v>
      </c>
      <c r="BG25" s="441">
        <f t="shared" ca="1" si="32"/>
        <v>0</v>
      </c>
      <c r="BH25" s="441">
        <f t="shared" ca="1" si="33"/>
        <v>0</v>
      </c>
      <c r="BI25" s="441">
        <f t="shared" ca="1" si="34"/>
        <v>0</v>
      </c>
      <c r="BJ25" s="441">
        <f t="shared" ca="1" si="35"/>
        <v>0</v>
      </c>
      <c r="BK25" s="441">
        <f t="shared" ca="1" si="36"/>
        <v>0</v>
      </c>
      <c r="BL25" s="341">
        <f t="shared" ca="1" si="37"/>
        <v>0</v>
      </c>
      <c r="BM25" s="341">
        <f t="shared" ca="1" si="38"/>
        <v>0</v>
      </c>
      <c r="BN25" s="341">
        <f t="shared" ca="1" si="39"/>
        <v>0</v>
      </c>
      <c r="BO25" s="341">
        <f t="shared" ca="1" si="40"/>
        <v>0</v>
      </c>
      <c r="BP25" s="341">
        <f t="shared" ca="1" si="41"/>
        <v>0</v>
      </c>
      <c r="BQ25" s="341">
        <f t="shared" ca="1" si="42"/>
        <v>2.5</v>
      </c>
      <c r="BR25" s="341" t="str">
        <f t="shared" ca="1" si="43"/>
        <v>BP2</v>
      </c>
      <c r="BS25" s="357" t="str">
        <f t="shared" ca="1" si="44"/>
        <v>BP2</v>
      </c>
      <c r="BT25" s="358">
        <f t="shared" si="48"/>
        <v>50</v>
      </c>
      <c r="BU25" s="358">
        <f t="shared" ca="1" si="45"/>
        <v>0</v>
      </c>
      <c r="BV25" s="358">
        <f t="shared" ca="1" si="46"/>
        <v>0</v>
      </c>
      <c r="BW25" s="341"/>
      <c r="BX25" s="341"/>
      <c r="BY25" s="341"/>
      <c r="BZ25" s="341"/>
      <c r="CA25" s="127"/>
      <c r="CB25" s="127"/>
    </row>
    <row r="26" spans="1:80" x14ac:dyDescent="0.25">
      <c r="A26" s="136"/>
      <c r="B26" s="728"/>
      <c r="C26" s="678"/>
      <c r="D26" s="678"/>
      <c r="E26" s="729" t="s">
        <v>196</v>
      </c>
      <c r="F26" s="678"/>
      <c r="G26" s="678"/>
      <c r="H26" s="12">
        <v>0</v>
      </c>
      <c r="I26" s="12">
        <v>0</v>
      </c>
      <c r="J26" s="12">
        <v>0</v>
      </c>
      <c r="K26" s="10" t="s">
        <v>512</v>
      </c>
      <c r="L26" s="244" t="s">
        <v>514</v>
      </c>
      <c r="M26" s="244" t="s">
        <v>458</v>
      </c>
      <c r="N26" s="244" t="s">
        <v>458</v>
      </c>
      <c r="O26" s="12" t="s">
        <v>396</v>
      </c>
      <c r="P26" s="234">
        <v>0</v>
      </c>
      <c r="Q26" s="13">
        <v>0.125</v>
      </c>
      <c r="R26" s="14" t="s">
        <v>28</v>
      </c>
      <c r="S26" s="237">
        <v>1</v>
      </c>
      <c r="T26" s="10">
        <v>0</v>
      </c>
      <c r="U26" s="548">
        <f t="shared" si="0"/>
        <v>0</v>
      </c>
      <c r="V26" s="484">
        <f t="shared" ca="1" si="1"/>
        <v>0</v>
      </c>
      <c r="W26" s="484">
        <f t="shared" ca="1" si="2"/>
        <v>0</v>
      </c>
      <c r="X26" s="485">
        <f t="shared" ca="1" si="3"/>
        <v>0</v>
      </c>
      <c r="Y26" s="450" t="s">
        <v>458</v>
      </c>
      <c r="Z26" s="370"/>
      <c r="AA26" s="371" t="s">
        <v>458</v>
      </c>
      <c r="AB26" s="370"/>
      <c r="AC26" s="449"/>
      <c r="AD26" s="489">
        <f t="shared" si="4"/>
        <v>0</v>
      </c>
      <c r="AE26" s="341">
        <f t="shared" si="5"/>
        <v>212</v>
      </c>
      <c r="AF26" s="341">
        <f t="shared" si="6"/>
        <v>0</v>
      </c>
      <c r="AG26" s="341">
        <f t="shared" ca="1" si="7"/>
        <v>0</v>
      </c>
      <c r="AH26" s="341">
        <f t="shared" ca="1" si="8"/>
        <v>0</v>
      </c>
      <c r="AI26" s="341">
        <f t="shared" ca="1" si="9"/>
        <v>0</v>
      </c>
      <c r="AJ26" s="341">
        <f t="shared" ca="1" si="10"/>
        <v>0</v>
      </c>
      <c r="AK26" s="341">
        <f t="shared" ca="1" si="11"/>
        <v>0</v>
      </c>
      <c r="AL26" s="341">
        <f t="shared" ca="1" si="12"/>
        <v>0</v>
      </c>
      <c r="AM26" s="341">
        <f t="shared" ca="1" si="13"/>
        <v>0</v>
      </c>
      <c r="AN26" s="341">
        <f t="shared" ca="1" si="14"/>
        <v>0</v>
      </c>
      <c r="AO26" s="341">
        <f t="shared" ca="1" si="15"/>
        <v>0</v>
      </c>
      <c r="AP26" s="341">
        <f t="shared" ca="1" si="16"/>
        <v>0</v>
      </c>
      <c r="AQ26" s="341">
        <f t="shared" ca="1" si="17"/>
        <v>0</v>
      </c>
      <c r="AR26" s="341">
        <f t="shared" ca="1" si="18"/>
        <v>0</v>
      </c>
      <c r="AS26" s="341">
        <f t="shared" ca="1" si="19"/>
        <v>0</v>
      </c>
      <c r="AT26" s="341">
        <f t="shared" ca="1" si="20"/>
        <v>0</v>
      </c>
      <c r="AU26" s="341">
        <f t="shared" ca="1" si="21"/>
        <v>0</v>
      </c>
      <c r="AV26" s="341">
        <f t="shared" ca="1" si="22"/>
        <v>0</v>
      </c>
      <c r="AW26" s="333">
        <f t="shared" ca="1" si="47"/>
        <v>0</v>
      </c>
      <c r="AX26" s="333">
        <f t="shared" ca="1" si="23"/>
        <v>0</v>
      </c>
      <c r="AY26" s="333">
        <f t="shared" ca="1" si="24"/>
        <v>0</v>
      </c>
      <c r="AZ26" s="341">
        <f t="shared" ca="1" si="25"/>
        <v>2.5</v>
      </c>
      <c r="BA26" s="341">
        <f t="shared" ca="1" si="26"/>
        <v>1</v>
      </c>
      <c r="BB26" s="341">
        <f t="shared" ca="1" si="27"/>
        <v>0</v>
      </c>
      <c r="BC26" s="341">
        <f t="shared" ca="1" si="28"/>
        <v>0</v>
      </c>
      <c r="BD26" s="341">
        <f t="shared" ca="1" si="29"/>
        <v>0</v>
      </c>
      <c r="BE26" s="341">
        <f t="shared" ca="1" si="30"/>
        <v>0</v>
      </c>
      <c r="BF26" s="341">
        <f t="shared" ca="1" si="31"/>
        <v>0</v>
      </c>
      <c r="BG26" s="441">
        <f t="shared" ca="1" si="32"/>
        <v>0</v>
      </c>
      <c r="BH26" s="441">
        <f t="shared" ca="1" si="33"/>
        <v>0</v>
      </c>
      <c r="BI26" s="441">
        <f t="shared" ca="1" si="34"/>
        <v>0</v>
      </c>
      <c r="BJ26" s="441">
        <f t="shared" ca="1" si="35"/>
        <v>0</v>
      </c>
      <c r="BK26" s="441">
        <f t="shared" ca="1" si="36"/>
        <v>0</v>
      </c>
      <c r="BL26" s="341">
        <f t="shared" ca="1" si="37"/>
        <v>0</v>
      </c>
      <c r="BM26" s="341">
        <f t="shared" ca="1" si="38"/>
        <v>0</v>
      </c>
      <c r="BN26" s="341">
        <f t="shared" ca="1" si="39"/>
        <v>0</v>
      </c>
      <c r="BO26" s="341">
        <f t="shared" ca="1" si="40"/>
        <v>0</v>
      </c>
      <c r="BP26" s="341">
        <f t="shared" ca="1" si="41"/>
        <v>0</v>
      </c>
      <c r="BQ26" s="341">
        <f t="shared" ca="1" si="42"/>
        <v>2.5</v>
      </c>
      <c r="BR26" s="341" t="str">
        <f t="shared" ca="1" si="43"/>
        <v>BP2</v>
      </c>
      <c r="BS26" s="357" t="str">
        <f t="shared" ca="1" si="44"/>
        <v>BP2</v>
      </c>
      <c r="BT26" s="358">
        <f t="shared" si="48"/>
        <v>50</v>
      </c>
      <c r="BU26" s="358">
        <f t="shared" ca="1" si="45"/>
        <v>0</v>
      </c>
      <c r="BV26" s="358">
        <f t="shared" ca="1" si="46"/>
        <v>0</v>
      </c>
      <c r="BW26" s="341"/>
      <c r="BX26" s="341"/>
      <c r="BY26" s="341"/>
      <c r="BZ26" s="341"/>
      <c r="CA26" s="127"/>
      <c r="CB26" s="127"/>
    </row>
    <row r="27" spans="1:80" x14ac:dyDescent="0.25">
      <c r="A27" s="136"/>
      <c r="B27" s="728"/>
      <c r="C27" s="678"/>
      <c r="D27" s="678"/>
      <c r="E27" s="729" t="s">
        <v>196</v>
      </c>
      <c r="F27" s="678"/>
      <c r="G27" s="678"/>
      <c r="H27" s="12">
        <v>0</v>
      </c>
      <c r="I27" s="12">
        <v>0</v>
      </c>
      <c r="J27" s="12">
        <v>0</v>
      </c>
      <c r="K27" s="10" t="s">
        <v>512</v>
      </c>
      <c r="L27" s="244" t="s">
        <v>514</v>
      </c>
      <c r="M27" s="244" t="s">
        <v>458</v>
      </c>
      <c r="N27" s="244" t="s">
        <v>458</v>
      </c>
      <c r="O27" s="12" t="s">
        <v>396</v>
      </c>
      <c r="P27" s="234">
        <v>0</v>
      </c>
      <c r="Q27" s="13">
        <v>0.125</v>
      </c>
      <c r="R27" s="14" t="s">
        <v>28</v>
      </c>
      <c r="S27" s="237">
        <v>1</v>
      </c>
      <c r="T27" s="10">
        <v>0</v>
      </c>
      <c r="U27" s="548">
        <f t="shared" si="0"/>
        <v>0</v>
      </c>
      <c r="V27" s="484">
        <f t="shared" ca="1" si="1"/>
        <v>0</v>
      </c>
      <c r="W27" s="484">
        <f t="shared" ca="1" si="2"/>
        <v>0</v>
      </c>
      <c r="X27" s="485">
        <f t="shared" ca="1" si="3"/>
        <v>0</v>
      </c>
      <c r="Y27" s="450" t="s">
        <v>458</v>
      </c>
      <c r="Z27" s="370"/>
      <c r="AA27" s="371" t="s">
        <v>458</v>
      </c>
      <c r="AB27" s="370"/>
      <c r="AC27" s="449"/>
      <c r="AD27" s="489">
        <f t="shared" si="4"/>
        <v>0</v>
      </c>
      <c r="AE27" s="341">
        <f t="shared" si="5"/>
        <v>212</v>
      </c>
      <c r="AF27" s="341">
        <f t="shared" si="6"/>
        <v>0</v>
      </c>
      <c r="AG27" s="341">
        <f t="shared" ca="1" si="7"/>
        <v>0</v>
      </c>
      <c r="AH27" s="341">
        <f t="shared" ca="1" si="8"/>
        <v>0</v>
      </c>
      <c r="AI27" s="341">
        <f t="shared" ca="1" si="9"/>
        <v>0</v>
      </c>
      <c r="AJ27" s="341">
        <f t="shared" ca="1" si="10"/>
        <v>0</v>
      </c>
      <c r="AK27" s="341">
        <f t="shared" ca="1" si="11"/>
        <v>0</v>
      </c>
      <c r="AL27" s="341">
        <f t="shared" ca="1" si="12"/>
        <v>0</v>
      </c>
      <c r="AM27" s="341">
        <f t="shared" ca="1" si="13"/>
        <v>0</v>
      </c>
      <c r="AN27" s="341">
        <f t="shared" ca="1" si="14"/>
        <v>0</v>
      </c>
      <c r="AO27" s="341">
        <f t="shared" ca="1" si="15"/>
        <v>0</v>
      </c>
      <c r="AP27" s="341">
        <f t="shared" ca="1" si="16"/>
        <v>0</v>
      </c>
      <c r="AQ27" s="341">
        <f t="shared" ca="1" si="17"/>
        <v>0</v>
      </c>
      <c r="AR27" s="341">
        <f t="shared" ca="1" si="18"/>
        <v>0</v>
      </c>
      <c r="AS27" s="341">
        <f t="shared" ca="1" si="19"/>
        <v>0</v>
      </c>
      <c r="AT27" s="341">
        <f t="shared" ca="1" si="20"/>
        <v>0</v>
      </c>
      <c r="AU27" s="341">
        <f t="shared" ca="1" si="21"/>
        <v>0</v>
      </c>
      <c r="AV27" s="341">
        <f t="shared" ca="1" si="22"/>
        <v>0</v>
      </c>
      <c r="AW27" s="333">
        <f t="shared" ca="1" si="47"/>
        <v>0</v>
      </c>
      <c r="AX27" s="333">
        <f t="shared" ca="1" si="23"/>
        <v>0</v>
      </c>
      <c r="AY27" s="333">
        <f t="shared" ca="1" si="24"/>
        <v>0</v>
      </c>
      <c r="AZ27" s="341">
        <f t="shared" ca="1" si="25"/>
        <v>2.5</v>
      </c>
      <c r="BA27" s="341">
        <f t="shared" ca="1" si="26"/>
        <v>1</v>
      </c>
      <c r="BB27" s="341">
        <f t="shared" ca="1" si="27"/>
        <v>0</v>
      </c>
      <c r="BC27" s="341">
        <f t="shared" ca="1" si="28"/>
        <v>0</v>
      </c>
      <c r="BD27" s="341">
        <f t="shared" ca="1" si="29"/>
        <v>0</v>
      </c>
      <c r="BE27" s="341">
        <f t="shared" ca="1" si="30"/>
        <v>0</v>
      </c>
      <c r="BF27" s="341">
        <f t="shared" ca="1" si="31"/>
        <v>0</v>
      </c>
      <c r="BG27" s="441">
        <f t="shared" ca="1" si="32"/>
        <v>0</v>
      </c>
      <c r="BH27" s="441">
        <f t="shared" ca="1" si="33"/>
        <v>0</v>
      </c>
      <c r="BI27" s="441">
        <f t="shared" ca="1" si="34"/>
        <v>0</v>
      </c>
      <c r="BJ27" s="441">
        <f t="shared" ca="1" si="35"/>
        <v>0</v>
      </c>
      <c r="BK27" s="441">
        <f t="shared" ca="1" si="36"/>
        <v>0</v>
      </c>
      <c r="BL27" s="341">
        <f t="shared" ca="1" si="37"/>
        <v>0</v>
      </c>
      <c r="BM27" s="341">
        <f t="shared" ca="1" si="38"/>
        <v>0</v>
      </c>
      <c r="BN27" s="341">
        <f t="shared" ca="1" si="39"/>
        <v>0</v>
      </c>
      <c r="BO27" s="341">
        <f t="shared" ca="1" si="40"/>
        <v>0</v>
      </c>
      <c r="BP27" s="341">
        <f t="shared" ca="1" si="41"/>
        <v>0</v>
      </c>
      <c r="BQ27" s="341">
        <f t="shared" ca="1" si="42"/>
        <v>2.5</v>
      </c>
      <c r="BR27" s="341" t="str">
        <f t="shared" ca="1" si="43"/>
        <v>BP2</v>
      </c>
      <c r="BS27" s="357" t="str">
        <f t="shared" ca="1" si="44"/>
        <v>BP2</v>
      </c>
      <c r="BT27" s="358">
        <f t="shared" si="48"/>
        <v>50</v>
      </c>
      <c r="BU27" s="358">
        <f t="shared" ca="1" si="45"/>
        <v>0</v>
      </c>
      <c r="BV27" s="358">
        <f t="shared" ca="1" si="46"/>
        <v>0</v>
      </c>
      <c r="BW27" s="341"/>
      <c r="BX27" s="341"/>
      <c r="BY27" s="341"/>
      <c r="BZ27" s="341"/>
      <c r="CA27" s="127"/>
      <c r="CB27" s="127"/>
    </row>
    <row r="28" spans="1:80" x14ac:dyDescent="0.25">
      <c r="A28" s="136"/>
      <c r="B28" s="728"/>
      <c r="C28" s="678"/>
      <c r="D28" s="678"/>
      <c r="E28" s="729" t="s">
        <v>196</v>
      </c>
      <c r="F28" s="678"/>
      <c r="G28" s="678"/>
      <c r="H28" s="12">
        <v>0</v>
      </c>
      <c r="I28" s="12">
        <v>0</v>
      </c>
      <c r="J28" s="12">
        <v>0</v>
      </c>
      <c r="K28" s="10" t="s">
        <v>512</v>
      </c>
      <c r="L28" s="244" t="s">
        <v>514</v>
      </c>
      <c r="M28" s="244" t="s">
        <v>458</v>
      </c>
      <c r="N28" s="244" t="s">
        <v>458</v>
      </c>
      <c r="O28" s="12" t="s">
        <v>396</v>
      </c>
      <c r="P28" s="234">
        <v>0</v>
      </c>
      <c r="Q28" s="13">
        <v>0.125</v>
      </c>
      <c r="R28" s="14" t="s">
        <v>28</v>
      </c>
      <c r="S28" s="237">
        <v>1</v>
      </c>
      <c r="T28" s="10">
        <v>0</v>
      </c>
      <c r="U28" s="548">
        <f t="shared" si="0"/>
        <v>0</v>
      </c>
      <c r="V28" s="484">
        <f t="shared" ca="1" si="1"/>
        <v>0</v>
      </c>
      <c r="W28" s="484">
        <f t="shared" ca="1" si="2"/>
        <v>0</v>
      </c>
      <c r="X28" s="485">
        <f t="shared" ca="1" si="3"/>
        <v>0</v>
      </c>
      <c r="Y28" s="450" t="s">
        <v>458</v>
      </c>
      <c r="Z28" s="370"/>
      <c r="AA28" s="371" t="s">
        <v>458</v>
      </c>
      <c r="AB28" s="370"/>
      <c r="AC28" s="449"/>
      <c r="AD28" s="489">
        <f t="shared" si="4"/>
        <v>0</v>
      </c>
      <c r="AE28" s="341">
        <f t="shared" si="5"/>
        <v>212</v>
      </c>
      <c r="AF28" s="341">
        <f t="shared" si="6"/>
        <v>0</v>
      </c>
      <c r="AG28" s="341">
        <f t="shared" ca="1" si="7"/>
        <v>0</v>
      </c>
      <c r="AH28" s="341">
        <f t="shared" ca="1" si="8"/>
        <v>0</v>
      </c>
      <c r="AI28" s="341">
        <f t="shared" ca="1" si="9"/>
        <v>0</v>
      </c>
      <c r="AJ28" s="341">
        <f t="shared" ca="1" si="10"/>
        <v>0</v>
      </c>
      <c r="AK28" s="341">
        <f t="shared" ca="1" si="11"/>
        <v>0</v>
      </c>
      <c r="AL28" s="341">
        <f t="shared" ca="1" si="12"/>
        <v>0</v>
      </c>
      <c r="AM28" s="341">
        <f t="shared" ca="1" si="13"/>
        <v>0</v>
      </c>
      <c r="AN28" s="341">
        <f t="shared" ca="1" si="14"/>
        <v>0</v>
      </c>
      <c r="AO28" s="341">
        <f t="shared" ca="1" si="15"/>
        <v>0</v>
      </c>
      <c r="AP28" s="341">
        <f t="shared" ca="1" si="16"/>
        <v>0</v>
      </c>
      <c r="AQ28" s="341">
        <f t="shared" ca="1" si="17"/>
        <v>0</v>
      </c>
      <c r="AR28" s="341">
        <f t="shared" ca="1" si="18"/>
        <v>0</v>
      </c>
      <c r="AS28" s="341">
        <f t="shared" ca="1" si="19"/>
        <v>0</v>
      </c>
      <c r="AT28" s="341">
        <f t="shared" ca="1" si="20"/>
        <v>0</v>
      </c>
      <c r="AU28" s="341">
        <f t="shared" ca="1" si="21"/>
        <v>0</v>
      </c>
      <c r="AV28" s="341">
        <f t="shared" ca="1" si="22"/>
        <v>0</v>
      </c>
      <c r="AW28" s="333">
        <f t="shared" ca="1" si="47"/>
        <v>0</v>
      </c>
      <c r="AX28" s="333">
        <f t="shared" ca="1" si="23"/>
        <v>0</v>
      </c>
      <c r="AY28" s="333">
        <f t="shared" ca="1" si="24"/>
        <v>0</v>
      </c>
      <c r="AZ28" s="341">
        <f t="shared" ca="1" si="25"/>
        <v>2.5</v>
      </c>
      <c r="BA28" s="341">
        <f t="shared" ca="1" si="26"/>
        <v>1</v>
      </c>
      <c r="BB28" s="341">
        <f t="shared" ca="1" si="27"/>
        <v>0</v>
      </c>
      <c r="BC28" s="341">
        <f t="shared" ca="1" si="28"/>
        <v>0</v>
      </c>
      <c r="BD28" s="341">
        <f t="shared" ca="1" si="29"/>
        <v>0</v>
      </c>
      <c r="BE28" s="341">
        <f t="shared" ca="1" si="30"/>
        <v>0</v>
      </c>
      <c r="BF28" s="341">
        <f t="shared" ca="1" si="31"/>
        <v>0</v>
      </c>
      <c r="BG28" s="441">
        <f t="shared" ca="1" si="32"/>
        <v>0</v>
      </c>
      <c r="BH28" s="441">
        <f t="shared" ca="1" si="33"/>
        <v>0</v>
      </c>
      <c r="BI28" s="441">
        <f t="shared" ca="1" si="34"/>
        <v>0</v>
      </c>
      <c r="BJ28" s="441">
        <f t="shared" ca="1" si="35"/>
        <v>0</v>
      </c>
      <c r="BK28" s="441">
        <f t="shared" ca="1" si="36"/>
        <v>0</v>
      </c>
      <c r="BL28" s="341">
        <f t="shared" ca="1" si="37"/>
        <v>0</v>
      </c>
      <c r="BM28" s="341">
        <f t="shared" ca="1" si="38"/>
        <v>0</v>
      </c>
      <c r="BN28" s="341">
        <f t="shared" ca="1" si="39"/>
        <v>0</v>
      </c>
      <c r="BO28" s="341">
        <f t="shared" ca="1" si="40"/>
        <v>0</v>
      </c>
      <c r="BP28" s="341">
        <f t="shared" ca="1" si="41"/>
        <v>0</v>
      </c>
      <c r="BQ28" s="341">
        <f t="shared" ca="1" si="42"/>
        <v>2.5</v>
      </c>
      <c r="BR28" s="341" t="str">
        <f t="shared" ca="1" si="43"/>
        <v>BP2</v>
      </c>
      <c r="BS28" s="357" t="str">
        <f t="shared" ca="1" si="44"/>
        <v>BP2</v>
      </c>
      <c r="BT28" s="358">
        <f t="shared" si="48"/>
        <v>50</v>
      </c>
      <c r="BU28" s="358">
        <f t="shared" ca="1" si="45"/>
        <v>0</v>
      </c>
      <c r="BV28" s="358">
        <f t="shared" ca="1" si="46"/>
        <v>0</v>
      </c>
      <c r="BW28" s="341"/>
      <c r="BX28" s="341"/>
      <c r="BY28" s="341"/>
      <c r="BZ28" s="341"/>
      <c r="CA28" s="127"/>
      <c r="CB28" s="127"/>
    </row>
    <row r="29" spans="1:80" x14ac:dyDescent="0.25">
      <c r="A29" s="136"/>
      <c r="B29" s="728"/>
      <c r="C29" s="678"/>
      <c r="D29" s="678"/>
      <c r="E29" s="729" t="s">
        <v>196</v>
      </c>
      <c r="F29" s="678"/>
      <c r="G29" s="678"/>
      <c r="H29" s="12">
        <v>0</v>
      </c>
      <c r="I29" s="12">
        <v>0</v>
      </c>
      <c r="J29" s="12">
        <v>0</v>
      </c>
      <c r="K29" s="10" t="s">
        <v>512</v>
      </c>
      <c r="L29" s="244" t="s">
        <v>514</v>
      </c>
      <c r="M29" s="244" t="s">
        <v>458</v>
      </c>
      <c r="N29" s="244" t="s">
        <v>458</v>
      </c>
      <c r="O29" s="12" t="s">
        <v>396</v>
      </c>
      <c r="P29" s="234">
        <v>0</v>
      </c>
      <c r="Q29" s="13">
        <v>0.125</v>
      </c>
      <c r="R29" s="14" t="s">
        <v>28</v>
      </c>
      <c r="S29" s="237">
        <v>1</v>
      </c>
      <c r="T29" s="10">
        <v>0</v>
      </c>
      <c r="U29" s="548">
        <f t="shared" si="0"/>
        <v>0</v>
      </c>
      <c r="V29" s="484">
        <f t="shared" ca="1" si="1"/>
        <v>0</v>
      </c>
      <c r="W29" s="484">
        <f t="shared" ca="1" si="2"/>
        <v>0</v>
      </c>
      <c r="X29" s="485">
        <f t="shared" ca="1" si="3"/>
        <v>0</v>
      </c>
      <c r="Y29" s="450" t="s">
        <v>458</v>
      </c>
      <c r="Z29" s="370"/>
      <c r="AA29" s="371" t="s">
        <v>458</v>
      </c>
      <c r="AB29" s="370"/>
      <c r="AC29" s="449"/>
      <c r="AD29" s="489">
        <f t="shared" si="4"/>
        <v>0</v>
      </c>
      <c r="AE29" s="341">
        <f t="shared" si="5"/>
        <v>212</v>
      </c>
      <c r="AF29" s="341">
        <f t="shared" si="6"/>
        <v>0</v>
      </c>
      <c r="AG29" s="341">
        <f t="shared" ca="1" si="7"/>
        <v>0</v>
      </c>
      <c r="AH29" s="341">
        <f t="shared" ca="1" si="8"/>
        <v>0</v>
      </c>
      <c r="AI29" s="341">
        <f t="shared" ca="1" si="9"/>
        <v>0</v>
      </c>
      <c r="AJ29" s="341">
        <f t="shared" ca="1" si="10"/>
        <v>0</v>
      </c>
      <c r="AK29" s="341">
        <f t="shared" ca="1" si="11"/>
        <v>0</v>
      </c>
      <c r="AL29" s="341">
        <f t="shared" ca="1" si="12"/>
        <v>0</v>
      </c>
      <c r="AM29" s="341">
        <f t="shared" ca="1" si="13"/>
        <v>0</v>
      </c>
      <c r="AN29" s="341">
        <f t="shared" ca="1" si="14"/>
        <v>0</v>
      </c>
      <c r="AO29" s="341">
        <f t="shared" ca="1" si="15"/>
        <v>0</v>
      </c>
      <c r="AP29" s="341">
        <f t="shared" ca="1" si="16"/>
        <v>0</v>
      </c>
      <c r="AQ29" s="341">
        <f t="shared" ca="1" si="17"/>
        <v>0</v>
      </c>
      <c r="AR29" s="341">
        <f t="shared" ca="1" si="18"/>
        <v>0</v>
      </c>
      <c r="AS29" s="341">
        <f t="shared" ca="1" si="19"/>
        <v>0</v>
      </c>
      <c r="AT29" s="341">
        <f t="shared" ca="1" si="20"/>
        <v>0</v>
      </c>
      <c r="AU29" s="341">
        <f t="shared" ca="1" si="21"/>
        <v>0</v>
      </c>
      <c r="AV29" s="341">
        <f t="shared" ca="1" si="22"/>
        <v>0</v>
      </c>
      <c r="AW29" s="333">
        <f t="shared" ca="1" si="47"/>
        <v>0</v>
      </c>
      <c r="AX29" s="333">
        <f t="shared" ca="1" si="23"/>
        <v>0</v>
      </c>
      <c r="AY29" s="333">
        <f t="shared" ca="1" si="24"/>
        <v>0</v>
      </c>
      <c r="AZ29" s="341">
        <f t="shared" ca="1" si="25"/>
        <v>2.5</v>
      </c>
      <c r="BA29" s="341">
        <f t="shared" ca="1" si="26"/>
        <v>1</v>
      </c>
      <c r="BB29" s="341">
        <f t="shared" ca="1" si="27"/>
        <v>0</v>
      </c>
      <c r="BC29" s="341">
        <f t="shared" ca="1" si="28"/>
        <v>0</v>
      </c>
      <c r="BD29" s="341">
        <f t="shared" ca="1" si="29"/>
        <v>0</v>
      </c>
      <c r="BE29" s="341">
        <f t="shared" ca="1" si="30"/>
        <v>0</v>
      </c>
      <c r="BF29" s="341">
        <f t="shared" ca="1" si="31"/>
        <v>0</v>
      </c>
      <c r="BG29" s="441">
        <f t="shared" ca="1" si="32"/>
        <v>0</v>
      </c>
      <c r="BH29" s="441">
        <f t="shared" ca="1" si="33"/>
        <v>0</v>
      </c>
      <c r="BI29" s="441">
        <f t="shared" ca="1" si="34"/>
        <v>0</v>
      </c>
      <c r="BJ29" s="441">
        <f t="shared" ca="1" si="35"/>
        <v>0</v>
      </c>
      <c r="BK29" s="441">
        <f t="shared" ca="1" si="36"/>
        <v>0</v>
      </c>
      <c r="BL29" s="341">
        <f t="shared" ca="1" si="37"/>
        <v>0</v>
      </c>
      <c r="BM29" s="341">
        <f t="shared" ca="1" si="38"/>
        <v>0</v>
      </c>
      <c r="BN29" s="341">
        <f t="shared" ca="1" si="39"/>
        <v>0</v>
      </c>
      <c r="BO29" s="341">
        <f t="shared" ca="1" si="40"/>
        <v>0</v>
      </c>
      <c r="BP29" s="341">
        <f t="shared" ca="1" si="41"/>
        <v>0</v>
      </c>
      <c r="BQ29" s="341">
        <f t="shared" ca="1" si="42"/>
        <v>2.5</v>
      </c>
      <c r="BR29" s="341" t="str">
        <f t="shared" ca="1" si="43"/>
        <v>BP2</v>
      </c>
      <c r="BS29" s="357" t="str">
        <f t="shared" ca="1" si="44"/>
        <v>BP2</v>
      </c>
      <c r="BT29" s="358">
        <f t="shared" si="48"/>
        <v>50</v>
      </c>
      <c r="BU29" s="358">
        <f t="shared" ca="1" si="45"/>
        <v>0</v>
      </c>
      <c r="BV29" s="358">
        <f t="shared" ca="1" si="46"/>
        <v>0</v>
      </c>
      <c r="BW29" s="341"/>
      <c r="BX29" s="341"/>
      <c r="BY29" s="341"/>
      <c r="BZ29" s="341"/>
      <c r="CA29" s="127"/>
      <c r="CB29" s="127"/>
    </row>
    <row r="30" spans="1:80" x14ac:dyDescent="0.25">
      <c r="A30" s="136"/>
      <c r="B30" s="728"/>
      <c r="C30" s="678"/>
      <c r="D30" s="678"/>
      <c r="E30" s="729" t="s">
        <v>196</v>
      </c>
      <c r="F30" s="678"/>
      <c r="G30" s="678"/>
      <c r="H30" s="12">
        <v>0</v>
      </c>
      <c r="I30" s="12">
        <v>0</v>
      </c>
      <c r="J30" s="12">
        <v>0</v>
      </c>
      <c r="K30" s="10" t="s">
        <v>512</v>
      </c>
      <c r="L30" s="244" t="s">
        <v>514</v>
      </c>
      <c r="M30" s="244" t="s">
        <v>458</v>
      </c>
      <c r="N30" s="244" t="s">
        <v>458</v>
      </c>
      <c r="O30" s="12" t="s">
        <v>396</v>
      </c>
      <c r="P30" s="234">
        <v>0</v>
      </c>
      <c r="Q30" s="13">
        <v>0.125</v>
      </c>
      <c r="R30" s="14" t="s">
        <v>28</v>
      </c>
      <c r="S30" s="237">
        <v>1</v>
      </c>
      <c r="T30" s="10">
        <v>0</v>
      </c>
      <c r="U30" s="548">
        <f t="shared" si="0"/>
        <v>0</v>
      </c>
      <c r="V30" s="484">
        <f t="shared" ca="1" si="1"/>
        <v>0</v>
      </c>
      <c r="W30" s="484">
        <f t="shared" ca="1" si="2"/>
        <v>0</v>
      </c>
      <c r="X30" s="485">
        <f t="shared" ca="1" si="3"/>
        <v>0</v>
      </c>
      <c r="Y30" s="450" t="s">
        <v>458</v>
      </c>
      <c r="Z30" s="370"/>
      <c r="AA30" s="371" t="s">
        <v>458</v>
      </c>
      <c r="AB30" s="370"/>
      <c r="AC30" s="449"/>
      <c r="AD30" s="489">
        <f t="shared" si="4"/>
        <v>0</v>
      </c>
      <c r="AE30" s="341">
        <f t="shared" si="5"/>
        <v>212</v>
      </c>
      <c r="AF30" s="341">
        <f t="shared" si="6"/>
        <v>0</v>
      </c>
      <c r="AG30" s="341">
        <f t="shared" ca="1" si="7"/>
        <v>0</v>
      </c>
      <c r="AH30" s="341">
        <f t="shared" ca="1" si="8"/>
        <v>0</v>
      </c>
      <c r="AI30" s="341">
        <f t="shared" ca="1" si="9"/>
        <v>0</v>
      </c>
      <c r="AJ30" s="341">
        <f t="shared" ca="1" si="10"/>
        <v>0</v>
      </c>
      <c r="AK30" s="341">
        <f t="shared" ca="1" si="11"/>
        <v>0</v>
      </c>
      <c r="AL30" s="341">
        <f t="shared" ca="1" si="12"/>
        <v>0</v>
      </c>
      <c r="AM30" s="341">
        <f t="shared" ca="1" si="13"/>
        <v>0</v>
      </c>
      <c r="AN30" s="341">
        <f t="shared" ca="1" si="14"/>
        <v>0</v>
      </c>
      <c r="AO30" s="341">
        <f t="shared" ca="1" si="15"/>
        <v>0</v>
      </c>
      <c r="AP30" s="341">
        <f t="shared" ca="1" si="16"/>
        <v>0</v>
      </c>
      <c r="AQ30" s="341">
        <f t="shared" ca="1" si="17"/>
        <v>0</v>
      </c>
      <c r="AR30" s="341">
        <f t="shared" ca="1" si="18"/>
        <v>0</v>
      </c>
      <c r="AS30" s="341">
        <f t="shared" ca="1" si="19"/>
        <v>0</v>
      </c>
      <c r="AT30" s="341">
        <f t="shared" ca="1" si="20"/>
        <v>0</v>
      </c>
      <c r="AU30" s="341">
        <f t="shared" ca="1" si="21"/>
        <v>0</v>
      </c>
      <c r="AV30" s="341">
        <f t="shared" ca="1" si="22"/>
        <v>0</v>
      </c>
      <c r="AW30" s="333">
        <f t="shared" ca="1" si="47"/>
        <v>0</v>
      </c>
      <c r="AX30" s="333">
        <f t="shared" ca="1" si="23"/>
        <v>0</v>
      </c>
      <c r="AY30" s="333">
        <f t="shared" ca="1" si="24"/>
        <v>0</v>
      </c>
      <c r="AZ30" s="341">
        <f t="shared" ca="1" si="25"/>
        <v>2.5</v>
      </c>
      <c r="BA30" s="341">
        <f t="shared" ca="1" si="26"/>
        <v>1</v>
      </c>
      <c r="BB30" s="341">
        <f t="shared" ca="1" si="27"/>
        <v>0</v>
      </c>
      <c r="BC30" s="341">
        <f t="shared" ca="1" si="28"/>
        <v>0</v>
      </c>
      <c r="BD30" s="341">
        <f t="shared" ca="1" si="29"/>
        <v>0</v>
      </c>
      <c r="BE30" s="341">
        <f t="shared" ca="1" si="30"/>
        <v>0</v>
      </c>
      <c r="BF30" s="341">
        <f t="shared" ca="1" si="31"/>
        <v>0</v>
      </c>
      <c r="BG30" s="441">
        <f t="shared" ca="1" si="32"/>
        <v>0</v>
      </c>
      <c r="BH30" s="441">
        <f t="shared" ca="1" si="33"/>
        <v>0</v>
      </c>
      <c r="BI30" s="441">
        <f t="shared" ca="1" si="34"/>
        <v>0</v>
      </c>
      <c r="BJ30" s="441">
        <f t="shared" ca="1" si="35"/>
        <v>0</v>
      </c>
      <c r="BK30" s="441">
        <f t="shared" ca="1" si="36"/>
        <v>0</v>
      </c>
      <c r="BL30" s="341">
        <f t="shared" ca="1" si="37"/>
        <v>0</v>
      </c>
      <c r="BM30" s="341">
        <f t="shared" ca="1" si="38"/>
        <v>0</v>
      </c>
      <c r="BN30" s="341">
        <f t="shared" ca="1" si="39"/>
        <v>0</v>
      </c>
      <c r="BO30" s="341">
        <f t="shared" ca="1" si="40"/>
        <v>0</v>
      </c>
      <c r="BP30" s="341">
        <f t="shared" ca="1" si="41"/>
        <v>0</v>
      </c>
      <c r="BQ30" s="341">
        <f t="shared" ca="1" si="42"/>
        <v>2.5</v>
      </c>
      <c r="BR30" s="341" t="str">
        <f t="shared" ca="1" si="43"/>
        <v>BP2</v>
      </c>
      <c r="BS30" s="357" t="str">
        <f t="shared" ca="1" si="44"/>
        <v>BP2</v>
      </c>
      <c r="BT30" s="358">
        <f t="shared" si="48"/>
        <v>50</v>
      </c>
      <c r="BU30" s="358">
        <f t="shared" ca="1" si="45"/>
        <v>0</v>
      </c>
      <c r="BV30" s="358">
        <f t="shared" ca="1" si="46"/>
        <v>0</v>
      </c>
      <c r="BW30" s="341"/>
      <c r="BX30" s="341"/>
      <c r="BY30" s="341"/>
      <c r="BZ30" s="341"/>
      <c r="CA30" s="127"/>
      <c r="CB30" s="127"/>
    </row>
    <row r="31" spans="1:80" x14ac:dyDescent="0.25">
      <c r="A31" s="136"/>
      <c r="B31" s="728"/>
      <c r="C31" s="678"/>
      <c r="D31" s="678"/>
      <c r="E31" s="729" t="s">
        <v>196</v>
      </c>
      <c r="F31" s="678"/>
      <c r="G31" s="678"/>
      <c r="H31" s="12">
        <v>0</v>
      </c>
      <c r="I31" s="12">
        <v>0</v>
      </c>
      <c r="J31" s="12">
        <v>0</v>
      </c>
      <c r="K31" s="10" t="s">
        <v>512</v>
      </c>
      <c r="L31" s="244" t="s">
        <v>514</v>
      </c>
      <c r="M31" s="244" t="s">
        <v>458</v>
      </c>
      <c r="N31" s="244" t="s">
        <v>458</v>
      </c>
      <c r="O31" s="12" t="s">
        <v>396</v>
      </c>
      <c r="P31" s="234">
        <v>0</v>
      </c>
      <c r="Q31" s="13">
        <v>0.125</v>
      </c>
      <c r="R31" s="14" t="s">
        <v>28</v>
      </c>
      <c r="S31" s="237">
        <v>1</v>
      </c>
      <c r="T31" s="10">
        <v>0</v>
      </c>
      <c r="U31" s="548">
        <f t="shared" si="0"/>
        <v>0</v>
      </c>
      <c r="V31" s="484">
        <f t="shared" ca="1" si="1"/>
        <v>0</v>
      </c>
      <c r="W31" s="484">
        <f t="shared" ca="1" si="2"/>
        <v>0</v>
      </c>
      <c r="X31" s="485">
        <f t="shared" ca="1" si="3"/>
        <v>0</v>
      </c>
      <c r="Y31" s="450" t="s">
        <v>458</v>
      </c>
      <c r="Z31" s="370"/>
      <c r="AA31" s="371" t="s">
        <v>458</v>
      </c>
      <c r="AB31" s="370"/>
      <c r="AC31" s="449"/>
      <c r="AD31" s="489">
        <f t="shared" si="4"/>
        <v>0</v>
      </c>
      <c r="AE31" s="341">
        <f t="shared" si="5"/>
        <v>212</v>
      </c>
      <c r="AF31" s="341">
        <f t="shared" si="6"/>
        <v>0</v>
      </c>
      <c r="AG31" s="341">
        <f t="shared" ca="1" si="7"/>
        <v>0</v>
      </c>
      <c r="AH31" s="341">
        <f t="shared" ca="1" si="8"/>
        <v>0</v>
      </c>
      <c r="AI31" s="341">
        <f t="shared" ca="1" si="9"/>
        <v>0</v>
      </c>
      <c r="AJ31" s="341">
        <f t="shared" ca="1" si="10"/>
        <v>0</v>
      </c>
      <c r="AK31" s="341">
        <f t="shared" ca="1" si="11"/>
        <v>0</v>
      </c>
      <c r="AL31" s="341">
        <f t="shared" ca="1" si="12"/>
        <v>0</v>
      </c>
      <c r="AM31" s="341">
        <f t="shared" ca="1" si="13"/>
        <v>0</v>
      </c>
      <c r="AN31" s="341">
        <f t="shared" ca="1" si="14"/>
        <v>0</v>
      </c>
      <c r="AO31" s="341">
        <f t="shared" ca="1" si="15"/>
        <v>0</v>
      </c>
      <c r="AP31" s="341">
        <f t="shared" ca="1" si="16"/>
        <v>0</v>
      </c>
      <c r="AQ31" s="341">
        <f t="shared" ca="1" si="17"/>
        <v>0</v>
      </c>
      <c r="AR31" s="341">
        <f t="shared" ca="1" si="18"/>
        <v>0</v>
      </c>
      <c r="AS31" s="341">
        <f t="shared" ca="1" si="19"/>
        <v>0</v>
      </c>
      <c r="AT31" s="341">
        <f t="shared" ca="1" si="20"/>
        <v>0</v>
      </c>
      <c r="AU31" s="341">
        <f t="shared" ca="1" si="21"/>
        <v>0</v>
      </c>
      <c r="AV31" s="341">
        <f t="shared" ca="1" si="22"/>
        <v>0</v>
      </c>
      <c r="AW31" s="333">
        <f t="shared" ca="1" si="47"/>
        <v>0</v>
      </c>
      <c r="AX31" s="333">
        <f t="shared" ca="1" si="23"/>
        <v>0</v>
      </c>
      <c r="AY31" s="333">
        <f t="shared" ca="1" si="24"/>
        <v>0</v>
      </c>
      <c r="AZ31" s="341">
        <f t="shared" ca="1" si="25"/>
        <v>2.5</v>
      </c>
      <c r="BA31" s="341">
        <f t="shared" ca="1" si="26"/>
        <v>1</v>
      </c>
      <c r="BB31" s="341">
        <f t="shared" ca="1" si="27"/>
        <v>0</v>
      </c>
      <c r="BC31" s="341">
        <f t="shared" ca="1" si="28"/>
        <v>0</v>
      </c>
      <c r="BD31" s="341">
        <f t="shared" ca="1" si="29"/>
        <v>0</v>
      </c>
      <c r="BE31" s="341">
        <f t="shared" ca="1" si="30"/>
        <v>0</v>
      </c>
      <c r="BF31" s="341">
        <f t="shared" ca="1" si="31"/>
        <v>0</v>
      </c>
      <c r="BG31" s="441">
        <f t="shared" ca="1" si="32"/>
        <v>0</v>
      </c>
      <c r="BH31" s="441">
        <f t="shared" ca="1" si="33"/>
        <v>0</v>
      </c>
      <c r="BI31" s="441">
        <f t="shared" ca="1" si="34"/>
        <v>0</v>
      </c>
      <c r="BJ31" s="441">
        <f t="shared" ca="1" si="35"/>
        <v>0</v>
      </c>
      <c r="BK31" s="441">
        <f t="shared" ca="1" si="36"/>
        <v>0</v>
      </c>
      <c r="BL31" s="341">
        <f t="shared" ca="1" si="37"/>
        <v>0</v>
      </c>
      <c r="BM31" s="341">
        <f t="shared" ca="1" si="38"/>
        <v>0</v>
      </c>
      <c r="BN31" s="341">
        <f t="shared" ca="1" si="39"/>
        <v>0</v>
      </c>
      <c r="BO31" s="341">
        <f t="shared" ca="1" si="40"/>
        <v>0</v>
      </c>
      <c r="BP31" s="341">
        <f t="shared" ca="1" si="41"/>
        <v>0</v>
      </c>
      <c r="BQ31" s="341">
        <f t="shared" ca="1" si="42"/>
        <v>2.5</v>
      </c>
      <c r="BR31" s="341" t="str">
        <f t="shared" ca="1" si="43"/>
        <v>BP2</v>
      </c>
      <c r="BS31" s="357" t="str">
        <f t="shared" ca="1" si="44"/>
        <v>BP2</v>
      </c>
      <c r="BT31" s="358">
        <f t="shared" si="48"/>
        <v>50</v>
      </c>
      <c r="BU31" s="358">
        <f t="shared" ca="1" si="45"/>
        <v>0</v>
      </c>
      <c r="BV31" s="358">
        <f t="shared" ca="1" si="46"/>
        <v>0</v>
      </c>
      <c r="BW31" s="341"/>
      <c r="BX31" s="341"/>
      <c r="BY31" s="341"/>
      <c r="BZ31" s="341"/>
      <c r="CA31" s="127"/>
      <c r="CB31" s="127"/>
    </row>
    <row r="32" spans="1:80" x14ac:dyDescent="0.25">
      <c r="A32" s="136"/>
      <c r="B32" s="728"/>
      <c r="C32" s="678"/>
      <c r="D32" s="678"/>
      <c r="E32" s="729" t="s">
        <v>196</v>
      </c>
      <c r="F32" s="678"/>
      <c r="G32" s="678"/>
      <c r="H32" s="12">
        <v>0</v>
      </c>
      <c r="I32" s="12">
        <v>0</v>
      </c>
      <c r="J32" s="12">
        <v>0</v>
      </c>
      <c r="K32" s="10" t="s">
        <v>512</v>
      </c>
      <c r="L32" s="244" t="s">
        <v>514</v>
      </c>
      <c r="M32" s="244" t="s">
        <v>458</v>
      </c>
      <c r="N32" s="244" t="s">
        <v>458</v>
      </c>
      <c r="O32" s="12" t="s">
        <v>396</v>
      </c>
      <c r="P32" s="234">
        <v>0</v>
      </c>
      <c r="Q32" s="13">
        <v>0.125</v>
      </c>
      <c r="R32" s="14" t="s">
        <v>28</v>
      </c>
      <c r="S32" s="237">
        <v>1</v>
      </c>
      <c r="T32" s="10">
        <v>0</v>
      </c>
      <c r="U32" s="548">
        <f t="shared" si="0"/>
        <v>0</v>
      </c>
      <c r="V32" s="484">
        <f t="shared" ca="1" si="1"/>
        <v>0</v>
      </c>
      <c r="W32" s="484">
        <f t="shared" ca="1" si="2"/>
        <v>0</v>
      </c>
      <c r="X32" s="485">
        <f t="shared" ca="1" si="3"/>
        <v>0</v>
      </c>
      <c r="Y32" s="450" t="s">
        <v>458</v>
      </c>
      <c r="Z32" s="370"/>
      <c r="AA32" s="371" t="s">
        <v>458</v>
      </c>
      <c r="AB32" s="370"/>
      <c r="AC32" s="449"/>
      <c r="AD32" s="489">
        <f t="shared" si="4"/>
        <v>0</v>
      </c>
      <c r="AE32" s="341">
        <f t="shared" si="5"/>
        <v>212</v>
      </c>
      <c r="AF32" s="341">
        <f t="shared" si="6"/>
        <v>0</v>
      </c>
      <c r="AG32" s="341">
        <f t="shared" ca="1" si="7"/>
        <v>0</v>
      </c>
      <c r="AH32" s="341">
        <f t="shared" ca="1" si="8"/>
        <v>0</v>
      </c>
      <c r="AI32" s="341">
        <f t="shared" ca="1" si="9"/>
        <v>0</v>
      </c>
      <c r="AJ32" s="341">
        <f t="shared" ca="1" si="10"/>
        <v>0</v>
      </c>
      <c r="AK32" s="341">
        <f t="shared" ca="1" si="11"/>
        <v>0</v>
      </c>
      <c r="AL32" s="341">
        <f t="shared" ca="1" si="12"/>
        <v>0</v>
      </c>
      <c r="AM32" s="341">
        <f t="shared" ca="1" si="13"/>
        <v>0</v>
      </c>
      <c r="AN32" s="341">
        <f t="shared" ca="1" si="14"/>
        <v>0</v>
      </c>
      <c r="AO32" s="341">
        <f t="shared" ca="1" si="15"/>
        <v>0</v>
      </c>
      <c r="AP32" s="341">
        <f t="shared" ca="1" si="16"/>
        <v>0</v>
      </c>
      <c r="AQ32" s="341">
        <f t="shared" ca="1" si="17"/>
        <v>0</v>
      </c>
      <c r="AR32" s="341">
        <f t="shared" ca="1" si="18"/>
        <v>0</v>
      </c>
      <c r="AS32" s="341">
        <f t="shared" ca="1" si="19"/>
        <v>0</v>
      </c>
      <c r="AT32" s="341">
        <f t="shared" ca="1" si="20"/>
        <v>0</v>
      </c>
      <c r="AU32" s="341">
        <f t="shared" ca="1" si="21"/>
        <v>0</v>
      </c>
      <c r="AV32" s="341">
        <f t="shared" ca="1" si="22"/>
        <v>0</v>
      </c>
      <c r="AW32" s="333">
        <f t="shared" ca="1" si="47"/>
        <v>0</v>
      </c>
      <c r="AX32" s="333">
        <f t="shared" ca="1" si="23"/>
        <v>0</v>
      </c>
      <c r="AY32" s="333">
        <f t="shared" ca="1" si="24"/>
        <v>0</v>
      </c>
      <c r="AZ32" s="341">
        <f t="shared" ca="1" si="25"/>
        <v>2.5</v>
      </c>
      <c r="BA32" s="341">
        <f t="shared" ca="1" si="26"/>
        <v>1</v>
      </c>
      <c r="BB32" s="341">
        <f t="shared" ca="1" si="27"/>
        <v>0</v>
      </c>
      <c r="BC32" s="341">
        <f t="shared" ca="1" si="28"/>
        <v>0</v>
      </c>
      <c r="BD32" s="341">
        <f t="shared" ca="1" si="29"/>
        <v>0</v>
      </c>
      <c r="BE32" s="341">
        <f t="shared" ca="1" si="30"/>
        <v>0</v>
      </c>
      <c r="BF32" s="341">
        <f t="shared" ca="1" si="31"/>
        <v>0</v>
      </c>
      <c r="BG32" s="441">
        <f t="shared" ca="1" si="32"/>
        <v>0</v>
      </c>
      <c r="BH32" s="441">
        <f t="shared" ca="1" si="33"/>
        <v>0</v>
      </c>
      <c r="BI32" s="441">
        <f t="shared" ca="1" si="34"/>
        <v>0</v>
      </c>
      <c r="BJ32" s="441">
        <f t="shared" ca="1" si="35"/>
        <v>0</v>
      </c>
      <c r="BK32" s="441">
        <f t="shared" ca="1" si="36"/>
        <v>0</v>
      </c>
      <c r="BL32" s="341">
        <f t="shared" ca="1" si="37"/>
        <v>0</v>
      </c>
      <c r="BM32" s="341">
        <f t="shared" ca="1" si="38"/>
        <v>0</v>
      </c>
      <c r="BN32" s="341">
        <f t="shared" ca="1" si="39"/>
        <v>0</v>
      </c>
      <c r="BO32" s="341">
        <f t="shared" ca="1" si="40"/>
        <v>0</v>
      </c>
      <c r="BP32" s="341">
        <f t="shared" ca="1" si="41"/>
        <v>0</v>
      </c>
      <c r="BQ32" s="341">
        <f t="shared" ca="1" si="42"/>
        <v>2.5</v>
      </c>
      <c r="BR32" s="341" t="str">
        <f t="shared" ca="1" si="43"/>
        <v>BP2</v>
      </c>
      <c r="BS32" s="357" t="str">
        <f t="shared" ca="1" si="44"/>
        <v>BP2</v>
      </c>
      <c r="BT32" s="358">
        <f t="shared" si="48"/>
        <v>50</v>
      </c>
      <c r="BU32" s="358">
        <f t="shared" ca="1" si="45"/>
        <v>0</v>
      </c>
      <c r="BV32" s="358">
        <f t="shared" ca="1" si="46"/>
        <v>0</v>
      </c>
      <c r="BW32" s="341"/>
      <c r="BX32" s="341"/>
      <c r="BY32" s="341"/>
      <c r="BZ32" s="341"/>
      <c r="CA32" s="127"/>
      <c r="CB32" s="127"/>
    </row>
    <row r="33" spans="1:80" x14ac:dyDescent="0.25">
      <c r="A33" s="136"/>
      <c r="B33" s="728"/>
      <c r="C33" s="678"/>
      <c r="D33" s="678"/>
      <c r="E33" s="729" t="s">
        <v>196</v>
      </c>
      <c r="F33" s="678"/>
      <c r="G33" s="678"/>
      <c r="H33" s="12">
        <v>0</v>
      </c>
      <c r="I33" s="12">
        <v>0</v>
      </c>
      <c r="J33" s="12">
        <v>0</v>
      </c>
      <c r="K33" s="10" t="s">
        <v>512</v>
      </c>
      <c r="L33" s="244" t="s">
        <v>514</v>
      </c>
      <c r="M33" s="244" t="s">
        <v>458</v>
      </c>
      <c r="N33" s="244" t="s">
        <v>458</v>
      </c>
      <c r="O33" s="12" t="s">
        <v>396</v>
      </c>
      <c r="P33" s="234">
        <v>0</v>
      </c>
      <c r="Q33" s="13">
        <v>0.125</v>
      </c>
      <c r="R33" s="14" t="s">
        <v>28</v>
      </c>
      <c r="S33" s="237">
        <v>1</v>
      </c>
      <c r="T33" s="10">
        <v>0</v>
      </c>
      <c r="U33" s="548">
        <f t="shared" si="0"/>
        <v>0</v>
      </c>
      <c r="V33" s="484">
        <f t="shared" ca="1" si="1"/>
        <v>0</v>
      </c>
      <c r="W33" s="484">
        <f t="shared" ca="1" si="2"/>
        <v>0</v>
      </c>
      <c r="X33" s="485">
        <f t="shared" ca="1" si="3"/>
        <v>0</v>
      </c>
      <c r="Y33" s="450" t="s">
        <v>458</v>
      </c>
      <c r="Z33" s="370"/>
      <c r="AA33" s="371" t="s">
        <v>458</v>
      </c>
      <c r="AB33" s="370"/>
      <c r="AC33" s="449"/>
      <c r="AD33" s="489">
        <f t="shared" si="4"/>
        <v>0</v>
      </c>
      <c r="AE33" s="341">
        <f t="shared" si="5"/>
        <v>212</v>
      </c>
      <c r="AF33" s="341">
        <f t="shared" si="6"/>
        <v>0</v>
      </c>
      <c r="AG33" s="341">
        <f t="shared" ca="1" si="7"/>
        <v>0</v>
      </c>
      <c r="AH33" s="341">
        <f t="shared" ca="1" si="8"/>
        <v>0</v>
      </c>
      <c r="AI33" s="341">
        <f t="shared" ca="1" si="9"/>
        <v>0</v>
      </c>
      <c r="AJ33" s="341">
        <f t="shared" ca="1" si="10"/>
        <v>0</v>
      </c>
      <c r="AK33" s="341">
        <f t="shared" ca="1" si="11"/>
        <v>0</v>
      </c>
      <c r="AL33" s="341">
        <f t="shared" ca="1" si="12"/>
        <v>0</v>
      </c>
      <c r="AM33" s="341">
        <f t="shared" ca="1" si="13"/>
        <v>0</v>
      </c>
      <c r="AN33" s="341">
        <f t="shared" ca="1" si="14"/>
        <v>0</v>
      </c>
      <c r="AO33" s="341">
        <f t="shared" ca="1" si="15"/>
        <v>0</v>
      </c>
      <c r="AP33" s="341">
        <f t="shared" ca="1" si="16"/>
        <v>0</v>
      </c>
      <c r="AQ33" s="341">
        <f t="shared" ca="1" si="17"/>
        <v>0</v>
      </c>
      <c r="AR33" s="341">
        <f t="shared" ca="1" si="18"/>
        <v>0</v>
      </c>
      <c r="AS33" s="341">
        <f t="shared" ca="1" si="19"/>
        <v>0</v>
      </c>
      <c r="AT33" s="341">
        <f t="shared" ca="1" si="20"/>
        <v>0</v>
      </c>
      <c r="AU33" s="341">
        <f t="shared" ca="1" si="21"/>
        <v>0</v>
      </c>
      <c r="AV33" s="341">
        <f t="shared" ca="1" si="22"/>
        <v>0</v>
      </c>
      <c r="AW33" s="333">
        <f t="shared" ca="1" si="47"/>
        <v>0</v>
      </c>
      <c r="AX33" s="333">
        <f t="shared" ca="1" si="23"/>
        <v>0</v>
      </c>
      <c r="AY33" s="333">
        <f t="shared" ca="1" si="24"/>
        <v>0</v>
      </c>
      <c r="AZ33" s="341">
        <f t="shared" ca="1" si="25"/>
        <v>2.5</v>
      </c>
      <c r="BA33" s="341">
        <f t="shared" ca="1" si="26"/>
        <v>1</v>
      </c>
      <c r="BB33" s="341">
        <f t="shared" ca="1" si="27"/>
        <v>0</v>
      </c>
      <c r="BC33" s="341">
        <f t="shared" ca="1" si="28"/>
        <v>0</v>
      </c>
      <c r="BD33" s="341">
        <f t="shared" ca="1" si="29"/>
        <v>0</v>
      </c>
      <c r="BE33" s="341">
        <f t="shared" ca="1" si="30"/>
        <v>0</v>
      </c>
      <c r="BF33" s="341">
        <f t="shared" ca="1" si="31"/>
        <v>0</v>
      </c>
      <c r="BG33" s="441">
        <f t="shared" ca="1" si="32"/>
        <v>0</v>
      </c>
      <c r="BH33" s="441">
        <f t="shared" ca="1" si="33"/>
        <v>0</v>
      </c>
      <c r="BI33" s="441">
        <f t="shared" ca="1" si="34"/>
        <v>0</v>
      </c>
      <c r="BJ33" s="441">
        <f t="shared" ca="1" si="35"/>
        <v>0</v>
      </c>
      <c r="BK33" s="441">
        <f t="shared" ca="1" si="36"/>
        <v>0</v>
      </c>
      <c r="BL33" s="341">
        <f t="shared" ca="1" si="37"/>
        <v>0</v>
      </c>
      <c r="BM33" s="341">
        <f t="shared" ca="1" si="38"/>
        <v>0</v>
      </c>
      <c r="BN33" s="341">
        <f t="shared" ca="1" si="39"/>
        <v>0</v>
      </c>
      <c r="BO33" s="341">
        <f t="shared" ca="1" si="40"/>
        <v>0</v>
      </c>
      <c r="BP33" s="341">
        <f t="shared" ca="1" si="41"/>
        <v>0</v>
      </c>
      <c r="BQ33" s="341">
        <f t="shared" ca="1" si="42"/>
        <v>2.5</v>
      </c>
      <c r="BR33" s="341" t="str">
        <f t="shared" ca="1" si="43"/>
        <v>BP2</v>
      </c>
      <c r="BS33" s="357" t="str">
        <f t="shared" ca="1" si="44"/>
        <v>BP2</v>
      </c>
      <c r="BT33" s="358">
        <f t="shared" si="48"/>
        <v>50</v>
      </c>
      <c r="BU33" s="358">
        <f t="shared" ca="1" si="45"/>
        <v>0</v>
      </c>
      <c r="BV33" s="358">
        <f t="shared" ca="1" si="46"/>
        <v>0</v>
      </c>
      <c r="BW33" s="341"/>
      <c r="BX33" s="341"/>
      <c r="BY33" s="341"/>
      <c r="BZ33" s="341"/>
      <c r="CA33" s="127"/>
      <c r="CB33" s="127"/>
    </row>
    <row r="34" spans="1:80" x14ac:dyDescent="0.25">
      <c r="A34" s="136"/>
      <c r="B34" s="728"/>
      <c r="C34" s="678"/>
      <c r="D34" s="678"/>
      <c r="E34" s="729" t="s">
        <v>196</v>
      </c>
      <c r="F34" s="678"/>
      <c r="G34" s="678"/>
      <c r="H34" s="12">
        <v>0</v>
      </c>
      <c r="I34" s="12">
        <v>0</v>
      </c>
      <c r="J34" s="12">
        <v>0</v>
      </c>
      <c r="K34" s="10" t="s">
        <v>512</v>
      </c>
      <c r="L34" s="244" t="s">
        <v>514</v>
      </c>
      <c r="M34" s="244" t="s">
        <v>458</v>
      </c>
      <c r="N34" s="244" t="s">
        <v>458</v>
      </c>
      <c r="O34" s="12" t="s">
        <v>396</v>
      </c>
      <c r="P34" s="234">
        <v>0</v>
      </c>
      <c r="Q34" s="13">
        <v>0.125</v>
      </c>
      <c r="R34" s="14" t="s">
        <v>28</v>
      </c>
      <c r="S34" s="237">
        <v>1</v>
      </c>
      <c r="T34" s="10">
        <v>0</v>
      </c>
      <c r="U34" s="548">
        <f t="shared" si="0"/>
        <v>0</v>
      </c>
      <c r="V34" s="484">
        <f t="shared" ca="1" si="1"/>
        <v>0</v>
      </c>
      <c r="W34" s="484">
        <f t="shared" ca="1" si="2"/>
        <v>0</v>
      </c>
      <c r="X34" s="485">
        <f t="shared" ca="1" si="3"/>
        <v>0</v>
      </c>
      <c r="Y34" s="450" t="s">
        <v>458</v>
      </c>
      <c r="Z34" s="370"/>
      <c r="AA34" s="371" t="s">
        <v>458</v>
      </c>
      <c r="AB34" s="370"/>
      <c r="AC34" s="449"/>
      <c r="AD34" s="489">
        <f t="shared" si="4"/>
        <v>0</v>
      </c>
      <c r="AE34" s="341">
        <f t="shared" si="5"/>
        <v>212</v>
      </c>
      <c r="AF34" s="341">
        <f t="shared" si="6"/>
        <v>0</v>
      </c>
      <c r="AG34" s="341">
        <f t="shared" ca="1" si="7"/>
        <v>0</v>
      </c>
      <c r="AH34" s="341">
        <f t="shared" ca="1" si="8"/>
        <v>0</v>
      </c>
      <c r="AI34" s="341">
        <f t="shared" ca="1" si="9"/>
        <v>0</v>
      </c>
      <c r="AJ34" s="341">
        <f t="shared" ca="1" si="10"/>
        <v>0</v>
      </c>
      <c r="AK34" s="341">
        <f t="shared" ca="1" si="11"/>
        <v>0</v>
      </c>
      <c r="AL34" s="341">
        <f t="shared" ca="1" si="12"/>
        <v>0</v>
      </c>
      <c r="AM34" s="341">
        <f t="shared" ca="1" si="13"/>
        <v>0</v>
      </c>
      <c r="AN34" s="341">
        <f t="shared" ca="1" si="14"/>
        <v>0</v>
      </c>
      <c r="AO34" s="341">
        <f t="shared" ca="1" si="15"/>
        <v>0</v>
      </c>
      <c r="AP34" s="341">
        <f t="shared" ca="1" si="16"/>
        <v>0</v>
      </c>
      <c r="AQ34" s="341">
        <f t="shared" ca="1" si="17"/>
        <v>0</v>
      </c>
      <c r="AR34" s="341">
        <f t="shared" ca="1" si="18"/>
        <v>0</v>
      </c>
      <c r="AS34" s="341">
        <f t="shared" ca="1" si="19"/>
        <v>0</v>
      </c>
      <c r="AT34" s="341">
        <f t="shared" ca="1" si="20"/>
        <v>0</v>
      </c>
      <c r="AU34" s="341">
        <f t="shared" ca="1" si="21"/>
        <v>0</v>
      </c>
      <c r="AV34" s="341">
        <f t="shared" ca="1" si="22"/>
        <v>0</v>
      </c>
      <c r="AW34" s="333">
        <f t="shared" ca="1" si="47"/>
        <v>0</v>
      </c>
      <c r="AX34" s="333">
        <f t="shared" ca="1" si="23"/>
        <v>0</v>
      </c>
      <c r="AY34" s="333">
        <f t="shared" ca="1" si="24"/>
        <v>0</v>
      </c>
      <c r="AZ34" s="341">
        <f t="shared" ca="1" si="25"/>
        <v>2.5</v>
      </c>
      <c r="BA34" s="341">
        <f t="shared" ca="1" si="26"/>
        <v>1</v>
      </c>
      <c r="BB34" s="341">
        <f t="shared" ca="1" si="27"/>
        <v>0</v>
      </c>
      <c r="BC34" s="341">
        <f t="shared" ca="1" si="28"/>
        <v>0</v>
      </c>
      <c r="BD34" s="341">
        <f t="shared" ca="1" si="29"/>
        <v>0</v>
      </c>
      <c r="BE34" s="341">
        <f t="shared" ca="1" si="30"/>
        <v>0</v>
      </c>
      <c r="BF34" s="341">
        <f t="shared" ca="1" si="31"/>
        <v>0</v>
      </c>
      <c r="BG34" s="441">
        <f t="shared" ca="1" si="32"/>
        <v>0</v>
      </c>
      <c r="BH34" s="441">
        <f t="shared" ca="1" si="33"/>
        <v>0</v>
      </c>
      <c r="BI34" s="441">
        <f t="shared" ca="1" si="34"/>
        <v>0</v>
      </c>
      <c r="BJ34" s="441">
        <f t="shared" ca="1" si="35"/>
        <v>0</v>
      </c>
      <c r="BK34" s="441">
        <f t="shared" ca="1" si="36"/>
        <v>0</v>
      </c>
      <c r="BL34" s="341">
        <f t="shared" ca="1" si="37"/>
        <v>0</v>
      </c>
      <c r="BM34" s="341">
        <f t="shared" ca="1" si="38"/>
        <v>0</v>
      </c>
      <c r="BN34" s="341">
        <f t="shared" ca="1" si="39"/>
        <v>0</v>
      </c>
      <c r="BO34" s="341">
        <f t="shared" ca="1" si="40"/>
        <v>0</v>
      </c>
      <c r="BP34" s="341">
        <f t="shared" ca="1" si="41"/>
        <v>0</v>
      </c>
      <c r="BQ34" s="341">
        <f t="shared" ca="1" si="42"/>
        <v>2.5</v>
      </c>
      <c r="BR34" s="341" t="str">
        <f t="shared" ca="1" si="43"/>
        <v>BP2</v>
      </c>
      <c r="BS34" s="357" t="str">
        <f t="shared" ca="1" si="44"/>
        <v>BP2</v>
      </c>
      <c r="BT34" s="358">
        <f t="shared" si="48"/>
        <v>50</v>
      </c>
      <c r="BU34" s="358">
        <f t="shared" ca="1" si="45"/>
        <v>0</v>
      </c>
      <c r="BV34" s="358">
        <f t="shared" ca="1" si="46"/>
        <v>0</v>
      </c>
      <c r="BW34" s="341"/>
      <c r="BX34" s="341"/>
      <c r="BY34" s="341"/>
      <c r="BZ34" s="341"/>
      <c r="CA34" s="127"/>
      <c r="CB34" s="127"/>
    </row>
    <row r="35" spans="1:80" x14ac:dyDescent="0.25">
      <c r="A35" s="136"/>
      <c r="B35" s="728"/>
      <c r="C35" s="678"/>
      <c r="D35" s="678"/>
      <c r="E35" s="729" t="s">
        <v>196</v>
      </c>
      <c r="F35" s="678"/>
      <c r="G35" s="678"/>
      <c r="H35" s="12">
        <v>0</v>
      </c>
      <c r="I35" s="12">
        <v>0</v>
      </c>
      <c r="J35" s="12">
        <v>0</v>
      </c>
      <c r="K35" s="10" t="s">
        <v>512</v>
      </c>
      <c r="L35" s="244" t="s">
        <v>514</v>
      </c>
      <c r="M35" s="244" t="s">
        <v>458</v>
      </c>
      <c r="N35" s="244" t="s">
        <v>458</v>
      </c>
      <c r="O35" s="12" t="s">
        <v>396</v>
      </c>
      <c r="P35" s="234">
        <v>0</v>
      </c>
      <c r="Q35" s="13">
        <v>0.125</v>
      </c>
      <c r="R35" s="14" t="s">
        <v>28</v>
      </c>
      <c r="S35" s="237">
        <v>1</v>
      </c>
      <c r="T35" s="10">
        <v>0</v>
      </c>
      <c r="U35" s="548">
        <f t="shared" si="0"/>
        <v>0</v>
      </c>
      <c r="V35" s="484">
        <f t="shared" ca="1" si="1"/>
        <v>0</v>
      </c>
      <c r="W35" s="484">
        <f t="shared" ca="1" si="2"/>
        <v>0</v>
      </c>
      <c r="X35" s="485">
        <f t="shared" ca="1" si="3"/>
        <v>0</v>
      </c>
      <c r="Y35" s="450" t="s">
        <v>458</v>
      </c>
      <c r="Z35" s="370"/>
      <c r="AA35" s="371" t="s">
        <v>458</v>
      </c>
      <c r="AB35" s="370"/>
      <c r="AC35" s="449"/>
      <c r="AD35" s="489">
        <f t="shared" si="4"/>
        <v>0</v>
      </c>
      <c r="AE35" s="341">
        <f t="shared" si="5"/>
        <v>212</v>
      </c>
      <c r="AF35" s="341">
        <f t="shared" si="6"/>
        <v>0</v>
      </c>
      <c r="AG35" s="341">
        <f t="shared" ca="1" si="7"/>
        <v>0</v>
      </c>
      <c r="AH35" s="341">
        <f t="shared" ca="1" si="8"/>
        <v>0</v>
      </c>
      <c r="AI35" s="341">
        <f t="shared" ca="1" si="9"/>
        <v>0</v>
      </c>
      <c r="AJ35" s="341">
        <f t="shared" ca="1" si="10"/>
        <v>0</v>
      </c>
      <c r="AK35" s="341">
        <f t="shared" ca="1" si="11"/>
        <v>0</v>
      </c>
      <c r="AL35" s="341">
        <f t="shared" ca="1" si="12"/>
        <v>0</v>
      </c>
      <c r="AM35" s="341">
        <f t="shared" ca="1" si="13"/>
        <v>0</v>
      </c>
      <c r="AN35" s="341">
        <f t="shared" ca="1" si="14"/>
        <v>0</v>
      </c>
      <c r="AO35" s="341">
        <f t="shared" ca="1" si="15"/>
        <v>0</v>
      </c>
      <c r="AP35" s="341">
        <f t="shared" ca="1" si="16"/>
        <v>0</v>
      </c>
      <c r="AQ35" s="341">
        <f t="shared" ca="1" si="17"/>
        <v>0</v>
      </c>
      <c r="AR35" s="341">
        <f t="shared" ca="1" si="18"/>
        <v>0</v>
      </c>
      <c r="AS35" s="341">
        <f t="shared" ca="1" si="19"/>
        <v>0</v>
      </c>
      <c r="AT35" s="341">
        <f t="shared" ca="1" si="20"/>
        <v>0</v>
      </c>
      <c r="AU35" s="341">
        <f t="shared" ca="1" si="21"/>
        <v>0</v>
      </c>
      <c r="AV35" s="341">
        <f t="shared" ca="1" si="22"/>
        <v>0</v>
      </c>
      <c r="AW35" s="333">
        <f t="shared" ca="1" si="47"/>
        <v>0</v>
      </c>
      <c r="AX35" s="333">
        <f t="shared" ca="1" si="23"/>
        <v>0</v>
      </c>
      <c r="AY35" s="333">
        <f t="shared" ca="1" si="24"/>
        <v>0</v>
      </c>
      <c r="AZ35" s="341">
        <f t="shared" ca="1" si="25"/>
        <v>2.5</v>
      </c>
      <c r="BA35" s="341">
        <f t="shared" ca="1" si="26"/>
        <v>1</v>
      </c>
      <c r="BB35" s="341">
        <f t="shared" ca="1" si="27"/>
        <v>0</v>
      </c>
      <c r="BC35" s="341">
        <f t="shared" ca="1" si="28"/>
        <v>0</v>
      </c>
      <c r="BD35" s="341">
        <f t="shared" ca="1" si="29"/>
        <v>0</v>
      </c>
      <c r="BE35" s="341">
        <f t="shared" ca="1" si="30"/>
        <v>0</v>
      </c>
      <c r="BF35" s="341">
        <f t="shared" ca="1" si="31"/>
        <v>0</v>
      </c>
      <c r="BG35" s="441">
        <f t="shared" ca="1" si="32"/>
        <v>0</v>
      </c>
      <c r="BH35" s="441">
        <f t="shared" ca="1" si="33"/>
        <v>0</v>
      </c>
      <c r="BI35" s="441">
        <f t="shared" ca="1" si="34"/>
        <v>0</v>
      </c>
      <c r="BJ35" s="441">
        <f t="shared" ca="1" si="35"/>
        <v>0</v>
      </c>
      <c r="BK35" s="441">
        <f t="shared" ca="1" si="36"/>
        <v>0</v>
      </c>
      <c r="BL35" s="341">
        <f t="shared" ca="1" si="37"/>
        <v>0</v>
      </c>
      <c r="BM35" s="341">
        <f t="shared" ca="1" si="38"/>
        <v>0</v>
      </c>
      <c r="BN35" s="341">
        <f t="shared" ca="1" si="39"/>
        <v>0</v>
      </c>
      <c r="BO35" s="341">
        <f t="shared" ca="1" si="40"/>
        <v>0</v>
      </c>
      <c r="BP35" s="341">
        <f t="shared" ca="1" si="41"/>
        <v>0</v>
      </c>
      <c r="BQ35" s="341">
        <f t="shared" ca="1" si="42"/>
        <v>2.5</v>
      </c>
      <c r="BR35" s="341" t="str">
        <f t="shared" ca="1" si="43"/>
        <v>BP2</v>
      </c>
      <c r="BS35" s="357" t="str">
        <f t="shared" ca="1" si="44"/>
        <v>BP2</v>
      </c>
      <c r="BT35" s="358">
        <f t="shared" si="48"/>
        <v>50</v>
      </c>
      <c r="BU35" s="358">
        <f t="shared" ca="1" si="45"/>
        <v>0</v>
      </c>
      <c r="BV35" s="358">
        <f t="shared" ca="1" si="46"/>
        <v>0</v>
      </c>
      <c r="BW35" s="341"/>
      <c r="BX35" s="341"/>
      <c r="BY35" s="341"/>
      <c r="BZ35" s="341"/>
      <c r="CA35" s="127"/>
      <c r="CB35" s="127"/>
    </row>
    <row r="36" spans="1:80" x14ac:dyDescent="0.25">
      <c r="A36" s="136"/>
      <c r="B36" s="728"/>
      <c r="C36" s="678"/>
      <c r="D36" s="678"/>
      <c r="E36" s="729" t="s">
        <v>196</v>
      </c>
      <c r="F36" s="678"/>
      <c r="G36" s="678"/>
      <c r="H36" s="12">
        <v>0</v>
      </c>
      <c r="I36" s="12">
        <v>0</v>
      </c>
      <c r="J36" s="12">
        <v>0</v>
      </c>
      <c r="K36" s="10" t="s">
        <v>512</v>
      </c>
      <c r="L36" s="244" t="s">
        <v>514</v>
      </c>
      <c r="M36" s="244" t="s">
        <v>458</v>
      </c>
      <c r="N36" s="244" t="s">
        <v>458</v>
      </c>
      <c r="O36" s="12" t="s">
        <v>396</v>
      </c>
      <c r="P36" s="234">
        <v>0</v>
      </c>
      <c r="Q36" s="13">
        <v>0.125</v>
      </c>
      <c r="R36" s="14" t="s">
        <v>28</v>
      </c>
      <c r="S36" s="237">
        <v>1</v>
      </c>
      <c r="T36" s="10">
        <v>0</v>
      </c>
      <c r="U36" s="548">
        <f t="shared" si="0"/>
        <v>0</v>
      </c>
      <c r="V36" s="484">
        <f t="shared" ca="1" si="1"/>
        <v>0</v>
      </c>
      <c r="W36" s="484">
        <f t="shared" ca="1" si="2"/>
        <v>0</v>
      </c>
      <c r="X36" s="485">
        <f t="shared" ca="1" si="3"/>
        <v>0</v>
      </c>
      <c r="Y36" s="450" t="s">
        <v>458</v>
      </c>
      <c r="Z36" s="370"/>
      <c r="AA36" s="371" t="s">
        <v>458</v>
      </c>
      <c r="AB36" s="370"/>
      <c r="AC36" s="449"/>
      <c r="AD36" s="489">
        <f t="shared" si="4"/>
        <v>0</v>
      </c>
      <c r="AE36" s="341">
        <f t="shared" si="5"/>
        <v>212</v>
      </c>
      <c r="AF36" s="341">
        <f t="shared" si="6"/>
        <v>0</v>
      </c>
      <c r="AG36" s="341">
        <f t="shared" ca="1" si="7"/>
        <v>0</v>
      </c>
      <c r="AH36" s="341">
        <f t="shared" ca="1" si="8"/>
        <v>0</v>
      </c>
      <c r="AI36" s="341">
        <f t="shared" ca="1" si="9"/>
        <v>0</v>
      </c>
      <c r="AJ36" s="341">
        <f t="shared" ca="1" si="10"/>
        <v>0</v>
      </c>
      <c r="AK36" s="341">
        <f t="shared" ca="1" si="11"/>
        <v>0</v>
      </c>
      <c r="AL36" s="341">
        <f t="shared" ca="1" si="12"/>
        <v>0</v>
      </c>
      <c r="AM36" s="341">
        <f t="shared" ca="1" si="13"/>
        <v>0</v>
      </c>
      <c r="AN36" s="341">
        <f t="shared" ca="1" si="14"/>
        <v>0</v>
      </c>
      <c r="AO36" s="341">
        <f t="shared" ca="1" si="15"/>
        <v>0</v>
      </c>
      <c r="AP36" s="341">
        <f t="shared" ca="1" si="16"/>
        <v>0</v>
      </c>
      <c r="AQ36" s="341">
        <f t="shared" ca="1" si="17"/>
        <v>0</v>
      </c>
      <c r="AR36" s="341">
        <f t="shared" ca="1" si="18"/>
        <v>0</v>
      </c>
      <c r="AS36" s="341">
        <f t="shared" ca="1" si="19"/>
        <v>0</v>
      </c>
      <c r="AT36" s="341">
        <f t="shared" ca="1" si="20"/>
        <v>0</v>
      </c>
      <c r="AU36" s="341">
        <f t="shared" ca="1" si="21"/>
        <v>0</v>
      </c>
      <c r="AV36" s="341">
        <f t="shared" ca="1" si="22"/>
        <v>0</v>
      </c>
      <c r="AW36" s="333">
        <f t="shared" ca="1" si="47"/>
        <v>0</v>
      </c>
      <c r="AX36" s="333">
        <f t="shared" ca="1" si="23"/>
        <v>0</v>
      </c>
      <c r="AY36" s="333">
        <f t="shared" ca="1" si="24"/>
        <v>0</v>
      </c>
      <c r="AZ36" s="341">
        <f t="shared" ca="1" si="25"/>
        <v>2.5</v>
      </c>
      <c r="BA36" s="341">
        <f t="shared" ca="1" si="26"/>
        <v>1</v>
      </c>
      <c r="BB36" s="341">
        <f t="shared" ca="1" si="27"/>
        <v>0</v>
      </c>
      <c r="BC36" s="341">
        <f t="shared" ca="1" si="28"/>
        <v>0</v>
      </c>
      <c r="BD36" s="341">
        <f t="shared" ca="1" si="29"/>
        <v>0</v>
      </c>
      <c r="BE36" s="341">
        <f t="shared" ca="1" si="30"/>
        <v>0</v>
      </c>
      <c r="BF36" s="341">
        <f t="shared" ca="1" si="31"/>
        <v>0</v>
      </c>
      <c r="BG36" s="441">
        <f t="shared" ca="1" si="32"/>
        <v>0</v>
      </c>
      <c r="BH36" s="441">
        <f t="shared" ca="1" si="33"/>
        <v>0</v>
      </c>
      <c r="BI36" s="441">
        <f t="shared" ca="1" si="34"/>
        <v>0</v>
      </c>
      <c r="BJ36" s="441">
        <f t="shared" ca="1" si="35"/>
        <v>0</v>
      </c>
      <c r="BK36" s="441">
        <f t="shared" ca="1" si="36"/>
        <v>0</v>
      </c>
      <c r="BL36" s="341">
        <f t="shared" ca="1" si="37"/>
        <v>0</v>
      </c>
      <c r="BM36" s="341">
        <f t="shared" ca="1" si="38"/>
        <v>0</v>
      </c>
      <c r="BN36" s="341">
        <f t="shared" ca="1" si="39"/>
        <v>0</v>
      </c>
      <c r="BO36" s="341">
        <f t="shared" ca="1" si="40"/>
        <v>0</v>
      </c>
      <c r="BP36" s="341">
        <f t="shared" ca="1" si="41"/>
        <v>0</v>
      </c>
      <c r="BQ36" s="341">
        <f t="shared" ca="1" si="42"/>
        <v>2.5</v>
      </c>
      <c r="BR36" s="341" t="str">
        <f t="shared" ca="1" si="43"/>
        <v>BP2</v>
      </c>
      <c r="BS36" s="357" t="str">
        <f t="shared" ca="1" si="44"/>
        <v>BP2</v>
      </c>
      <c r="BT36" s="358">
        <f t="shared" si="48"/>
        <v>50</v>
      </c>
      <c r="BU36" s="358">
        <f t="shared" ca="1" si="45"/>
        <v>0</v>
      </c>
      <c r="BV36" s="358">
        <f t="shared" ca="1" si="46"/>
        <v>0</v>
      </c>
      <c r="BW36" s="341"/>
      <c r="BX36" s="341"/>
      <c r="BY36" s="341"/>
      <c r="BZ36" s="341"/>
      <c r="CA36" s="127"/>
      <c r="CB36" s="127"/>
    </row>
    <row r="37" spans="1:80" x14ac:dyDescent="0.25">
      <c r="A37" s="136"/>
      <c r="B37" s="728"/>
      <c r="C37" s="678"/>
      <c r="D37" s="678"/>
      <c r="E37" s="729" t="s">
        <v>196</v>
      </c>
      <c r="F37" s="678"/>
      <c r="G37" s="678"/>
      <c r="H37" s="12">
        <v>0</v>
      </c>
      <c r="I37" s="12">
        <v>0</v>
      </c>
      <c r="J37" s="12">
        <v>0</v>
      </c>
      <c r="K37" s="10" t="s">
        <v>512</v>
      </c>
      <c r="L37" s="244" t="s">
        <v>514</v>
      </c>
      <c r="M37" s="244" t="s">
        <v>458</v>
      </c>
      <c r="N37" s="244" t="s">
        <v>458</v>
      </c>
      <c r="O37" s="12" t="s">
        <v>396</v>
      </c>
      <c r="P37" s="234">
        <v>0</v>
      </c>
      <c r="Q37" s="13">
        <v>0.125</v>
      </c>
      <c r="R37" s="14" t="s">
        <v>28</v>
      </c>
      <c r="S37" s="237">
        <v>1</v>
      </c>
      <c r="T37" s="10">
        <v>0</v>
      </c>
      <c r="U37" s="548">
        <f t="shared" si="0"/>
        <v>0</v>
      </c>
      <c r="V37" s="484">
        <f t="shared" ca="1" si="1"/>
        <v>0</v>
      </c>
      <c r="W37" s="484">
        <f t="shared" ca="1" si="2"/>
        <v>0</v>
      </c>
      <c r="X37" s="485">
        <f t="shared" ca="1" si="3"/>
        <v>0</v>
      </c>
      <c r="Y37" s="450" t="s">
        <v>458</v>
      </c>
      <c r="Z37" s="370"/>
      <c r="AA37" s="371" t="s">
        <v>458</v>
      </c>
      <c r="AB37" s="370"/>
      <c r="AC37" s="449"/>
      <c r="AD37" s="489">
        <f t="shared" si="4"/>
        <v>0</v>
      </c>
      <c r="AE37" s="341">
        <f t="shared" si="5"/>
        <v>212</v>
      </c>
      <c r="AF37" s="341">
        <f t="shared" si="6"/>
        <v>0</v>
      </c>
      <c r="AG37" s="341">
        <f t="shared" ca="1" si="7"/>
        <v>0</v>
      </c>
      <c r="AH37" s="341">
        <f t="shared" ca="1" si="8"/>
        <v>0</v>
      </c>
      <c r="AI37" s="341">
        <f t="shared" ca="1" si="9"/>
        <v>0</v>
      </c>
      <c r="AJ37" s="341">
        <f t="shared" ca="1" si="10"/>
        <v>0</v>
      </c>
      <c r="AK37" s="341">
        <f t="shared" ca="1" si="11"/>
        <v>0</v>
      </c>
      <c r="AL37" s="341">
        <f t="shared" ca="1" si="12"/>
        <v>0</v>
      </c>
      <c r="AM37" s="341">
        <f t="shared" ca="1" si="13"/>
        <v>0</v>
      </c>
      <c r="AN37" s="341">
        <f t="shared" ca="1" si="14"/>
        <v>0</v>
      </c>
      <c r="AO37" s="341">
        <f t="shared" ca="1" si="15"/>
        <v>0</v>
      </c>
      <c r="AP37" s="341">
        <f t="shared" ca="1" si="16"/>
        <v>0</v>
      </c>
      <c r="AQ37" s="341">
        <f t="shared" ca="1" si="17"/>
        <v>0</v>
      </c>
      <c r="AR37" s="341">
        <f t="shared" ca="1" si="18"/>
        <v>0</v>
      </c>
      <c r="AS37" s="341">
        <f t="shared" ca="1" si="19"/>
        <v>0</v>
      </c>
      <c r="AT37" s="341">
        <f t="shared" ca="1" si="20"/>
        <v>0</v>
      </c>
      <c r="AU37" s="341">
        <f t="shared" ca="1" si="21"/>
        <v>0</v>
      </c>
      <c r="AV37" s="341">
        <f t="shared" ca="1" si="22"/>
        <v>0</v>
      </c>
      <c r="AW37" s="333">
        <f t="shared" ca="1" si="47"/>
        <v>0</v>
      </c>
      <c r="AX37" s="333">
        <f t="shared" ca="1" si="23"/>
        <v>0</v>
      </c>
      <c r="AY37" s="333">
        <f t="shared" ca="1" si="24"/>
        <v>0</v>
      </c>
      <c r="AZ37" s="341">
        <f t="shared" ca="1" si="25"/>
        <v>2.5</v>
      </c>
      <c r="BA37" s="341">
        <f t="shared" ca="1" si="26"/>
        <v>1</v>
      </c>
      <c r="BB37" s="341">
        <f t="shared" ca="1" si="27"/>
        <v>0</v>
      </c>
      <c r="BC37" s="341">
        <f t="shared" ca="1" si="28"/>
        <v>0</v>
      </c>
      <c r="BD37" s="341">
        <f t="shared" ca="1" si="29"/>
        <v>0</v>
      </c>
      <c r="BE37" s="341">
        <f t="shared" ca="1" si="30"/>
        <v>0</v>
      </c>
      <c r="BF37" s="341">
        <f t="shared" ca="1" si="31"/>
        <v>0</v>
      </c>
      <c r="BG37" s="441">
        <f t="shared" ca="1" si="32"/>
        <v>0</v>
      </c>
      <c r="BH37" s="441">
        <f t="shared" ca="1" si="33"/>
        <v>0</v>
      </c>
      <c r="BI37" s="441">
        <f t="shared" ca="1" si="34"/>
        <v>0</v>
      </c>
      <c r="BJ37" s="441">
        <f t="shared" ca="1" si="35"/>
        <v>0</v>
      </c>
      <c r="BK37" s="441">
        <f t="shared" ca="1" si="36"/>
        <v>0</v>
      </c>
      <c r="BL37" s="341">
        <f t="shared" ca="1" si="37"/>
        <v>0</v>
      </c>
      <c r="BM37" s="341">
        <f t="shared" ca="1" si="38"/>
        <v>0</v>
      </c>
      <c r="BN37" s="341">
        <f t="shared" ca="1" si="39"/>
        <v>0</v>
      </c>
      <c r="BO37" s="341">
        <f t="shared" ca="1" si="40"/>
        <v>0</v>
      </c>
      <c r="BP37" s="341">
        <f t="shared" ca="1" si="41"/>
        <v>0</v>
      </c>
      <c r="BQ37" s="341">
        <f t="shared" ca="1" si="42"/>
        <v>2.5</v>
      </c>
      <c r="BR37" s="341" t="str">
        <f t="shared" ca="1" si="43"/>
        <v>BP2</v>
      </c>
      <c r="BS37" s="357" t="str">
        <f t="shared" ca="1" si="44"/>
        <v>BP2</v>
      </c>
      <c r="BT37" s="358">
        <f t="shared" si="48"/>
        <v>50</v>
      </c>
      <c r="BU37" s="358">
        <f t="shared" ca="1" si="45"/>
        <v>0</v>
      </c>
      <c r="BV37" s="358">
        <f t="shared" ca="1" si="46"/>
        <v>0</v>
      </c>
      <c r="BW37" s="341"/>
      <c r="BX37" s="341"/>
      <c r="BY37" s="341"/>
      <c r="BZ37" s="341"/>
      <c r="CA37" s="127"/>
      <c r="CB37" s="127"/>
    </row>
    <row r="38" spans="1:80" x14ac:dyDescent="0.25">
      <c r="A38" s="136"/>
      <c r="B38" s="728"/>
      <c r="C38" s="678"/>
      <c r="D38" s="678"/>
      <c r="E38" s="729" t="s">
        <v>196</v>
      </c>
      <c r="F38" s="678"/>
      <c r="G38" s="678"/>
      <c r="H38" s="12">
        <v>0</v>
      </c>
      <c r="I38" s="12">
        <v>0</v>
      </c>
      <c r="J38" s="12">
        <v>0</v>
      </c>
      <c r="K38" s="10" t="s">
        <v>512</v>
      </c>
      <c r="L38" s="244" t="s">
        <v>514</v>
      </c>
      <c r="M38" s="244" t="s">
        <v>458</v>
      </c>
      <c r="N38" s="244" t="s">
        <v>458</v>
      </c>
      <c r="O38" s="12" t="s">
        <v>396</v>
      </c>
      <c r="P38" s="234">
        <v>0</v>
      </c>
      <c r="Q38" s="13">
        <v>0.125</v>
      </c>
      <c r="R38" s="14" t="s">
        <v>28</v>
      </c>
      <c r="S38" s="237">
        <v>1</v>
      </c>
      <c r="T38" s="10">
        <v>0</v>
      </c>
      <c r="U38" s="548">
        <f t="shared" si="0"/>
        <v>0</v>
      </c>
      <c r="V38" s="484">
        <f t="shared" ca="1" si="1"/>
        <v>0</v>
      </c>
      <c r="W38" s="484">
        <f t="shared" ca="1" si="2"/>
        <v>0</v>
      </c>
      <c r="X38" s="485">
        <f t="shared" ca="1" si="3"/>
        <v>0</v>
      </c>
      <c r="Y38" s="450" t="s">
        <v>458</v>
      </c>
      <c r="Z38" s="370"/>
      <c r="AA38" s="371" t="s">
        <v>458</v>
      </c>
      <c r="AB38" s="370"/>
      <c r="AC38" s="449"/>
      <c r="AD38" s="489">
        <f t="shared" si="4"/>
        <v>0</v>
      </c>
      <c r="AE38" s="341">
        <f t="shared" si="5"/>
        <v>212</v>
      </c>
      <c r="AF38" s="341">
        <f t="shared" si="6"/>
        <v>0</v>
      </c>
      <c r="AG38" s="341">
        <f t="shared" ca="1" si="7"/>
        <v>0</v>
      </c>
      <c r="AH38" s="341">
        <f t="shared" ca="1" si="8"/>
        <v>0</v>
      </c>
      <c r="AI38" s="341">
        <f t="shared" ca="1" si="9"/>
        <v>0</v>
      </c>
      <c r="AJ38" s="341">
        <f t="shared" ca="1" si="10"/>
        <v>0</v>
      </c>
      <c r="AK38" s="341">
        <f t="shared" ca="1" si="11"/>
        <v>0</v>
      </c>
      <c r="AL38" s="341">
        <f t="shared" ca="1" si="12"/>
        <v>0</v>
      </c>
      <c r="AM38" s="341">
        <f t="shared" ca="1" si="13"/>
        <v>0</v>
      </c>
      <c r="AN38" s="341">
        <f t="shared" ca="1" si="14"/>
        <v>0</v>
      </c>
      <c r="AO38" s="341">
        <f t="shared" ca="1" si="15"/>
        <v>0</v>
      </c>
      <c r="AP38" s="341">
        <f t="shared" ca="1" si="16"/>
        <v>0</v>
      </c>
      <c r="AQ38" s="341">
        <f t="shared" ca="1" si="17"/>
        <v>0</v>
      </c>
      <c r="AR38" s="341">
        <f t="shared" ca="1" si="18"/>
        <v>0</v>
      </c>
      <c r="AS38" s="341">
        <f t="shared" ca="1" si="19"/>
        <v>0</v>
      </c>
      <c r="AT38" s="341">
        <f t="shared" ca="1" si="20"/>
        <v>0</v>
      </c>
      <c r="AU38" s="341">
        <f t="shared" ca="1" si="21"/>
        <v>0</v>
      </c>
      <c r="AV38" s="341">
        <f t="shared" ca="1" si="22"/>
        <v>0</v>
      </c>
      <c r="AW38" s="333">
        <f t="shared" ca="1" si="47"/>
        <v>0</v>
      </c>
      <c r="AX38" s="333">
        <f t="shared" ca="1" si="23"/>
        <v>0</v>
      </c>
      <c r="AY38" s="333">
        <f t="shared" ca="1" si="24"/>
        <v>0</v>
      </c>
      <c r="AZ38" s="341">
        <f t="shared" ca="1" si="25"/>
        <v>2.5</v>
      </c>
      <c r="BA38" s="341">
        <f t="shared" ca="1" si="26"/>
        <v>1</v>
      </c>
      <c r="BB38" s="341">
        <f t="shared" ca="1" si="27"/>
        <v>0</v>
      </c>
      <c r="BC38" s="341">
        <f t="shared" ca="1" si="28"/>
        <v>0</v>
      </c>
      <c r="BD38" s="341">
        <f t="shared" ca="1" si="29"/>
        <v>0</v>
      </c>
      <c r="BE38" s="341">
        <f t="shared" ca="1" si="30"/>
        <v>0</v>
      </c>
      <c r="BF38" s="341">
        <f t="shared" ca="1" si="31"/>
        <v>0</v>
      </c>
      <c r="BG38" s="441">
        <f t="shared" ca="1" si="32"/>
        <v>0</v>
      </c>
      <c r="BH38" s="441">
        <f t="shared" ca="1" si="33"/>
        <v>0</v>
      </c>
      <c r="BI38" s="441">
        <f t="shared" ca="1" si="34"/>
        <v>0</v>
      </c>
      <c r="BJ38" s="441">
        <f t="shared" ca="1" si="35"/>
        <v>0</v>
      </c>
      <c r="BK38" s="441">
        <f t="shared" ca="1" si="36"/>
        <v>0</v>
      </c>
      <c r="BL38" s="341">
        <f t="shared" ca="1" si="37"/>
        <v>0</v>
      </c>
      <c r="BM38" s="341">
        <f t="shared" ca="1" si="38"/>
        <v>0</v>
      </c>
      <c r="BN38" s="341">
        <f t="shared" ca="1" si="39"/>
        <v>0</v>
      </c>
      <c r="BO38" s="341">
        <f t="shared" ca="1" si="40"/>
        <v>0</v>
      </c>
      <c r="BP38" s="341">
        <f t="shared" ca="1" si="41"/>
        <v>0</v>
      </c>
      <c r="BQ38" s="341">
        <f t="shared" ca="1" si="42"/>
        <v>2.5</v>
      </c>
      <c r="BR38" s="341" t="str">
        <f t="shared" ca="1" si="43"/>
        <v>BP2</v>
      </c>
      <c r="BS38" s="357" t="str">
        <f t="shared" ca="1" si="44"/>
        <v>BP2</v>
      </c>
      <c r="BT38" s="358">
        <f t="shared" si="48"/>
        <v>50</v>
      </c>
      <c r="BU38" s="358">
        <f t="shared" ca="1" si="45"/>
        <v>0</v>
      </c>
      <c r="BV38" s="358">
        <f t="shared" ca="1" si="46"/>
        <v>0</v>
      </c>
      <c r="BW38" s="341"/>
      <c r="BX38" s="341"/>
      <c r="BY38" s="341"/>
      <c r="BZ38" s="341"/>
      <c r="CA38" s="127"/>
      <c r="CB38" s="127"/>
    </row>
    <row r="39" spans="1:80" x14ac:dyDescent="0.25">
      <c r="A39" s="136"/>
      <c r="B39" s="728"/>
      <c r="C39" s="678"/>
      <c r="D39" s="678"/>
      <c r="E39" s="729" t="s">
        <v>196</v>
      </c>
      <c r="F39" s="678"/>
      <c r="G39" s="678"/>
      <c r="H39" s="12">
        <v>0</v>
      </c>
      <c r="I39" s="12">
        <v>0</v>
      </c>
      <c r="J39" s="12">
        <v>0</v>
      </c>
      <c r="K39" s="10" t="s">
        <v>512</v>
      </c>
      <c r="L39" s="244" t="s">
        <v>514</v>
      </c>
      <c r="M39" s="244" t="s">
        <v>458</v>
      </c>
      <c r="N39" s="244" t="s">
        <v>458</v>
      </c>
      <c r="O39" s="12" t="s">
        <v>396</v>
      </c>
      <c r="P39" s="234">
        <v>0</v>
      </c>
      <c r="Q39" s="13">
        <v>0.125</v>
      </c>
      <c r="R39" s="14" t="s">
        <v>28</v>
      </c>
      <c r="S39" s="237">
        <v>1</v>
      </c>
      <c r="T39" s="10">
        <v>0</v>
      </c>
      <c r="U39" s="548">
        <f t="shared" si="0"/>
        <v>0</v>
      </c>
      <c r="V39" s="484">
        <f t="shared" ca="1" si="1"/>
        <v>0</v>
      </c>
      <c r="W39" s="484">
        <f t="shared" ca="1" si="2"/>
        <v>0</v>
      </c>
      <c r="X39" s="485">
        <f t="shared" ca="1" si="3"/>
        <v>0</v>
      </c>
      <c r="Y39" s="450" t="s">
        <v>458</v>
      </c>
      <c r="Z39" s="370"/>
      <c r="AA39" s="371" t="s">
        <v>458</v>
      </c>
      <c r="AB39" s="370"/>
      <c r="AC39" s="449"/>
      <c r="AD39" s="489">
        <f t="shared" si="4"/>
        <v>0</v>
      </c>
      <c r="AE39" s="341">
        <f t="shared" si="5"/>
        <v>212</v>
      </c>
      <c r="AF39" s="341">
        <f t="shared" si="6"/>
        <v>0</v>
      </c>
      <c r="AG39" s="341">
        <f t="shared" ca="1" si="7"/>
        <v>0</v>
      </c>
      <c r="AH39" s="341">
        <f t="shared" ca="1" si="8"/>
        <v>0</v>
      </c>
      <c r="AI39" s="341">
        <f t="shared" ca="1" si="9"/>
        <v>0</v>
      </c>
      <c r="AJ39" s="341">
        <f t="shared" ca="1" si="10"/>
        <v>0</v>
      </c>
      <c r="AK39" s="341">
        <f t="shared" ca="1" si="11"/>
        <v>0</v>
      </c>
      <c r="AL39" s="341">
        <f t="shared" ca="1" si="12"/>
        <v>0</v>
      </c>
      <c r="AM39" s="341">
        <f t="shared" ca="1" si="13"/>
        <v>0</v>
      </c>
      <c r="AN39" s="341">
        <f t="shared" ca="1" si="14"/>
        <v>0</v>
      </c>
      <c r="AO39" s="341">
        <f t="shared" ca="1" si="15"/>
        <v>0</v>
      </c>
      <c r="AP39" s="341">
        <f t="shared" ca="1" si="16"/>
        <v>0</v>
      </c>
      <c r="AQ39" s="341">
        <f t="shared" ca="1" si="17"/>
        <v>0</v>
      </c>
      <c r="AR39" s="341">
        <f t="shared" ca="1" si="18"/>
        <v>0</v>
      </c>
      <c r="AS39" s="341">
        <f t="shared" ca="1" si="19"/>
        <v>0</v>
      </c>
      <c r="AT39" s="341">
        <f t="shared" ca="1" si="20"/>
        <v>0</v>
      </c>
      <c r="AU39" s="341">
        <f t="shared" ca="1" si="21"/>
        <v>0</v>
      </c>
      <c r="AV39" s="341">
        <f t="shared" ca="1" si="22"/>
        <v>0</v>
      </c>
      <c r="AW39" s="333">
        <f t="shared" ca="1" si="47"/>
        <v>0</v>
      </c>
      <c r="AX39" s="333">
        <f t="shared" ca="1" si="23"/>
        <v>0</v>
      </c>
      <c r="AY39" s="333">
        <f t="shared" ca="1" si="24"/>
        <v>0</v>
      </c>
      <c r="AZ39" s="341">
        <f t="shared" ca="1" si="25"/>
        <v>2.5</v>
      </c>
      <c r="BA39" s="341">
        <f t="shared" ca="1" si="26"/>
        <v>1</v>
      </c>
      <c r="BB39" s="341">
        <f t="shared" ca="1" si="27"/>
        <v>0</v>
      </c>
      <c r="BC39" s="341">
        <f t="shared" ca="1" si="28"/>
        <v>0</v>
      </c>
      <c r="BD39" s="341">
        <f t="shared" ca="1" si="29"/>
        <v>0</v>
      </c>
      <c r="BE39" s="341">
        <f t="shared" ca="1" si="30"/>
        <v>0</v>
      </c>
      <c r="BF39" s="341">
        <f t="shared" ca="1" si="31"/>
        <v>0</v>
      </c>
      <c r="BG39" s="441">
        <f t="shared" ca="1" si="32"/>
        <v>0</v>
      </c>
      <c r="BH39" s="441">
        <f t="shared" ca="1" si="33"/>
        <v>0</v>
      </c>
      <c r="BI39" s="441">
        <f t="shared" ca="1" si="34"/>
        <v>0</v>
      </c>
      <c r="BJ39" s="441">
        <f t="shared" ca="1" si="35"/>
        <v>0</v>
      </c>
      <c r="BK39" s="441">
        <f t="shared" ca="1" si="36"/>
        <v>0</v>
      </c>
      <c r="BL39" s="341">
        <f t="shared" ca="1" si="37"/>
        <v>0</v>
      </c>
      <c r="BM39" s="341">
        <f t="shared" ca="1" si="38"/>
        <v>0</v>
      </c>
      <c r="BN39" s="341">
        <f t="shared" ca="1" si="39"/>
        <v>0</v>
      </c>
      <c r="BO39" s="341">
        <f t="shared" ca="1" si="40"/>
        <v>0</v>
      </c>
      <c r="BP39" s="341">
        <f t="shared" ca="1" si="41"/>
        <v>0</v>
      </c>
      <c r="BQ39" s="341">
        <f t="shared" ca="1" si="42"/>
        <v>2.5</v>
      </c>
      <c r="BR39" s="341" t="str">
        <f t="shared" ca="1" si="43"/>
        <v>BP2</v>
      </c>
      <c r="BS39" s="357" t="str">
        <f t="shared" ca="1" si="44"/>
        <v>BP2</v>
      </c>
      <c r="BT39" s="358">
        <f t="shared" si="48"/>
        <v>50</v>
      </c>
      <c r="BU39" s="358">
        <f t="shared" ca="1" si="45"/>
        <v>0</v>
      </c>
      <c r="BV39" s="358">
        <f t="shared" ca="1" si="46"/>
        <v>0</v>
      </c>
      <c r="BW39" s="341"/>
      <c r="BX39" s="341"/>
      <c r="BY39" s="341"/>
      <c r="BZ39" s="341"/>
      <c r="CA39" s="127"/>
      <c r="CB39" s="127"/>
    </row>
    <row r="40" spans="1:80" x14ac:dyDescent="0.25">
      <c r="A40" s="136"/>
      <c r="B40" s="728"/>
      <c r="C40" s="678"/>
      <c r="D40" s="678"/>
      <c r="E40" s="729" t="s">
        <v>196</v>
      </c>
      <c r="F40" s="678"/>
      <c r="G40" s="678"/>
      <c r="H40" s="12">
        <v>0</v>
      </c>
      <c r="I40" s="12">
        <v>0</v>
      </c>
      <c r="J40" s="12">
        <v>0</v>
      </c>
      <c r="K40" s="10" t="s">
        <v>512</v>
      </c>
      <c r="L40" s="244" t="s">
        <v>514</v>
      </c>
      <c r="M40" s="244" t="s">
        <v>458</v>
      </c>
      <c r="N40" s="244" t="s">
        <v>458</v>
      </c>
      <c r="O40" s="12" t="s">
        <v>396</v>
      </c>
      <c r="P40" s="234">
        <v>0</v>
      </c>
      <c r="Q40" s="13">
        <v>0.125</v>
      </c>
      <c r="R40" s="14" t="s">
        <v>28</v>
      </c>
      <c r="S40" s="237">
        <v>1</v>
      </c>
      <c r="T40" s="10">
        <v>0</v>
      </c>
      <c r="U40" s="548">
        <f t="shared" si="0"/>
        <v>0</v>
      </c>
      <c r="V40" s="484">
        <f t="shared" ca="1" si="1"/>
        <v>0</v>
      </c>
      <c r="W40" s="484">
        <f t="shared" ca="1" si="2"/>
        <v>0</v>
      </c>
      <c r="X40" s="485">
        <f t="shared" ca="1" si="3"/>
        <v>0</v>
      </c>
      <c r="Y40" s="450" t="s">
        <v>458</v>
      </c>
      <c r="Z40" s="370"/>
      <c r="AA40" s="371" t="s">
        <v>458</v>
      </c>
      <c r="AB40" s="370"/>
      <c r="AC40" s="449"/>
      <c r="AD40" s="489">
        <f t="shared" si="4"/>
        <v>0</v>
      </c>
      <c r="AE40" s="341">
        <f t="shared" si="5"/>
        <v>212</v>
      </c>
      <c r="AF40" s="341">
        <f t="shared" si="6"/>
        <v>0</v>
      </c>
      <c r="AG40" s="341">
        <f t="shared" ca="1" si="7"/>
        <v>0</v>
      </c>
      <c r="AH40" s="341">
        <f t="shared" ca="1" si="8"/>
        <v>0</v>
      </c>
      <c r="AI40" s="341">
        <f t="shared" ca="1" si="9"/>
        <v>0</v>
      </c>
      <c r="AJ40" s="341">
        <f t="shared" ca="1" si="10"/>
        <v>0</v>
      </c>
      <c r="AK40" s="341">
        <f t="shared" ca="1" si="11"/>
        <v>0</v>
      </c>
      <c r="AL40" s="341">
        <f t="shared" ca="1" si="12"/>
        <v>0</v>
      </c>
      <c r="AM40" s="341">
        <f t="shared" ca="1" si="13"/>
        <v>0</v>
      </c>
      <c r="AN40" s="341">
        <f t="shared" ca="1" si="14"/>
        <v>0</v>
      </c>
      <c r="AO40" s="341">
        <f t="shared" ca="1" si="15"/>
        <v>0</v>
      </c>
      <c r="AP40" s="341">
        <f t="shared" ca="1" si="16"/>
        <v>0</v>
      </c>
      <c r="AQ40" s="341">
        <f t="shared" ca="1" si="17"/>
        <v>0</v>
      </c>
      <c r="AR40" s="341">
        <f t="shared" ca="1" si="18"/>
        <v>0</v>
      </c>
      <c r="AS40" s="341">
        <f t="shared" ca="1" si="19"/>
        <v>0</v>
      </c>
      <c r="AT40" s="341">
        <f t="shared" ca="1" si="20"/>
        <v>0</v>
      </c>
      <c r="AU40" s="341">
        <f t="shared" ca="1" si="21"/>
        <v>0</v>
      </c>
      <c r="AV40" s="341">
        <f t="shared" ca="1" si="22"/>
        <v>0</v>
      </c>
      <c r="AW40" s="333">
        <f t="shared" ca="1" si="47"/>
        <v>0</v>
      </c>
      <c r="AX40" s="333">
        <f t="shared" ca="1" si="23"/>
        <v>0</v>
      </c>
      <c r="AY40" s="333">
        <f t="shared" ca="1" si="24"/>
        <v>0</v>
      </c>
      <c r="AZ40" s="341">
        <f t="shared" ca="1" si="25"/>
        <v>2.5</v>
      </c>
      <c r="BA40" s="341">
        <f t="shared" ca="1" si="26"/>
        <v>1</v>
      </c>
      <c r="BB40" s="341">
        <f t="shared" ca="1" si="27"/>
        <v>0</v>
      </c>
      <c r="BC40" s="341">
        <f t="shared" ca="1" si="28"/>
        <v>0</v>
      </c>
      <c r="BD40" s="341">
        <f t="shared" ca="1" si="29"/>
        <v>0</v>
      </c>
      <c r="BE40" s="341">
        <f t="shared" ca="1" si="30"/>
        <v>0</v>
      </c>
      <c r="BF40" s="341">
        <f t="shared" ca="1" si="31"/>
        <v>0</v>
      </c>
      <c r="BG40" s="441">
        <f t="shared" ca="1" si="32"/>
        <v>0</v>
      </c>
      <c r="BH40" s="441">
        <f t="shared" ca="1" si="33"/>
        <v>0</v>
      </c>
      <c r="BI40" s="441">
        <f t="shared" ca="1" si="34"/>
        <v>0</v>
      </c>
      <c r="BJ40" s="441">
        <f t="shared" ca="1" si="35"/>
        <v>0</v>
      </c>
      <c r="BK40" s="441">
        <f t="shared" ca="1" si="36"/>
        <v>0</v>
      </c>
      <c r="BL40" s="341">
        <f t="shared" ca="1" si="37"/>
        <v>0</v>
      </c>
      <c r="BM40" s="341">
        <f t="shared" ca="1" si="38"/>
        <v>0</v>
      </c>
      <c r="BN40" s="341">
        <f t="shared" ca="1" si="39"/>
        <v>0</v>
      </c>
      <c r="BO40" s="341">
        <f t="shared" ca="1" si="40"/>
        <v>0</v>
      </c>
      <c r="BP40" s="341">
        <f t="shared" ca="1" si="41"/>
        <v>0</v>
      </c>
      <c r="BQ40" s="341">
        <f t="shared" ca="1" si="42"/>
        <v>2.5</v>
      </c>
      <c r="BR40" s="341" t="str">
        <f t="shared" ca="1" si="43"/>
        <v>BP2</v>
      </c>
      <c r="BS40" s="357" t="str">
        <f t="shared" ca="1" si="44"/>
        <v>BP2</v>
      </c>
      <c r="BT40" s="358">
        <f t="shared" si="48"/>
        <v>50</v>
      </c>
      <c r="BU40" s="358">
        <f t="shared" ca="1" si="45"/>
        <v>0</v>
      </c>
      <c r="BV40" s="358">
        <f t="shared" ca="1" si="46"/>
        <v>0</v>
      </c>
      <c r="BW40" s="341"/>
      <c r="BX40" s="341"/>
      <c r="BY40" s="341"/>
      <c r="BZ40" s="341"/>
      <c r="CA40" s="127"/>
      <c r="CB40" s="127"/>
    </row>
    <row r="41" spans="1:80" x14ac:dyDescent="0.25">
      <c r="A41" s="136"/>
      <c r="B41" s="728"/>
      <c r="C41" s="678"/>
      <c r="D41" s="678"/>
      <c r="E41" s="729" t="s">
        <v>196</v>
      </c>
      <c r="F41" s="678"/>
      <c r="G41" s="678"/>
      <c r="H41" s="12">
        <v>0</v>
      </c>
      <c r="I41" s="12">
        <v>0</v>
      </c>
      <c r="J41" s="12">
        <v>0</v>
      </c>
      <c r="K41" s="10" t="s">
        <v>512</v>
      </c>
      <c r="L41" s="244" t="s">
        <v>514</v>
      </c>
      <c r="M41" s="244" t="s">
        <v>458</v>
      </c>
      <c r="N41" s="244" t="s">
        <v>458</v>
      </c>
      <c r="O41" s="12" t="s">
        <v>396</v>
      </c>
      <c r="P41" s="234">
        <v>0</v>
      </c>
      <c r="Q41" s="13">
        <v>0.125</v>
      </c>
      <c r="R41" s="14" t="s">
        <v>28</v>
      </c>
      <c r="S41" s="237">
        <v>1</v>
      </c>
      <c r="T41" s="10">
        <v>0</v>
      </c>
      <c r="U41" s="548">
        <f t="shared" si="0"/>
        <v>0</v>
      </c>
      <c r="V41" s="484">
        <f t="shared" ca="1" si="1"/>
        <v>0</v>
      </c>
      <c r="W41" s="484">
        <f t="shared" ca="1" si="2"/>
        <v>0</v>
      </c>
      <c r="X41" s="485">
        <f t="shared" ca="1" si="3"/>
        <v>0</v>
      </c>
      <c r="Y41" s="450" t="s">
        <v>458</v>
      </c>
      <c r="Z41" s="370"/>
      <c r="AA41" s="371" t="s">
        <v>458</v>
      </c>
      <c r="AB41" s="370"/>
      <c r="AC41" s="449"/>
      <c r="AD41" s="489">
        <f t="shared" si="4"/>
        <v>0</v>
      </c>
      <c r="AE41" s="341">
        <f t="shared" si="5"/>
        <v>212</v>
      </c>
      <c r="AF41" s="341">
        <f t="shared" si="6"/>
        <v>0</v>
      </c>
      <c r="AG41" s="341">
        <f t="shared" ca="1" si="7"/>
        <v>0</v>
      </c>
      <c r="AH41" s="341">
        <f t="shared" ca="1" si="8"/>
        <v>0</v>
      </c>
      <c r="AI41" s="341">
        <f t="shared" ca="1" si="9"/>
        <v>0</v>
      </c>
      <c r="AJ41" s="341">
        <f t="shared" ca="1" si="10"/>
        <v>0</v>
      </c>
      <c r="AK41" s="341">
        <f t="shared" ca="1" si="11"/>
        <v>0</v>
      </c>
      <c r="AL41" s="341">
        <f t="shared" ca="1" si="12"/>
        <v>0</v>
      </c>
      <c r="AM41" s="341">
        <f t="shared" ca="1" si="13"/>
        <v>0</v>
      </c>
      <c r="AN41" s="341">
        <f t="shared" ca="1" si="14"/>
        <v>0</v>
      </c>
      <c r="AO41" s="341">
        <f t="shared" ca="1" si="15"/>
        <v>0</v>
      </c>
      <c r="AP41" s="341">
        <f t="shared" ca="1" si="16"/>
        <v>0</v>
      </c>
      <c r="AQ41" s="341">
        <f t="shared" ca="1" si="17"/>
        <v>0</v>
      </c>
      <c r="AR41" s="341">
        <f t="shared" ca="1" si="18"/>
        <v>0</v>
      </c>
      <c r="AS41" s="341">
        <f t="shared" ca="1" si="19"/>
        <v>0</v>
      </c>
      <c r="AT41" s="341">
        <f t="shared" ca="1" si="20"/>
        <v>0</v>
      </c>
      <c r="AU41" s="341">
        <f t="shared" ca="1" si="21"/>
        <v>0</v>
      </c>
      <c r="AV41" s="341">
        <f t="shared" ca="1" si="22"/>
        <v>0</v>
      </c>
      <c r="AW41" s="333">
        <f t="shared" ca="1" si="47"/>
        <v>0</v>
      </c>
      <c r="AX41" s="333">
        <f t="shared" ca="1" si="23"/>
        <v>0</v>
      </c>
      <c r="AY41" s="333">
        <f t="shared" ca="1" si="24"/>
        <v>0</v>
      </c>
      <c r="AZ41" s="341">
        <f t="shared" ca="1" si="25"/>
        <v>2.5</v>
      </c>
      <c r="BA41" s="341">
        <f t="shared" ca="1" si="26"/>
        <v>1</v>
      </c>
      <c r="BB41" s="341">
        <f t="shared" ca="1" si="27"/>
        <v>0</v>
      </c>
      <c r="BC41" s="341">
        <f t="shared" ca="1" si="28"/>
        <v>0</v>
      </c>
      <c r="BD41" s="341">
        <f t="shared" ca="1" si="29"/>
        <v>0</v>
      </c>
      <c r="BE41" s="341">
        <f t="shared" ca="1" si="30"/>
        <v>0</v>
      </c>
      <c r="BF41" s="341">
        <f t="shared" ca="1" si="31"/>
        <v>0</v>
      </c>
      <c r="BG41" s="441">
        <f t="shared" ca="1" si="32"/>
        <v>0</v>
      </c>
      <c r="BH41" s="441">
        <f t="shared" ca="1" si="33"/>
        <v>0</v>
      </c>
      <c r="BI41" s="441">
        <f t="shared" ca="1" si="34"/>
        <v>0</v>
      </c>
      <c r="BJ41" s="441">
        <f t="shared" ca="1" si="35"/>
        <v>0</v>
      </c>
      <c r="BK41" s="441">
        <f t="shared" ca="1" si="36"/>
        <v>0</v>
      </c>
      <c r="BL41" s="341">
        <f t="shared" ca="1" si="37"/>
        <v>0</v>
      </c>
      <c r="BM41" s="341">
        <f t="shared" ca="1" si="38"/>
        <v>0</v>
      </c>
      <c r="BN41" s="341">
        <f t="shared" ca="1" si="39"/>
        <v>0</v>
      </c>
      <c r="BO41" s="341">
        <f t="shared" ca="1" si="40"/>
        <v>0</v>
      </c>
      <c r="BP41" s="341">
        <f t="shared" ca="1" si="41"/>
        <v>0</v>
      </c>
      <c r="BQ41" s="341">
        <f t="shared" ca="1" si="42"/>
        <v>2.5</v>
      </c>
      <c r="BR41" s="341" t="str">
        <f t="shared" ca="1" si="43"/>
        <v>BP2</v>
      </c>
      <c r="BS41" s="357" t="str">
        <f t="shared" ca="1" si="44"/>
        <v>BP2</v>
      </c>
      <c r="BT41" s="358">
        <f t="shared" si="48"/>
        <v>50</v>
      </c>
      <c r="BU41" s="358">
        <f t="shared" ca="1" si="45"/>
        <v>0</v>
      </c>
      <c r="BV41" s="358">
        <f t="shared" ca="1" si="46"/>
        <v>0</v>
      </c>
      <c r="BW41" s="341"/>
      <c r="BX41" s="341"/>
      <c r="BY41" s="341"/>
      <c r="BZ41" s="341"/>
      <c r="CA41" s="127"/>
      <c r="CB41" s="127"/>
    </row>
    <row r="42" spans="1:80" x14ac:dyDescent="0.25">
      <c r="A42" s="136"/>
      <c r="B42" s="728"/>
      <c r="C42" s="678"/>
      <c r="D42" s="678"/>
      <c r="E42" s="729" t="s">
        <v>196</v>
      </c>
      <c r="F42" s="678"/>
      <c r="G42" s="678"/>
      <c r="H42" s="12">
        <v>0</v>
      </c>
      <c r="I42" s="12">
        <v>0</v>
      </c>
      <c r="J42" s="12">
        <v>0</v>
      </c>
      <c r="K42" s="10" t="s">
        <v>512</v>
      </c>
      <c r="L42" s="244" t="s">
        <v>514</v>
      </c>
      <c r="M42" s="244" t="s">
        <v>458</v>
      </c>
      <c r="N42" s="244" t="s">
        <v>458</v>
      </c>
      <c r="O42" s="12" t="s">
        <v>396</v>
      </c>
      <c r="P42" s="234">
        <v>0</v>
      </c>
      <c r="Q42" s="13">
        <v>0.125</v>
      </c>
      <c r="R42" s="14" t="s">
        <v>28</v>
      </c>
      <c r="S42" s="237">
        <v>1</v>
      </c>
      <c r="T42" s="10">
        <v>0</v>
      </c>
      <c r="U42" s="548">
        <f t="shared" si="0"/>
        <v>0</v>
      </c>
      <c r="V42" s="484">
        <f t="shared" ca="1" si="1"/>
        <v>0</v>
      </c>
      <c r="W42" s="484">
        <f t="shared" ca="1" si="2"/>
        <v>0</v>
      </c>
      <c r="X42" s="485">
        <f t="shared" ca="1" si="3"/>
        <v>0</v>
      </c>
      <c r="Y42" s="450" t="s">
        <v>458</v>
      </c>
      <c r="Z42" s="370"/>
      <c r="AA42" s="371" t="s">
        <v>458</v>
      </c>
      <c r="AB42" s="370"/>
      <c r="AC42" s="449"/>
      <c r="AD42" s="489">
        <f t="shared" si="4"/>
        <v>0</v>
      </c>
      <c r="AE42" s="341">
        <f t="shared" si="5"/>
        <v>212</v>
      </c>
      <c r="AF42" s="341">
        <f t="shared" si="6"/>
        <v>0</v>
      </c>
      <c r="AG42" s="341">
        <f t="shared" ca="1" si="7"/>
        <v>0</v>
      </c>
      <c r="AH42" s="341">
        <f t="shared" ca="1" si="8"/>
        <v>0</v>
      </c>
      <c r="AI42" s="341">
        <f t="shared" ca="1" si="9"/>
        <v>0</v>
      </c>
      <c r="AJ42" s="341">
        <f t="shared" ca="1" si="10"/>
        <v>0</v>
      </c>
      <c r="AK42" s="341">
        <f t="shared" ca="1" si="11"/>
        <v>0</v>
      </c>
      <c r="AL42" s="341">
        <f t="shared" ca="1" si="12"/>
        <v>0</v>
      </c>
      <c r="AM42" s="341">
        <f t="shared" ca="1" si="13"/>
        <v>0</v>
      </c>
      <c r="AN42" s="341">
        <f t="shared" ca="1" si="14"/>
        <v>0</v>
      </c>
      <c r="AO42" s="341">
        <f t="shared" ca="1" si="15"/>
        <v>0</v>
      </c>
      <c r="AP42" s="341">
        <f t="shared" ca="1" si="16"/>
        <v>0</v>
      </c>
      <c r="AQ42" s="341">
        <f t="shared" ca="1" si="17"/>
        <v>0</v>
      </c>
      <c r="AR42" s="341">
        <f t="shared" ca="1" si="18"/>
        <v>0</v>
      </c>
      <c r="AS42" s="341">
        <f t="shared" ca="1" si="19"/>
        <v>0</v>
      </c>
      <c r="AT42" s="341">
        <f t="shared" ca="1" si="20"/>
        <v>0</v>
      </c>
      <c r="AU42" s="341">
        <f t="shared" ca="1" si="21"/>
        <v>0</v>
      </c>
      <c r="AV42" s="341">
        <f t="shared" ca="1" si="22"/>
        <v>0</v>
      </c>
      <c r="AW42" s="333">
        <f t="shared" ca="1" si="47"/>
        <v>0</v>
      </c>
      <c r="AX42" s="333">
        <f t="shared" ca="1" si="23"/>
        <v>0</v>
      </c>
      <c r="AY42" s="333">
        <f t="shared" ca="1" si="24"/>
        <v>0</v>
      </c>
      <c r="AZ42" s="341">
        <f t="shared" ca="1" si="25"/>
        <v>2.5</v>
      </c>
      <c r="BA42" s="341">
        <f t="shared" ca="1" si="26"/>
        <v>1</v>
      </c>
      <c r="BB42" s="341">
        <f t="shared" ca="1" si="27"/>
        <v>0</v>
      </c>
      <c r="BC42" s="341">
        <f t="shared" ca="1" si="28"/>
        <v>0</v>
      </c>
      <c r="BD42" s="341">
        <f t="shared" ca="1" si="29"/>
        <v>0</v>
      </c>
      <c r="BE42" s="341">
        <f t="shared" ca="1" si="30"/>
        <v>0</v>
      </c>
      <c r="BF42" s="341">
        <f t="shared" ca="1" si="31"/>
        <v>0</v>
      </c>
      <c r="BG42" s="441">
        <f t="shared" ca="1" si="32"/>
        <v>0</v>
      </c>
      <c r="BH42" s="441">
        <f t="shared" ca="1" si="33"/>
        <v>0</v>
      </c>
      <c r="BI42" s="441">
        <f t="shared" ca="1" si="34"/>
        <v>0</v>
      </c>
      <c r="BJ42" s="441">
        <f t="shared" ca="1" si="35"/>
        <v>0</v>
      </c>
      <c r="BK42" s="441">
        <f t="shared" ca="1" si="36"/>
        <v>0</v>
      </c>
      <c r="BL42" s="341">
        <f t="shared" ca="1" si="37"/>
        <v>0</v>
      </c>
      <c r="BM42" s="341">
        <f t="shared" ca="1" si="38"/>
        <v>0</v>
      </c>
      <c r="BN42" s="341">
        <f t="shared" ca="1" si="39"/>
        <v>0</v>
      </c>
      <c r="BO42" s="341">
        <f t="shared" ca="1" si="40"/>
        <v>0</v>
      </c>
      <c r="BP42" s="341">
        <f t="shared" ca="1" si="41"/>
        <v>0</v>
      </c>
      <c r="BQ42" s="341">
        <f t="shared" ca="1" si="42"/>
        <v>2.5</v>
      </c>
      <c r="BR42" s="341" t="str">
        <f t="shared" ca="1" si="43"/>
        <v>BP2</v>
      </c>
      <c r="BS42" s="357" t="str">
        <f t="shared" ca="1" si="44"/>
        <v>BP2</v>
      </c>
      <c r="BT42" s="358">
        <f t="shared" si="48"/>
        <v>50</v>
      </c>
      <c r="BU42" s="358">
        <f t="shared" ca="1" si="45"/>
        <v>0</v>
      </c>
      <c r="BV42" s="358">
        <f t="shared" ca="1" si="46"/>
        <v>0</v>
      </c>
      <c r="BW42" s="341"/>
      <c r="BX42" s="341"/>
      <c r="BY42" s="341"/>
      <c r="BZ42" s="341"/>
      <c r="CA42" s="127"/>
      <c r="CB42" s="127"/>
    </row>
    <row r="43" spans="1:80" x14ac:dyDescent="0.25">
      <c r="A43" s="136"/>
      <c r="B43" s="728"/>
      <c r="C43" s="678"/>
      <c r="D43" s="678"/>
      <c r="E43" s="729" t="s">
        <v>196</v>
      </c>
      <c r="F43" s="678"/>
      <c r="G43" s="678"/>
      <c r="H43" s="12">
        <v>0</v>
      </c>
      <c r="I43" s="12">
        <v>0</v>
      </c>
      <c r="J43" s="12">
        <v>0</v>
      </c>
      <c r="K43" s="10" t="s">
        <v>512</v>
      </c>
      <c r="L43" s="244" t="s">
        <v>514</v>
      </c>
      <c r="M43" s="244" t="s">
        <v>458</v>
      </c>
      <c r="N43" s="244" t="s">
        <v>458</v>
      </c>
      <c r="O43" s="12" t="s">
        <v>396</v>
      </c>
      <c r="P43" s="234">
        <v>0</v>
      </c>
      <c r="Q43" s="13">
        <v>0.125</v>
      </c>
      <c r="R43" s="14" t="s">
        <v>28</v>
      </c>
      <c r="S43" s="237">
        <v>1</v>
      </c>
      <c r="T43" s="10">
        <v>0</v>
      </c>
      <c r="U43" s="548">
        <f t="shared" si="0"/>
        <v>0</v>
      </c>
      <c r="V43" s="484">
        <f t="shared" ca="1" si="1"/>
        <v>0</v>
      </c>
      <c r="W43" s="484">
        <f t="shared" ca="1" si="2"/>
        <v>0</v>
      </c>
      <c r="X43" s="485">
        <f t="shared" ca="1" si="3"/>
        <v>0</v>
      </c>
      <c r="Y43" s="450" t="s">
        <v>458</v>
      </c>
      <c r="Z43" s="370"/>
      <c r="AA43" s="371" t="s">
        <v>458</v>
      </c>
      <c r="AB43" s="370"/>
      <c r="AC43" s="449"/>
      <c r="AD43" s="489">
        <f t="shared" si="4"/>
        <v>0</v>
      </c>
      <c r="AE43" s="341">
        <f t="shared" si="5"/>
        <v>212</v>
      </c>
      <c r="AF43" s="341">
        <f t="shared" si="6"/>
        <v>0</v>
      </c>
      <c r="AG43" s="341">
        <f t="shared" ca="1" si="7"/>
        <v>0</v>
      </c>
      <c r="AH43" s="341">
        <f t="shared" ca="1" si="8"/>
        <v>0</v>
      </c>
      <c r="AI43" s="341">
        <f t="shared" ca="1" si="9"/>
        <v>0</v>
      </c>
      <c r="AJ43" s="341">
        <f t="shared" ca="1" si="10"/>
        <v>0</v>
      </c>
      <c r="AK43" s="341">
        <f t="shared" ca="1" si="11"/>
        <v>0</v>
      </c>
      <c r="AL43" s="341">
        <f t="shared" ca="1" si="12"/>
        <v>0</v>
      </c>
      <c r="AM43" s="341">
        <f t="shared" ca="1" si="13"/>
        <v>0</v>
      </c>
      <c r="AN43" s="341">
        <f t="shared" ca="1" si="14"/>
        <v>0</v>
      </c>
      <c r="AO43" s="341">
        <f t="shared" ca="1" si="15"/>
        <v>0</v>
      </c>
      <c r="AP43" s="341">
        <f t="shared" ca="1" si="16"/>
        <v>0</v>
      </c>
      <c r="AQ43" s="341">
        <f t="shared" ca="1" si="17"/>
        <v>0</v>
      </c>
      <c r="AR43" s="341">
        <f t="shared" ca="1" si="18"/>
        <v>0</v>
      </c>
      <c r="AS43" s="341">
        <f t="shared" ca="1" si="19"/>
        <v>0</v>
      </c>
      <c r="AT43" s="341">
        <f t="shared" ca="1" si="20"/>
        <v>0</v>
      </c>
      <c r="AU43" s="341">
        <f t="shared" ca="1" si="21"/>
        <v>0</v>
      </c>
      <c r="AV43" s="341">
        <f t="shared" ca="1" si="22"/>
        <v>0</v>
      </c>
      <c r="AW43" s="333">
        <f t="shared" ca="1" si="47"/>
        <v>0</v>
      </c>
      <c r="AX43" s="333">
        <f t="shared" ca="1" si="23"/>
        <v>0</v>
      </c>
      <c r="AY43" s="333">
        <f t="shared" ca="1" si="24"/>
        <v>0</v>
      </c>
      <c r="AZ43" s="341">
        <f t="shared" ca="1" si="25"/>
        <v>2.5</v>
      </c>
      <c r="BA43" s="341">
        <f t="shared" ca="1" si="26"/>
        <v>1</v>
      </c>
      <c r="BB43" s="341">
        <f t="shared" ca="1" si="27"/>
        <v>0</v>
      </c>
      <c r="BC43" s="341">
        <f t="shared" ca="1" si="28"/>
        <v>0</v>
      </c>
      <c r="BD43" s="341">
        <f t="shared" ca="1" si="29"/>
        <v>0</v>
      </c>
      <c r="BE43" s="341">
        <f t="shared" ca="1" si="30"/>
        <v>0</v>
      </c>
      <c r="BF43" s="341">
        <f t="shared" ca="1" si="31"/>
        <v>0</v>
      </c>
      <c r="BG43" s="441">
        <f t="shared" ca="1" si="32"/>
        <v>0</v>
      </c>
      <c r="BH43" s="441">
        <f t="shared" ca="1" si="33"/>
        <v>0</v>
      </c>
      <c r="BI43" s="441">
        <f t="shared" ca="1" si="34"/>
        <v>0</v>
      </c>
      <c r="BJ43" s="441">
        <f t="shared" ca="1" si="35"/>
        <v>0</v>
      </c>
      <c r="BK43" s="441">
        <f t="shared" ca="1" si="36"/>
        <v>0</v>
      </c>
      <c r="BL43" s="341">
        <f t="shared" ca="1" si="37"/>
        <v>0</v>
      </c>
      <c r="BM43" s="341">
        <f t="shared" ca="1" si="38"/>
        <v>0</v>
      </c>
      <c r="BN43" s="341">
        <f t="shared" ca="1" si="39"/>
        <v>0</v>
      </c>
      <c r="BO43" s="341">
        <f t="shared" ca="1" si="40"/>
        <v>0</v>
      </c>
      <c r="BP43" s="341">
        <f t="shared" ca="1" si="41"/>
        <v>0</v>
      </c>
      <c r="BQ43" s="341">
        <f t="shared" ca="1" si="42"/>
        <v>2.5</v>
      </c>
      <c r="BR43" s="341" t="str">
        <f t="shared" ca="1" si="43"/>
        <v>BP2</v>
      </c>
      <c r="BS43" s="357" t="str">
        <f t="shared" ca="1" si="44"/>
        <v>BP2</v>
      </c>
      <c r="BT43" s="358">
        <f t="shared" si="48"/>
        <v>50</v>
      </c>
      <c r="BU43" s="358">
        <f t="shared" ca="1" si="45"/>
        <v>0</v>
      </c>
      <c r="BV43" s="358">
        <f t="shared" ca="1" si="46"/>
        <v>0</v>
      </c>
      <c r="BW43" s="341"/>
      <c r="BX43" s="341"/>
      <c r="BY43" s="341"/>
      <c r="BZ43" s="341"/>
      <c r="CA43" s="127"/>
      <c r="CB43" s="127"/>
    </row>
    <row r="44" spans="1:80" x14ac:dyDescent="0.25">
      <c r="A44" s="136"/>
      <c r="B44" s="728"/>
      <c r="C44" s="678"/>
      <c r="D44" s="678"/>
      <c r="E44" s="729" t="s">
        <v>196</v>
      </c>
      <c r="F44" s="678"/>
      <c r="G44" s="678"/>
      <c r="H44" s="12">
        <v>0</v>
      </c>
      <c r="I44" s="12">
        <v>0</v>
      </c>
      <c r="J44" s="12">
        <v>0</v>
      </c>
      <c r="K44" s="10" t="s">
        <v>512</v>
      </c>
      <c r="L44" s="244" t="s">
        <v>514</v>
      </c>
      <c r="M44" s="244" t="s">
        <v>458</v>
      </c>
      <c r="N44" s="244" t="s">
        <v>458</v>
      </c>
      <c r="O44" s="12" t="s">
        <v>396</v>
      </c>
      <c r="P44" s="234">
        <v>0</v>
      </c>
      <c r="Q44" s="13">
        <v>0.125</v>
      </c>
      <c r="R44" s="14" t="s">
        <v>28</v>
      </c>
      <c r="S44" s="237">
        <v>1</v>
      </c>
      <c r="T44" s="10">
        <v>0</v>
      </c>
      <c r="U44" s="548">
        <f t="shared" si="0"/>
        <v>0</v>
      </c>
      <c r="V44" s="484">
        <f t="shared" ca="1" si="1"/>
        <v>0</v>
      </c>
      <c r="W44" s="484">
        <f t="shared" ca="1" si="2"/>
        <v>0</v>
      </c>
      <c r="X44" s="485">
        <f t="shared" ca="1" si="3"/>
        <v>0</v>
      </c>
      <c r="Y44" s="450" t="s">
        <v>458</v>
      </c>
      <c r="Z44" s="370"/>
      <c r="AA44" s="371" t="s">
        <v>458</v>
      </c>
      <c r="AB44" s="370"/>
      <c r="AC44" s="449"/>
      <c r="AD44" s="489">
        <f t="shared" si="4"/>
        <v>0</v>
      </c>
      <c r="AE44" s="341">
        <f t="shared" si="5"/>
        <v>212</v>
      </c>
      <c r="AF44" s="341">
        <f t="shared" si="6"/>
        <v>0</v>
      </c>
      <c r="AG44" s="341">
        <f t="shared" ca="1" si="7"/>
        <v>0</v>
      </c>
      <c r="AH44" s="341">
        <f t="shared" ca="1" si="8"/>
        <v>0</v>
      </c>
      <c r="AI44" s="341">
        <f t="shared" ca="1" si="9"/>
        <v>0</v>
      </c>
      <c r="AJ44" s="341">
        <f t="shared" ca="1" si="10"/>
        <v>0</v>
      </c>
      <c r="AK44" s="341">
        <f t="shared" ca="1" si="11"/>
        <v>0</v>
      </c>
      <c r="AL44" s="341">
        <f t="shared" ca="1" si="12"/>
        <v>0</v>
      </c>
      <c r="AM44" s="341">
        <f t="shared" ca="1" si="13"/>
        <v>0</v>
      </c>
      <c r="AN44" s="341">
        <f t="shared" ca="1" si="14"/>
        <v>0</v>
      </c>
      <c r="AO44" s="341">
        <f t="shared" ca="1" si="15"/>
        <v>0</v>
      </c>
      <c r="AP44" s="341">
        <f t="shared" ca="1" si="16"/>
        <v>0</v>
      </c>
      <c r="AQ44" s="341">
        <f t="shared" ca="1" si="17"/>
        <v>0</v>
      </c>
      <c r="AR44" s="341">
        <f t="shared" ca="1" si="18"/>
        <v>0</v>
      </c>
      <c r="AS44" s="341">
        <f t="shared" ca="1" si="19"/>
        <v>0</v>
      </c>
      <c r="AT44" s="341">
        <f t="shared" ca="1" si="20"/>
        <v>0</v>
      </c>
      <c r="AU44" s="341">
        <f t="shared" ca="1" si="21"/>
        <v>0</v>
      </c>
      <c r="AV44" s="341">
        <f t="shared" ca="1" si="22"/>
        <v>0</v>
      </c>
      <c r="AW44" s="333">
        <f t="shared" ca="1" si="47"/>
        <v>0</v>
      </c>
      <c r="AX44" s="333">
        <f t="shared" ca="1" si="23"/>
        <v>0</v>
      </c>
      <c r="AY44" s="333">
        <f t="shared" ca="1" si="24"/>
        <v>0</v>
      </c>
      <c r="AZ44" s="341">
        <f t="shared" ca="1" si="25"/>
        <v>2.5</v>
      </c>
      <c r="BA44" s="341">
        <f t="shared" ca="1" si="26"/>
        <v>1</v>
      </c>
      <c r="BB44" s="341">
        <f t="shared" ca="1" si="27"/>
        <v>0</v>
      </c>
      <c r="BC44" s="341">
        <f t="shared" ca="1" si="28"/>
        <v>0</v>
      </c>
      <c r="BD44" s="341">
        <f t="shared" ca="1" si="29"/>
        <v>0</v>
      </c>
      <c r="BE44" s="341">
        <f t="shared" ca="1" si="30"/>
        <v>0</v>
      </c>
      <c r="BF44" s="341">
        <f t="shared" ca="1" si="31"/>
        <v>0</v>
      </c>
      <c r="BG44" s="441">
        <f t="shared" ca="1" si="32"/>
        <v>0</v>
      </c>
      <c r="BH44" s="441">
        <f t="shared" ca="1" si="33"/>
        <v>0</v>
      </c>
      <c r="BI44" s="441">
        <f t="shared" ca="1" si="34"/>
        <v>0</v>
      </c>
      <c r="BJ44" s="441">
        <f t="shared" ca="1" si="35"/>
        <v>0</v>
      </c>
      <c r="BK44" s="441">
        <f t="shared" ca="1" si="36"/>
        <v>0</v>
      </c>
      <c r="BL44" s="341">
        <f t="shared" ca="1" si="37"/>
        <v>0</v>
      </c>
      <c r="BM44" s="341">
        <f t="shared" ca="1" si="38"/>
        <v>0</v>
      </c>
      <c r="BN44" s="341">
        <f t="shared" ca="1" si="39"/>
        <v>0</v>
      </c>
      <c r="BO44" s="341">
        <f t="shared" ca="1" si="40"/>
        <v>0</v>
      </c>
      <c r="BP44" s="341">
        <f t="shared" ca="1" si="41"/>
        <v>0</v>
      </c>
      <c r="BQ44" s="341">
        <f t="shared" ca="1" si="42"/>
        <v>2.5</v>
      </c>
      <c r="BR44" s="341" t="str">
        <f t="shared" ca="1" si="43"/>
        <v>BP2</v>
      </c>
      <c r="BS44" s="357" t="str">
        <f t="shared" ca="1" si="44"/>
        <v>BP2</v>
      </c>
      <c r="BT44" s="358">
        <f t="shared" si="48"/>
        <v>50</v>
      </c>
      <c r="BU44" s="358">
        <f t="shared" ca="1" si="45"/>
        <v>0</v>
      </c>
      <c r="BV44" s="358">
        <f t="shared" ca="1" si="46"/>
        <v>0</v>
      </c>
      <c r="BW44" s="341"/>
      <c r="BX44" s="341"/>
      <c r="BY44" s="341"/>
      <c r="BZ44" s="341"/>
      <c r="CA44" s="127"/>
      <c r="CB44" s="127"/>
    </row>
    <row r="45" spans="1:80" x14ac:dyDescent="0.25">
      <c r="A45" s="136"/>
      <c r="B45" s="728"/>
      <c r="C45" s="678"/>
      <c r="D45" s="678"/>
      <c r="E45" s="729" t="s">
        <v>196</v>
      </c>
      <c r="F45" s="678"/>
      <c r="G45" s="678"/>
      <c r="H45" s="12">
        <v>0</v>
      </c>
      <c r="I45" s="12">
        <v>0</v>
      </c>
      <c r="J45" s="12">
        <v>0</v>
      </c>
      <c r="K45" s="10" t="s">
        <v>512</v>
      </c>
      <c r="L45" s="244" t="s">
        <v>514</v>
      </c>
      <c r="M45" s="244" t="s">
        <v>458</v>
      </c>
      <c r="N45" s="244" t="s">
        <v>458</v>
      </c>
      <c r="O45" s="12" t="s">
        <v>396</v>
      </c>
      <c r="P45" s="234">
        <v>0</v>
      </c>
      <c r="Q45" s="13">
        <v>0.125</v>
      </c>
      <c r="R45" s="14" t="s">
        <v>28</v>
      </c>
      <c r="S45" s="237">
        <v>1</v>
      </c>
      <c r="T45" s="10">
        <v>0</v>
      </c>
      <c r="U45" s="548">
        <f t="shared" si="0"/>
        <v>0</v>
      </c>
      <c r="V45" s="484">
        <f t="shared" ca="1" si="1"/>
        <v>0</v>
      </c>
      <c r="W45" s="484">
        <f t="shared" ca="1" si="2"/>
        <v>0</v>
      </c>
      <c r="X45" s="485">
        <f t="shared" ca="1" si="3"/>
        <v>0</v>
      </c>
      <c r="Y45" s="450" t="s">
        <v>458</v>
      </c>
      <c r="Z45" s="370"/>
      <c r="AA45" s="371" t="s">
        <v>458</v>
      </c>
      <c r="AB45" s="370"/>
      <c r="AC45" s="449"/>
      <c r="AD45" s="489">
        <f t="shared" si="4"/>
        <v>0</v>
      </c>
      <c r="AE45" s="341">
        <f t="shared" si="5"/>
        <v>212</v>
      </c>
      <c r="AF45" s="341">
        <f t="shared" si="6"/>
        <v>0</v>
      </c>
      <c r="AG45" s="341">
        <f t="shared" ca="1" si="7"/>
        <v>0</v>
      </c>
      <c r="AH45" s="341">
        <f t="shared" ca="1" si="8"/>
        <v>0</v>
      </c>
      <c r="AI45" s="341">
        <f t="shared" ca="1" si="9"/>
        <v>0</v>
      </c>
      <c r="AJ45" s="341">
        <f t="shared" ca="1" si="10"/>
        <v>0</v>
      </c>
      <c r="AK45" s="341">
        <f t="shared" ca="1" si="11"/>
        <v>0</v>
      </c>
      <c r="AL45" s="341">
        <f t="shared" ca="1" si="12"/>
        <v>0</v>
      </c>
      <c r="AM45" s="341">
        <f t="shared" ca="1" si="13"/>
        <v>0</v>
      </c>
      <c r="AN45" s="341">
        <f t="shared" ca="1" si="14"/>
        <v>0</v>
      </c>
      <c r="AO45" s="341">
        <f t="shared" ca="1" si="15"/>
        <v>0</v>
      </c>
      <c r="AP45" s="341">
        <f t="shared" ca="1" si="16"/>
        <v>0</v>
      </c>
      <c r="AQ45" s="341">
        <f t="shared" ca="1" si="17"/>
        <v>0</v>
      </c>
      <c r="AR45" s="341">
        <f t="shared" ca="1" si="18"/>
        <v>0</v>
      </c>
      <c r="AS45" s="341">
        <f t="shared" ca="1" si="19"/>
        <v>0</v>
      </c>
      <c r="AT45" s="341">
        <f t="shared" ca="1" si="20"/>
        <v>0</v>
      </c>
      <c r="AU45" s="341">
        <f t="shared" ca="1" si="21"/>
        <v>0</v>
      </c>
      <c r="AV45" s="341">
        <f t="shared" ca="1" si="22"/>
        <v>0</v>
      </c>
      <c r="AW45" s="333">
        <f t="shared" ca="1" si="47"/>
        <v>0</v>
      </c>
      <c r="AX45" s="333">
        <f t="shared" ca="1" si="23"/>
        <v>0</v>
      </c>
      <c r="AY45" s="333">
        <f t="shared" ca="1" si="24"/>
        <v>0</v>
      </c>
      <c r="AZ45" s="341">
        <f t="shared" ca="1" si="25"/>
        <v>2.5</v>
      </c>
      <c r="BA45" s="341">
        <f t="shared" ca="1" si="26"/>
        <v>1</v>
      </c>
      <c r="BB45" s="341">
        <f t="shared" ca="1" si="27"/>
        <v>0</v>
      </c>
      <c r="BC45" s="341">
        <f t="shared" ca="1" si="28"/>
        <v>0</v>
      </c>
      <c r="BD45" s="341">
        <f t="shared" ca="1" si="29"/>
        <v>0</v>
      </c>
      <c r="BE45" s="341">
        <f t="shared" ca="1" si="30"/>
        <v>0</v>
      </c>
      <c r="BF45" s="341">
        <f t="shared" ca="1" si="31"/>
        <v>0</v>
      </c>
      <c r="BG45" s="441">
        <f t="shared" ca="1" si="32"/>
        <v>0</v>
      </c>
      <c r="BH45" s="441">
        <f t="shared" ca="1" si="33"/>
        <v>0</v>
      </c>
      <c r="BI45" s="441">
        <f t="shared" ca="1" si="34"/>
        <v>0</v>
      </c>
      <c r="BJ45" s="441">
        <f t="shared" ca="1" si="35"/>
        <v>0</v>
      </c>
      <c r="BK45" s="441">
        <f t="shared" ca="1" si="36"/>
        <v>0</v>
      </c>
      <c r="BL45" s="341">
        <f t="shared" ca="1" si="37"/>
        <v>0</v>
      </c>
      <c r="BM45" s="341">
        <f t="shared" ca="1" si="38"/>
        <v>0</v>
      </c>
      <c r="BN45" s="341">
        <f t="shared" ca="1" si="39"/>
        <v>0</v>
      </c>
      <c r="BO45" s="341">
        <f t="shared" ca="1" si="40"/>
        <v>0</v>
      </c>
      <c r="BP45" s="341">
        <f t="shared" ca="1" si="41"/>
        <v>0</v>
      </c>
      <c r="BQ45" s="341">
        <f t="shared" ca="1" si="42"/>
        <v>2.5</v>
      </c>
      <c r="BR45" s="341" t="str">
        <f t="shared" ca="1" si="43"/>
        <v>BP2</v>
      </c>
      <c r="BS45" s="357" t="str">
        <f t="shared" ca="1" si="44"/>
        <v>BP2</v>
      </c>
      <c r="BT45" s="358">
        <f t="shared" si="48"/>
        <v>50</v>
      </c>
      <c r="BU45" s="358">
        <f t="shared" ca="1" si="45"/>
        <v>0</v>
      </c>
      <c r="BV45" s="358">
        <f t="shared" ca="1" si="46"/>
        <v>0</v>
      </c>
      <c r="BW45" s="341"/>
      <c r="BX45" s="341"/>
      <c r="BY45" s="341"/>
      <c r="BZ45" s="341"/>
      <c r="CA45" s="127"/>
      <c r="CB45" s="127"/>
    </row>
    <row r="46" spans="1:80" x14ac:dyDescent="0.25">
      <c r="A46" s="136"/>
      <c r="B46" s="728"/>
      <c r="C46" s="678"/>
      <c r="D46" s="678"/>
      <c r="E46" s="729" t="s">
        <v>196</v>
      </c>
      <c r="F46" s="678"/>
      <c r="G46" s="678"/>
      <c r="H46" s="12">
        <v>0</v>
      </c>
      <c r="I46" s="12">
        <v>0</v>
      </c>
      <c r="J46" s="12">
        <v>0</v>
      </c>
      <c r="K46" s="10" t="s">
        <v>512</v>
      </c>
      <c r="L46" s="244" t="s">
        <v>514</v>
      </c>
      <c r="M46" s="244" t="s">
        <v>458</v>
      </c>
      <c r="N46" s="244" t="s">
        <v>458</v>
      </c>
      <c r="O46" s="12" t="s">
        <v>396</v>
      </c>
      <c r="P46" s="234">
        <v>0</v>
      </c>
      <c r="Q46" s="13">
        <v>0.125</v>
      </c>
      <c r="R46" s="14" t="s">
        <v>28</v>
      </c>
      <c r="S46" s="237">
        <v>1</v>
      </c>
      <c r="T46" s="10">
        <v>0</v>
      </c>
      <c r="U46" s="548">
        <f t="shared" si="0"/>
        <v>0</v>
      </c>
      <c r="V46" s="484">
        <f t="shared" ca="1" si="1"/>
        <v>0</v>
      </c>
      <c r="W46" s="484">
        <f t="shared" ca="1" si="2"/>
        <v>0</v>
      </c>
      <c r="X46" s="485">
        <f t="shared" ca="1" si="3"/>
        <v>0</v>
      </c>
      <c r="Y46" s="450" t="s">
        <v>458</v>
      </c>
      <c r="Z46" s="370"/>
      <c r="AA46" s="371" t="s">
        <v>458</v>
      </c>
      <c r="AB46" s="370"/>
      <c r="AC46" s="449"/>
      <c r="AD46" s="489">
        <f t="shared" si="4"/>
        <v>0</v>
      </c>
      <c r="AE46" s="341">
        <f t="shared" si="5"/>
        <v>212</v>
      </c>
      <c r="AF46" s="341">
        <f t="shared" si="6"/>
        <v>0</v>
      </c>
      <c r="AG46" s="341">
        <f t="shared" ca="1" si="7"/>
        <v>0</v>
      </c>
      <c r="AH46" s="341">
        <f t="shared" ca="1" si="8"/>
        <v>0</v>
      </c>
      <c r="AI46" s="341">
        <f t="shared" ca="1" si="9"/>
        <v>0</v>
      </c>
      <c r="AJ46" s="341">
        <f t="shared" ca="1" si="10"/>
        <v>0</v>
      </c>
      <c r="AK46" s="341">
        <f t="shared" ca="1" si="11"/>
        <v>0</v>
      </c>
      <c r="AL46" s="341">
        <f t="shared" ca="1" si="12"/>
        <v>0</v>
      </c>
      <c r="AM46" s="341">
        <f t="shared" ca="1" si="13"/>
        <v>0</v>
      </c>
      <c r="AN46" s="341">
        <f t="shared" ca="1" si="14"/>
        <v>0</v>
      </c>
      <c r="AO46" s="341">
        <f t="shared" ca="1" si="15"/>
        <v>0</v>
      </c>
      <c r="AP46" s="341">
        <f t="shared" ca="1" si="16"/>
        <v>0</v>
      </c>
      <c r="AQ46" s="341">
        <f t="shared" ca="1" si="17"/>
        <v>0</v>
      </c>
      <c r="AR46" s="341">
        <f t="shared" ca="1" si="18"/>
        <v>0</v>
      </c>
      <c r="AS46" s="341">
        <f t="shared" ca="1" si="19"/>
        <v>0</v>
      </c>
      <c r="AT46" s="341">
        <f t="shared" ca="1" si="20"/>
        <v>0</v>
      </c>
      <c r="AU46" s="341">
        <f t="shared" ca="1" si="21"/>
        <v>0</v>
      </c>
      <c r="AV46" s="341">
        <f t="shared" ca="1" si="22"/>
        <v>0</v>
      </c>
      <c r="AW46" s="333">
        <f t="shared" ca="1" si="47"/>
        <v>0</v>
      </c>
      <c r="AX46" s="333">
        <f t="shared" ca="1" si="23"/>
        <v>0</v>
      </c>
      <c r="AY46" s="333">
        <f t="shared" ca="1" si="24"/>
        <v>0</v>
      </c>
      <c r="AZ46" s="341">
        <f t="shared" ca="1" si="25"/>
        <v>2.5</v>
      </c>
      <c r="BA46" s="341">
        <f t="shared" ca="1" si="26"/>
        <v>1</v>
      </c>
      <c r="BB46" s="341">
        <f t="shared" ca="1" si="27"/>
        <v>0</v>
      </c>
      <c r="BC46" s="341">
        <f t="shared" ca="1" si="28"/>
        <v>0</v>
      </c>
      <c r="BD46" s="341">
        <f t="shared" ca="1" si="29"/>
        <v>0</v>
      </c>
      <c r="BE46" s="341">
        <f t="shared" ca="1" si="30"/>
        <v>0</v>
      </c>
      <c r="BF46" s="341">
        <f t="shared" ca="1" si="31"/>
        <v>0</v>
      </c>
      <c r="BG46" s="441">
        <f t="shared" ca="1" si="32"/>
        <v>0</v>
      </c>
      <c r="BH46" s="441">
        <f t="shared" ca="1" si="33"/>
        <v>0</v>
      </c>
      <c r="BI46" s="441">
        <f t="shared" ca="1" si="34"/>
        <v>0</v>
      </c>
      <c r="BJ46" s="441">
        <f t="shared" ca="1" si="35"/>
        <v>0</v>
      </c>
      <c r="BK46" s="441">
        <f t="shared" ca="1" si="36"/>
        <v>0</v>
      </c>
      <c r="BL46" s="341">
        <f t="shared" ca="1" si="37"/>
        <v>0</v>
      </c>
      <c r="BM46" s="341">
        <f t="shared" ca="1" si="38"/>
        <v>0</v>
      </c>
      <c r="BN46" s="341">
        <f t="shared" ca="1" si="39"/>
        <v>0</v>
      </c>
      <c r="BO46" s="341">
        <f t="shared" ca="1" si="40"/>
        <v>0</v>
      </c>
      <c r="BP46" s="341">
        <f t="shared" ca="1" si="41"/>
        <v>0</v>
      </c>
      <c r="BQ46" s="341">
        <f t="shared" ca="1" si="42"/>
        <v>2.5</v>
      </c>
      <c r="BR46" s="341" t="str">
        <f t="shared" ca="1" si="43"/>
        <v>BP2</v>
      </c>
      <c r="BS46" s="357" t="str">
        <f t="shared" ca="1" si="44"/>
        <v>BP2</v>
      </c>
      <c r="BT46" s="358">
        <f t="shared" si="48"/>
        <v>50</v>
      </c>
      <c r="BU46" s="358">
        <f t="shared" ca="1" si="45"/>
        <v>0</v>
      </c>
      <c r="BV46" s="358">
        <f t="shared" ca="1" si="46"/>
        <v>0</v>
      </c>
      <c r="BW46" s="341"/>
      <c r="BX46" s="341"/>
      <c r="BY46" s="341"/>
      <c r="BZ46" s="341"/>
      <c r="CA46" s="127"/>
      <c r="CB46" s="127"/>
    </row>
    <row r="47" spans="1:80" x14ac:dyDescent="0.25">
      <c r="A47" s="136"/>
      <c r="B47" s="728"/>
      <c r="C47" s="678"/>
      <c r="D47" s="678"/>
      <c r="E47" s="729" t="s">
        <v>196</v>
      </c>
      <c r="F47" s="678"/>
      <c r="G47" s="678"/>
      <c r="H47" s="12">
        <v>0</v>
      </c>
      <c r="I47" s="12">
        <v>0</v>
      </c>
      <c r="J47" s="12">
        <v>0</v>
      </c>
      <c r="K47" s="10" t="s">
        <v>512</v>
      </c>
      <c r="L47" s="244" t="s">
        <v>514</v>
      </c>
      <c r="M47" s="244" t="s">
        <v>458</v>
      </c>
      <c r="N47" s="244" t="s">
        <v>458</v>
      </c>
      <c r="O47" s="12" t="s">
        <v>396</v>
      </c>
      <c r="P47" s="234">
        <v>0</v>
      </c>
      <c r="Q47" s="13">
        <v>0.125</v>
      </c>
      <c r="R47" s="14" t="s">
        <v>28</v>
      </c>
      <c r="S47" s="237">
        <v>1</v>
      </c>
      <c r="T47" s="10">
        <v>0</v>
      </c>
      <c r="U47" s="548">
        <f t="shared" si="0"/>
        <v>0</v>
      </c>
      <c r="V47" s="484">
        <f t="shared" ca="1" si="1"/>
        <v>0</v>
      </c>
      <c r="W47" s="484">
        <f t="shared" ca="1" si="2"/>
        <v>0</v>
      </c>
      <c r="X47" s="485">
        <f t="shared" ca="1" si="3"/>
        <v>0</v>
      </c>
      <c r="Y47" s="450" t="s">
        <v>458</v>
      </c>
      <c r="Z47" s="370"/>
      <c r="AA47" s="371" t="s">
        <v>458</v>
      </c>
      <c r="AB47" s="370"/>
      <c r="AC47" s="449"/>
      <c r="AD47" s="489">
        <f t="shared" si="4"/>
        <v>0</v>
      </c>
      <c r="AE47" s="341">
        <f t="shared" si="5"/>
        <v>212</v>
      </c>
      <c r="AF47" s="341">
        <f t="shared" si="6"/>
        <v>0</v>
      </c>
      <c r="AG47" s="341">
        <f t="shared" ca="1" si="7"/>
        <v>0</v>
      </c>
      <c r="AH47" s="341">
        <f t="shared" ca="1" si="8"/>
        <v>0</v>
      </c>
      <c r="AI47" s="341">
        <f t="shared" ca="1" si="9"/>
        <v>0</v>
      </c>
      <c r="AJ47" s="341">
        <f t="shared" ca="1" si="10"/>
        <v>0</v>
      </c>
      <c r="AK47" s="341">
        <f t="shared" ca="1" si="11"/>
        <v>0</v>
      </c>
      <c r="AL47" s="341">
        <f t="shared" ca="1" si="12"/>
        <v>0</v>
      </c>
      <c r="AM47" s="341">
        <f t="shared" ca="1" si="13"/>
        <v>0</v>
      </c>
      <c r="AN47" s="341">
        <f t="shared" ca="1" si="14"/>
        <v>0</v>
      </c>
      <c r="AO47" s="341">
        <f t="shared" ca="1" si="15"/>
        <v>0</v>
      </c>
      <c r="AP47" s="341">
        <f t="shared" ca="1" si="16"/>
        <v>0</v>
      </c>
      <c r="AQ47" s="341">
        <f t="shared" ca="1" si="17"/>
        <v>0</v>
      </c>
      <c r="AR47" s="341">
        <f t="shared" ca="1" si="18"/>
        <v>0</v>
      </c>
      <c r="AS47" s="341">
        <f t="shared" ca="1" si="19"/>
        <v>0</v>
      </c>
      <c r="AT47" s="341">
        <f t="shared" ca="1" si="20"/>
        <v>0</v>
      </c>
      <c r="AU47" s="341">
        <f t="shared" ca="1" si="21"/>
        <v>0</v>
      </c>
      <c r="AV47" s="341">
        <f t="shared" ca="1" si="22"/>
        <v>0</v>
      </c>
      <c r="AW47" s="333">
        <f t="shared" ca="1" si="47"/>
        <v>0</v>
      </c>
      <c r="AX47" s="333">
        <f t="shared" ca="1" si="23"/>
        <v>0</v>
      </c>
      <c r="AY47" s="333">
        <f t="shared" ca="1" si="24"/>
        <v>0</v>
      </c>
      <c r="AZ47" s="341">
        <f t="shared" ca="1" si="25"/>
        <v>2.5</v>
      </c>
      <c r="BA47" s="341">
        <f t="shared" ca="1" si="26"/>
        <v>1</v>
      </c>
      <c r="BB47" s="341">
        <f t="shared" ca="1" si="27"/>
        <v>0</v>
      </c>
      <c r="BC47" s="341">
        <f t="shared" ca="1" si="28"/>
        <v>0</v>
      </c>
      <c r="BD47" s="341">
        <f t="shared" ca="1" si="29"/>
        <v>0</v>
      </c>
      <c r="BE47" s="341">
        <f t="shared" ca="1" si="30"/>
        <v>0</v>
      </c>
      <c r="BF47" s="341">
        <f t="shared" ca="1" si="31"/>
        <v>0</v>
      </c>
      <c r="BG47" s="441">
        <f t="shared" ca="1" si="32"/>
        <v>0</v>
      </c>
      <c r="BH47" s="441">
        <f t="shared" ca="1" si="33"/>
        <v>0</v>
      </c>
      <c r="BI47" s="441">
        <f t="shared" ca="1" si="34"/>
        <v>0</v>
      </c>
      <c r="BJ47" s="441">
        <f t="shared" ca="1" si="35"/>
        <v>0</v>
      </c>
      <c r="BK47" s="441">
        <f t="shared" ca="1" si="36"/>
        <v>0</v>
      </c>
      <c r="BL47" s="341">
        <f t="shared" ca="1" si="37"/>
        <v>0</v>
      </c>
      <c r="BM47" s="341">
        <f t="shared" ca="1" si="38"/>
        <v>0</v>
      </c>
      <c r="BN47" s="341">
        <f t="shared" ca="1" si="39"/>
        <v>0</v>
      </c>
      <c r="BO47" s="341">
        <f t="shared" ca="1" si="40"/>
        <v>0</v>
      </c>
      <c r="BP47" s="341">
        <f t="shared" ca="1" si="41"/>
        <v>0</v>
      </c>
      <c r="BQ47" s="341">
        <f t="shared" ca="1" si="42"/>
        <v>2.5</v>
      </c>
      <c r="BR47" s="341" t="str">
        <f t="shared" ca="1" si="43"/>
        <v>BP2</v>
      </c>
      <c r="BS47" s="357" t="str">
        <f t="shared" ca="1" si="44"/>
        <v>BP2</v>
      </c>
      <c r="BT47" s="358">
        <f t="shared" si="48"/>
        <v>50</v>
      </c>
      <c r="BU47" s="358">
        <f t="shared" ca="1" si="45"/>
        <v>0</v>
      </c>
      <c r="BV47" s="358">
        <f t="shared" ca="1" si="46"/>
        <v>0</v>
      </c>
      <c r="BW47" s="341"/>
      <c r="BX47" s="341"/>
      <c r="BY47" s="341"/>
      <c r="BZ47" s="341"/>
      <c r="CA47" s="127"/>
      <c r="CB47" s="127"/>
    </row>
    <row r="48" spans="1:80" x14ac:dyDescent="0.25">
      <c r="A48" s="136"/>
      <c r="B48" s="728"/>
      <c r="C48" s="678"/>
      <c r="D48" s="678"/>
      <c r="E48" s="729" t="s">
        <v>196</v>
      </c>
      <c r="F48" s="678"/>
      <c r="G48" s="678"/>
      <c r="H48" s="12">
        <v>0</v>
      </c>
      <c r="I48" s="12">
        <v>0</v>
      </c>
      <c r="J48" s="12">
        <v>0</v>
      </c>
      <c r="K48" s="10" t="s">
        <v>512</v>
      </c>
      <c r="L48" s="244" t="s">
        <v>514</v>
      </c>
      <c r="M48" s="244" t="s">
        <v>458</v>
      </c>
      <c r="N48" s="244" t="s">
        <v>458</v>
      </c>
      <c r="O48" s="12" t="s">
        <v>396</v>
      </c>
      <c r="P48" s="234">
        <v>0</v>
      </c>
      <c r="Q48" s="13">
        <v>0.125</v>
      </c>
      <c r="R48" s="14" t="s">
        <v>28</v>
      </c>
      <c r="S48" s="237">
        <v>1</v>
      </c>
      <c r="T48" s="10">
        <v>0</v>
      </c>
      <c r="U48" s="548">
        <f t="shared" si="0"/>
        <v>0</v>
      </c>
      <c r="V48" s="484">
        <f t="shared" ca="1" si="1"/>
        <v>0</v>
      </c>
      <c r="W48" s="484">
        <f t="shared" ca="1" si="2"/>
        <v>0</v>
      </c>
      <c r="X48" s="485">
        <f t="shared" ca="1" si="3"/>
        <v>0</v>
      </c>
      <c r="Y48" s="450" t="s">
        <v>458</v>
      </c>
      <c r="Z48" s="370"/>
      <c r="AA48" s="371" t="s">
        <v>458</v>
      </c>
      <c r="AB48" s="370"/>
      <c r="AC48" s="449"/>
      <c r="AD48" s="489">
        <f t="shared" si="4"/>
        <v>0</v>
      </c>
      <c r="AE48" s="341">
        <f t="shared" si="5"/>
        <v>212</v>
      </c>
      <c r="AF48" s="341">
        <f t="shared" si="6"/>
        <v>0</v>
      </c>
      <c r="AG48" s="341">
        <f t="shared" ca="1" si="7"/>
        <v>0</v>
      </c>
      <c r="AH48" s="341">
        <f t="shared" ca="1" si="8"/>
        <v>0</v>
      </c>
      <c r="AI48" s="341">
        <f t="shared" ca="1" si="9"/>
        <v>0</v>
      </c>
      <c r="AJ48" s="341">
        <f t="shared" ca="1" si="10"/>
        <v>0</v>
      </c>
      <c r="AK48" s="341">
        <f t="shared" ca="1" si="11"/>
        <v>0</v>
      </c>
      <c r="AL48" s="341">
        <f t="shared" ca="1" si="12"/>
        <v>0</v>
      </c>
      <c r="AM48" s="341">
        <f t="shared" ca="1" si="13"/>
        <v>0</v>
      </c>
      <c r="AN48" s="341">
        <f t="shared" ca="1" si="14"/>
        <v>0</v>
      </c>
      <c r="AO48" s="341">
        <f t="shared" ca="1" si="15"/>
        <v>0</v>
      </c>
      <c r="AP48" s="341">
        <f t="shared" ca="1" si="16"/>
        <v>0</v>
      </c>
      <c r="AQ48" s="341">
        <f t="shared" ca="1" si="17"/>
        <v>0</v>
      </c>
      <c r="AR48" s="341">
        <f t="shared" ca="1" si="18"/>
        <v>0</v>
      </c>
      <c r="AS48" s="341">
        <f t="shared" ca="1" si="19"/>
        <v>0</v>
      </c>
      <c r="AT48" s="341">
        <f t="shared" ca="1" si="20"/>
        <v>0</v>
      </c>
      <c r="AU48" s="341">
        <f t="shared" ca="1" si="21"/>
        <v>0</v>
      </c>
      <c r="AV48" s="341">
        <f t="shared" ca="1" si="22"/>
        <v>0</v>
      </c>
      <c r="AW48" s="333">
        <f t="shared" ca="1" si="47"/>
        <v>0</v>
      </c>
      <c r="AX48" s="333">
        <f t="shared" ca="1" si="23"/>
        <v>0</v>
      </c>
      <c r="AY48" s="333">
        <f t="shared" ca="1" si="24"/>
        <v>0</v>
      </c>
      <c r="AZ48" s="341">
        <f t="shared" ca="1" si="25"/>
        <v>2.5</v>
      </c>
      <c r="BA48" s="341">
        <f t="shared" ca="1" si="26"/>
        <v>1</v>
      </c>
      <c r="BB48" s="341">
        <f t="shared" ca="1" si="27"/>
        <v>0</v>
      </c>
      <c r="BC48" s="341">
        <f t="shared" ca="1" si="28"/>
        <v>0</v>
      </c>
      <c r="BD48" s="341">
        <f t="shared" ca="1" si="29"/>
        <v>0</v>
      </c>
      <c r="BE48" s="341">
        <f t="shared" ca="1" si="30"/>
        <v>0</v>
      </c>
      <c r="BF48" s="341">
        <f t="shared" ca="1" si="31"/>
        <v>0</v>
      </c>
      <c r="BG48" s="441">
        <f t="shared" ca="1" si="32"/>
        <v>0</v>
      </c>
      <c r="BH48" s="441">
        <f t="shared" ca="1" si="33"/>
        <v>0</v>
      </c>
      <c r="BI48" s="441">
        <f t="shared" ca="1" si="34"/>
        <v>0</v>
      </c>
      <c r="BJ48" s="441">
        <f t="shared" ca="1" si="35"/>
        <v>0</v>
      </c>
      <c r="BK48" s="441">
        <f t="shared" ca="1" si="36"/>
        <v>0</v>
      </c>
      <c r="BL48" s="341">
        <f t="shared" ca="1" si="37"/>
        <v>0</v>
      </c>
      <c r="BM48" s="341">
        <f t="shared" ca="1" si="38"/>
        <v>0</v>
      </c>
      <c r="BN48" s="341">
        <f t="shared" ca="1" si="39"/>
        <v>0</v>
      </c>
      <c r="BO48" s="341">
        <f t="shared" ca="1" si="40"/>
        <v>0</v>
      </c>
      <c r="BP48" s="341">
        <f t="shared" ca="1" si="41"/>
        <v>0</v>
      </c>
      <c r="BQ48" s="341">
        <f t="shared" ca="1" si="42"/>
        <v>2.5</v>
      </c>
      <c r="BR48" s="341" t="str">
        <f t="shared" ca="1" si="43"/>
        <v>BP2</v>
      </c>
      <c r="BS48" s="357" t="str">
        <f t="shared" ca="1" si="44"/>
        <v>BP2</v>
      </c>
      <c r="BT48" s="358">
        <f t="shared" si="48"/>
        <v>50</v>
      </c>
      <c r="BU48" s="358">
        <f t="shared" ca="1" si="45"/>
        <v>0</v>
      </c>
      <c r="BV48" s="358">
        <f t="shared" ca="1" si="46"/>
        <v>0</v>
      </c>
      <c r="BW48" s="341"/>
      <c r="BX48" s="341"/>
      <c r="BY48" s="341"/>
      <c r="BZ48" s="341"/>
      <c r="CA48" s="127"/>
      <c r="CB48" s="127"/>
    </row>
    <row r="49" spans="1:80" x14ac:dyDescent="0.25">
      <c r="A49" s="136"/>
      <c r="B49" s="728"/>
      <c r="C49" s="678"/>
      <c r="D49" s="678"/>
      <c r="E49" s="729" t="s">
        <v>196</v>
      </c>
      <c r="F49" s="678"/>
      <c r="G49" s="678"/>
      <c r="H49" s="12">
        <v>0</v>
      </c>
      <c r="I49" s="12">
        <v>0</v>
      </c>
      <c r="J49" s="12">
        <v>0</v>
      </c>
      <c r="K49" s="10" t="s">
        <v>512</v>
      </c>
      <c r="L49" s="244" t="s">
        <v>514</v>
      </c>
      <c r="M49" s="244" t="s">
        <v>458</v>
      </c>
      <c r="N49" s="244" t="s">
        <v>458</v>
      </c>
      <c r="O49" s="12" t="s">
        <v>396</v>
      </c>
      <c r="P49" s="234">
        <v>0</v>
      </c>
      <c r="Q49" s="13">
        <v>0.125</v>
      </c>
      <c r="R49" s="14" t="s">
        <v>28</v>
      </c>
      <c r="S49" s="237">
        <v>1</v>
      </c>
      <c r="T49" s="10">
        <v>0</v>
      </c>
      <c r="U49" s="548">
        <f t="shared" ref="U49:U69" si="49">P49*Q49*IF(R49="DDR",2,1)</f>
        <v>0</v>
      </c>
      <c r="V49" s="484">
        <f t="shared" ref="V49:V69" ca="1" si="50">IF(POWERMODE="Active",VCCINT/1000*VCCINT_N*((IF($K49="No",0,$P49*(SUM($H49:$J49))*OFFSET(CLOCK_DATA,IF(ISSTA=1,2,1),7)))+($AF49*2*OFFSET(FANOUT,3,6)*(SUM($H49:$J49)))+OFFSET(IO_STANDARDS,$AE49,7)*(H49+(1-S49)*J49) +$AW49 + $AV49),0)*IF(LEFT($E49,4)="Diff",2,1)</f>
        <v>0</v>
      </c>
      <c r="W49" s="484">
        <f t="shared" ca="1" si="2"/>
        <v>0</v>
      </c>
      <c r="X49" s="485">
        <f t="shared" ref="X49:X126" ca="1" si="51">IF((POWERMODE="Suspend")*($O49="OCT_ON")*($M49&lt;&gt;"None"),$AM49,IF((POWERMODE="Suspend")*($O49="Drivelast")*($BA49&lt;&gt;2)+(POWERMODE="Active"),$AL49,0))</f>
        <v>0</v>
      </c>
      <c r="Y49" s="450" t="s">
        <v>458</v>
      </c>
      <c r="Z49" s="370"/>
      <c r="AA49" s="371" t="s">
        <v>458</v>
      </c>
      <c r="AB49" s="370"/>
      <c r="AC49" s="449"/>
      <c r="AD49" s="489">
        <f t="shared" ref="AD49:AD69" si="52">IF((POWERMODE="Hibernate")+(AA49="None")+(NOT(M49="None"))+(NOT(N49="None")),0,$BV49*(($I49+J49)*$S49))</f>
        <v>0</v>
      </c>
      <c r="AE49" s="341">
        <f t="shared" si="5"/>
        <v>212</v>
      </c>
      <c r="AF49" s="341">
        <f t="shared" si="6"/>
        <v>0</v>
      </c>
      <c r="AG49" s="341">
        <f t="shared" ref="AG49:AG126" ca="1" si="53">IF((POWERMODE="Suspend")*($O49="OCT_ON")*($M49&lt;&gt;"None"),(($H49+$J49*(1-$S49))*$AP49)/1000,IF((POWERMODE="Suspend")*($O49="Drivelast")*($BA49&lt;&gt;2)+(POWERMODE="Active"),IF($BA49=2,IF(ISSTA=1,OFFSET(S6IODELAY_DATA,6,1)/1000,0.0012),0)*($I49+$J49) + ( (($H49+$J49*(1-$S49))*$AP49) + ((($I49+$J49)*$S49)*$AO49) )/1000  + $AN49,0))</f>
        <v>0</v>
      </c>
      <c r="AH49" s="341">
        <f t="shared" ref="AH49:AH126" ca="1" si="54">((OFFSET(IO_STANDARDS,$AE49,3)*$AZ49+IF(OFFSET(IO_STANDARDS,$AE49,10)=0,$T49,$T49/2)*$BQ49)*($I49+$J49)*$BQ49*$AF49*$S49)/1000000</f>
        <v>0</v>
      </c>
      <c r="AI49" s="341">
        <f t="shared" ref="AI49:AI126" ca="1" si="55">MAX(0,(OFFSET(IO_STANDARDS,$AE49,3)*($I49+$J49)*$AZ49*$AZ49*$AF49*$S49/1000000))</f>
        <v>0</v>
      </c>
      <c r="AJ49" s="341">
        <f t="shared" ref="AJ49:AJ126" ca="1" si="56">((OFFSET(IO_STANDARDS,$AE49,3)*$AZ49+IF(OFFSET(IO_STANDARDS,$AE49,10)=0,$T49,$T49/2)*$BQ49)*($I49+$J49)*$BQ49*$AF49*$S49)/1000000</f>
        <v>0</v>
      </c>
      <c r="AK49" s="341">
        <f t="shared" ref="AK49:AK126" ca="1" si="57">IF(OFFSET(IO_STANDARDS,$AE49,9)=0,0,IF(OR(LEFT($E49,14)="HSTL Class III",LEFT($E49,13)="HSTL Class IV",LEFT($E49,3)="GTL"),$AZ49,$AZ49/2))</f>
        <v>0</v>
      </c>
      <c r="AL49" s="341">
        <f t="shared" ref="AL49:AL69" ca="1" si="58">(IF($BA49=2,0.0012,0)*($I49+$J49)+$AN49)*$AZ49+OFFSET($AG49,0,$BA49)+IF($M49="None",0,(($H49+$J49*(1-$S49))*$AP49*$AZ49/1000)+$H49*OFFSET(IO_STANDARDS,$AE49,14)/1000)+(($I49+J49)*$S49)*$AQ49</f>
        <v>0</v>
      </c>
      <c r="AM49" s="341">
        <f t="shared" ref="AM49:AM126" ca="1" si="59">(($H49+$J49*(1-$S49))*$AP49*$AZ49/1000)</f>
        <v>0</v>
      </c>
      <c r="AN49" s="341">
        <f t="shared" ref="AN49:AN126" ca="1" si="60">IF(IF(LEFT($E49,5)="LVDCI",$I49+$J49,SUM($H49:$J49))&gt;0,((OFFSET(IO_STANDARDS,$AE49,6)*INT((SUM($H49:$J49)+40)/40))/1000),0)</f>
        <v>0</v>
      </c>
      <c r="AO49" s="341">
        <f t="shared" ref="AO49:AO126" ca="1" si="61">IF(AND(ISSTA=1,NOT(LEFT($N49,4)="None")),$AR49,OFFSET(IO_STANDARDS,$AE49,10))</f>
        <v>0</v>
      </c>
      <c r="AP49" s="341">
        <f t="shared" ref="AP49:AP126" ca="1" si="62">IF(AND(ISSTA=1,NOT(LEFT($M49,4)="None")),$AS49,OFFSET(IO_STANDARDS,$AE49,11))</f>
        <v>0</v>
      </c>
      <c r="AQ49" s="341">
        <f t="shared" ref="AQ49:AQ126" ca="1" si="63">IF(AND(ISSTA=1,NOT(LEFT($N49,4)="None")),$AT49/1000,$BU49)</f>
        <v>0</v>
      </c>
      <c r="AR49" s="341">
        <f t="shared" ref="AR49:AR126" ca="1" si="64">IF(ISSTA=1,IF($N49="Tuned_Split",OFFSET(IO_STANDARDS,$AE49,16),IF($N49="Untuned_25",OFFSET(IO_STANDARDS,$AE49,17),IF($N49="Untuned_50",OFFSET(IO_STANDARDS,$AE49,18),IF($N49="Untuned_75",OFFSET(IO_STANDARDS,$AE49,19),0)))),0)</f>
        <v>0</v>
      </c>
      <c r="AS49" s="341">
        <f t="shared" ref="AS49:AS126" ca="1" si="65">IF(ISSTA=1,IF($M49="Tuned_Split",OFFSET(IO_STANDARDS,$AE49,20),IF($M49="Untuned_Split_25",OFFSET(IO_STANDARDS,$AE49,21),IF($M49="Untuned_Split_50",OFFSET(IO_STANDARDS,$AE49,22),IF($M49="Untuned_Split_75",OFFSET(IO_STANDARDS,$AE49,23),0)))),0)</f>
        <v>0</v>
      </c>
      <c r="AT49" s="341">
        <f t="shared" ref="AT49:AT126" ca="1" si="66">IF(ISSTA=1,IF($N49="Tuned_Split",OFFSET(IO_STANDARDS,$AE49,28),IF($N49="Untuned_25",OFFSET(IO_STANDARDS,$AE49,29),IF($N49="Untuned_50",OFFSET(IO_STANDARDS,$AE49,30),IF($N49="Untuned_75",OFFSET(IO_STANDARDS,$AE49,31),0)))),0)</f>
        <v>0</v>
      </c>
      <c r="AU49" s="341">
        <f t="shared" ref="AU49:AU69" ca="1" si="67">IF((POWERMODE="Suspend")*($O49="OCT_ON")*($M49&lt;&gt;"None"),(($H49+$J49*(1-$S49))*$AS49*$AZ49/1000),IF((POWERMODE="Suspend")*($O49="Drivelast")*($BA49&lt;&gt;2)+(POWERMODE="Active"),(IF($M49="None",0,(($H49+$J49*(1-$S49))*$AS49*$AZ49/1000))+(($I49+J49)*$S49)*$AT49/1000),0))</f>
        <v>0</v>
      </c>
      <c r="AV49" s="341">
        <f t="shared" ref="AV49:AV69" ca="1" si="68">IF(ISSTA=1,IF($K49="No",0,$AF49*(OFFSET(S6IODELAY_DATA,3,3)*(H49+(1-S49)*J49) + IF($K49="Yes",OFFSET(S6IODELAY_DATA,4,3),OFFSET(S6IODELAY_DATA,5,3))*(I49+S49*J49))),0)</f>
        <v>0</v>
      </c>
      <c r="AW49" s="333">
        <f t="shared" ref="AW49:AW126" ca="1" si="69">IF($L49="Off",0,$AF49*OFFSET(IF(ISSTA=1,S6IODELAY_DATA,IODELAY_DATA),2,3)*($H49+$J49))</f>
        <v>0</v>
      </c>
      <c r="AX49" s="333">
        <f t="shared" ref="AX49:AX126" ca="1" si="70">IF($L49="Off",0,$AF49*OFFSET(IF(ISSTA=1,S6IODELAY_DATA,IODELAY_DATA),1,3)*SUM($H49:$J49))+OFFSET(IO_STANDARDS,$AE49,4)*$S49*$AF49*($I49+$J49)</f>
        <v>0</v>
      </c>
      <c r="AY49" s="333">
        <f t="shared" ref="AY49:AY126" ca="1" si="71">IF(POWERMODE="Active",IF($L49="On",OFFSET(IF(ISSTA=1,S6IODELAY_DATA,IODELAY_DATA),1,1),0)*SUM($H49:$J49)*IF(RIGHT($E49,6) ="(pair)",2,1)+OFFSET(IO_STANDARDS,$AE49,5)*($H49+$J49),IF(AND(POWERMODE="Suspend",OFFSET(IO_STANDARDS,$AE49,5)&gt;0),OFFSET(IO_STANDARDS,$AE49,5)*($H49+$J49),0))</f>
        <v>0</v>
      </c>
      <c r="AZ49" s="341">
        <f t="shared" ca="1" si="25"/>
        <v>2.5</v>
      </c>
      <c r="BA49" s="341">
        <f t="shared" ca="1" si="26"/>
        <v>1</v>
      </c>
      <c r="BB49" s="341">
        <f t="shared" ca="1" si="27"/>
        <v>0</v>
      </c>
      <c r="BC49" s="341">
        <f t="shared" ca="1" si="28"/>
        <v>0</v>
      </c>
      <c r="BD49" s="341">
        <f t="shared" ca="1" si="29"/>
        <v>0</v>
      </c>
      <c r="BE49" s="341">
        <f t="shared" ca="1" si="30"/>
        <v>0</v>
      </c>
      <c r="BF49" s="341">
        <f t="shared" ca="1" si="31"/>
        <v>0</v>
      </c>
      <c r="BG49" s="441">
        <f t="shared" ca="1" si="32"/>
        <v>0</v>
      </c>
      <c r="BH49" s="441">
        <f t="shared" ca="1" si="33"/>
        <v>0</v>
      </c>
      <c r="BI49" s="441">
        <f t="shared" ca="1" si="34"/>
        <v>0</v>
      </c>
      <c r="BJ49" s="441">
        <f t="shared" ca="1" si="35"/>
        <v>0</v>
      </c>
      <c r="BK49" s="441">
        <f t="shared" ca="1" si="36"/>
        <v>0</v>
      </c>
      <c r="BL49" s="341">
        <f t="shared" ca="1" si="37"/>
        <v>0</v>
      </c>
      <c r="BM49" s="341">
        <f t="shared" ca="1" si="38"/>
        <v>0</v>
      </c>
      <c r="BN49" s="341">
        <f t="shared" ca="1" si="39"/>
        <v>0</v>
      </c>
      <c r="BO49" s="341">
        <f t="shared" ca="1" si="40"/>
        <v>0</v>
      </c>
      <c r="BP49" s="341">
        <f t="shared" ca="1" si="41"/>
        <v>0</v>
      </c>
      <c r="BQ49" s="341">
        <f t="shared" ca="1" si="42"/>
        <v>2.5</v>
      </c>
      <c r="BR49" s="341" t="str">
        <f t="shared" ref="BR49:BR126" ca="1" si="72">IF(AND($BA49=2,OFFSET(IO_STANDARDS,$AE49,14)=0),"BP1:BP2",IF(OR(AND(ISSTA=1,OR(NOT(LEFT($M49,4)="None"),NOT(LEFT($N49,4)="None"))),OFFSET(IO_STANDARDS,$AE49,6)&gt;0,OFFSET(IO_STANDARDS,$AE49,8)=0),"BP2","BP2:BP3"))</f>
        <v>BP2</v>
      </c>
      <c r="BS49" s="357" t="str">
        <f t="shared" ref="BS49:BS126" ca="1" si="73">IF($BA49=2,"BP2",IF(OR(AND(ISSTA=1,OR(NOT(LEFT($M49,4)="None"),NOT(LEFT($N49,4)="None"))),OFFSET(IO_STANDARDS,$AE49,6)&gt;0,OFFSET(IO_STANDARDS,$AE49,8)=0),"BP2","BP2:BP5"))</f>
        <v>BP2</v>
      </c>
      <c r="BT49" s="358">
        <f t="shared" si="48"/>
        <v>50</v>
      </c>
      <c r="BU49" s="358">
        <f t="shared" ca="1" si="45"/>
        <v>0</v>
      </c>
      <c r="BV49" s="358">
        <f t="shared" ca="1" si="46"/>
        <v>0</v>
      </c>
      <c r="BW49" s="341"/>
      <c r="BX49" s="341"/>
      <c r="BY49" s="341"/>
      <c r="BZ49" s="341"/>
      <c r="CA49" s="127"/>
      <c r="CB49" s="127"/>
    </row>
    <row r="50" spans="1:80" x14ac:dyDescent="0.25">
      <c r="A50" s="136"/>
      <c r="B50" s="728"/>
      <c r="C50" s="678"/>
      <c r="D50" s="678"/>
      <c r="E50" s="729" t="s">
        <v>196</v>
      </c>
      <c r="F50" s="678"/>
      <c r="G50" s="678"/>
      <c r="H50" s="12">
        <v>0</v>
      </c>
      <c r="I50" s="12">
        <v>0</v>
      </c>
      <c r="J50" s="12">
        <v>0</v>
      </c>
      <c r="K50" s="10" t="s">
        <v>512</v>
      </c>
      <c r="L50" s="244" t="s">
        <v>514</v>
      </c>
      <c r="M50" s="244" t="s">
        <v>458</v>
      </c>
      <c r="N50" s="244" t="s">
        <v>458</v>
      </c>
      <c r="O50" s="12" t="s">
        <v>396</v>
      </c>
      <c r="P50" s="234">
        <v>0</v>
      </c>
      <c r="Q50" s="13">
        <v>0.125</v>
      </c>
      <c r="R50" s="14" t="s">
        <v>28</v>
      </c>
      <c r="S50" s="237">
        <v>1</v>
      </c>
      <c r="T50" s="10">
        <v>0</v>
      </c>
      <c r="U50" s="548">
        <f t="shared" si="49"/>
        <v>0</v>
      </c>
      <c r="V50" s="484">
        <f t="shared" ca="1" si="50"/>
        <v>0</v>
      </c>
      <c r="W50" s="484">
        <f t="shared" ca="1" si="2"/>
        <v>0</v>
      </c>
      <c r="X50" s="485">
        <f t="shared" ca="1" si="51"/>
        <v>0</v>
      </c>
      <c r="Y50" s="450" t="s">
        <v>458</v>
      </c>
      <c r="Z50" s="370"/>
      <c r="AA50" s="371" t="s">
        <v>458</v>
      </c>
      <c r="AB50" s="370"/>
      <c r="AC50" s="449"/>
      <c r="AD50" s="489">
        <f t="shared" si="52"/>
        <v>0</v>
      </c>
      <c r="AE50" s="341">
        <f t="shared" si="5"/>
        <v>212</v>
      </c>
      <c r="AF50" s="341">
        <f t="shared" si="6"/>
        <v>0</v>
      </c>
      <c r="AG50" s="341">
        <f t="shared" ca="1" si="53"/>
        <v>0</v>
      </c>
      <c r="AH50" s="341">
        <f t="shared" ca="1" si="54"/>
        <v>0</v>
      </c>
      <c r="AI50" s="341">
        <f t="shared" ca="1" si="55"/>
        <v>0</v>
      </c>
      <c r="AJ50" s="341">
        <f t="shared" ca="1" si="56"/>
        <v>0</v>
      </c>
      <c r="AK50" s="341">
        <f t="shared" ca="1" si="57"/>
        <v>0</v>
      </c>
      <c r="AL50" s="341">
        <f t="shared" ca="1" si="58"/>
        <v>0</v>
      </c>
      <c r="AM50" s="341">
        <f t="shared" ca="1" si="59"/>
        <v>0</v>
      </c>
      <c r="AN50" s="341">
        <f t="shared" ca="1" si="60"/>
        <v>0</v>
      </c>
      <c r="AO50" s="341">
        <f t="shared" ca="1" si="61"/>
        <v>0</v>
      </c>
      <c r="AP50" s="341">
        <f t="shared" ca="1" si="62"/>
        <v>0</v>
      </c>
      <c r="AQ50" s="341">
        <f t="shared" ca="1" si="63"/>
        <v>0</v>
      </c>
      <c r="AR50" s="341">
        <f t="shared" ca="1" si="64"/>
        <v>0</v>
      </c>
      <c r="AS50" s="341">
        <f t="shared" ca="1" si="65"/>
        <v>0</v>
      </c>
      <c r="AT50" s="341">
        <f t="shared" ca="1" si="66"/>
        <v>0</v>
      </c>
      <c r="AU50" s="341">
        <f t="shared" ca="1" si="67"/>
        <v>0</v>
      </c>
      <c r="AV50" s="341">
        <f t="shared" ca="1" si="68"/>
        <v>0</v>
      </c>
      <c r="AW50" s="333">
        <f t="shared" ca="1" si="69"/>
        <v>0</v>
      </c>
      <c r="AX50" s="333">
        <f t="shared" ca="1" si="70"/>
        <v>0</v>
      </c>
      <c r="AY50" s="333">
        <f t="shared" ca="1" si="71"/>
        <v>0</v>
      </c>
      <c r="AZ50" s="341">
        <f t="shared" ca="1" si="25"/>
        <v>2.5</v>
      </c>
      <c r="BA50" s="341">
        <f t="shared" ca="1" si="26"/>
        <v>1</v>
      </c>
      <c r="BB50" s="341">
        <f t="shared" ca="1" si="27"/>
        <v>0</v>
      </c>
      <c r="BC50" s="341">
        <f t="shared" ca="1" si="28"/>
        <v>0</v>
      </c>
      <c r="BD50" s="341">
        <f t="shared" ca="1" si="29"/>
        <v>0</v>
      </c>
      <c r="BE50" s="341">
        <f t="shared" ca="1" si="30"/>
        <v>0</v>
      </c>
      <c r="BF50" s="341">
        <f t="shared" ca="1" si="31"/>
        <v>0</v>
      </c>
      <c r="BG50" s="441">
        <f t="shared" ca="1" si="32"/>
        <v>0</v>
      </c>
      <c r="BH50" s="441">
        <f t="shared" ca="1" si="33"/>
        <v>0</v>
      </c>
      <c r="BI50" s="441">
        <f t="shared" ca="1" si="34"/>
        <v>0</v>
      </c>
      <c r="BJ50" s="441">
        <f t="shared" ca="1" si="35"/>
        <v>0</v>
      </c>
      <c r="BK50" s="441">
        <f t="shared" ca="1" si="36"/>
        <v>0</v>
      </c>
      <c r="BL50" s="341">
        <f t="shared" ca="1" si="37"/>
        <v>0</v>
      </c>
      <c r="BM50" s="341">
        <f t="shared" ca="1" si="38"/>
        <v>0</v>
      </c>
      <c r="BN50" s="341">
        <f t="shared" ca="1" si="39"/>
        <v>0</v>
      </c>
      <c r="BO50" s="341">
        <f t="shared" ca="1" si="40"/>
        <v>0</v>
      </c>
      <c r="BP50" s="341">
        <f t="shared" ca="1" si="41"/>
        <v>0</v>
      </c>
      <c r="BQ50" s="341">
        <f t="shared" ca="1" si="42"/>
        <v>2.5</v>
      </c>
      <c r="BR50" s="341" t="str">
        <f t="shared" ca="1" si="72"/>
        <v>BP2</v>
      </c>
      <c r="BS50" s="357" t="str">
        <f t="shared" ca="1" si="73"/>
        <v>BP2</v>
      </c>
      <c r="BT50" s="358">
        <f t="shared" si="48"/>
        <v>50</v>
      </c>
      <c r="BU50" s="358">
        <f t="shared" ca="1" si="45"/>
        <v>0</v>
      </c>
      <c r="BV50" s="358">
        <f t="shared" ca="1" si="46"/>
        <v>0</v>
      </c>
      <c r="BW50" s="341"/>
      <c r="BX50" s="341"/>
      <c r="BY50" s="341"/>
      <c r="BZ50" s="341"/>
      <c r="CA50" s="127"/>
      <c r="CB50" s="127"/>
    </row>
    <row r="51" spans="1:80" x14ac:dyDescent="0.25">
      <c r="A51" s="136"/>
      <c r="B51" s="728"/>
      <c r="C51" s="678"/>
      <c r="D51" s="678"/>
      <c r="E51" s="729" t="s">
        <v>196</v>
      </c>
      <c r="F51" s="678"/>
      <c r="G51" s="678"/>
      <c r="H51" s="12">
        <v>0</v>
      </c>
      <c r="I51" s="12">
        <v>0</v>
      </c>
      <c r="J51" s="12">
        <v>0</v>
      </c>
      <c r="K51" s="10" t="s">
        <v>512</v>
      </c>
      <c r="L51" s="244" t="s">
        <v>514</v>
      </c>
      <c r="M51" s="244" t="s">
        <v>458</v>
      </c>
      <c r="N51" s="244" t="s">
        <v>458</v>
      </c>
      <c r="O51" s="12" t="s">
        <v>396</v>
      </c>
      <c r="P51" s="234">
        <v>0</v>
      </c>
      <c r="Q51" s="13">
        <v>0.125</v>
      </c>
      <c r="R51" s="14" t="s">
        <v>28</v>
      </c>
      <c r="S51" s="237">
        <v>1</v>
      </c>
      <c r="T51" s="10">
        <v>0</v>
      </c>
      <c r="U51" s="548">
        <f t="shared" si="49"/>
        <v>0</v>
      </c>
      <c r="V51" s="484">
        <f t="shared" ca="1" si="50"/>
        <v>0</v>
      </c>
      <c r="W51" s="484">
        <f t="shared" ca="1" si="2"/>
        <v>0</v>
      </c>
      <c r="X51" s="485">
        <f t="shared" ca="1" si="51"/>
        <v>0</v>
      </c>
      <c r="Y51" s="450" t="s">
        <v>458</v>
      </c>
      <c r="Z51" s="370"/>
      <c r="AA51" s="371" t="s">
        <v>458</v>
      </c>
      <c r="AB51" s="370"/>
      <c r="AC51" s="449"/>
      <c r="AD51" s="489">
        <f t="shared" si="52"/>
        <v>0</v>
      </c>
      <c r="AE51" s="341">
        <f t="shared" si="5"/>
        <v>212</v>
      </c>
      <c r="AF51" s="341">
        <f t="shared" si="6"/>
        <v>0</v>
      </c>
      <c r="AG51" s="341">
        <f t="shared" ca="1" si="53"/>
        <v>0</v>
      </c>
      <c r="AH51" s="341">
        <f t="shared" ca="1" si="54"/>
        <v>0</v>
      </c>
      <c r="AI51" s="341">
        <f t="shared" ca="1" si="55"/>
        <v>0</v>
      </c>
      <c r="AJ51" s="341">
        <f t="shared" ca="1" si="56"/>
        <v>0</v>
      </c>
      <c r="AK51" s="341">
        <f t="shared" ca="1" si="57"/>
        <v>0</v>
      </c>
      <c r="AL51" s="341">
        <f t="shared" ca="1" si="58"/>
        <v>0</v>
      </c>
      <c r="AM51" s="341">
        <f t="shared" ca="1" si="59"/>
        <v>0</v>
      </c>
      <c r="AN51" s="341">
        <f t="shared" ca="1" si="60"/>
        <v>0</v>
      </c>
      <c r="AO51" s="341">
        <f t="shared" ca="1" si="61"/>
        <v>0</v>
      </c>
      <c r="AP51" s="341">
        <f t="shared" ca="1" si="62"/>
        <v>0</v>
      </c>
      <c r="AQ51" s="341">
        <f t="shared" ca="1" si="63"/>
        <v>0</v>
      </c>
      <c r="AR51" s="341">
        <f t="shared" ca="1" si="64"/>
        <v>0</v>
      </c>
      <c r="AS51" s="341">
        <f t="shared" ca="1" si="65"/>
        <v>0</v>
      </c>
      <c r="AT51" s="341">
        <f t="shared" ca="1" si="66"/>
        <v>0</v>
      </c>
      <c r="AU51" s="341">
        <f t="shared" ca="1" si="67"/>
        <v>0</v>
      </c>
      <c r="AV51" s="341">
        <f t="shared" ca="1" si="68"/>
        <v>0</v>
      </c>
      <c r="AW51" s="333">
        <f t="shared" ca="1" si="69"/>
        <v>0</v>
      </c>
      <c r="AX51" s="333">
        <f t="shared" ca="1" si="70"/>
        <v>0</v>
      </c>
      <c r="AY51" s="333">
        <f t="shared" ca="1" si="71"/>
        <v>0</v>
      </c>
      <c r="AZ51" s="341">
        <f t="shared" ca="1" si="25"/>
        <v>2.5</v>
      </c>
      <c r="BA51" s="341">
        <f t="shared" ca="1" si="26"/>
        <v>1</v>
      </c>
      <c r="BB51" s="341">
        <f t="shared" ca="1" si="27"/>
        <v>0</v>
      </c>
      <c r="BC51" s="341">
        <f t="shared" ca="1" si="28"/>
        <v>0</v>
      </c>
      <c r="BD51" s="341">
        <f t="shared" ca="1" si="29"/>
        <v>0</v>
      </c>
      <c r="BE51" s="341">
        <f t="shared" ca="1" si="30"/>
        <v>0</v>
      </c>
      <c r="BF51" s="341">
        <f t="shared" ca="1" si="31"/>
        <v>0</v>
      </c>
      <c r="BG51" s="441">
        <f t="shared" ca="1" si="32"/>
        <v>0</v>
      </c>
      <c r="BH51" s="441">
        <f t="shared" ca="1" si="33"/>
        <v>0</v>
      </c>
      <c r="BI51" s="441">
        <f t="shared" ca="1" si="34"/>
        <v>0</v>
      </c>
      <c r="BJ51" s="441">
        <f t="shared" ca="1" si="35"/>
        <v>0</v>
      </c>
      <c r="BK51" s="441">
        <f t="shared" ca="1" si="36"/>
        <v>0</v>
      </c>
      <c r="BL51" s="341">
        <f t="shared" ca="1" si="37"/>
        <v>0</v>
      </c>
      <c r="BM51" s="341">
        <f t="shared" ca="1" si="38"/>
        <v>0</v>
      </c>
      <c r="BN51" s="341">
        <f t="shared" ca="1" si="39"/>
        <v>0</v>
      </c>
      <c r="BO51" s="341">
        <f t="shared" ca="1" si="40"/>
        <v>0</v>
      </c>
      <c r="BP51" s="341">
        <f t="shared" ca="1" si="41"/>
        <v>0</v>
      </c>
      <c r="BQ51" s="341">
        <f t="shared" ca="1" si="42"/>
        <v>2.5</v>
      </c>
      <c r="BR51" s="341" t="str">
        <f t="shared" ca="1" si="72"/>
        <v>BP2</v>
      </c>
      <c r="BS51" s="357" t="str">
        <f t="shared" ca="1" si="73"/>
        <v>BP2</v>
      </c>
      <c r="BT51" s="358">
        <f t="shared" si="48"/>
        <v>50</v>
      </c>
      <c r="BU51" s="358">
        <f t="shared" ca="1" si="45"/>
        <v>0</v>
      </c>
      <c r="BV51" s="358">
        <f t="shared" ca="1" si="46"/>
        <v>0</v>
      </c>
      <c r="BW51" s="341"/>
      <c r="BX51" s="341"/>
      <c r="BY51" s="341"/>
      <c r="BZ51" s="341"/>
      <c r="CA51" s="127"/>
      <c r="CB51" s="127"/>
    </row>
    <row r="52" spans="1:80" x14ac:dyDescent="0.25">
      <c r="A52" s="136"/>
      <c r="B52" s="728"/>
      <c r="C52" s="678"/>
      <c r="D52" s="678"/>
      <c r="E52" s="729" t="s">
        <v>196</v>
      </c>
      <c r="F52" s="678"/>
      <c r="G52" s="678"/>
      <c r="H52" s="12">
        <v>0</v>
      </c>
      <c r="I52" s="12">
        <v>0</v>
      </c>
      <c r="J52" s="12">
        <v>0</v>
      </c>
      <c r="K52" s="10" t="s">
        <v>512</v>
      </c>
      <c r="L52" s="244" t="s">
        <v>514</v>
      </c>
      <c r="M52" s="244" t="s">
        <v>458</v>
      </c>
      <c r="N52" s="244" t="s">
        <v>458</v>
      </c>
      <c r="O52" s="12" t="s">
        <v>396</v>
      </c>
      <c r="P52" s="234">
        <v>0</v>
      </c>
      <c r="Q52" s="13">
        <v>0.125</v>
      </c>
      <c r="R52" s="14" t="s">
        <v>28</v>
      </c>
      <c r="S52" s="237">
        <v>1</v>
      </c>
      <c r="T52" s="10">
        <v>0</v>
      </c>
      <c r="U52" s="548">
        <f t="shared" si="49"/>
        <v>0</v>
      </c>
      <c r="V52" s="484">
        <f t="shared" ca="1" si="50"/>
        <v>0</v>
      </c>
      <c r="W52" s="484">
        <f t="shared" ca="1" si="2"/>
        <v>0</v>
      </c>
      <c r="X52" s="485">
        <f t="shared" ca="1" si="51"/>
        <v>0</v>
      </c>
      <c r="Y52" s="450" t="s">
        <v>458</v>
      </c>
      <c r="Z52" s="370"/>
      <c r="AA52" s="371" t="s">
        <v>458</v>
      </c>
      <c r="AB52" s="370"/>
      <c r="AC52" s="449"/>
      <c r="AD52" s="489">
        <f t="shared" si="52"/>
        <v>0</v>
      </c>
      <c r="AE52" s="341">
        <f t="shared" si="5"/>
        <v>212</v>
      </c>
      <c r="AF52" s="341">
        <f t="shared" si="6"/>
        <v>0</v>
      </c>
      <c r="AG52" s="341">
        <f t="shared" ca="1" si="53"/>
        <v>0</v>
      </c>
      <c r="AH52" s="341">
        <f t="shared" ca="1" si="54"/>
        <v>0</v>
      </c>
      <c r="AI52" s="341">
        <f t="shared" ca="1" si="55"/>
        <v>0</v>
      </c>
      <c r="AJ52" s="341">
        <f t="shared" ca="1" si="56"/>
        <v>0</v>
      </c>
      <c r="AK52" s="341">
        <f t="shared" ca="1" si="57"/>
        <v>0</v>
      </c>
      <c r="AL52" s="341">
        <f t="shared" ca="1" si="58"/>
        <v>0</v>
      </c>
      <c r="AM52" s="341">
        <f t="shared" ca="1" si="59"/>
        <v>0</v>
      </c>
      <c r="AN52" s="341">
        <f t="shared" ca="1" si="60"/>
        <v>0</v>
      </c>
      <c r="AO52" s="341">
        <f t="shared" ca="1" si="61"/>
        <v>0</v>
      </c>
      <c r="AP52" s="341">
        <f t="shared" ca="1" si="62"/>
        <v>0</v>
      </c>
      <c r="AQ52" s="341">
        <f t="shared" ca="1" si="63"/>
        <v>0</v>
      </c>
      <c r="AR52" s="341">
        <f t="shared" ca="1" si="64"/>
        <v>0</v>
      </c>
      <c r="AS52" s="341">
        <f t="shared" ca="1" si="65"/>
        <v>0</v>
      </c>
      <c r="AT52" s="341">
        <f t="shared" ca="1" si="66"/>
        <v>0</v>
      </c>
      <c r="AU52" s="341">
        <f t="shared" ca="1" si="67"/>
        <v>0</v>
      </c>
      <c r="AV52" s="341">
        <f t="shared" ca="1" si="68"/>
        <v>0</v>
      </c>
      <c r="AW52" s="333">
        <f t="shared" ca="1" si="69"/>
        <v>0</v>
      </c>
      <c r="AX52" s="333">
        <f t="shared" ca="1" si="70"/>
        <v>0</v>
      </c>
      <c r="AY52" s="333">
        <f t="shared" ca="1" si="71"/>
        <v>0</v>
      </c>
      <c r="AZ52" s="341">
        <f t="shared" ca="1" si="25"/>
        <v>2.5</v>
      </c>
      <c r="BA52" s="341">
        <f t="shared" ca="1" si="26"/>
        <v>1</v>
      </c>
      <c r="BB52" s="341">
        <f t="shared" ca="1" si="27"/>
        <v>0</v>
      </c>
      <c r="BC52" s="341">
        <f t="shared" ca="1" si="28"/>
        <v>0</v>
      </c>
      <c r="BD52" s="341">
        <f t="shared" ca="1" si="29"/>
        <v>0</v>
      </c>
      <c r="BE52" s="341">
        <f t="shared" ca="1" si="30"/>
        <v>0</v>
      </c>
      <c r="BF52" s="341">
        <f t="shared" ca="1" si="31"/>
        <v>0</v>
      </c>
      <c r="BG52" s="441">
        <f t="shared" ca="1" si="32"/>
        <v>0</v>
      </c>
      <c r="BH52" s="441">
        <f t="shared" ca="1" si="33"/>
        <v>0</v>
      </c>
      <c r="BI52" s="441">
        <f t="shared" ca="1" si="34"/>
        <v>0</v>
      </c>
      <c r="BJ52" s="441">
        <f t="shared" ca="1" si="35"/>
        <v>0</v>
      </c>
      <c r="BK52" s="441">
        <f t="shared" ca="1" si="36"/>
        <v>0</v>
      </c>
      <c r="BL52" s="341">
        <f t="shared" ca="1" si="37"/>
        <v>0</v>
      </c>
      <c r="BM52" s="341">
        <f t="shared" ca="1" si="38"/>
        <v>0</v>
      </c>
      <c r="BN52" s="341">
        <f t="shared" ca="1" si="39"/>
        <v>0</v>
      </c>
      <c r="BO52" s="341">
        <f t="shared" ca="1" si="40"/>
        <v>0</v>
      </c>
      <c r="BP52" s="341">
        <f t="shared" ca="1" si="41"/>
        <v>0</v>
      </c>
      <c r="BQ52" s="341">
        <f t="shared" ca="1" si="42"/>
        <v>2.5</v>
      </c>
      <c r="BR52" s="341" t="str">
        <f t="shared" ca="1" si="72"/>
        <v>BP2</v>
      </c>
      <c r="BS52" s="357" t="str">
        <f t="shared" ca="1" si="73"/>
        <v>BP2</v>
      </c>
      <c r="BT52" s="358">
        <f t="shared" si="48"/>
        <v>50</v>
      </c>
      <c r="BU52" s="358">
        <f t="shared" ca="1" si="45"/>
        <v>0</v>
      </c>
      <c r="BV52" s="358">
        <f t="shared" ca="1" si="46"/>
        <v>0</v>
      </c>
      <c r="BW52" s="341"/>
      <c r="BX52" s="341"/>
      <c r="BY52" s="341"/>
      <c r="BZ52" s="341"/>
      <c r="CA52" s="127"/>
      <c r="CB52" s="127"/>
    </row>
    <row r="53" spans="1:80" x14ac:dyDescent="0.25">
      <c r="A53" s="136"/>
      <c r="B53" s="728"/>
      <c r="C53" s="678"/>
      <c r="D53" s="678"/>
      <c r="E53" s="729" t="s">
        <v>196</v>
      </c>
      <c r="F53" s="678"/>
      <c r="G53" s="678"/>
      <c r="H53" s="12">
        <v>0</v>
      </c>
      <c r="I53" s="12">
        <v>0</v>
      </c>
      <c r="J53" s="12">
        <v>0</v>
      </c>
      <c r="K53" s="10" t="s">
        <v>512</v>
      </c>
      <c r="L53" s="244" t="s">
        <v>514</v>
      </c>
      <c r="M53" s="244" t="s">
        <v>458</v>
      </c>
      <c r="N53" s="244" t="s">
        <v>458</v>
      </c>
      <c r="O53" s="12" t="s">
        <v>396</v>
      </c>
      <c r="P53" s="234">
        <v>0</v>
      </c>
      <c r="Q53" s="13">
        <v>0.125</v>
      </c>
      <c r="R53" s="14" t="s">
        <v>28</v>
      </c>
      <c r="S53" s="237">
        <v>1</v>
      </c>
      <c r="T53" s="10">
        <v>0</v>
      </c>
      <c r="U53" s="548">
        <f t="shared" si="49"/>
        <v>0</v>
      </c>
      <c r="V53" s="484">
        <f t="shared" ca="1" si="50"/>
        <v>0</v>
      </c>
      <c r="W53" s="484">
        <f t="shared" ca="1" si="2"/>
        <v>0</v>
      </c>
      <c r="X53" s="485">
        <f t="shared" ca="1" si="51"/>
        <v>0</v>
      </c>
      <c r="Y53" s="450" t="s">
        <v>458</v>
      </c>
      <c r="Z53" s="370"/>
      <c r="AA53" s="371" t="s">
        <v>458</v>
      </c>
      <c r="AB53" s="370"/>
      <c r="AC53" s="449"/>
      <c r="AD53" s="489">
        <f t="shared" si="52"/>
        <v>0</v>
      </c>
      <c r="AE53" s="341">
        <f t="shared" si="5"/>
        <v>212</v>
      </c>
      <c r="AF53" s="341">
        <f t="shared" si="6"/>
        <v>0</v>
      </c>
      <c r="AG53" s="341">
        <f t="shared" ca="1" si="53"/>
        <v>0</v>
      </c>
      <c r="AH53" s="341">
        <f t="shared" ca="1" si="54"/>
        <v>0</v>
      </c>
      <c r="AI53" s="341">
        <f t="shared" ca="1" si="55"/>
        <v>0</v>
      </c>
      <c r="AJ53" s="341">
        <f t="shared" ca="1" si="56"/>
        <v>0</v>
      </c>
      <c r="AK53" s="341">
        <f t="shared" ca="1" si="57"/>
        <v>0</v>
      </c>
      <c r="AL53" s="341">
        <f t="shared" ca="1" si="58"/>
        <v>0</v>
      </c>
      <c r="AM53" s="341">
        <f t="shared" ca="1" si="59"/>
        <v>0</v>
      </c>
      <c r="AN53" s="341">
        <f t="shared" ca="1" si="60"/>
        <v>0</v>
      </c>
      <c r="AO53" s="341">
        <f t="shared" ca="1" si="61"/>
        <v>0</v>
      </c>
      <c r="AP53" s="341">
        <f t="shared" ca="1" si="62"/>
        <v>0</v>
      </c>
      <c r="AQ53" s="341">
        <f t="shared" ca="1" si="63"/>
        <v>0</v>
      </c>
      <c r="AR53" s="341">
        <f t="shared" ca="1" si="64"/>
        <v>0</v>
      </c>
      <c r="AS53" s="341">
        <f t="shared" ca="1" si="65"/>
        <v>0</v>
      </c>
      <c r="AT53" s="341">
        <f t="shared" ca="1" si="66"/>
        <v>0</v>
      </c>
      <c r="AU53" s="341">
        <f t="shared" ca="1" si="67"/>
        <v>0</v>
      </c>
      <c r="AV53" s="341">
        <f t="shared" ca="1" si="68"/>
        <v>0</v>
      </c>
      <c r="AW53" s="333">
        <f t="shared" ca="1" si="69"/>
        <v>0</v>
      </c>
      <c r="AX53" s="333">
        <f t="shared" ca="1" si="70"/>
        <v>0</v>
      </c>
      <c r="AY53" s="333">
        <f t="shared" ca="1" si="71"/>
        <v>0</v>
      </c>
      <c r="AZ53" s="341">
        <f t="shared" ca="1" si="25"/>
        <v>2.5</v>
      </c>
      <c r="BA53" s="341">
        <f t="shared" ca="1" si="26"/>
        <v>1</v>
      </c>
      <c r="BB53" s="341">
        <f t="shared" ca="1" si="27"/>
        <v>0</v>
      </c>
      <c r="BC53" s="341">
        <f t="shared" ca="1" si="28"/>
        <v>0</v>
      </c>
      <c r="BD53" s="341">
        <f t="shared" ca="1" si="29"/>
        <v>0</v>
      </c>
      <c r="BE53" s="341">
        <f t="shared" ca="1" si="30"/>
        <v>0</v>
      </c>
      <c r="BF53" s="341">
        <f t="shared" ca="1" si="31"/>
        <v>0</v>
      </c>
      <c r="BG53" s="441">
        <f t="shared" ca="1" si="32"/>
        <v>0</v>
      </c>
      <c r="BH53" s="441">
        <f t="shared" ca="1" si="33"/>
        <v>0</v>
      </c>
      <c r="BI53" s="441">
        <f t="shared" ca="1" si="34"/>
        <v>0</v>
      </c>
      <c r="BJ53" s="441">
        <f t="shared" ca="1" si="35"/>
        <v>0</v>
      </c>
      <c r="BK53" s="441">
        <f t="shared" ca="1" si="36"/>
        <v>0</v>
      </c>
      <c r="BL53" s="341">
        <f t="shared" ca="1" si="37"/>
        <v>0</v>
      </c>
      <c r="BM53" s="341">
        <f t="shared" ca="1" si="38"/>
        <v>0</v>
      </c>
      <c r="BN53" s="341">
        <f t="shared" ca="1" si="39"/>
        <v>0</v>
      </c>
      <c r="BO53" s="341">
        <f t="shared" ca="1" si="40"/>
        <v>0</v>
      </c>
      <c r="BP53" s="341">
        <f t="shared" ca="1" si="41"/>
        <v>0</v>
      </c>
      <c r="BQ53" s="341">
        <f t="shared" ca="1" si="42"/>
        <v>2.5</v>
      </c>
      <c r="BR53" s="341" t="str">
        <f t="shared" ca="1" si="72"/>
        <v>BP2</v>
      </c>
      <c r="BS53" s="357" t="str">
        <f t="shared" ca="1" si="73"/>
        <v>BP2</v>
      </c>
      <c r="BT53" s="358">
        <f t="shared" si="48"/>
        <v>50</v>
      </c>
      <c r="BU53" s="358">
        <f t="shared" ca="1" si="45"/>
        <v>0</v>
      </c>
      <c r="BV53" s="358">
        <f t="shared" ca="1" si="46"/>
        <v>0</v>
      </c>
      <c r="BW53" s="341"/>
      <c r="BX53" s="341"/>
      <c r="BY53" s="341"/>
      <c r="BZ53" s="341"/>
      <c r="CA53" s="127"/>
      <c r="CB53" s="127"/>
    </row>
    <row r="54" spans="1:80" x14ac:dyDescent="0.25">
      <c r="A54" s="136"/>
      <c r="B54" s="728"/>
      <c r="C54" s="678"/>
      <c r="D54" s="678"/>
      <c r="E54" s="729" t="s">
        <v>196</v>
      </c>
      <c r="F54" s="678"/>
      <c r="G54" s="678"/>
      <c r="H54" s="12">
        <v>0</v>
      </c>
      <c r="I54" s="12">
        <v>0</v>
      </c>
      <c r="J54" s="12">
        <v>0</v>
      </c>
      <c r="K54" s="10" t="s">
        <v>512</v>
      </c>
      <c r="L54" s="244" t="s">
        <v>514</v>
      </c>
      <c r="M54" s="244" t="s">
        <v>458</v>
      </c>
      <c r="N54" s="244" t="s">
        <v>458</v>
      </c>
      <c r="O54" s="12" t="s">
        <v>396</v>
      </c>
      <c r="P54" s="234">
        <v>0</v>
      </c>
      <c r="Q54" s="13">
        <v>0.125</v>
      </c>
      <c r="R54" s="14" t="s">
        <v>28</v>
      </c>
      <c r="S54" s="237">
        <v>1</v>
      </c>
      <c r="T54" s="10">
        <v>0</v>
      </c>
      <c r="U54" s="548">
        <f t="shared" si="49"/>
        <v>0</v>
      </c>
      <c r="V54" s="484">
        <f t="shared" ca="1" si="50"/>
        <v>0</v>
      </c>
      <c r="W54" s="484">
        <f t="shared" ca="1" si="2"/>
        <v>0</v>
      </c>
      <c r="X54" s="485">
        <f t="shared" ca="1" si="51"/>
        <v>0</v>
      </c>
      <c r="Y54" s="450" t="s">
        <v>458</v>
      </c>
      <c r="Z54" s="370"/>
      <c r="AA54" s="371" t="s">
        <v>458</v>
      </c>
      <c r="AB54" s="370"/>
      <c r="AC54" s="449"/>
      <c r="AD54" s="489">
        <f t="shared" si="52"/>
        <v>0</v>
      </c>
      <c r="AE54" s="341">
        <f t="shared" si="5"/>
        <v>212</v>
      </c>
      <c r="AF54" s="341">
        <f t="shared" si="6"/>
        <v>0</v>
      </c>
      <c r="AG54" s="341">
        <f t="shared" ca="1" si="53"/>
        <v>0</v>
      </c>
      <c r="AH54" s="341">
        <f t="shared" ca="1" si="54"/>
        <v>0</v>
      </c>
      <c r="AI54" s="341">
        <f t="shared" ca="1" si="55"/>
        <v>0</v>
      </c>
      <c r="AJ54" s="341">
        <f t="shared" ca="1" si="56"/>
        <v>0</v>
      </c>
      <c r="AK54" s="341">
        <f t="shared" ca="1" si="57"/>
        <v>0</v>
      </c>
      <c r="AL54" s="341">
        <f t="shared" ca="1" si="58"/>
        <v>0</v>
      </c>
      <c r="AM54" s="341">
        <f t="shared" ca="1" si="59"/>
        <v>0</v>
      </c>
      <c r="AN54" s="341">
        <f t="shared" ca="1" si="60"/>
        <v>0</v>
      </c>
      <c r="AO54" s="341">
        <f t="shared" ca="1" si="61"/>
        <v>0</v>
      </c>
      <c r="AP54" s="341">
        <f t="shared" ca="1" si="62"/>
        <v>0</v>
      </c>
      <c r="AQ54" s="341">
        <f t="shared" ca="1" si="63"/>
        <v>0</v>
      </c>
      <c r="AR54" s="341">
        <f t="shared" ca="1" si="64"/>
        <v>0</v>
      </c>
      <c r="AS54" s="341">
        <f t="shared" ca="1" si="65"/>
        <v>0</v>
      </c>
      <c r="AT54" s="341">
        <f t="shared" ca="1" si="66"/>
        <v>0</v>
      </c>
      <c r="AU54" s="341">
        <f t="shared" ca="1" si="67"/>
        <v>0</v>
      </c>
      <c r="AV54" s="341">
        <f t="shared" ca="1" si="68"/>
        <v>0</v>
      </c>
      <c r="AW54" s="333">
        <f t="shared" ca="1" si="69"/>
        <v>0</v>
      </c>
      <c r="AX54" s="333">
        <f t="shared" ca="1" si="70"/>
        <v>0</v>
      </c>
      <c r="AY54" s="333">
        <f t="shared" ca="1" si="71"/>
        <v>0</v>
      </c>
      <c r="AZ54" s="341">
        <f t="shared" ca="1" si="25"/>
        <v>2.5</v>
      </c>
      <c r="BA54" s="341">
        <f t="shared" ca="1" si="26"/>
        <v>1</v>
      </c>
      <c r="BB54" s="341">
        <f t="shared" ca="1" si="27"/>
        <v>0</v>
      </c>
      <c r="BC54" s="341">
        <f t="shared" ca="1" si="28"/>
        <v>0</v>
      </c>
      <c r="BD54" s="341">
        <f t="shared" ca="1" si="29"/>
        <v>0</v>
      </c>
      <c r="BE54" s="341">
        <f t="shared" ca="1" si="30"/>
        <v>0</v>
      </c>
      <c r="BF54" s="341">
        <f t="shared" ca="1" si="31"/>
        <v>0</v>
      </c>
      <c r="BG54" s="441">
        <f t="shared" ca="1" si="32"/>
        <v>0</v>
      </c>
      <c r="BH54" s="441">
        <f t="shared" ca="1" si="33"/>
        <v>0</v>
      </c>
      <c r="BI54" s="441">
        <f t="shared" ca="1" si="34"/>
        <v>0</v>
      </c>
      <c r="BJ54" s="441">
        <f t="shared" ca="1" si="35"/>
        <v>0</v>
      </c>
      <c r="BK54" s="441">
        <f t="shared" ca="1" si="36"/>
        <v>0</v>
      </c>
      <c r="BL54" s="341">
        <f t="shared" ca="1" si="37"/>
        <v>0</v>
      </c>
      <c r="BM54" s="341">
        <f t="shared" ca="1" si="38"/>
        <v>0</v>
      </c>
      <c r="BN54" s="341">
        <f t="shared" ca="1" si="39"/>
        <v>0</v>
      </c>
      <c r="BO54" s="341">
        <f t="shared" ca="1" si="40"/>
        <v>0</v>
      </c>
      <c r="BP54" s="341">
        <f t="shared" ca="1" si="41"/>
        <v>0</v>
      </c>
      <c r="BQ54" s="341">
        <f t="shared" ca="1" si="42"/>
        <v>2.5</v>
      </c>
      <c r="BR54" s="341" t="str">
        <f t="shared" ca="1" si="72"/>
        <v>BP2</v>
      </c>
      <c r="BS54" s="357" t="str">
        <f t="shared" ca="1" si="73"/>
        <v>BP2</v>
      </c>
      <c r="BT54" s="358">
        <f t="shared" si="48"/>
        <v>50</v>
      </c>
      <c r="BU54" s="358">
        <f t="shared" ca="1" si="45"/>
        <v>0</v>
      </c>
      <c r="BV54" s="358">
        <f t="shared" ca="1" si="46"/>
        <v>0</v>
      </c>
      <c r="BW54" s="341"/>
      <c r="BX54" s="341"/>
      <c r="BY54" s="341"/>
      <c r="BZ54" s="341"/>
      <c r="CA54" s="127"/>
      <c r="CB54" s="127"/>
    </row>
    <row r="55" spans="1:80" x14ac:dyDescent="0.25">
      <c r="A55" s="136"/>
      <c r="B55" s="728"/>
      <c r="C55" s="678"/>
      <c r="D55" s="678"/>
      <c r="E55" s="729" t="s">
        <v>196</v>
      </c>
      <c r="F55" s="678"/>
      <c r="G55" s="678"/>
      <c r="H55" s="12">
        <v>0</v>
      </c>
      <c r="I55" s="12">
        <v>0</v>
      </c>
      <c r="J55" s="12">
        <v>0</v>
      </c>
      <c r="K55" s="10" t="s">
        <v>512</v>
      </c>
      <c r="L55" s="244" t="s">
        <v>514</v>
      </c>
      <c r="M55" s="244" t="s">
        <v>458</v>
      </c>
      <c r="N55" s="244" t="s">
        <v>458</v>
      </c>
      <c r="O55" s="12" t="s">
        <v>396</v>
      </c>
      <c r="P55" s="234">
        <v>0</v>
      </c>
      <c r="Q55" s="13">
        <v>0.125</v>
      </c>
      <c r="R55" s="14" t="s">
        <v>28</v>
      </c>
      <c r="S55" s="237">
        <v>1</v>
      </c>
      <c r="T55" s="10">
        <v>0</v>
      </c>
      <c r="U55" s="548">
        <f t="shared" si="49"/>
        <v>0</v>
      </c>
      <c r="V55" s="484">
        <f t="shared" ca="1" si="50"/>
        <v>0</v>
      </c>
      <c r="W55" s="484">
        <f t="shared" ca="1" si="2"/>
        <v>0</v>
      </c>
      <c r="X55" s="485">
        <f t="shared" ca="1" si="51"/>
        <v>0</v>
      </c>
      <c r="Y55" s="450" t="s">
        <v>458</v>
      </c>
      <c r="Z55" s="370"/>
      <c r="AA55" s="371" t="s">
        <v>458</v>
      </c>
      <c r="AB55" s="370"/>
      <c r="AC55" s="449"/>
      <c r="AD55" s="489">
        <f t="shared" si="52"/>
        <v>0</v>
      </c>
      <c r="AE55" s="341">
        <f t="shared" si="5"/>
        <v>212</v>
      </c>
      <c r="AF55" s="341">
        <f t="shared" si="6"/>
        <v>0</v>
      </c>
      <c r="AG55" s="341">
        <f t="shared" ca="1" si="53"/>
        <v>0</v>
      </c>
      <c r="AH55" s="341">
        <f t="shared" ca="1" si="54"/>
        <v>0</v>
      </c>
      <c r="AI55" s="341">
        <f t="shared" ca="1" si="55"/>
        <v>0</v>
      </c>
      <c r="AJ55" s="341">
        <f t="shared" ca="1" si="56"/>
        <v>0</v>
      </c>
      <c r="AK55" s="341">
        <f t="shared" ca="1" si="57"/>
        <v>0</v>
      </c>
      <c r="AL55" s="341">
        <f t="shared" ca="1" si="58"/>
        <v>0</v>
      </c>
      <c r="AM55" s="341">
        <f t="shared" ca="1" si="59"/>
        <v>0</v>
      </c>
      <c r="AN55" s="341">
        <f t="shared" ca="1" si="60"/>
        <v>0</v>
      </c>
      <c r="AO55" s="341">
        <f t="shared" ca="1" si="61"/>
        <v>0</v>
      </c>
      <c r="AP55" s="341">
        <f t="shared" ca="1" si="62"/>
        <v>0</v>
      </c>
      <c r="AQ55" s="341">
        <f t="shared" ca="1" si="63"/>
        <v>0</v>
      </c>
      <c r="AR55" s="341">
        <f t="shared" ca="1" si="64"/>
        <v>0</v>
      </c>
      <c r="AS55" s="341">
        <f t="shared" ca="1" si="65"/>
        <v>0</v>
      </c>
      <c r="AT55" s="341">
        <f t="shared" ca="1" si="66"/>
        <v>0</v>
      </c>
      <c r="AU55" s="341">
        <f t="shared" ca="1" si="67"/>
        <v>0</v>
      </c>
      <c r="AV55" s="341">
        <f t="shared" ca="1" si="68"/>
        <v>0</v>
      </c>
      <c r="AW55" s="333">
        <f t="shared" ca="1" si="69"/>
        <v>0</v>
      </c>
      <c r="AX55" s="333">
        <f t="shared" ca="1" si="70"/>
        <v>0</v>
      </c>
      <c r="AY55" s="333">
        <f t="shared" ca="1" si="71"/>
        <v>0</v>
      </c>
      <c r="AZ55" s="341">
        <f t="shared" ca="1" si="25"/>
        <v>2.5</v>
      </c>
      <c r="BA55" s="341">
        <f t="shared" ca="1" si="26"/>
        <v>1</v>
      </c>
      <c r="BB55" s="341">
        <f t="shared" ca="1" si="27"/>
        <v>0</v>
      </c>
      <c r="BC55" s="341">
        <f t="shared" ca="1" si="28"/>
        <v>0</v>
      </c>
      <c r="BD55" s="341">
        <f t="shared" ca="1" si="29"/>
        <v>0</v>
      </c>
      <c r="BE55" s="341">
        <f t="shared" ca="1" si="30"/>
        <v>0</v>
      </c>
      <c r="BF55" s="341">
        <f t="shared" ca="1" si="31"/>
        <v>0</v>
      </c>
      <c r="BG55" s="441">
        <f t="shared" ca="1" si="32"/>
        <v>0</v>
      </c>
      <c r="BH55" s="441">
        <f t="shared" ca="1" si="33"/>
        <v>0</v>
      </c>
      <c r="BI55" s="441">
        <f t="shared" ca="1" si="34"/>
        <v>0</v>
      </c>
      <c r="BJ55" s="441">
        <f t="shared" ca="1" si="35"/>
        <v>0</v>
      </c>
      <c r="BK55" s="441">
        <f t="shared" ca="1" si="36"/>
        <v>0</v>
      </c>
      <c r="BL55" s="341">
        <f t="shared" ca="1" si="37"/>
        <v>0</v>
      </c>
      <c r="BM55" s="341">
        <f t="shared" ca="1" si="38"/>
        <v>0</v>
      </c>
      <c r="BN55" s="341">
        <f t="shared" ca="1" si="39"/>
        <v>0</v>
      </c>
      <c r="BO55" s="341">
        <f t="shared" ca="1" si="40"/>
        <v>0</v>
      </c>
      <c r="BP55" s="341">
        <f t="shared" ca="1" si="41"/>
        <v>0</v>
      </c>
      <c r="BQ55" s="341">
        <f t="shared" ca="1" si="42"/>
        <v>2.5</v>
      </c>
      <c r="BR55" s="341" t="str">
        <f t="shared" ca="1" si="72"/>
        <v>BP2</v>
      </c>
      <c r="BS55" s="357" t="str">
        <f t="shared" ca="1" si="73"/>
        <v>BP2</v>
      </c>
      <c r="BT55" s="358">
        <f t="shared" si="48"/>
        <v>50</v>
      </c>
      <c r="BU55" s="358">
        <f t="shared" ca="1" si="45"/>
        <v>0</v>
      </c>
      <c r="BV55" s="358">
        <f t="shared" ca="1" si="46"/>
        <v>0</v>
      </c>
      <c r="BW55" s="341"/>
      <c r="BX55" s="341"/>
      <c r="BY55" s="341"/>
      <c r="BZ55" s="341"/>
      <c r="CA55" s="127"/>
      <c r="CB55" s="127"/>
    </row>
    <row r="56" spans="1:80" x14ac:dyDescent="0.25">
      <c r="A56" s="136"/>
      <c r="B56" s="728"/>
      <c r="C56" s="678"/>
      <c r="D56" s="678"/>
      <c r="E56" s="729" t="s">
        <v>196</v>
      </c>
      <c r="F56" s="678"/>
      <c r="G56" s="678"/>
      <c r="H56" s="12">
        <v>0</v>
      </c>
      <c r="I56" s="12">
        <v>0</v>
      </c>
      <c r="J56" s="12">
        <v>0</v>
      </c>
      <c r="K56" s="10" t="s">
        <v>512</v>
      </c>
      <c r="L56" s="244" t="s">
        <v>514</v>
      </c>
      <c r="M56" s="244" t="s">
        <v>458</v>
      </c>
      <c r="N56" s="244" t="s">
        <v>458</v>
      </c>
      <c r="O56" s="12" t="s">
        <v>396</v>
      </c>
      <c r="P56" s="234">
        <v>0</v>
      </c>
      <c r="Q56" s="13">
        <v>0.125</v>
      </c>
      <c r="R56" s="14" t="s">
        <v>28</v>
      </c>
      <c r="S56" s="237">
        <v>1</v>
      </c>
      <c r="T56" s="10">
        <v>0</v>
      </c>
      <c r="U56" s="548">
        <f t="shared" si="49"/>
        <v>0</v>
      </c>
      <c r="V56" s="484">
        <f t="shared" ca="1" si="50"/>
        <v>0</v>
      </c>
      <c r="W56" s="484">
        <f t="shared" ca="1" si="2"/>
        <v>0</v>
      </c>
      <c r="X56" s="485">
        <f t="shared" ca="1" si="51"/>
        <v>0</v>
      </c>
      <c r="Y56" s="450" t="s">
        <v>458</v>
      </c>
      <c r="Z56" s="370"/>
      <c r="AA56" s="371" t="s">
        <v>458</v>
      </c>
      <c r="AB56" s="370"/>
      <c r="AC56" s="449"/>
      <c r="AD56" s="489">
        <f t="shared" si="52"/>
        <v>0</v>
      </c>
      <c r="AE56" s="341">
        <f t="shared" si="5"/>
        <v>212</v>
      </c>
      <c r="AF56" s="341">
        <f t="shared" si="6"/>
        <v>0</v>
      </c>
      <c r="AG56" s="341">
        <f t="shared" ca="1" si="53"/>
        <v>0</v>
      </c>
      <c r="AH56" s="341">
        <f t="shared" ca="1" si="54"/>
        <v>0</v>
      </c>
      <c r="AI56" s="341">
        <f t="shared" ca="1" si="55"/>
        <v>0</v>
      </c>
      <c r="AJ56" s="341">
        <f t="shared" ca="1" si="56"/>
        <v>0</v>
      </c>
      <c r="AK56" s="341">
        <f t="shared" ca="1" si="57"/>
        <v>0</v>
      </c>
      <c r="AL56" s="341">
        <f t="shared" ca="1" si="58"/>
        <v>0</v>
      </c>
      <c r="AM56" s="341">
        <f t="shared" ca="1" si="59"/>
        <v>0</v>
      </c>
      <c r="AN56" s="341">
        <f t="shared" ca="1" si="60"/>
        <v>0</v>
      </c>
      <c r="AO56" s="341">
        <f t="shared" ca="1" si="61"/>
        <v>0</v>
      </c>
      <c r="AP56" s="341">
        <f t="shared" ca="1" si="62"/>
        <v>0</v>
      </c>
      <c r="AQ56" s="341">
        <f t="shared" ca="1" si="63"/>
        <v>0</v>
      </c>
      <c r="AR56" s="341">
        <f t="shared" ca="1" si="64"/>
        <v>0</v>
      </c>
      <c r="AS56" s="341">
        <f t="shared" ca="1" si="65"/>
        <v>0</v>
      </c>
      <c r="AT56" s="341">
        <f t="shared" ca="1" si="66"/>
        <v>0</v>
      </c>
      <c r="AU56" s="341">
        <f t="shared" ca="1" si="67"/>
        <v>0</v>
      </c>
      <c r="AV56" s="341">
        <f t="shared" ca="1" si="68"/>
        <v>0</v>
      </c>
      <c r="AW56" s="333">
        <f t="shared" ca="1" si="69"/>
        <v>0</v>
      </c>
      <c r="AX56" s="333">
        <f t="shared" ca="1" si="70"/>
        <v>0</v>
      </c>
      <c r="AY56" s="333">
        <f t="shared" ca="1" si="71"/>
        <v>0</v>
      </c>
      <c r="AZ56" s="341">
        <f t="shared" ca="1" si="25"/>
        <v>2.5</v>
      </c>
      <c r="BA56" s="341">
        <f t="shared" ca="1" si="26"/>
        <v>1</v>
      </c>
      <c r="BB56" s="341">
        <f t="shared" ca="1" si="27"/>
        <v>0</v>
      </c>
      <c r="BC56" s="341">
        <f t="shared" ca="1" si="28"/>
        <v>0</v>
      </c>
      <c r="BD56" s="341">
        <f t="shared" ca="1" si="29"/>
        <v>0</v>
      </c>
      <c r="BE56" s="341">
        <f t="shared" ca="1" si="30"/>
        <v>0</v>
      </c>
      <c r="BF56" s="341">
        <f t="shared" ca="1" si="31"/>
        <v>0</v>
      </c>
      <c r="BG56" s="441">
        <f t="shared" ca="1" si="32"/>
        <v>0</v>
      </c>
      <c r="BH56" s="441">
        <f t="shared" ca="1" si="33"/>
        <v>0</v>
      </c>
      <c r="BI56" s="441">
        <f t="shared" ca="1" si="34"/>
        <v>0</v>
      </c>
      <c r="BJ56" s="441">
        <f t="shared" ca="1" si="35"/>
        <v>0</v>
      </c>
      <c r="BK56" s="441">
        <f t="shared" ca="1" si="36"/>
        <v>0</v>
      </c>
      <c r="BL56" s="341">
        <f t="shared" ca="1" si="37"/>
        <v>0</v>
      </c>
      <c r="BM56" s="341">
        <f t="shared" ca="1" si="38"/>
        <v>0</v>
      </c>
      <c r="BN56" s="341">
        <f t="shared" ca="1" si="39"/>
        <v>0</v>
      </c>
      <c r="BO56" s="341">
        <f t="shared" ca="1" si="40"/>
        <v>0</v>
      </c>
      <c r="BP56" s="341">
        <f t="shared" ca="1" si="41"/>
        <v>0</v>
      </c>
      <c r="BQ56" s="341">
        <f t="shared" ca="1" si="42"/>
        <v>2.5</v>
      </c>
      <c r="BR56" s="341" t="str">
        <f t="shared" ca="1" si="72"/>
        <v>BP2</v>
      </c>
      <c r="BS56" s="357" t="str">
        <f t="shared" ca="1" si="73"/>
        <v>BP2</v>
      </c>
      <c r="BT56" s="358">
        <f t="shared" si="48"/>
        <v>50</v>
      </c>
      <c r="BU56" s="358">
        <f t="shared" ca="1" si="45"/>
        <v>0</v>
      </c>
      <c r="BV56" s="358">
        <f t="shared" ca="1" si="46"/>
        <v>0</v>
      </c>
      <c r="BW56" s="341"/>
      <c r="BX56" s="341"/>
      <c r="BY56" s="341"/>
      <c r="BZ56" s="341"/>
      <c r="CA56" s="127"/>
      <c r="CB56" s="127"/>
    </row>
    <row r="57" spans="1:80" x14ac:dyDescent="0.25">
      <c r="A57" s="136"/>
      <c r="B57" s="728"/>
      <c r="C57" s="678"/>
      <c r="D57" s="678"/>
      <c r="E57" s="729" t="s">
        <v>196</v>
      </c>
      <c r="F57" s="678"/>
      <c r="G57" s="678"/>
      <c r="H57" s="12">
        <v>0</v>
      </c>
      <c r="I57" s="12">
        <v>0</v>
      </c>
      <c r="J57" s="12">
        <v>0</v>
      </c>
      <c r="K57" s="10" t="s">
        <v>512</v>
      </c>
      <c r="L57" s="244" t="s">
        <v>514</v>
      </c>
      <c r="M57" s="244" t="s">
        <v>458</v>
      </c>
      <c r="N57" s="244" t="s">
        <v>458</v>
      </c>
      <c r="O57" s="12" t="s">
        <v>396</v>
      </c>
      <c r="P57" s="234">
        <v>0</v>
      </c>
      <c r="Q57" s="13">
        <v>0.125</v>
      </c>
      <c r="R57" s="14" t="s">
        <v>28</v>
      </c>
      <c r="S57" s="237">
        <v>1</v>
      </c>
      <c r="T57" s="10">
        <v>0</v>
      </c>
      <c r="U57" s="548">
        <f t="shared" si="49"/>
        <v>0</v>
      </c>
      <c r="V57" s="484">
        <f t="shared" ca="1" si="50"/>
        <v>0</v>
      </c>
      <c r="W57" s="484">
        <f t="shared" ca="1" si="2"/>
        <v>0</v>
      </c>
      <c r="X57" s="485">
        <f t="shared" ca="1" si="51"/>
        <v>0</v>
      </c>
      <c r="Y57" s="450" t="s">
        <v>458</v>
      </c>
      <c r="Z57" s="370"/>
      <c r="AA57" s="371" t="s">
        <v>458</v>
      </c>
      <c r="AB57" s="370"/>
      <c r="AC57" s="449"/>
      <c r="AD57" s="489">
        <f t="shared" si="52"/>
        <v>0</v>
      </c>
      <c r="AE57" s="341">
        <f t="shared" si="5"/>
        <v>212</v>
      </c>
      <c r="AF57" s="341">
        <f t="shared" si="6"/>
        <v>0</v>
      </c>
      <c r="AG57" s="341">
        <f t="shared" ca="1" si="53"/>
        <v>0</v>
      </c>
      <c r="AH57" s="341">
        <f t="shared" ca="1" si="54"/>
        <v>0</v>
      </c>
      <c r="AI57" s="341">
        <f t="shared" ca="1" si="55"/>
        <v>0</v>
      </c>
      <c r="AJ57" s="341">
        <f t="shared" ca="1" si="56"/>
        <v>0</v>
      </c>
      <c r="AK57" s="341">
        <f t="shared" ca="1" si="57"/>
        <v>0</v>
      </c>
      <c r="AL57" s="341">
        <f t="shared" ca="1" si="58"/>
        <v>0</v>
      </c>
      <c r="AM57" s="341">
        <f t="shared" ca="1" si="59"/>
        <v>0</v>
      </c>
      <c r="AN57" s="341">
        <f t="shared" ca="1" si="60"/>
        <v>0</v>
      </c>
      <c r="AO57" s="341">
        <f t="shared" ca="1" si="61"/>
        <v>0</v>
      </c>
      <c r="AP57" s="341">
        <f t="shared" ca="1" si="62"/>
        <v>0</v>
      </c>
      <c r="AQ57" s="341">
        <f t="shared" ca="1" si="63"/>
        <v>0</v>
      </c>
      <c r="AR57" s="341">
        <f t="shared" ca="1" si="64"/>
        <v>0</v>
      </c>
      <c r="AS57" s="341">
        <f t="shared" ca="1" si="65"/>
        <v>0</v>
      </c>
      <c r="AT57" s="341">
        <f t="shared" ca="1" si="66"/>
        <v>0</v>
      </c>
      <c r="AU57" s="341">
        <f t="shared" ca="1" si="67"/>
        <v>0</v>
      </c>
      <c r="AV57" s="341">
        <f t="shared" ca="1" si="68"/>
        <v>0</v>
      </c>
      <c r="AW57" s="333">
        <f t="shared" ca="1" si="69"/>
        <v>0</v>
      </c>
      <c r="AX57" s="333">
        <f t="shared" ca="1" si="70"/>
        <v>0</v>
      </c>
      <c r="AY57" s="333">
        <f t="shared" ca="1" si="71"/>
        <v>0</v>
      </c>
      <c r="AZ57" s="341">
        <f t="shared" ca="1" si="25"/>
        <v>2.5</v>
      </c>
      <c r="BA57" s="341">
        <f t="shared" ca="1" si="26"/>
        <v>1</v>
      </c>
      <c r="BB57" s="341">
        <f t="shared" ca="1" si="27"/>
        <v>0</v>
      </c>
      <c r="BC57" s="341">
        <f t="shared" ca="1" si="28"/>
        <v>0</v>
      </c>
      <c r="BD57" s="341">
        <f t="shared" ca="1" si="29"/>
        <v>0</v>
      </c>
      <c r="BE57" s="341">
        <f t="shared" ca="1" si="30"/>
        <v>0</v>
      </c>
      <c r="BF57" s="341">
        <f t="shared" ca="1" si="31"/>
        <v>0</v>
      </c>
      <c r="BG57" s="441">
        <f t="shared" ca="1" si="32"/>
        <v>0</v>
      </c>
      <c r="BH57" s="441">
        <f t="shared" ca="1" si="33"/>
        <v>0</v>
      </c>
      <c r="BI57" s="441">
        <f t="shared" ca="1" si="34"/>
        <v>0</v>
      </c>
      <c r="BJ57" s="441">
        <f t="shared" ca="1" si="35"/>
        <v>0</v>
      </c>
      <c r="BK57" s="441">
        <f t="shared" ca="1" si="36"/>
        <v>0</v>
      </c>
      <c r="BL57" s="341">
        <f t="shared" ca="1" si="37"/>
        <v>0</v>
      </c>
      <c r="BM57" s="341">
        <f t="shared" ca="1" si="38"/>
        <v>0</v>
      </c>
      <c r="BN57" s="341">
        <f t="shared" ca="1" si="39"/>
        <v>0</v>
      </c>
      <c r="BO57" s="341">
        <f t="shared" ca="1" si="40"/>
        <v>0</v>
      </c>
      <c r="BP57" s="341">
        <f t="shared" ca="1" si="41"/>
        <v>0</v>
      </c>
      <c r="BQ57" s="341">
        <f t="shared" ca="1" si="42"/>
        <v>2.5</v>
      </c>
      <c r="BR57" s="341" t="str">
        <f t="shared" ca="1" si="72"/>
        <v>BP2</v>
      </c>
      <c r="BS57" s="357" t="str">
        <f t="shared" ca="1" si="73"/>
        <v>BP2</v>
      </c>
      <c r="BT57" s="358">
        <f t="shared" si="48"/>
        <v>50</v>
      </c>
      <c r="BU57" s="358">
        <f t="shared" ca="1" si="45"/>
        <v>0</v>
      </c>
      <c r="BV57" s="358">
        <f t="shared" ca="1" si="46"/>
        <v>0</v>
      </c>
      <c r="BW57" s="341"/>
      <c r="BX57" s="341"/>
      <c r="BY57" s="341"/>
      <c r="BZ57" s="341"/>
      <c r="CA57" s="127"/>
      <c r="CB57" s="127"/>
    </row>
    <row r="58" spans="1:80" x14ac:dyDescent="0.25">
      <c r="A58" s="136"/>
      <c r="B58" s="728"/>
      <c r="C58" s="678"/>
      <c r="D58" s="678"/>
      <c r="E58" s="729" t="s">
        <v>196</v>
      </c>
      <c r="F58" s="678"/>
      <c r="G58" s="678"/>
      <c r="H58" s="12">
        <v>0</v>
      </c>
      <c r="I58" s="12">
        <v>0</v>
      </c>
      <c r="J58" s="12">
        <v>0</v>
      </c>
      <c r="K58" s="10" t="s">
        <v>512</v>
      </c>
      <c r="L58" s="244" t="s">
        <v>514</v>
      </c>
      <c r="M58" s="244" t="s">
        <v>458</v>
      </c>
      <c r="N58" s="244" t="s">
        <v>458</v>
      </c>
      <c r="O58" s="12" t="s">
        <v>396</v>
      </c>
      <c r="P58" s="234">
        <v>0</v>
      </c>
      <c r="Q58" s="13">
        <v>0.125</v>
      </c>
      <c r="R58" s="14" t="s">
        <v>28</v>
      </c>
      <c r="S58" s="237">
        <v>1</v>
      </c>
      <c r="T58" s="10">
        <v>0</v>
      </c>
      <c r="U58" s="548">
        <f t="shared" si="49"/>
        <v>0</v>
      </c>
      <c r="V58" s="484">
        <f t="shared" ca="1" si="50"/>
        <v>0</v>
      </c>
      <c r="W58" s="484">
        <f t="shared" ca="1" si="2"/>
        <v>0</v>
      </c>
      <c r="X58" s="485">
        <f t="shared" ca="1" si="51"/>
        <v>0</v>
      </c>
      <c r="Y58" s="450" t="s">
        <v>458</v>
      </c>
      <c r="Z58" s="370"/>
      <c r="AA58" s="371" t="s">
        <v>458</v>
      </c>
      <c r="AB58" s="370"/>
      <c r="AC58" s="449"/>
      <c r="AD58" s="489">
        <f t="shared" si="52"/>
        <v>0</v>
      </c>
      <c r="AE58" s="341">
        <f t="shared" si="5"/>
        <v>212</v>
      </c>
      <c r="AF58" s="341">
        <f t="shared" si="6"/>
        <v>0</v>
      </c>
      <c r="AG58" s="341">
        <f t="shared" ca="1" si="53"/>
        <v>0</v>
      </c>
      <c r="AH58" s="341">
        <f t="shared" ca="1" si="54"/>
        <v>0</v>
      </c>
      <c r="AI58" s="341">
        <f t="shared" ca="1" si="55"/>
        <v>0</v>
      </c>
      <c r="AJ58" s="341">
        <f t="shared" ca="1" si="56"/>
        <v>0</v>
      </c>
      <c r="AK58" s="341">
        <f t="shared" ca="1" si="57"/>
        <v>0</v>
      </c>
      <c r="AL58" s="341">
        <f t="shared" ca="1" si="58"/>
        <v>0</v>
      </c>
      <c r="AM58" s="341">
        <f t="shared" ca="1" si="59"/>
        <v>0</v>
      </c>
      <c r="AN58" s="341">
        <f t="shared" ca="1" si="60"/>
        <v>0</v>
      </c>
      <c r="AO58" s="341">
        <f t="shared" ca="1" si="61"/>
        <v>0</v>
      </c>
      <c r="AP58" s="341">
        <f t="shared" ca="1" si="62"/>
        <v>0</v>
      </c>
      <c r="AQ58" s="341">
        <f t="shared" ca="1" si="63"/>
        <v>0</v>
      </c>
      <c r="AR58" s="341">
        <f t="shared" ca="1" si="64"/>
        <v>0</v>
      </c>
      <c r="AS58" s="341">
        <f t="shared" ca="1" si="65"/>
        <v>0</v>
      </c>
      <c r="AT58" s="341">
        <f t="shared" ca="1" si="66"/>
        <v>0</v>
      </c>
      <c r="AU58" s="341">
        <f t="shared" ca="1" si="67"/>
        <v>0</v>
      </c>
      <c r="AV58" s="341">
        <f t="shared" ca="1" si="68"/>
        <v>0</v>
      </c>
      <c r="AW58" s="333">
        <f t="shared" ca="1" si="69"/>
        <v>0</v>
      </c>
      <c r="AX58" s="333">
        <f t="shared" ca="1" si="70"/>
        <v>0</v>
      </c>
      <c r="AY58" s="333">
        <f t="shared" ca="1" si="71"/>
        <v>0</v>
      </c>
      <c r="AZ58" s="341">
        <f t="shared" ca="1" si="25"/>
        <v>2.5</v>
      </c>
      <c r="BA58" s="341">
        <f t="shared" ca="1" si="26"/>
        <v>1</v>
      </c>
      <c r="BB58" s="341">
        <f t="shared" ca="1" si="27"/>
        <v>0</v>
      </c>
      <c r="BC58" s="341">
        <f t="shared" ca="1" si="28"/>
        <v>0</v>
      </c>
      <c r="BD58" s="341">
        <f t="shared" ca="1" si="29"/>
        <v>0</v>
      </c>
      <c r="BE58" s="341">
        <f t="shared" ca="1" si="30"/>
        <v>0</v>
      </c>
      <c r="BF58" s="341">
        <f t="shared" ca="1" si="31"/>
        <v>0</v>
      </c>
      <c r="BG58" s="441">
        <f t="shared" ca="1" si="32"/>
        <v>0</v>
      </c>
      <c r="BH58" s="441">
        <f t="shared" ca="1" si="33"/>
        <v>0</v>
      </c>
      <c r="BI58" s="441">
        <f t="shared" ca="1" si="34"/>
        <v>0</v>
      </c>
      <c r="BJ58" s="441">
        <f t="shared" ca="1" si="35"/>
        <v>0</v>
      </c>
      <c r="BK58" s="441">
        <f t="shared" ca="1" si="36"/>
        <v>0</v>
      </c>
      <c r="BL58" s="341">
        <f t="shared" ca="1" si="37"/>
        <v>0</v>
      </c>
      <c r="BM58" s="341">
        <f t="shared" ca="1" si="38"/>
        <v>0</v>
      </c>
      <c r="BN58" s="341">
        <f t="shared" ca="1" si="39"/>
        <v>0</v>
      </c>
      <c r="BO58" s="341">
        <f t="shared" ca="1" si="40"/>
        <v>0</v>
      </c>
      <c r="BP58" s="341">
        <f t="shared" ca="1" si="41"/>
        <v>0</v>
      </c>
      <c r="BQ58" s="341">
        <f t="shared" ca="1" si="42"/>
        <v>2.5</v>
      </c>
      <c r="BR58" s="341" t="str">
        <f t="shared" ca="1" si="72"/>
        <v>BP2</v>
      </c>
      <c r="BS58" s="357" t="str">
        <f t="shared" ca="1" si="73"/>
        <v>BP2</v>
      </c>
      <c r="BT58" s="358">
        <f t="shared" si="48"/>
        <v>50</v>
      </c>
      <c r="BU58" s="358">
        <f t="shared" ca="1" si="45"/>
        <v>0</v>
      </c>
      <c r="BV58" s="358">
        <f t="shared" ca="1" si="46"/>
        <v>0</v>
      </c>
      <c r="BW58" s="341"/>
      <c r="BX58" s="341"/>
      <c r="BY58" s="341"/>
      <c r="BZ58" s="341"/>
      <c r="CA58" s="127"/>
      <c r="CB58" s="127"/>
    </row>
    <row r="59" spans="1:80" x14ac:dyDescent="0.25">
      <c r="A59" s="136"/>
      <c r="B59" s="728"/>
      <c r="C59" s="678"/>
      <c r="D59" s="678"/>
      <c r="E59" s="729" t="s">
        <v>196</v>
      </c>
      <c r="F59" s="678"/>
      <c r="G59" s="678"/>
      <c r="H59" s="12">
        <v>0</v>
      </c>
      <c r="I59" s="12">
        <v>0</v>
      </c>
      <c r="J59" s="12">
        <v>0</v>
      </c>
      <c r="K59" s="10" t="s">
        <v>512</v>
      </c>
      <c r="L59" s="244" t="s">
        <v>514</v>
      </c>
      <c r="M59" s="244" t="s">
        <v>458</v>
      </c>
      <c r="N59" s="244" t="s">
        <v>458</v>
      </c>
      <c r="O59" s="12" t="s">
        <v>396</v>
      </c>
      <c r="P59" s="234">
        <v>0</v>
      </c>
      <c r="Q59" s="13">
        <v>0.125</v>
      </c>
      <c r="R59" s="14" t="s">
        <v>28</v>
      </c>
      <c r="S59" s="237">
        <v>1</v>
      </c>
      <c r="T59" s="10">
        <v>0</v>
      </c>
      <c r="U59" s="548">
        <f t="shared" si="49"/>
        <v>0</v>
      </c>
      <c r="V59" s="484">
        <f t="shared" ca="1" si="50"/>
        <v>0</v>
      </c>
      <c r="W59" s="484">
        <f t="shared" ca="1" si="2"/>
        <v>0</v>
      </c>
      <c r="X59" s="485">
        <f t="shared" ca="1" si="51"/>
        <v>0</v>
      </c>
      <c r="Y59" s="450" t="s">
        <v>458</v>
      </c>
      <c r="Z59" s="370"/>
      <c r="AA59" s="371" t="s">
        <v>458</v>
      </c>
      <c r="AB59" s="370"/>
      <c r="AC59" s="449"/>
      <c r="AD59" s="489">
        <f t="shared" si="52"/>
        <v>0</v>
      </c>
      <c r="AE59" s="341">
        <f t="shared" si="5"/>
        <v>212</v>
      </c>
      <c r="AF59" s="341">
        <f t="shared" si="6"/>
        <v>0</v>
      </c>
      <c r="AG59" s="341">
        <f t="shared" ca="1" si="53"/>
        <v>0</v>
      </c>
      <c r="AH59" s="341">
        <f t="shared" ca="1" si="54"/>
        <v>0</v>
      </c>
      <c r="AI59" s="341">
        <f t="shared" ca="1" si="55"/>
        <v>0</v>
      </c>
      <c r="AJ59" s="341">
        <f t="shared" ca="1" si="56"/>
        <v>0</v>
      </c>
      <c r="AK59" s="341">
        <f t="shared" ca="1" si="57"/>
        <v>0</v>
      </c>
      <c r="AL59" s="341">
        <f t="shared" ca="1" si="58"/>
        <v>0</v>
      </c>
      <c r="AM59" s="341">
        <f t="shared" ca="1" si="59"/>
        <v>0</v>
      </c>
      <c r="AN59" s="341">
        <f t="shared" ca="1" si="60"/>
        <v>0</v>
      </c>
      <c r="AO59" s="341">
        <f t="shared" ca="1" si="61"/>
        <v>0</v>
      </c>
      <c r="AP59" s="341">
        <f t="shared" ca="1" si="62"/>
        <v>0</v>
      </c>
      <c r="AQ59" s="341">
        <f t="shared" ca="1" si="63"/>
        <v>0</v>
      </c>
      <c r="AR59" s="341">
        <f t="shared" ca="1" si="64"/>
        <v>0</v>
      </c>
      <c r="AS59" s="341">
        <f t="shared" ca="1" si="65"/>
        <v>0</v>
      </c>
      <c r="AT59" s="341">
        <f t="shared" ca="1" si="66"/>
        <v>0</v>
      </c>
      <c r="AU59" s="341">
        <f t="shared" ca="1" si="67"/>
        <v>0</v>
      </c>
      <c r="AV59" s="341">
        <f t="shared" ca="1" si="68"/>
        <v>0</v>
      </c>
      <c r="AW59" s="333">
        <f t="shared" ca="1" si="69"/>
        <v>0</v>
      </c>
      <c r="AX59" s="333">
        <f t="shared" ca="1" si="70"/>
        <v>0</v>
      </c>
      <c r="AY59" s="333">
        <f t="shared" ca="1" si="71"/>
        <v>0</v>
      </c>
      <c r="AZ59" s="341">
        <f t="shared" ca="1" si="25"/>
        <v>2.5</v>
      </c>
      <c r="BA59" s="341">
        <f t="shared" ca="1" si="26"/>
        <v>1</v>
      </c>
      <c r="BB59" s="341">
        <f t="shared" ca="1" si="27"/>
        <v>0</v>
      </c>
      <c r="BC59" s="341">
        <f t="shared" ca="1" si="28"/>
        <v>0</v>
      </c>
      <c r="BD59" s="341">
        <f t="shared" ca="1" si="29"/>
        <v>0</v>
      </c>
      <c r="BE59" s="341">
        <f t="shared" ca="1" si="30"/>
        <v>0</v>
      </c>
      <c r="BF59" s="341">
        <f t="shared" ca="1" si="31"/>
        <v>0</v>
      </c>
      <c r="BG59" s="441">
        <f t="shared" ca="1" si="32"/>
        <v>0</v>
      </c>
      <c r="BH59" s="441">
        <f t="shared" ca="1" si="33"/>
        <v>0</v>
      </c>
      <c r="BI59" s="441">
        <f t="shared" ca="1" si="34"/>
        <v>0</v>
      </c>
      <c r="BJ59" s="441">
        <f t="shared" ca="1" si="35"/>
        <v>0</v>
      </c>
      <c r="BK59" s="441">
        <f t="shared" ca="1" si="36"/>
        <v>0</v>
      </c>
      <c r="BL59" s="341">
        <f t="shared" ca="1" si="37"/>
        <v>0</v>
      </c>
      <c r="BM59" s="341">
        <f t="shared" ca="1" si="38"/>
        <v>0</v>
      </c>
      <c r="BN59" s="341">
        <f t="shared" ca="1" si="39"/>
        <v>0</v>
      </c>
      <c r="BO59" s="341">
        <f t="shared" ca="1" si="40"/>
        <v>0</v>
      </c>
      <c r="BP59" s="341">
        <f t="shared" ca="1" si="41"/>
        <v>0</v>
      </c>
      <c r="BQ59" s="341">
        <f t="shared" ca="1" si="42"/>
        <v>2.5</v>
      </c>
      <c r="BR59" s="341" t="str">
        <f t="shared" ca="1" si="72"/>
        <v>BP2</v>
      </c>
      <c r="BS59" s="357" t="str">
        <f t="shared" ca="1" si="73"/>
        <v>BP2</v>
      </c>
      <c r="BT59" s="358">
        <f t="shared" si="48"/>
        <v>50</v>
      </c>
      <c r="BU59" s="358">
        <f t="shared" ca="1" si="45"/>
        <v>0</v>
      </c>
      <c r="BV59" s="358">
        <f t="shared" ca="1" si="46"/>
        <v>0</v>
      </c>
      <c r="BW59" s="341"/>
      <c r="BX59" s="341"/>
      <c r="BY59" s="341"/>
      <c r="BZ59" s="341"/>
      <c r="CA59" s="127"/>
      <c r="CB59" s="127"/>
    </row>
    <row r="60" spans="1:80" x14ac:dyDescent="0.25">
      <c r="A60" s="136"/>
      <c r="B60" s="728"/>
      <c r="C60" s="678"/>
      <c r="D60" s="678"/>
      <c r="E60" s="729" t="s">
        <v>196</v>
      </c>
      <c r="F60" s="678"/>
      <c r="G60" s="678"/>
      <c r="H60" s="12">
        <v>0</v>
      </c>
      <c r="I60" s="12">
        <v>0</v>
      </c>
      <c r="J60" s="12">
        <v>0</v>
      </c>
      <c r="K60" s="10" t="s">
        <v>512</v>
      </c>
      <c r="L60" s="244" t="s">
        <v>514</v>
      </c>
      <c r="M60" s="244" t="s">
        <v>458</v>
      </c>
      <c r="N60" s="244" t="s">
        <v>458</v>
      </c>
      <c r="O60" s="12" t="s">
        <v>396</v>
      </c>
      <c r="P60" s="234">
        <v>0</v>
      </c>
      <c r="Q60" s="13">
        <v>0.125</v>
      </c>
      <c r="R60" s="14" t="s">
        <v>28</v>
      </c>
      <c r="S60" s="237">
        <v>1</v>
      </c>
      <c r="T60" s="10">
        <v>0</v>
      </c>
      <c r="U60" s="548">
        <f t="shared" si="49"/>
        <v>0</v>
      </c>
      <c r="V60" s="484">
        <f t="shared" ca="1" si="50"/>
        <v>0</v>
      </c>
      <c r="W60" s="484">
        <f t="shared" ca="1" si="2"/>
        <v>0</v>
      </c>
      <c r="X60" s="485">
        <f t="shared" ca="1" si="51"/>
        <v>0</v>
      </c>
      <c r="Y60" s="450" t="s">
        <v>458</v>
      </c>
      <c r="Z60" s="370"/>
      <c r="AA60" s="371" t="s">
        <v>458</v>
      </c>
      <c r="AB60" s="370"/>
      <c r="AC60" s="449"/>
      <c r="AD60" s="489">
        <f t="shared" si="52"/>
        <v>0</v>
      </c>
      <c r="AE60" s="341">
        <f t="shared" si="5"/>
        <v>212</v>
      </c>
      <c r="AF60" s="341">
        <f t="shared" si="6"/>
        <v>0</v>
      </c>
      <c r="AG60" s="341">
        <f t="shared" ca="1" si="53"/>
        <v>0</v>
      </c>
      <c r="AH60" s="341">
        <f t="shared" ca="1" si="54"/>
        <v>0</v>
      </c>
      <c r="AI60" s="341">
        <f t="shared" ca="1" si="55"/>
        <v>0</v>
      </c>
      <c r="AJ60" s="341">
        <f t="shared" ca="1" si="56"/>
        <v>0</v>
      </c>
      <c r="AK60" s="341">
        <f t="shared" ca="1" si="57"/>
        <v>0</v>
      </c>
      <c r="AL60" s="341">
        <f t="shared" ca="1" si="58"/>
        <v>0</v>
      </c>
      <c r="AM60" s="341">
        <f t="shared" ca="1" si="59"/>
        <v>0</v>
      </c>
      <c r="AN60" s="341">
        <f t="shared" ca="1" si="60"/>
        <v>0</v>
      </c>
      <c r="AO60" s="341">
        <f t="shared" ca="1" si="61"/>
        <v>0</v>
      </c>
      <c r="AP60" s="341">
        <f t="shared" ca="1" si="62"/>
        <v>0</v>
      </c>
      <c r="AQ60" s="341">
        <f t="shared" ca="1" si="63"/>
        <v>0</v>
      </c>
      <c r="AR60" s="341">
        <f t="shared" ca="1" si="64"/>
        <v>0</v>
      </c>
      <c r="AS60" s="341">
        <f t="shared" ca="1" si="65"/>
        <v>0</v>
      </c>
      <c r="AT60" s="341">
        <f t="shared" ca="1" si="66"/>
        <v>0</v>
      </c>
      <c r="AU60" s="341">
        <f t="shared" ca="1" si="67"/>
        <v>0</v>
      </c>
      <c r="AV60" s="341">
        <f t="shared" ca="1" si="68"/>
        <v>0</v>
      </c>
      <c r="AW60" s="333">
        <f t="shared" ca="1" si="69"/>
        <v>0</v>
      </c>
      <c r="AX60" s="333">
        <f t="shared" ca="1" si="70"/>
        <v>0</v>
      </c>
      <c r="AY60" s="333">
        <f t="shared" ca="1" si="71"/>
        <v>0</v>
      </c>
      <c r="AZ60" s="341">
        <f t="shared" ca="1" si="25"/>
        <v>2.5</v>
      </c>
      <c r="BA60" s="341">
        <f t="shared" ca="1" si="26"/>
        <v>1</v>
      </c>
      <c r="BB60" s="341">
        <f t="shared" ca="1" si="27"/>
        <v>0</v>
      </c>
      <c r="BC60" s="341">
        <f t="shared" ca="1" si="28"/>
        <v>0</v>
      </c>
      <c r="BD60" s="341">
        <f t="shared" ca="1" si="29"/>
        <v>0</v>
      </c>
      <c r="BE60" s="341">
        <f t="shared" ca="1" si="30"/>
        <v>0</v>
      </c>
      <c r="BF60" s="341">
        <f t="shared" ca="1" si="31"/>
        <v>0</v>
      </c>
      <c r="BG60" s="441">
        <f t="shared" ca="1" si="32"/>
        <v>0</v>
      </c>
      <c r="BH60" s="441">
        <f t="shared" ca="1" si="33"/>
        <v>0</v>
      </c>
      <c r="BI60" s="441">
        <f t="shared" ca="1" si="34"/>
        <v>0</v>
      </c>
      <c r="BJ60" s="441">
        <f t="shared" ca="1" si="35"/>
        <v>0</v>
      </c>
      <c r="BK60" s="441">
        <f t="shared" ca="1" si="36"/>
        <v>0</v>
      </c>
      <c r="BL60" s="341">
        <f t="shared" ca="1" si="37"/>
        <v>0</v>
      </c>
      <c r="BM60" s="341">
        <f t="shared" ca="1" si="38"/>
        <v>0</v>
      </c>
      <c r="BN60" s="341">
        <f t="shared" ca="1" si="39"/>
        <v>0</v>
      </c>
      <c r="BO60" s="341">
        <f t="shared" ca="1" si="40"/>
        <v>0</v>
      </c>
      <c r="BP60" s="341">
        <f t="shared" ca="1" si="41"/>
        <v>0</v>
      </c>
      <c r="BQ60" s="341">
        <f t="shared" ca="1" si="42"/>
        <v>2.5</v>
      </c>
      <c r="BR60" s="341" t="str">
        <f t="shared" ca="1" si="72"/>
        <v>BP2</v>
      </c>
      <c r="BS60" s="357" t="str">
        <f t="shared" ca="1" si="73"/>
        <v>BP2</v>
      </c>
      <c r="BT60" s="358">
        <f t="shared" si="48"/>
        <v>50</v>
      </c>
      <c r="BU60" s="358">
        <f t="shared" ca="1" si="45"/>
        <v>0</v>
      </c>
      <c r="BV60" s="358">
        <f t="shared" ca="1" si="46"/>
        <v>0</v>
      </c>
      <c r="BW60" s="341"/>
      <c r="BX60" s="341"/>
      <c r="BY60" s="341"/>
      <c r="BZ60" s="341"/>
      <c r="CA60" s="127"/>
      <c r="CB60" s="127"/>
    </row>
    <row r="61" spans="1:80" x14ac:dyDescent="0.25">
      <c r="A61" s="136"/>
      <c r="B61" s="728"/>
      <c r="C61" s="678"/>
      <c r="D61" s="678"/>
      <c r="E61" s="729" t="s">
        <v>196</v>
      </c>
      <c r="F61" s="678"/>
      <c r="G61" s="678"/>
      <c r="H61" s="12">
        <v>0</v>
      </c>
      <c r="I61" s="12">
        <v>0</v>
      </c>
      <c r="J61" s="12">
        <v>0</v>
      </c>
      <c r="K61" s="10" t="s">
        <v>512</v>
      </c>
      <c r="L61" s="244" t="s">
        <v>514</v>
      </c>
      <c r="M61" s="244" t="s">
        <v>458</v>
      </c>
      <c r="N61" s="244" t="s">
        <v>458</v>
      </c>
      <c r="O61" s="12" t="s">
        <v>396</v>
      </c>
      <c r="P61" s="234">
        <v>0</v>
      </c>
      <c r="Q61" s="13">
        <v>0.125</v>
      </c>
      <c r="R61" s="14" t="s">
        <v>28</v>
      </c>
      <c r="S61" s="237">
        <v>1</v>
      </c>
      <c r="T61" s="10">
        <v>0</v>
      </c>
      <c r="U61" s="548">
        <f t="shared" si="49"/>
        <v>0</v>
      </c>
      <c r="V61" s="484">
        <f t="shared" ca="1" si="50"/>
        <v>0</v>
      </c>
      <c r="W61" s="484">
        <f t="shared" ca="1" si="2"/>
        <v>0</v>
      </c>
      <c r="X61" s="485">
        <f t="shared" ca="1" si="51"/>
        <v>0</v>
      </c>
      <c r="Y61" s="450" t="s">
        <v>458</v>
      </c>
      <c r="Z61" s="370"/>
      <c r="AA61" s="371" t="s">
        <v>458</v>
      </c>
      <c r="AB61" s="370"/>
      <c r="AC61" s="449"/>
      <c r="AD61" s="489">
        <f t="shared" si="52"/>
        <v>0</v>
      </c>
      <c r="AE61" s="341">
        <f t="shared" si="5"/>
        <v>212</v>
      </c>
      <c r="AF61" s="341">
        <f t="shared" si="6"/>
        <v>0</v>
      </c>
      <c r="AG61" s="341">
        <f t="shared" ca="1" si="53"/>
        <v>0</v>
      </c>
      <c r="AH61" s="341">
        <f t="shared" ca="1" si="54"/>
        <v>0</v>
      </c>
      <c r="AI61" s="341">
        <f t="shared" ca="1" si="55"/>
        <v>0</v>
      </c>
      <c r="AJ61" s="341">
        <f t="shared" ca="1" si="56"/>
        <v>0</v>
      </c>
      <c r="AK61" s="341">
        <f t="shared" ca="1" si="57"/>
        <v>0</v>
      </c>
      <c r="AL61" s="341">
        <f t="shared" ca="1" si="58"/>
        <v>0</v>
      </c>
      <c r="AM61" s="341">
        <f t="shared" ca="1" si="59"/>
        <v>0</v>
      </c>
      <c r="AN61" s="341">
        <f t="shared" ca="1" si="60"/>
        <v>0</v>
      </c>
      <c r="AO61" s="341">
        <f t="shared" ca="1" si="61"/>
        <v>0</v>
      </c>
      <c r="AP61" s="341">
        <f t="shared" ca="1" si="62"/>
        <v>0</v>
      </c>
      <c r="AQ61" s="341">
        <f t="shared" ca="1" si="63"/>
        <v>0</v>
      </c>
      <c r="AR61" s="341">
        <f t="shared" ca="1" si="64"/>
        <v>0</v>
      </c>
      <c r="AS61" s="341">
        <f t="shared" ca="1" si="65"/>
        <v>0</v>
      </c>
      <c r="AT61" s="341">
        <f t="shared" ca="1" si="66"/>
        <v>0</v>
      </c>
      <c r="AU61" s="341">
        <f t="shared" ca="1" si="67"/>
        <v>0</v>
      </c>
      <c r="AV61" s="341">
        <f t="shared" ca="1" si="68"/>
        <v>0</v>
      </c>
      <c r="AW61" s="333">
        <f t="shared" ca="1" si="69"/>
        <v>0</v>
      </c>
      <c r="AX61" s="333">
        <f t="shared" ca="1" si="70"/>
        <v>0</v>
      </c>
      <c r="AY61" s="333">
        <f t="shared" ca="1" si="71"/>
        <v>0</v>
      </c>
      <c r="AZ61" s="341">
        <f t="shared" ca="1" si="25"/>
        <v>2.5</v>
      </c>
      <c r="BA61" s="341">
        <f t="shared" ca="1" si="26"/>
        <v>1</v>
      </c>
      <c r="BB61" s="341">
        <f t="shared" ca="1" si="27"/>
        <v>0</v>
      </c>
      <c r="BC61" s="341">
        <f t="shared" ca="1" si="28"/>
        <v>0</v>
      </c>
      <c r="BD61" s="341">
        <f t="shared" ca="1" si="29"/>
        <v>0</v>
      </c>
      <c r="BE61" s="341">
        <f t="shared" ca="1" si="30"/>
        <v>0</v>
      </c>
      <c r="BF61" s="341">
        <f t="shared" ca="1" si="31"/>
        <v>0</v>
      </c>
      <c r="BG61" s="441">
        <f t="shared" ca="1" si="32"/>
        <v>0</v>
      </c>
      <c r="BH61" s="441">
        <f t="shared" ca="1" si="33"/>
        <v>0</v>
      </c>
      <c r="BI61" s="441">
        <f t="shared" ca="1" si="34"/>
        <v>0</v>
      </c>
      <c r="BJ61" s="441">
        <f t="shared" ca="1" si="35"/>
        <v>0</v>
      </c>
      <c r="BK61" s="441">
        <f t="shared" ca="1" si="36"/>
        <v>0</v>
      </c>
      <c r="BL61" s="341">
        <f t="shared" ca="1" si="37"/>
        <v>0</v>
      </c>
      <c r="BM61" s="341">
        <f t="shared" ca="1" si="38"/>
        <v>0</v>
      </c>
      <c r="BN61" s="341">
        <f t="shared" ca="1" si="39"/>
        <v>0</v>
      </c>
      <c r="BO61" s="341">
        <f t="shared" ca="1" si="40"/>
        <v>0</v>
      </c>
      <c r="BP61" s="341">
        <f t="shared" ca="1" si="41"/>
        <v>0</v>
      </c>
      <c r="BQ61" s="341">
        <f t="shared" ca="1" si="42"/>
        <v>2.5</v>
      </c>
      <c r="BR61" s="341" t="str">
        <f t="shared" ca="1" si="72"/>
        <v>BP2</v>
      </c>
      <c r="BS61" s="357" t="str">
        <f t="shared" ca="1" si="73"/>
        <v>BP2</v>
      </c>
      <c r="BT61" s="358">
        <f t="shared" si="48"/>
        <v>50</v>
      </c>
      <c r="BU61" s="358">
        <f t="shared" ca="1" si="45"/>
        <v>0</v>
      </c>
      <c r="BV61" s="358">
        <f t="shared" ca="1" si="46"/>
        <v>0</v>
      </c>
      <c r="BW61" s="341"/>
      <c r="BX61" s="341"/>
      <c r="BY61" s="341"/>
      <c r="BZ61" s="341"/>
      <c r="CA61" s="127"/>
      <c r="CB61" s="127"/>
    </row>
    <row r="62" spans="1:80" x14ac:dyDescent="0.25">
      <c r="A62" s="136"/>
      <c r="B62" s="728"/>
      <c r="C62" s="678"/>
      <c r="D62" s="678"/>
      <c r="E62" s="729" t="s">
        <v>196</v>
      </c>
      <c r="F62" s="678"/>
      <c r="G62" s="678"/>
      <c r="H62" s="12">
        <v>0</v>
      </c>
      <c r="I62" s="12">
        <v>0</v>
      </c>
      <c r="J62" s="12">
        <v>0</v>
      </c>
      <c r="K62" s="10" t="s">
        <v>512</v>
      </c>
      <c r="L62" s="244" t="s">
        <v>514</v>
      </c>
      <c r="M62" s="244" t="s">
        <v>458</v>
      </c>
      <c r="N62" s="244" t="s">
        <v>458</v>
      </c>
      <c r="O62" s="12" t="s">
        <v>396</v>
      </c>
      <c r="P62" s="234">
        <v>0</v>
      </c>
      <c r="Q62" s="13">
        <v>0.125</v>
      </c>
      <c r="R62" s="14" t="s">
        <v>28</v>
      </c>
      <c r="S62" s="237">
        <v>1</v>
      </c>
      <c r="T62" s="10">
        <v>0</v>
      </c>
      <c r="U62" s="548">
        <f t="shared" si="49"/>
        <v>0</v>
      </c>
      <c r="V62" s="484">
        <f t="shared" ca="1" si="50"/>
        <v>0</v>
      </c>
      <c r="W62" s="484">
        <f t="shared" ca="1" si="2"/>
        <v>0</v>
      </c>
      <c r="X62" s="485">
        <f t="shared" ca="1" si="51"/>
        <v>0</v>
      </c>
      <c r="Y62" s="450" t="s">
        <v>458</v>
      </c>
      <c r="Z62" s="370"/>
      <c r="AA62" s="371" t="s">
        <v>458</v>
      </c>
      <c r="AB62" s="370"/>
      <c r="AC62" s="449"/>
      <c r="AD62" s="489">
        <f t="shared" si="52"/>
        <v>0</v>
      </c>
      <c r="AE62" s="341">
        <f t="shared" si="5"/>
        <v>212</v>
      </c>
      <c r="AF62" s="341">
        <f t="shared" si="6"/>
        <v>0</v>
      </c>
      <c r="AG62" s="341">
        <f t="shared" ca="1" si="53"/>
        <v>0</v>
      </c>
      <c r="AH62" s="341">
        <f t="shared" ca="1" si="54"/>
        <v>0</v>
      </c>
      <c r="AI62" s="341">
        <f t="shared" ca="1" si="55"/>
        <v>0</v>
      </c>
      <c r="AJ62" s="341">
        <f t="shared" ca="1" si="56"/>
        <v>0</v>
      </c>
      <c r="AK62" s="341">
        <f t="shared" ca="1" si="57"/>
        <v>0</v>
      </c>
      <c r="AL62" s="341">
        <f t="shared" ca="1" si="58"/>
        <v>0</v>
      </c>
      <c r="AM62" s="341">
        <f t="shared" ca="1" si="59"/>
        <v>0</v>
      </c>
      <c r="AN62" s="341">
        <f t="shared" ca="1" si="60"/>
        <v>0</v>
      </c>
      <c r="AO62" s="341">
        <f t="shared" ca="1" si="61"/>
        <v>0</v>
      </c>
      <c r="AP62" s="341">
        <f t="shared" ca="1" si="62"/>
        <v>0</v>
      </c>
      <c r="AQ62" s="341">
        <f t="shared" ca="1" si="63"/>
        <v>0</v>
      </c>
      <c r="AR62" s="341">
        <f t="shared" ca="1" si="64"/>
        <v>0</v>
      </c>
      <c r="AS62" s="341">
        <f t="shared" ca="1" si="65"/>
        <v>0</v>
      </c>
      <c r="AT62" s="341">
        <f t="shared" ca="1" si="66"/>
        <v>0</v>
      </c>
      <c r="AU62" s="341">
        <f t="shared" ca="1" si="67"/>
        <v>0</v>
      </c>
      <c r="AV62" s="341">
        <f t="shared" ca="1" si="68"/>
        <v>0</v>
      </c>
      <c r="AW62" s="333">
        <f t="shared" ca="1" si="69"/>
        <v>0</v>
      </c>
      <c r="AX62" s="333">
        <f t="shared" ca="1" si="70"/>
        <v>0</v>
      </c>
      <c r="AY62" s="333">
        <f t="shared" ca="1" si="71"/>
        <v>0</v>
      </c>
      <c r="AZ62" s="341">
        <f t="shared" ca="1" si="25"/>
        <v>2.5</v>
      </c>
      <c r="BA62" s="341">
        <f t="shared" ca="1" si="26"/>
        <v>1</v>
      </c>
      <c r="BB62" s="341">
        <f t="shared" ca="1" si="27"/>
        <v>0</v>
      </c>
      <c r="BC62" s="341">
        <f t="shared" ca="1" si="28"/>
        <v>0</v>
      </c>
      <c r="BD62" s="341">
        <f t="shared" ca="1" si="29"/>
        <v>0</v>
      </c>
      <c r="BE62" s="341">
        <f t="shared" ca="1" si="30"/>
        <v>0</v>
      </c>
      <c r="BF62" s="341">
        <f t="shared" ca="1" si="31"/>
        <v>0</v>
      </c>
      <c r="BG62" s="441">
        <f t="shared" ca="1" si="32"/>
        <v>0</v>
      </c>
      <c r="BH62" s="441">
        <f t="shared" ca="1" si="33"/>
        <v>0</v>
      </c>
      <c r="BI62" s="441">
        <f t="shared" ca="1" si="34"/>
        <v>0</v>
      </c>
      <c r="BJ62" s="441">
        <f t="shared" ca="1" si="35"/>
        <v>0</v>
      </c>
      <c r="BK62" s="441">
        <f t="shared" ca="1" si="36"/>
        <v>0</v>
      </c>
      <c r="BL62" s="341">
        <f t="shared" ca="1" si="37"/>
        <v>0</v>
      </c>
      <c r="BM62" s="341">
        <f t="shared" ca="1" si="38"/>
        <v>0</v>
      </c>
      <c r="BN62" s="341">
        <f t="shared" ca="1" si="39"/>
        <v>0</v>
      </c>
      <c r="BO62" s="341">
        <f t="shared" ca="1" si="40"/>
        <v>0</v>
      </c>
      <c r="BP62" s="341">
        <f t="shared" ca="1" si="41"/>
        <v>0</v>
      </c>
      <c r="BQ62" s="341">
        <f t="shared" ca="1" si="42"/>
        <v>2.5</v>
      </c>
      <c r="BR62" s="341" t="str">
        <f t="shared" ca="1" si="72"/>
        <v>BP2</v>
      </c>
      <c r="BS62" s="357" t="str">
        <f t="shared" ca="1" si="73"/>
        <v>BP2</v>
      </c>
      <c r="BT62" s="358">
        <f t="shared" si="48"/>
        <v>50</v>
      </c>
      <c r="BU62" s="358">
        <f t="shared" ca="1" si="45"/>
        <v>0</v>
      </c>
      <c r="BV62" s="358">
        <f t="shared" ca="1" si="46"/>
        <v>0</v>
      </c>
      <c r="BW62" s="341"/>
      <c r="BX62" s="341"/>
      <c r="BY62" s="341"/>
      <c r="BZ62" s="341"/>
      <c r="CA62" s="127"/>
      <c r="CB62" s="127"/>
    </row>
    <row r="63" spans="1:80" x14ac:dyDescent="0.25">
      <c r="A63" s="136"/>
      <c r="B63" s="728"/>
      <c r="C63" s="678"/>
      <c r="D63" s="678"/>
      <c r="E63" s="729" t="s">
        <v>196</v>
      </c>
      <c r="F63" s="678"/>
      <c r="G63" s="678"/>
      <c r="H63" s="12">
        <v>0</v>
      </c>
      <c r="I63" s="12">
        <v>0</v>
      </c>
      <c r="J63" s="12">
        <v>0</v>
      </c>
      <c r="K63" s="10" t="s">
        <v>512</v>
      </c>
      <c r="L63" s="244" t="s">
        <v>514</v>
      </c>
      <c r="M63" s="244" t="s">
        <v>458</v>
      </c>
      <c r="N63" s="244" t="s">
        <v>458</v>
      </c>
      <c r="O63" s="12" t="s">
        <v>396</v>
      </c>
      <c r="P63" s="234">
        <v>0</v>
      </c>
      <c r="Q63" s="13">
        <v>0.125</v>
      </c>
      <c r="R63" s="14" t="s">
        <v>28</v>
      </c>
      <c r="S63" s="237">
        <v>1</v>
      </c>
      <c r="T63" s="10">
        <v>0</v>
      </c>
      <c r="U63" s="548">
        <f t="shared" si="49"/>
        <v>0</v>
      </c>
      <c r="V63" s="484">
        <f t="shared" ca="1" si="50"/>
        <v>0</v>
      </c>
      <c r="W63" s="484">
        <f t="shared" ca="1" si="2"/>
        <v>0</v>
      </c>
      <c r="X63" s="485">
        <f t="shared" ca="1" si="51"/>
        <v>0</v>
      </c>
      <c r="Y63" s="450" t="s">
        <v>458</v>
      </c>
      <c r="Z63" s="370"/>
      <c r="AA63" s="371" t="s">
        <v>458</v>
      </c>
      <c r="AB63" s="370"/>
      <c r="AC63" s="449"/>
      <c r="AD63" s="489">
        <f t="shared" si="52"/>
        <v>0</v>
      </c>
      <c r="AE63" s="341">
        <f t="shared" si="5"/>
        <v>212</v>
      </c>
      <c r="AF63" s="341">
        <f t="shared" si="6"/>
        <v>0</v>
      </c>
      <c r="AG63" s="341">
        <f t="shared" ca="1" si="53"/>
        <v>0</v>
      </c>
      <c r="AH63" s="341">
        <f t="shared" ca="1" si="54"/>
        <v>0</v>
      </c>
      <c r="AI63" s="341">
        <f t="shared" ca="1" si="55"/>
        <v>0</v>
      </c>
      <c r="AJ63" s="341">
        <f t="shared" ca="1" si="56"/>
        <v>0</v>
      </c>
      <c r="AK63" s="341">
        <f t="shared" ca="1" si="57"/>
        <v>0</v>
      </c>
      <c r="AL63" s="341">
        <f t="shared" ca="1" si="58"/>
        <v>0</v>
      </c>
      <c r="AM63" s="341">
        <f t="shared" ca="1" si="59"/>
        <v>0</v>
      </c>
      <c r="AN63" s="341">
        <f t="shared" ca="1" si="60"/>
        <v>0</v>
      </c>
      <c r="AO63" s="341">
        <f t="shared" ca="1" si="61"/>
        <v>0</v>
      </c>
      <c r="AP63" s="341">
        <f t="shared" ca="1" si="62"/>
        <v>0</v>
      </c>
      <c r="AQ63" s="341">
        <f t="shared" ca="1" si="63"/>
        <v>0</v>
      </c>
      <c r="AR63" s="341">
        <f t="shared" ca="1" si="64"/>
        <v>0</v>
      </c>
      <c r="AS63" s="341">
        <f t="shared" ca="1" si="65"/>
        <v>0</v>
      </c>
      <c r="AT63" s="341">
        <f t="shared" ca="1" si="66"/>
        <v>0</v>
      </c>
      <c r="AU63" s="341">
        <f t="shared" ca="1" si="67"/>
        <v>0</v>
      </c>
      <c r="AV63" s="341">
        <f t="shared" ca="1" si="68"/>
        <v>0</v>
      </c>
      <c r="AW63" s="333">
        <f t="shared" ca="1" si="69"/>
        <v>0</v>
      </c>
      <c r="AX63" s="333">
        <f t="shared" ca="1" si="70"/>
        <v>0</v>
      </c>
      <c r="AY63" s="333">
        <f t="shared" ca="1" si="71"/>
        <v>0</v>
      </c>
      <c r="AZ63" s="341">
        <f t="shared" ca="1" si="25"/>
        <v>2.5</v>
      </c>
      <c r="BA63" s="341">
        <f t="shared" ca="1" si="26"/>
        <v>1</v>
      </c>
      <c r="BB63" s="341">
        <f t="shared" ca="1" si="27"/>
        <v>0</v>
      </c>
      <c r="BC63" s="341">
        <f t="shared" ca="1" si="28"/>
        <v>0</v>
      </c>
      <c r="BD63" s="341">
        <f t="shared" ca="1" si="29"/>
        <v>0</v>
      </c>
      <c r="BE63" s="341">
        <f t="shared" ca="1" si="30"/>
        <v>0</v>
      </c>
      <c r="BF63" s="341">
        <f t="shared" ca="1" si="31"/>
        <v>0</v>
      </c>
      <c r="BG63" s="441">
        <f t="shared" ca="1" si="32"/>
        <v>0</v>
      </c>
      <c r="BH63" s="441">
        <f t="shared" ca="1" si="33"/>
        <v>0</v>
      </c>
      <c r="BI63" s="441">
        <f t="shared" ca="1" si="34"/>
        <v>0</v>
      </c>
      <c r="BJ63" s="441">
        <f t="shared" ca="1" si="35"/>
        <v>0</v>
      </c>
      <c r="BK63" s="441">
        <f t="shared" ca="1" si="36"/>
        <v>0</v>
      </c>
      <c r="BL63" s="341">
        <f t="shared" ca="1" si="37"/>
        <v>0</v>
      </c>
      <c r="BM63" s="341">
        <f t="shared" ca="1" si="38"/>
        <v>0</v>
      </c>
      <c r="BN63" s="341">
        <f t="shared" ca="1" si="39"/>
        <v>0</v>
      </c>
      <c r="BO63" s="341">
        <f t="shared" ca="1" si="40"/>
        <v>0</v>
      </c>
      <c r="BP63" s="341">
        <f t="shared" ca="1" si="41"/>
        <v>0</v>
      </c>
      <c r="BQ63" s="341">
        <f t="shared" ca="1" si="42"/>
        <v>2.5</v>
      </c>
      <c r="BR63" s="341" t="str">
        <f t="shared" ca="1" si="72"/>
        <v>BP2</v>
      </c>
      <c r="BS63" s="357" t="str">
        <f t="shared" ca="1" si="73"/>
        <v>BP2</v>
      </c>
      <c r="BT63" s="358">
        <f t="shared" si="48"/>
        <v>50</v>
      </c>
      <c r="BU63" s="358">
        <f t="shared" ca="1" si="45"/>
        <v>0</v>
      </c>
      <c r="BV63" s="358">
        <f t="shared" ca="1" si="46"/>
        <v>0</v>
      </c>
      <c r="BW63" s="341"/>
      <c r="BX63" s="341"/>
      <c r="BY63" s="341"/>
      <c r="BZ63" s="341"/>
      <c r="CA63" s="127"/>
      <c r="CB63" s="127"/>
    </row>
    <row r="64" spans="1:80" x14ac:dyDescent="0.25">
      <c r="A64" s="136"/>
      <c r="B64" s="728"/>
      <c r="C64" s="678"/>
      <c r="D64" s="678"/>
      <c r="E64" s="729" t="s">
        <v>196</v>
      </c>
      <c r="F64" s="678"/>
      <c r="G64" s="678"/>
      <c r="H64" s="12">
        <v>0</v>
      </c>
      <c r="I64" s="12">
        <v>0</v>
      </c>
      <c r="J64" s="12">
        <v>0</v>
      </c>
      <c r="K64" s="10" t="s">
        <v>512</v>
      </c>
      <c r="L64" s="244" t="s">
        <v>514</v>
      </c>
      <c r="M64" s="244" t="s">
        <v>458</v>
      </c>
      <c r="N64" s="244" t="s">
        <v>458</v>
      </c>
      <c r="O64" s="12" t="s">
        <v>396</v>
      </c>
      <c r="P64" s="234">
        <v>0</v>
      </c>
      <c r="Q64" s="13">
        <v>0.125</v>
      </c>
      <c r="R64" s="14" t="s">
        <v>28</v>
      </c>
      <c r="S64" s="237">
        <v>1</v>
      </c>
      <c r="T64" s="10">
        <v>0</v>
      </c>
      <c r="U64" s="548">
        <f t="shared" si="49"/>
        <v>0</v>
      </c>
      <c r="V64" s="484">
        <f t="shared" ca="1" si="50"/>
        <v>0</v>
      </c>
      <c r="W64" s="484">
        <f t="shared" ca="1" si="2"/>
        <v>0</v>
      </c>
      <c r="X64" s="485">
        <f t="shared" ca="1" si="51"/>
        <v>0</v>
      </c>
      <c r="Y64" s="450" t="s">
        <v>458</v>
      </c>
      <c r="Z64" s="370"/>
      <c r="AA64" s="371" t="s">
        <v>458</v>
      </c>
      <c r="AB64" s="370"/>
      <c r="AC64" s="449"/>
      <c r="AD64" s="489">
        <f t="shared" si="52"/>
        <v>0</v>
      </c>
      <c r="AE64" s="341">
        <f t="shared" si="5"/>
        <v>212</v>
      </c>
      <c r="AF64" s="341">
        <f t="shared" si="6"/>
        <v>0</v>
      </c>
      <c r="AG64" s="341">
        <f t="shared" ca="1" si="53"/>
        <v>0</v>
      </c>
      <c r="AH64" s="341">
        <f t="shared" ca="1" si="54"/>
        <v>0</v>
      </c>
      <c r="AI64" s="341">
        <f t="shared" ca="1" si="55"/>
        <v>0</v>
      </c>
      <c r="AJ64" s="341">
        <f t="shared" ca="1" si="56"/>
        <v>0</v>
      </c>
      <c r="AK64" s="341">
        <f t="shared" ca="1" si="57"/>
        <v>0</v>
      </c>
      <c r="AL64" s="341">
        <f t="shared" ca="1" si="58"/>
        <v>0</v>
      </c>
      <c r="AM64" s="341">
        <f t="shared" ca="1" si="59"/>
        <v>0</v>
      </c>
      <c r="AN64" s="341">
        <f t="shared" ca="1" si="60"/>
        <v>0</v>
      </c>
      <c r="AO64" s="341">
        <f t="shared" ca="1" si="61"/>
        <v>0</v>
      </c>
      <c r="AP64" s="341">
        <f t="shared" ca="1" si="62"/>
        <v>0</v>
      </c>
      <c r="AQ64" s="341">
        <f t="shared" ca="1" si="63"/>
        <v>0</v>
      </c>
      <c r="AR64" s="341">
        <f t="shared" ca="1" si="64"/>
        <v>0</v>
      </c>
      <c r="AS64" s="341">
        <f t="shared" ca="1" si="65"/>
        <v>0</v>
      </c>
      <c r="AT64" s="341">
        <f t="shared" ca="1" si="66"/>
        <v>0</v>
      </c>
      <c r="AU64" s="341">
        <f t="shared" ca="1" si="67"/>
        <v>0</v>
      </c>
      <c r="AV64" s="341">
        <f t="shared" ca="1" si="68"/>
        <v>0</v>
      </c>
      <c r="AW64" s="333">
        <f t="shared" ca="1" si="69"/>
        <v>0</v>
      </c>
      <c r="AX64" s="333">
        <f t="shared" ca="1" si="70"/>
        <v>0</v>
      </c>
      <c r="AY64" s="333">
        <f t="shared" ca="1" si="71"/>
        <v>0</v>
      </c>
      <c r="AZ64" s="341">
        <f t="shared" ca="1" si="25"/>
        <v>2.5</v>
      </c>
      <c r="BA64" s="341">
        <f t="shared" ca="1" si="26"/>
        <v>1</v>
      </c>
      <c r="BB64" s="341">
        <f t="shared" ca="1" si="27"/>
        <v>0</v>
      </c>
      <c r="BC64" s="341">
        <f t="shared" ca="1" si="28"/>
        <v>0</v>
      </c>
      <c r="BD64" s="341">
        <f t="shared" ca="1" si="29"/>
        <v>0</v>
      </c>
      <c r="BE64" s="341">
        <f t="shared" ca="1" si="30"/>
        <v>0</v>
      </c>
      <c r="BF64" s="341">
        <f t="shared" ca="1" si="31"/>
        <v>0</v>
      </c>
      <c r="BG64" s="441">
        <f t="shared" ca="1" si="32"/>
        <v>0</v>
      </c>
      <c r="BH64" s="441">
        <f t="shared" ca="1" si="33"/>
        <v>0</v>
      </c>
      <c r="BI64" s="441">
        <f t="shared" ca="1" si="34"/>
        <v>0</v>
      </c>
      <c r="BJ64" s="441">
        <f t="shared" ca="1" si="35"/>
        <v>0</v>
      </c>
      <c r="BK64" s="441">
        <f t="shared" ca="1" si="36"/>
        <v>0</v>
      </c>
      <c r="BL64" s="341">
        <f t="shared" ca="1" si="37"/>
        <v>0</v>
      </c>
      <c r="BM64" s="341">
        <f t="shared" ca="1" si="38"/>
        <v>0</v>
      </c>
      <c r="BN64" s="341">
        <f t="shared" ca="1" si="39"/>
        <v>0</v>
      </c>
      <c r="BO64" s="341">
        <f t="shared" ca="1" si="40"/>
        <v>0</v>
      </c>
      <c r="BP64" s="341">
        <f t="shared" ca="1" si="41"/>
        <v>0</v>
      </c>
      <c r="BQ64" s="341">
        <f t="shared" ca="1" si="42"/>
        <v>2.5</v>
      </c>
      <c r="BR64" s="341" t="str">
        <f t="shared" ca="1" si="72"/>
        <v>BP2</v>
      </c>
      <c r="BS64" s="357" t="str">
        <f t="shared" ca="1" si="73"/>
        <v>BP2</v>
      </c>
      <c r="BT64" s="358">
        <f t="shared" si="48"/>
        <v>50</v>
      </c>
      <c r="BU64" s="358">
        <f t="shared" ca="1" si="45"/>
        <v>0</v>
      </c>
      <c r="BV64" s="358">
        <f t="shared" ca="1" si="46"/>
        <v>0</v>
      </c>
      <c r="BW64" s="341"/>
      <c r="BX64" s="341"/>
      <c r="BY64" s="341"/>
      <c r="BZ64" s="341"/>
      <c r="CA64" s="127"/>
      <c r="CB64" s="127"/>
    </row>
    <row r="65" spans="1:80" x14ac:dyDescent="0.25">
      <c r="A65" s="136"/>
      <c r="B65" s="728"/>
      <c r="C65" s="678"/>
      <c r="D65" s="678"/>
      <c r="E65" s="729" t="s">
        <v>196</v>
      </c>
      <c r="F65" s="678"/>
      <c r="G65" s="678"/>
      <c r="H65" s="12">
        <v>0</v>
      </c>
      <c r="I65" s="12">
        <v>0</v>
      </c>
      <c r="J65" s="12">
        <v>0</v>
      </c>
      <c r="K65" s="10" t="s">
        <v>512</v>
      </c>
      <c r="L65" s="244" t="s">
        <v>514</v>
      </c>
      <c r="M65" s="244" t="s">
        <v>458</v>
      </c>
      <c r="N65" s="244" t="s">
        <v>458</v>
      </c>
      <c r="O65" s="12" t="s">
        <v>396</v>
      </c>
      <c r="P65" s="234">
        <v>0</v>
      </c>
      <c r="Q65" s="13">
        <v>0.125</v>
      </c>
      <c r="R65" s="14" t="s">
        <v>28</v>
      </c>
      <c r="S65" s="237">
        <v>1</v>
      </c>
      <c r="T65" s="10">
        <v>0</v>
      </c>
      <c r="U65" s="548">
        <f t="shared" si="49"/>
        <v>0</v>
      </c>
      <c r="V65" s="484">
        <f t="shared" ca="1" si="50"/>
        <v>0</v>
      </c>
      <c r="W65" s="484">
        <f t="shared" ca="1" si="2"/>
        <v>0</v>
      </c>
      <c r="X65" s="485">
        <f t="shared" ca="1" si="51"/>
        <v>0</v>
      </c>
      <c r="Y65" s="450" t="s">
        <v>458</v>
      </c>
      <c r="Z65" s="370"/>
      <c r="AA65" s="371" t="s">
        <v>458</v>
      </c>
      <c r="AB65" s="370"/>
      <c r="AC65" s="449"/>
      <c r="AD65" s="489">
        <f t="shared" si="52"/>
        <v>0</v>
      </c>
      <c r="AE65" s="341">
        <f t="shared" si="5"/>
        <v>212</v>
      </c>
      <c r="AF65" s="341">
        <f t="shared" si="6"/>
        <v>0</v>
      </c>
      <c r="AG65" s="341">
        <f t="shared" ca="1" si="53"/>
        <v>0</v>
      </c>
      <c r="AH65" s="341">
        <f t="shared" ca="1" si="54"/>
        <v>0</v>
      </c>
      <c r="AI65" s="341">
        <f t="shared" ca="1" si="55"/>
        <v>0</v>
      </c>
      <c r="AJ65" s="341">
        <f t="shared" ca="1" si="56"/>
        <v>0</v>
      </c>
      <c r="AK65" s="341">
        <f t="shared" ca="1" si="57"/>
        <v>0</v>
      </c>
      <c r="AL65" s="341">
        <f t="shared" ca="1" si="58"/>
        <v>0</v>
      </c>
      <c r="AM65" s="341">
        <f t="shared" ca="1" si="59"/>
        <v>0</v>
      </c>
      <c r="AN65" s="341">
        <f t="shared" ca="1" si="60"/>
        <v>0</v>
      </c>
      <c r="AO65" s="341">
        <f t="shared" ca="1" si="61"/>
        <v>0</v>
      </c>
      <c r="AP65" s="341">
        <f t="shared" ca="1" si="62"/>
        <v>0</v>
      </c>
      <c r="AQ65" s="341">
        <f t="shared" ca="1" si="63"/>
        <v>0</v>
      </c>
      <c r="AR65" s="341">
        <f t="shared" ca="1" si="64"/>
        <v>0</v>
      </c>
      <c r="AS65" s="341">
        <f t="shared" ca="1" si="65"/>
        <v>0</v>
      </c>
      <c r="AT65" s="341">
        <f t="shared" ca="1" si="66"/>
        <v>0</v>
      </c>
      <c r="AU65" s="341">
        <f t="shared" ca="1" si="67"/>
        <v>0</v>
      </c>
      <c r="AV65" s="341">
        <f t="shared" ca="1" si="68"/>
        <v>0</v>
      </c>
      <c r="AW65" s="333">
        <f t="shared" ca="1" si="69"/>
        <v>0</v>
      </c>
      <c r="AX65" s="333">
        <f t="shared" ca="1" si="70"/>
        <v>0</v>
      </c>
      <c r="AY65" s="333">
        <f t="shared" ca="1" si="71"/>
        <v>0</v>
      </c>
      <c r="AZ65" s="341">
        <f t="shared" ca="1" si="25"/>
        <v>2.5</v>
      </c>
      <c r="BA65" s="341">
        <f t="shared" ca="1" si="26"/>
        <v>1</v>
      </c>
      <c r="BB65" s="341">
        <f t="shared" ca="1" si="27"/>
        <v>0</v>
      </c>
      <c r="BC65" s="341">
        <f t="shared" ca="1" si="28"/>
        <v>0</v>
      </c>
      <c r="BD65" s="341">
        <f t="shared" ca="1" si="29"/>
        <v>0</v>
      </c>
      <c r="BE65" s="341">
        <f t="shared" ca="1" si="30"/>
        <v>0</v>
      </c>
      <c r="BF65" s="341">
        <f t="shared" ca="1" si="31"/>
        <v>0</v>
      </c>
      <c r="BG65" s="441">
        <f t="shared" ca="1" si="32"/>
        <v>0</v>
      </c>
      <c r="BH65" s="441">
        <f t="shared" ca="1" si="33"/>
        <v>0</v>
      </c>
      <c r="BI65" s="441">
        <f t="shared" ca="1" si="34"/>
        <v>0</v>
      </c>
      <c r="BJ65" s="441">
        <f t="shared" ca="1" si="35"/>
        <v>0</v>
      </c>
      <c r="BK65" s="441">
        <f t="shared" ca="1" si="36"/>
        <v>0</v>
      </c>
      <c r="BL65" s="341">
        <f t="shared" ca="1" si="37"/>
        <v>0</v>
      </c>
      <c r="BM65" s="341">
        <f t="shared" ca="1" si="38"/>
        <v>0</v>
      </c>
      <c r="BN65" s="341">
        <f t="shared" ca="1" si="39"/>
        <v>0</v>
      </c>
      <c r="BO65" s="341">
        <f t="shared" ca="1" si="40"/>
        <v>0</v>
      </c>
      <c r="BP65" s="341">
        <f t="shared" ca="1" si="41"/>
        <v>0</v>
      </c>
      <c r="BQ65" s="341">
        <f t="shared" ca="1" si="42"/>
        <v>2.5</v>
      </c>
      <c r="BR65" s="341" t="str">
        <f t="shared" ca="1" si="72"/>
        <v>BP2</v>
      </c>
      <c r="BS65" s="357" t="str">
        <f t="shared" ca="1" si="73"/>
        <v>BP2</v>
      </c>
      <c r="BT65" s="358">
        <f t="shared" si="48"/>
        <v>50</v>
      </c>
      <c r="BU65" s="358">
        <f t="shared" ca="1" si="45"/>
        <v>0</v>
      </c>
      <c r="BV65" s="358">
        <f t="shared" ca="1" si="46"/>
        <v>0</v>
      </c>
      <c r="BW65" s="341"/>
      <c r="BX65" s="341"/>
      <c r="BY65" s="341"/>
      <c r="BZ65" s="341"/>
      <c r="CA65" s="127"/>
      <c r="CB65" s="127"/>
    </row>
    <row r="66" spans="1:80" x14ac:dyDescent="0.25">
      <c r="A66" s="136"/>
      <c r="B66" s="728"/>
      <c r="C66" s="678"/>
      <c r="D66" s="678"/>
      <c r="E66" s="729" t="s">
        <v>196</v>
      </c>
      <c r="F66" s="678"/>
      <c r="G66" s="678"/>
      <c r="H66" s="12">
        <v>0</v>
      </c>
      <c r="I66" s="12">
        <v>0</v>
      </c>
      <c r="J66" s="12">
        <v>0</v>
      </c>
      <c r="K66" s="10" t="s">
        <v>512</v>
      </c>
      <c r="L66" s="244" t="s">
        <v>514</v>
      </c>
      <c r="M66" s="244" t="s">
        <v>458</v>
      </c>
      <c r="N66" s="244" t="s">
        <v>458</v>
      </c>
      <c r="O66" s="12" t="s">
        <v>396</v>
      </c>
      <c r="P66" s="234">
        <v>0</v>
      </c>
      <c r="Q66" s="13">
        <v>0.125</v>
      </c>
      <c r="R66" s="14" t="s">
        <v>28</v>
      </c>
      <c r="S66" s="237">
        <v>1</v>
      </c>
      <c r="T66" s="10">
        <v>0</v>
      </c>
      <c r="U66" s="548">
        <f t="shared" si="49"/>
        <v>0</v>
      </c>
      <c r="V66" s="484">
        <f t="shared" ca="1" si="50"/>
        <v>0</v>
      </c>
      <c r="W66" s="484">
        <f t="shared" ca="1" si="2"/>
        <v>0</v>
      </c>
      <c r="X66" s="485">
        <f t="shared" ca="1" si="51"/>
        <v>0</v>
      </c>
      <c r="Y66" s="450" t="s">
        <v>458</v>
      </c>
      <c r="Z66" s="370"/>
      <c r="AA66" s="371" t="s">
        <v>458</v>
      </c>
      <c r="AB66" s="370"/>
      <c r="AC66" s="449"/>
      <c r="AD66" s="489">
        <f t="shared" si="52"/>
        <v>0</v>
      </c>
      <c r="AE66" s="341">
        <f t="shared" si="5"/>
        <v>212</v>
      </c>
      <c r="AF66" s="341">
        <f t="shared" si="6"/>
        <v>0</v>
      </c>
      <c r="AG66" s="341">
        <f t="shared" ca="1" si="53"/>
        <v>0</v>
      </c>
      <c r="AH66" s="341">
        <f t="shared" ca="1" si="54"/>
        <v>0</v>
      </c>
      <c r="AI66" s="341">
        <f t="shared" ca="1" si="55"/>
        <v>0</v>
      </c>
      <c r="AJ66" s="341">
        <f t="shared" ca="1" si="56"/>
        <v>0</v>
      </c>
      <c r="AK66" s="341">
        <f t="shared" ca="1" si="57"/>
        <v>0</v>
      </c>
      <c r="AL66" s="341">
        <f t="shared" ca="1" si="58"/>
        <v>0</v>
      </c>
      <c r="AM66" s="341">
        <f t="shared" ca="1" si="59"/>
        <v>0</v>
      </c>
      <c r="AN66" s="341">
        <f t="shared" ca="1" si="60"/>
        <v>0</v>
      </c>
      <c r="AO66" s="341">
        <f t="shared" ca="1" si="61"/>
        <v>0</v>
      </c>
      <c r="AP66" s="341">
        <f t="shared" ca="1" si="62"/>
        <v>0</v>
      </c>
      <c r="AQ66" s="341">
        <f t="shared" ca="1" si="63"/>
        <v>0</v>
      </c>
      <c r="AR66" s="341">
        <f t="shared" ca="1" si="64"/>
        <v>0</v>
      </c>
      <c r="AS66" s="341">
        <f t="shared" ca="1" si="65"/>
        <v>0</v>
      </c>
      <c r="AT66" s="341">
        <f t="shared" ca="1" si="66"/>
        <v>0</v>
      </c>
      <c r="AU66" s="341">
        <f t="shared" ca="1" si="67"/>
        <v>0</v>
      </c>
      <c r="AV66" s="341">
        <f t="shared" ca="1" si="68"/>
        <v>0</v>
      </c>
      <c r="AW66" s="333">
        <f t="shared" ca="1" si="69"/>
        <v>0</v>
      </c>
      <c r="AX66" s="333">
        <f t="shared" ca="1" si="70"/>
        <v>0</v>
      </c>
      <c r="AY66" s="333">
        <f t="shared" ca="1" si="71"/>
        <v>0</v>
      </c>
      <c r="AZ66" s="341">
        <f t="shared" ca="1" si="25"/>
        <v>2.5</v>
      </c>
      <c r="BA66" s="341">
        <f t="shared" ca="1" si="26"/>
        <v>1</v>
      </c>
      <c r="BB66" s="341">
        <f t="shared" ca="1" si="27"/>
        <v>0</v>
      </c>
      <c r="BC66" s="341">
        <f t="shared" ca="1" si="28"/>
        <v>0</v>
      </c>
      <c r="BD66" s="341">
        <f t="shared" ca="1" si="29"/>
        <v>0</v>
      </c>
      <c r="BE66" s="341">
        <f t="shared" ca="1" si="30"/>
        <v>0</v>
      </c>
      <c r="BF66" s="341">
        <f t="shared" ca="1" si="31"/>
        <v>0</v>
      </c>
      <c r="BG66" s="441">
        <f t="shared" ca="1" si="32"/>
        <v>0</v>
      </c>
      <c r="BH66" s="441">
        <f t="shared" ca="1" si="33"/>
        <v>0</v>
      </c>
      <c r="BI66" s="441">
        <f t="shared" ca="1" si="34"/>
        <v>0</v>
      </c>
      <c r="BJ66" s="441">
        <f t="shared" ca="1" si="35"/>
        <v>0</v>
      </c>
      <c r="BK66" s="441">
        <f t="shared" ca="1" si="36"/>
        <v>0</v>
      </c>
      <c r="BL66" s="341">
        <f t="shared" ca="1" si="37"/>
        <v>0</v>
      </c>
      <c r="BM66" s="341">
        <f t="shared" ca="1" si="38"/>
        <v>0</v>
      </c>
      <c r="BN66" s="341">
        <f t="shared" ca="1" si="39"/>
        <v>0</v>
      </c>
      <c r="BO66" s="341">
        <f t="shared" ca="1" si="40"/>
        <v>0</v>
      </c>
      <c r="BP66" s="341">
        <f t="shared" ca="1" si="41"/>
        <v>0</v>
      </c>
      <c r="BQ66" s="341">
        <f t="shared" ca="1" si="42"/>
        <v>2.5</v>
      </c>
      <c r="BR66" s="341" t="str">
        <f t="shared" ca="1" si="72"/>
        <v>BP2</v>
      </c>
      <c r="BS66" s="357" t="str">
        <f t="shared" ca="1" si="73"/>
        <v>BP2</v>
      </c>
      <c r="BT66" s="358">
        <f t="shared" si="48"/>
        <v>50</v>
      </c>
      <c r="BU66" s="358">
        <f t="shared" ca="1" si="45"/>
        <v>0</v>
      </c>
      <c r="BV66" s="358">
        <f t="shared" ca="1" si="46"/>
        <v>0</v>
      </c>
      <c r="BW66" s="341"/>
      <c r="BX66" s="341"/>
      <c r="BY66" s="341"/>
      <c r="BZ66" s="341"/>
      <c r="CA66" s="127"/>
      <c r="CB66" s="127"/>
    </row>
    <row r="67" spans="1:80" x14ac:dyDescent="0.25">
      <c r="A67" s="136"/>
      <c r="B67" s="728"/>
      <c r="C67" s="678"/>
      <c r="D67" s="678"/>
      <c r="E67" s="729" t="s">
        <v>196</v>
      </c>
      <c r="F67" s="678"/>
      <c r="G67" s="678"/>
      <c r="H67" s="12">
        <v>0</v>
      </c>
      <c r="I67" s="12">
        <v>0</v>
      </c>
      <c r="J67" s="12">
        <v>0</v>
      </c>
      <c r="K67" s="10" t="s">
        <v>512</v>
      </c>
      <c r="L67" s="244" t="s">
        <v>514</v>
      </c>
      <c r="M67" s="244" t="s">
        <v>458</v>
      </c>
      <c r="N67" s="244" t="s">
        <v>458</v>
      </c>
      <c r="O67" s="12" t="s">
        <v>396</v>
      </c>
      <c r="P67" s="234">
        <v>0</v>
      </c>
      <c r="Q67" s="13">
        <v>0.125</v>
      </c>
      <c r="R67" s="14" t="s">
        <v>28</v>
      </c>
      <c r="S67" s="237">
        <v>1</v>
      </c>
      <c r="T67" s="10">
        <v>0</v>
      </c>
      <c r="U67" s="548">
        <f t="shared" si="49"/>
        <v>0</v>
      </c>
      <c r="V67" s="484">
        <f t="shared" ca="1" si="50"/>
        <v>0</v>
      </c>
      <c r="W67" s="484">
        <f t="shared" ca="1" si="2"/>
        <v>0</v>
      </c>
      <c r="X67" s="485">
        <f t="shared" ca="1" si="51"/>
        <v>0</v>
      </c>
      <c r="Y67" s="450" t="s">
        <v>458</v>
      </c>
      <c r="Z67" s="370"/>
      <c r="AA67" s="371" t="s">
        <v>458</v>
      </c>
      <c r="AB67" s="370"/>
      <c r="AC67" s="449"/>
      <c r="AD67" s="489">
        <f t="shared" si="52"/>
        <v>0</v>
      </c>
      <c r="AE67" s="341">
        <f t="shared" si="5"/>
        <v>212</v>
      </c>
      <c r="AF67" s="341">
        <f t="shared" si="6"/>
        <v>0</v>
      </c>
      <c r="AG67" s="341">
        <f t="shared" ca="1" si="53"/>
        <v>0</v>
      </c>
      <c r="AH67" s="341">
        <f t="shared" ca="1" si="54"/>
        <v>0</v>
      </c>
      <c r="AI67" s="341">
        <f t="shared" ca="1" si="55"/>
        <v>0</v>
      </c>
      <c r="AJ67" s="341">
        <f t="shared" ca="1" si="56"/>
        <v>0</v>
      </c>
      <c r="AK67" s="341">
        <f t="shared" ca="1" si="57"/>
        <v>0</v>
      </c>
      <c r="AL67" s="341">
        <f t="shared" ca="1" si="58"/>
        <v>0</v>
      </c>
      <c r="AM67" s="341">
        <f t="shared" ca="1" si="59"/>
        <v>0</v>
      </c>
      <c r="AN67" s="341">
        <f t="shared" ca="1" si="60"/>
        <v>0</v>
      </c>
      <c r="AO67" s="341">
        <f t="shared" ca="1" si="61"/>
        <v>0</v>
      </c>
      <c r="AP67" s="341">
        <f t="shared" ca="1" si="62"/>
        <v>0</v>
      </c>
      <c r="AQ67" s="341">
        <f t="shared" ca="1" si="63"/>
        <v>0</v>
      </c>
      <c r="AR67" s="341">
        <f t="shared" ca="1" si="64"/>
        <v>0</v>
      </c>
      <c r="AS67" s="341">
        <f t="shared" ca="1" si="65"/>
        <v>0</v>
      </c>
      <c r="AT67" s="341">
        <f t="shared" ca="1" si="66"/>
        <v>0</v>
      </c>
      <c r="AU67" s="341">
        <f t="shared" ca="1" si="67"/>
        <v>0</v>
      </c>
      <c r="AV67" s="341">
        <f t="shared" ca="1" si="68"/>
        <v>0</v>
      </c>
      <c r="AW67" s="333">
        <f t="shared" ca="1" si="69"/>
        <v>0</v>
      </c>
      <c r="AX67" s="333">
        <f t="shared" ca="1" si="70"/>
        <v>0</v>
      </c>
      <c r="AY67" s="333">
        <f t="shared" ca="1" si="71"/>
        <v>0</v>
      </c>
      <c r="AZ67" s="341">
        <f t="shared" ca="1" si="25"/>
        <v>2.5</v>
      </c>
      <c r="BA67" s="341">
        <f t="shared" ca="1" si="26"/>
        <v>1</v>
      </c>
      <c r="BB67" s="341">
        <f t="shared" ca="1" si="27"/>
        <v>0</v>
      </c>
      <c r="BC67" s="341">
        <f t="shared" ca="1" si="28"/>
        <v>0</v>
      </c>
      <c r="BD67" s="341">
        <f t="shared" ca="1" si="29"/>
        <v>0</v>
      </c>
      <c r="BE67" s="341">
        <f t="shared" ca="1" si="30"/>
        <v>0</v>
      </c>
      <c r="BF67" s="341">
        <f t="shared" ca="1" si="31"/>
        <v>0</v>
      </c>
      <c r="BG67" s="441">
        <f t="shared" ca="1" si="32"/>
        <v>0</v>
      </c>
      <c r="BH67" s="441">
        <f t="shared" ca="1" si="33"/>
        <v>0</v>
      </c>
      <c r="BI67" s="441">
        <f t="shared" ca="1" si="34"/>
        <v>0</v>
      </c>
      <c r="BJ67" s="441">
        <f t="shared" ca="1" si="35"/>
        <v>0</v>
      </c>
      <c r="BK67" s="441">
        <f t="shared" ca="1" si="36"/>
        <v>0</v>
      </c>
      <c r="BL67" s="341">
        <f t="shared" ca="1" si="37"/>
        <v>0</v>
      </c>
      <c r="BM67" s="341">
        <f t="shared" ca="1" si="38"/>
        <v>0</v>
      </c>
      <c r="BN67" s="341">
        <f t="shared" ca="1" si="39"/>
        <v>0</v>
      </c>
      <c r="BO67" s="341">
        <f t="shared" ca="1" si="40"/>
        <v>0</v>
      </c>
      <c r="BP67" s="341">
        <f t="shared" ca="1" si="41"/>
        <v>0</v>
      </c>
      <c r="BQ67" s="341">
        <f t="shared" ca="1" si="42"/>
        <v>2.5</v>
      </c>
      <c r="BR67" s="341" t="str">
        <f t="shared" ca="1" si="72"/>
        <v>BP2</v>
      </c>
      <c r="BS67" s="357" t="str">
        <f t="shared" ca="1" si="73"/>
        <v>BP2</v>
      </c>
      <c r="BT67" s="358">
        <f t="shared" si="48"/>
        <v>50</v>
      </c>
      <c r="BU67" s="358">
        <f t="shared" ca="1" si="45"/>
        <v>0</v>
      </c>
      <c r="BV67" s="358">
        <f t="shared" ca="1" si="46"/>
        <v>0</v>
      </c>
      <c r="BW67" s="341"/>
      <c r="BX67" s="341"/>
      <c r="BY67" s="341"/>
      <c r="BZ67" s="341"/>
      <c r="CA67" s="127"/>
      <c r="CB67" s="127"/>
    </row>
    <row r="68" spans="1:80" x14ac:dyDescent="0.25">
      <c r="A68" s="136"/>
      <c r="B68" s="728"/>
      <c r="C68" s="678"/>
      <c r="D68" s="678"/>
      <c r="E68" s="729" t="s">
        <v>196</v>
      </c>
      <c r="F68" s="678"/>
      <c r="G68" s="678"/>
      <c r="H68" s="12">
        <v>0</v>
      </c>
      <c r="I68" s="12">
        <v>0</v>
      </c>
      <c r="J68" s="12">
        <v>0</v>
      </c>
      <c r="K68" s="10" t="s">
        <v>512</v>
      </c>
      <c r="L68" s="244" t="s">
        <v>514</v>
      </c>
      <c r="M68" s="244" t="s">
        <v>458</v>
      </c>
      <c r="N68" s="244" t="s">
        <v>458</v>
      </c>
      <c r="O68" s="12" t="s">
        <v>396</v>
      </c>
      <c r="P68" s="234">
        <v>0</v>
      </c>
      <c r="Q68" s="13">
        <v>0.125</v>
      </c>
      <c r="R68" s="14" t="s">
        <v>28</v>
      </c>
      <c r="S68" s="237">
        <v>1</v>
      </c>
      <c r="T68" s="10">
        <v>0</v>
      </c>
      <c r="U68" s="548">
        <f t="shared" si="49"/>
        <v>0</v>
      </c>
      <c r="V68" s="484">
        <f t="shared" ca="1" si="50"/>
        <v>0</v>
      </c>
      <c r="W68" s="484">
        <f t="shared" ca="1" si="2"/>
        <v>0</v>
      </c>
      <c r="X68" s="485">
        <f t="shared" ca="1" si="51"/>
        <v>0</v>
      </c>
      <c r="Y68" s="450" t="s">
        <v>458</v>
      </c>
      <c r="Z68" s="370"/>
      <c r="AA68" s="371" t="s">
        <v>458</v>
      </c>
      <c r="AB68" s="370"/>
      <c r="AC68" s="449"/>
      <c r="AD68" s="489">
        <f t="shared" si="52"/>
        <v>0</v>
      </c>
      <c r="AE68" s="341">
        <f t="shared" si="5"/>
        <v>212</v>
      </c>
      <c r="AF68" s="341">
        <f t="shared" si="6"/>
        <v>0</v>
      </c>
      <c r="AG68" s="341">
        <f t="shared" ca="1" si="53"/>
        <v>0</v>
      </c>
      <c r="AH68" s="341">
        <f t="shared" ca="1" si="54"/>
        <v>0</v>
      </c>
      <c r="AI68" s="341">
        <f t="shared" ca="1" si="55"/>
        <v>0</v>
      </c>
      <c r="AJ68" s="341">
        <f t="shared" ca="1" si="56"/>
        <v>0</v>
      </c>
      <c r="AK68" s="341">
        <f t="shared" ca="1" si="57"/>
        <v>0</v>
      </c>
      <c r="AL68" s="341">
        <f t="shared" ca="1" si="58"/>
        <v>0</v>
      </c>
      <c r="AM68" s="341">
        <f t="shared" ca="1" si="59"/>
        <v>0</v>
      </c>
      <c r="AN68" s="341">
        <f t="shared" ca="1" si="60"/>
        <v>0</v>
      </c>
      <c r="AO68" s="341">
        <f t="shared" ca="1" si="61"/>
        <v>0</v>
      </c>
      <c r="AP68" s="341">
        <f t="shared" ca="1" si="62"/>
        <v>0</v>
      </c>
      <c r="AQ68" s="341">
        <f t="shared" ca="1" si="63"/>
        <v>0</v>
      </c>
      <c r="AR68" s="341">
        <f t="shared" ca="1" si="64"/>
        <v>0</v>
      </c>
      <c r="AS68" s="341">
        <f t="shared" ca="1" si="65"/>
        <v>0</v>
      </c>
      <c r="AT68" s="341">
        <f t="shared" ca="1" si="66"/>
        <v>0</v>
      </c>
      <c r="AU68" s="341">
        <f t="shared" ca="1" si="67"/>
        <v>0</v>
      </c>
      <c r="AV68" s="341">
        <f t="shared" ca="1" si="68"/>
        <v>0</v>
      </c>
      <c r="AW68" s="333">
        <f t="shared" ca="1" si="69"/>
        <v>0</v>
      </c>
      <c r="AX68" s="333">
        <f t="shared" ca="1" si="70"/>
        <v>0</v>
      </c>
      <c r="AY68" s="333">
        <f t="shared" ca="1" si="71"/>
        <v>0</v>
      </c>
      <c r="AZ68" s="341">
        <f t="shared" ca="1" si="25"/>
        <v>2.5</v>
      </c>
      <c r="BA68" s="341">
        <f t="shared" ca="1" si="26"/>
        <v>1</v>
      </c>
      <c r="BB68" s="341">
        <f t="shared" ca="1" si="27"/>
        <v>0</v>
      </c>
      <c r="BC68" s="341">
        <f t="shared" ca="1" si="28"/>
        <v>0</v>
      </c>
      <c r="BD68" s="341">
        <f t="shared" ca="1" si="29"/>
        <v>0</v>
      </c>
      <c r="BE68" s="341">
        <f t="shared" ca="1" si="30"/>
        <v>0</v>
      </c>
      <c r="BF68" s="341">
        <f t="shared" ca="1" si="31"/>
        <v>0</v>
      </c>
      <c r="BG68" s="441">
        <f t="shared" ca="1" si="32"/>
        <v>0</v>
      </c>
      <c r="BH68" s="441">
        <f t="shared" ca="1" si="33"/>
        <v>0</v>
      </c>
      <c r="BI68" s="441">
        <f t="shared" ca="1" si="34"/>
        <v>0</v>
      </c>
      <c r="BJ68" s="441">
        <f t="shared" ca="1" si="35"/>
        <v>0</v>
      </c>
      <c r="BK68" s="441">
        <f t="shared" ca="1" si="36"/>
        <v>0</v>
      </c>
      <c r="BL68" s="341">
        <f t="shared" ca="1" si="37"/>
        <v>0</v>
      </c>
      <c r="BM68" s="341">
        <f t="shared" ca="1" si="38"/>
        <v>0</v>
      </c>
      <c r="BN68" s="341">
        <f t="shared" ca="1" si="39"/>
        <v>0</v>
      </c>
      <c r="BO68" s="341">
        <f t="shared" ca="1" si="40"/>
        <v>0</v>
      </c>
      <c r="BP68" s="341">
        <f t="shared" ca="1" si="41"/>
        <v>0</v>
      </c>
      <c r="BQ68" s="341">
        <f t="shared" ca="1" si="42"/>
        <v>2.5</v>
      </c>
      <c r="BR68" s="341" t="str">
        <f t="shared" ca="1" si="72"/>
        <v>BP2</v>
      </c>
      <c r="BS68" s="357" t="str">
        <f t="shared" ca="1" si="73"/>
        <v>BP2</v>
      </c>
      <c r="BT68" s="358">
        <f t="shared" si="48"/>
        <v>50</v>
      </c>
      <c r="BU68" s="358">
        <f t="shared" ca="1" si="45"/>
        <v>0</v>
      </c>
      <c r="BV68" s="358">
        <f t="shared" ca="1" si="46"/>
        <v>0</v>
      </c>
      <c r="BW68" s="341"/>
      <c r="BX68" s="341"/>
      <c r="BY68" s="341"/>
      <c r="BZ68" s="341"/>
      <c r="CA68" s="127"/>
      <c r="CB68" s="127"/>
    </row>
    <row r="69" spans="1:80" x14ac:dyDescent="0.25">
      <c r="A69" s="136"/>
      <c r="B69" s="728"/>
      <c r="C69" s="678"/>
      <c r="D69" s="678"/>
      <c r="E69" s="729" t="s">
        <v>196</v>
      </c>
      <c r="F69" s="678"/>
      <c r="G69" s="678"/>
      <c r="H69" s="12">
        <v>0</v>
      </c>
      <c r="I69" s="12">
        <v>0</v>
      </c>
      <c r="J69" s="12">
        <v>0</v>
      </c>
      <c r="K69" s="10" t="s">
        <v>512</v>
      </c>
      <c r="L69" s="244" t="s">
        <v>514</v>
      </c>
      <c r="M69" s="244" t="s">
        <v>458</v>
      </c>
      <c r="N69" s="244" t="s">
        <v>458</v>
      </c>
      <c r="O69" s="12" t="s">
        <v>396</v>
      </c>
      <c r="P69" s="234">
        <v>0</v>
      </c>
      <c r="Q69" s="13">
        <v>0.125</v>
      </c>
      <c r="R69" s="14" t="s">
        <v>28</v>
      </c>
      <c r="S69" s="237">
        <v>1</v>
      </c>
      <c r="T69" s="10">
        <v>0</v>
      </c>
      <c r="U69" s="548">
        <f t="shared" si="49"/>
        <v>0</v>
      </c>
      <c r="V69" s="484">
        <f t="shared" ca="1" si="50"/>
        <v>0</v>
      </c>
      <c r="W69" s="484">
        <f t="shared" ca="1" si="2"/>
        <v>0</v>
      </c>
      <c r="X69" s="485">
        <f t="shared" ca="1" si="51"/>
        <v>0</v>
      </c>
      <c r="Y69" s="450" t="s">
        <v>458</v>
      </c>
      <c r="Z69" s="370"/>
      <c r="AA69" s="371" t="s">
        <v>458</v>
      </c>
      <c r="AB69" s="370"/>
      <c r="AC69" s="449"/>
      <c r="AD69" s="489">
        <f t="shared" si="52"/>
        <v>0</v>
      </c>
      <c r="AE69" s="341">
        <f t="shared" si="5"/>
        <v>212</v>
      </c>
      <c r="AF69" s="341">
        <f t="shared" si="6"/>
        <v>0</v>
      </c>
      <c r="AG69" s="341">
        <f t="shared" ca="1" si="53"/>
        <v>0</v>
      </c>
      <c r="AH69" s="341">
        <f t="shared" ca="1" si="54"/>
        <v>0</v>
      </c>
      <c r="AI69" s="341">
        <f t="shared" ca="1" si="55"/>
        <v>0</v>
      </c>
      <c r="AJ69" s="341">
        <f t="shared" ca="1" si="56"/>
        <v>0</v>
      </c>
      <c r="AK69" s="341">
        <f t="shared" ca="1" si="57"/>
        <v>0</v>
      </c>
      <c r="AL69" s="341">
        <f t="shared" ca="1" si="58"/>
        <v>0</v>
      </c>
      <c r="AM69" s="341">
        <f t="shared" ca="1" si="59"/>
        <v>0</v>
      </c>
      <c r="AN69" s="341">
        <f t="shared" ca="1" si="60"/>
        <v>0</v>
      </c>
      <c r="AO69" s="341">
        <f t="shared" ca="1" si="61"/>
        <v>0</v>
      </c>
      <c r="AP69" s="341">
        <f t="shared" ca="1" si="62"/>
        <v>0</v>
      </c>
      <c r="AQ69" s="341">
        <f t="shared" ca="1" si="63"/>
        <v>0</v>
      </c>
      <c r="AR69" s="341">
        <f t="shared" ca="1" si="64"/>
        <v>0</v>
      </c>
      <c r="AS69" s="341">
        <f t="shared" ca="1" si="65"/>
        <v>0</v>
      </c>
      <c r="AT69" s="341">
        <f t="shared" ca="1" si="66"/>
        <v>0</v>
      </c>
      <c r="AU69" s="341">
        <f t="shared" ca="1" si="67"/>
        <v>0</v>
      </c>
      <c r="AV69" s="341">
        <f t="shared" ca="1" si="68"/>
        <v>0</v>
      </c>
      <c r="AW69" s="333">
        <f t="shared" ca="1" si="69"/>
        <v>0</v>
      </c>
      <c r="AX69" s="333">
        <f t="shared" ca="1" si="70"/>
        <v>0</v>
      </c>
      <c r="AY69" s="333">
        <f t="shared" ca="1" si="71"/>
        <v>0</v>
      </c>
      <c r="AZ69" s="341">
        <f t="shared" ca="1" si="25"/>
        <v>2.5</v>
      </c>
      <c r="BA69" s="341">
        <f t="shared" ca="1" si="26"/>
        <v>1</v>
      </c>
      <c r="BB69" s="341">
        <f t="shared" ca="1" si="27"/>
        <v>0</v>
      </c>
      <c r="BC69" s="341">
        <f t="shared" ca="1" si="28"/>
        <v>0</v>
      </c>
      <c r="BD69" s="341">
        <f t="shared" ca="1" si="29"/>
        <v>0</v>
      </c>
      <c r="BE69" s="341">
        <f t="shared" ca="1" si="30"/>
        <v>0</v>
      </c>
      <c r="BF69" s="341">
        <f t="shared" ca="1" si="31"/>
        <v>0</v>
      </c>
      <c r="BG69" s="441">
        <f t="shared" ca="1" si="32"/>
        <v>0</v>
      </c>
      <c r="BH69" s="441">
        <f t="shared" ca="1" si="33"/>
        <v>0</v>
      </c>
      <c r="BI69" s="441">
        <f t="shared" ca="1" si="34"/>
        <v>0</v>
      </c>
      <c r="BJ69" s="441">
        <f t="shared" ca="1" si="35"/>
        <v>0</v>
      </c>
      <c r="BK69" s="441">
        <f t="shared" ca="1" si="36"/>
        <v>0</v>
      </c>
      <c r="BL69" s="341">
        <f t="shared" ca="1" si="37"/>
        <v>0</v>
      </c>
      <c r="BM69" s="341">
        <f t="shared" ca="1" si="38"/>
        <v>0</v>
      </c>
      <c r="BN69" s="341">
        <f t="shared" ca="1" si="39"/>
        <v>0</v>
      </c>
      <c r="BO69" s="341">
        <f t="shared" ca="1" si="40"/>
        <v>0</v>
      </c>
      <c r="BP69" s="341">
        <f t="shared" ca="1" si="41"/>
        <v>0</v>
      </c>
      <c r="BQ69" s="341">
        <f t="shared" ca="1" si="42"/>
        <v>2.5</v>
      </c>
      <c r="BR69" s="341" t="str">
        <f t="shared" ca="1" si="72"/>
        <v>BP2</v>
      </c>
      <c r="BS69" s="357" t="str">
        <f t="shared" ca="1" si="73"/>
        <v>BP2</v>
      </c>
      <c r="BT69" s="358">
        <f t="shared" si="48"/>
        <v>50</v>
      </c>
      <c r="BU69" s="358">
        <f t="shared" ca="1" si="45"/>
        <v>0</v>
      </c>
      <c r="BV69" s="358">
        <f t="shared" ca="1" si="46"/>
        <v>0</v>
      </c>
      <c r="BW69" s="341"/>
      <c r="BX69" s="341"/>
      <c r="BY69" s="341"/>
      <c r="BZ69" s="341"/>
      <c r="CA69" s="127"/>
      <c r="CB69" s="127"/>
    </row>
    <row r="70" spans="1:80" x14ac:dyDescent="0.25">
      <c r="A70" s="136"/>
      <c r="B70" s="728"/>
      <c r="C70" s="678"/>
      <c r="D70" s="678"/>
      <c r="E70" s="729" t="s">
        <v>196</v>
      </c>
      <c r="F70" s="678"/>
      <c r="G70" s="678"/>
      <c r="H70" s="12">
        <v>0</v>
      </c>
      <c r="I70" s="12">
        <v>0</v>
      </c>
      <c r="J70" s="12">
        <v>0</v>
      </c>
      <c r="K70" s="10" t="s">
        <v>512</v>
      </c>
      <c r="L70" s="244" t="s">
        <v>514</v>
      </c>
      <c r="M70" s="244" t="s">
        <v>458</v>
      </c>
      <c r="N70" s="244" t="s">
        <v>458</v>
      </c>
      <c r="O70" s="12" t="s">
        <v>396</v>
      </c>
      <c r="P70" s="234">
        <v>0</v>
      </c>
      <c r="Q70" s="13">
        <v>0.125</v>
      </c>
      <c r="R70" s="14" t="s">
        <v>28</v>
      </c>
      <c r="S70" s="237">
        <v>1</v>
      </c>
      <c r="T70" s="10">
        <v>0</v>
      </c>
      <c r="U70" s="548">
        <f t="shared" ref="U70:U77" si="74">P70*Q70*IF(R70="DDR",2,1)</f>
        <v>0</v>
      </c>
      <c r="V70" s="484">
        <f t="shared" ref="V70:V77" ca="1" si="75">IF(POWERMODE="Active",VCCINT/1000*VCCINT_N*((IF($K70="No",0,$P70*(SUM($H70:$J70))*OFFSET(CLOCK_DATA,IF(ISSTA=1,2,1),7)))+($AF70*2*OFFSET(FANOUT,3,6)*(SUM($H70:$J70)))+OFFSET(IO_STANDARDS,$AE70,7)*(H70+(1-S70)*J70) +$AW70 + $AV70),0)*IF(LEFT($E70,4)="Diff",2,1)</f>
        <v>0</v>
      </c>
      <c r="W70" s="484">
        <f t="shared" ca="1" si="2"/>
        <v>0</v>
      </c>
      <c r="X70" s="485">
        <f t="shared" ca="1" si="51"/>
        <v>0</v>
      </c>
      <c r="Y70" s="450" t="s">
        <v>458</v>
      </c>
      <c r="Z70" s="370"/>
      <c r="AA70" s="371" t="s">
        <v>458</v>
      </c>
      <c r="AB70" s="370"/>
      <c r="AC70" s="449"/>
      <c r="AD70" s="489">
        <f t="shared" ref="AD70:AD77" si="76">IF((POWERMODE="Hibernate")+(AA70="None")+(NOT(M70="None"))+(NOT(N70="None")),0,$BV70*(($I70+J70)*$S70))</f>
        <v>0</v>
      </c>
      <c r="AE70" s="341">
        <f t="shared" si="5"/>
        <v>212</v>
      </c>
      <c r="AF70" s="341">
        <f t="shared" si="6"/>
        <v>0</v>
      </c>
      <c r="AG70" s="341">
        <f t="shared" ca="1" si="53"/>
        <v>0</v>
      </c>
      <c r="AH70" s="341">
        <f t="shared" ca="1" si="54"/>
        <v>0</v>
      </c>
      <c r="AI70" s="341">
        <f t="shared" ca="1" si="55"/>
        <v>0</v>
      </c>
      <c r="AJ70" s="341">
        <f t="shared" ca="1" si="56"/>
        <v>0</v>
      </c>
      <c r="AK70" s="341">
        <f t="shared" ca="1" si="57"/>
        <v>0</v>
      </c>
      <c r="AL70" s="341">
        <f t="shared" ref="AL70:AL77" ca="1" si="77">(IF($BA70=2,0.0012,0)*($I70+$J70)+$AN70)*$AZ70+OFFSET($AG70,0,$BA70)+IF($M70="None",0,(($H70+$J70*(1-$S70))*$AP70*$AZ70/1000)+$H70*OFFSET(IO_STANDARDS,$AE70,14)/1000)+(($I70+J70)*$S70)*$AQ70</f>
        <v>0</v>
      </c>
      <c r="AM70" s="341">
        <f t="shared" ca="1" si="59"/>
        <v>0</v>
      </c>
      <c r="AN70" s="341">
        <f t="shared" ca="1" si="60"/>
        <v>0</v>
      </c>
      <c r="AO70" s="341">
        <f t="shared" ca="1" si="61"/>
        <v>0</v>
      </c>
      <c r="AP70" s="341">
        <f t="shared" ca="1" si="62"/>
        <v>0</v>
      </c>
      <c r="AQ70" s="341">
        <f t="shared" ca="1" si="63"/>
        <v>0</v>
      </c>
      <c r="AR70" s="341">
        <f t="shared" ca="1" si="64"/>
        <v>0</v>
      </c>
      <c r="AS70" s="341">
        <f t="shared" ca="1" si="65"/>
        <v>0</v>
      </c>
      <c r="AT70" s="341">
        <f t="shared" ca="1" si="66"/>
        <v>0</v>
      </c>
      <c r="AU70" s="341">
        <f t="shared" ref="AU70:AU77" ca="1" si="78">IF((POWERMODE="Suspend")*($O70="OCT_ON")*($M70&lt;&gt;"None"),(($H70+$J70*(1-$S70))*$AS70*$AZ70/1000),IF((POWERMODE="Suspend")*($O70="Drivelast")*($BA70&lt;&gt;2)+(POWERMODE="Active"),(IF($M70="None",0,(($H70+$J70*(1-$S70))*$AS70*$AZ70/1000))+(($I70+J70)*$S70)*$AT70/1000),0))</f>
        <v>0</v>
      </c>
      <c r="AV70" s="341">
        <f t="shared" ref="AV70:AV77" ca="1" si="79">IF(ISSTA=1,IF($K70="No",0,$AF70*(OFFSET(S6IODELAY_DATA,3,3)*(H70+(1-S70)*J70) + IF($K70="Yes",OFFSET(S6IODELAY_DATA,4,3),OFFSET(S6IODELAY_DATA,5,3))*(I70+S70*J70))),0)</f>
        <v>0</v>
      </c>
      <c r="AW70" s="333">
        <f t="shared" ca="1" si="69"/>
        <v>0</v>
      </c>
      <c r="AX70" s="333">
        <f t="shared" ca="1" si="70"/>
        <v>0</v>
      </c>
      <c r="AY70" s="333">
        <f t="shared" ca="1" si="71"/>
        <v>0</v>
      </c>
      <c r="AZ70" s="341">
        <f t="shared" ca="1" si="25"/>
        <v>2.5</v>
      </c>
      <c r="BA70" s="341">
        <f t="shared" ca="1" si="26"/>
        <v>1</v>
      </c>
      <c r="BB70" s="341">
        <f t="shared" ca="1" si="27"/>
        <v>0</v>
      </c>
      <c r="BC70" s="341">
        <f t="shared" ca="1" si="28"/>
        <v>0</v>
      </c>
      <c r="BD70" s="341">
        <f t="shared" ca="1" si="29"/>
        <v>0</v>
      </c>
      <c r="BE70" s="341">
        <f t="shared" ca="1" si="30"/>
        <v>0</v>
      </c>
      <c r="BF70" s="341">
        <f t="shared" ca="1" si="31"/>
        <v>0</v>
      </c>
      <c r="BG70" s="441">
        <f t="shared" ca="1" si="32"/>
        <v>0</v>
      </c>
      <c r="BH70" s="441">
        <f t="shared" ca="1" si="33"/>
        <v>0</v>
      </c>
      <c r="BI70" s="441">
        <f t="shared" ca="1" si="34"/>
        <v>0</v>
      </c>
      <c r="BJ70" s="441">
        <f t="shared" ca="1" si="35"/>
        <v>0</v>
      </c>
      <c r="BK70" s="441">
        <f t="shared" ca="1" si="36"/>
        <v>0</v>
      </c>
      <c r="BL70" s="341">
        <f t="shared" ca="1" si="37"/>
        <v>0</v>
      </c>
      <c r="BM70" s="341">
        <f t="shared" ca="1" si="38"/>
        <v>0</v>
      </c>
      <c r="BN70" s="341">
        <f t="shared" ca="1" si="39"/>
        <v>0</v>
      </c>
      <c r="BO70" s="341">
        <f t="shared" ca="1" si="40"/>
        <v>0</v>
      </c>
      <c r="BP70" s="341">
        <f t="shared" ca="1" si="41"/>
        <v>0</v>
      </c>
      <c r="BQ70" s="341">
        <f t="shared" ca="1" si="42"/>
        <v>2.5</v>
      </c>
      <c r="BR70" s="341" t="str">
        <f t="shared" ca="1" si="72"/>
        <v>BP2</v>
      </c>
      <c r="BS70" s="357" t="str">
        <f t="shared" ca="1" si="73"/>
        <v>BP2</v>
      </c>
      <c r="BT70" s="358">
        <f t="shared" si="48"/>
        <v>50</v>
      </c>
      <c r="BU70" s="358">
        <f t="shared" ca="1" si="45"/>
        <v>0</v>
      </c>
      <c r="BV70" s="358">
        <f t="shared" ca="1" si="46"/>
        <v>0</v>
      </c>
      <c r="BW70" s="341"/>
      <c r="BX70" s="341"/>
      <c r="BY70" s="341"/>
      <c r="BZ70" s="341"/>
      <c r="CA70" s="127"/>
      <c r="CB70" s="127"/>
    </row>
    <row r="71" spans="1:80" x14ac:dyDescent="0.25">
      <c r="A71" s="136"/>
      <c r="B71" s="728"/>
      <c r="C71" s="678"/>
      <c r="D71" s="678"/>
      <c r="E71" s="729" t="s">
        <v>196</v>
      </c>
      <c r="F71" s="678"/>
      <c r="G71" s="678"/>
      <c r="H71" s="12">
        <v>0</v>
      </c>
      <c r="I71" s="12">
        <v>0</v>
      </c>
      <c r="J71" s="12">
        <v>0</v>
      </c>
      <c r="K71" s="10" t="s">
        <v>512</v>
      </c>
      <c r="L71" s="244" t="s">
        <v>514</v>
      </c>
      <c r="M71" s="244" t="s">
        <v>458</v>
      </c>
      <c r="N71" s="244" t="s">
        <v>458</v>
      </c>
      <c r="O71" s="12" t="s">
        <v>396</v>
      </c>
      <c r="P71" s="234">
        <v>0</v>
      </c>
      <c r="Q71" s="13">
        <v>0.125</v>
      </c>
      <c r="R71" s="14" t="s">
        <v>28</v>
      </c>
      <c r="S71" s="237">
        <v>1</v>
      </c>
      <c r="T71" s="10">
        <v>0</v>
      </c>
      <c r="U71" s="548">
        <f t="shared" si="74"/>
        <v>0</v>
      </c>
      <c r="V71" s="484">
        <f t="shared" ca="1" si="75"/>
        <v>0</v>
      </c>
      <c r="W71" s="484">
        <f t="shared" ca="1" si="2"/>
        <v>0</v>
      </c>
      <c r="X71" s="485">
        <f t="shared" ca="1" si="51"/>
        <v>0</v>
      </c>
      <c r="Y71" s="450" t="s">
        <v>458</v>
      </c>
      <c r="Z71" s="370"/>
      <c r="AA71" s="371" t="s">
        <v>458</v>
      </c>
      <c r="AB71" s="370"/>
      <c r="AC71" s="449"/>
      <c r="AD71" s="489">
        <f t="shared" si="76"/>
        <v>0</v>
      </c>
      <c r="AE71" s="341">
        <f t="shared" si="5"/>
        <v>212</v>
      </c>
      <c r="AF71" s="341">
        <f t="shared" si="6"/>
        <v>0</v>
      </c>
      <c r="AG71" s="341">
        <f t="shared" ca="1" si="53"/>
        <v>0</v>
      </c>
      <c r="AH71" s="341">
        <f t="shared" ca="1" si="54"/>
        <v>0</v>
      </c>
      <c r="AI71" s="341">
        <f t="shared" ca="1" si="55"/>
        <v>0</v>
      </c>
      <c r="AJ71" s="341">
        <f t="shared" ca="1" si="56"/>
        <v>0</v>
      </c>
      <c r="AK71" s="341">
        <f t="shared" ca="1" si="57"/>
        <v>0</v>
      </c>
      <c r="AL71" s="341">
        <f t="shared" ca="1" si="77"/>
        <v>0</v>
      </c>
      <c r="AM71" s="341">
        <f t="shared" ca="1" si="59"/>
        <v>0</v>
      </c>
      <c r="AN71" s="341">
        <f t="shared" ca="1" si="60"/>
        <v>0</v>
      </c>
      <c r="AO71" s="341">
        <f t="shared" ca="1" si="61"/>
        <v>0</v>
      </c>
      <c r="AP71" s="341">
        <f t="shared" ca="1" si="62"/>
        <v>0</v>
      </c>
      <c r="AQ71" s="341">
        <f t="shared" ca="1" si="63"/>
        <v>0</v>
      </c>
      <c r="AR71" s="341">
        <f t="shared" ca="1" si="64"/>
        <v>0</v>
      </c>
      <c r="AS71" s="341">
        <f t="shared" ca="1" si="65"/>
        <v>0</v>
      </c>
      <c r="AT71" s="341">
        <f t="shared" ca="1" si="66"/>
        <v>0</v>
      </c>
      <c r="AU71" s="341">
        <f t="shared" ca="1" si="78"/>
        <v>0</v>
      </c>
      <c r="AV71" s="341">
        <f t="shared" ca="1" si="79"/>
        <v>0</v>
      </c>
      <c r="AW71" s="333">
        <f t="shared" ca="1" si="69"/>
        <v>0</v>
      </c>
      <c r="AX71" s="333">
        <f t="shared" ca="1" si="70"/>
        <v>0</v>
      </c>
      <c r="AY71" s="333">
        <f t="shared" ca="1" si="71"/>
        <v>0</v>
      </c>
      <c r="AZ71" s="341">
        <f t="shared" ca="1" si="25"/>
        <v>2.5</v>
      </c>
      <c r="BA71" s="341">
        <f t="shared" ca="1" si="26"/>
        <v>1</v>
      </c>
      <c r="BB71" s="341">
        <f t="shared" ca="1" si="27"/>
        <v>0</v>
      </c>
      <c r="BC71" s="341">
        <f t="shared" ca="1" si="28"/>
        <v>0</v>
      </c>
      <c r="BD71" s="341">
        <f t="shared" ca="1" si="29"/>
        <v>0</v>
      </c>
      <c r="BE71" s="341">
        <f t="shared" ca="1" si="30"/>
        <v>0</v>
      </c>
      <c r="BF71" s="341">
        <f t="shared" ca="1" si="31"/>
        <v>0</v>
      </c>
      <c r="BG71" s="441">
        <f t="shared" ca="1" si="32"/>
        <v>0</v>
      </c>
      <c r="BH71" s="441">
        <f t="shared" ca="1" si="33"/>
        <v>0</v>
      </c>
      <c r="BI71" s="441">
        <f t="shared" ca="1" si="34"/>
        <v>0</v>
      </c>
      <c r="BJ71" s="441">
        <f t="shared" ca="1" si="35"/>
        <v>0</v>
      </c>
      <c r="BK71" s="441">
        <f t="shared" ca="1" si="36"/>
        <v>0</v>
      </c>
      <c r="BL71" s="341">
        <f t="shared" ca="1" si="37"/>
        <v>0</v>
      </c>
      <c r="BM71" s="341">
        <f t="shared" ca="1" si="38"/>
        <v>0</v>
      </c>
      <c r="BN71" s="341">
        <f t="shared" ca="1" si="39"/>
        <v>0</v>
      </c>
      <c r="BO71" s="341">
        <f t="shared" ca="1" si="40"/>
        <v>0</v>
      </c>
      <c r="BP71" s="341">
        <f t="shared" ca="1" si="41"/>
        <v>0</v>
      </c>
      <c r="BQ71" s="341">
        <f t="shared" ca="1" si="42"/>
        <v>2.5</v>
      </c>
      <c r="BR71" s="341" t="str">
        <f t="shared" ca="1" si="72"/>
        <v>BP2</v>
      </c>
      <c r="BS71" s="357" t="str">
        <f t="shared" ca="1" si="73"/>
        <v>BP2</v>
      </c>
      <c r="BT71" s="358">
        <f t="shared" si="48"/>
        <v>50</v>
      </c>
      <c r="BU71" s="358">
        <f t="shared" ca="1" si="45"/>
        <v>0</v>
      </c>
      <c r="BV71" s="358">
        <f t="shared" ca="1" si="46"/>
        <v>0</v>
      </c>
      <c r="BW71" s="341"/>
      <c r="BX71" s="341"/>
      <c r="BY71" s="341"/>
      <c r="BZ71" s="341"/>
      <c r="CA71" s="127"/>
      <c r="CB71" s="127"/>
    </row>
    <row r="72" spans="1:80" x14ac:dyDescent="0.25">
      <c r="A72" s="136"/>
      <c r="B72" s="728"/>
      <c r="C72" s="678"/>
      <c r="D72" s="678"/>
      <c r="E72" s="729" t="s">
        <v>196</v>
      </c>
      <c r="F72" s="678"/>
      <c r="G72" s="678"/>
      <c r="H72" s="12">
        <v>0</v>
      </c>
      <c r="I72" s="12">
        <v>0</v>
      </c>
      <c r="J72" s="12">
        <v>0</v>
      </c>
      <c r="K72" s="10" t="s">
        <v>512</v>
      </c>
      <c r="L72" s="244" t="s">
        <v>514</v>
      </c>
      <c r="M72" s="244" t="s">
        <v>458</v>
      </c>
      <c r="N72" s="244" t="s">
        <v>458</v>
      </c>
      <c r="O72" s="12" t="s">
        <v>396</v>
      </c>
      <c r="P72" s="234">
        <v>0</v>
      </c>
      <c r="Q72" s="13">
        <v>0.125</v>
      </c>
      <c r="R72" s="14" t="s">
        <v>28</v>
      </c>
      <c r="S72" s="237">
        <v>1</v>
      </c>
      <c r="T72" s="10">
        <v>0</v>
      </c>
      <c r="U72" s="548">
        <f t="shared" si="74"/>
        <v>0</v>
      </c>
      <c r="V72" s="484">
        <f t="shared" ca="1" si="75"/>
        <v>0</v>
      </c>
      <c r="W72" s="484">
        <f t="shared" ca="1" si="2"/>
        <v>0</v>
      </c>
      <c r="X72" s="485">
        <f t="shared" ca="1" si="51"/>
        <v>0</v>
      </c>
      <c r="Y72" s="450" t="s">
        <v>458</v>
      </c>
      <c r="Z72" s="370"/>
      <c r="AA72" s="371" t="s">
        <v>458</v>
      </c>
      <c r="AB72" s="370"/>
      <c r="AC72" s="449"/>
      <c r="AD72" s="489">
        <f t="shared" si="76"/>
        <v>0</v>
      </c>
      <c r="AE72" s="341">
        <f t="shared" si="5"/>
        <v>212</v>
      </c>
      <c r="AF72" s="341">
        <f t="shared" si="6"/>
        <v>0</v>
      </c>
      <c r="AG72" s="341">
        <f t="shared" ca="1" si="53"/>
        <v>0</v>
      </c>
      <c r="AH72" s="341">
        <f t="shared" ca="1" si="54"/>
        <v>0</v>
      </c>
      <c r="AI72" s="341">
        <f t="shared" ca="1" si="55"/>
        <v>0</v>
      </c>
      <c r="AJ72" s="341">
        <f t="shared" ca="1" si="56"/>
        <v>0</v>
      </c>
      <c r="AK72" s="341">
        <f t="shared" ca="1" si="57"/>
        <v>0</v>
      </c>
      <c r="AL72" s="341">
        <f t="shared" ca="1" si="77"/>
        <v>0</v>
      </c>
      <c r="AM72" s="341">
        <f t="shared" ca="1" si="59"/>
        <v>0</v>
      </c>
      <c r="AN72" s="341">
        <f t="shared" ca="1" si="60"/>
        <v>0</v>
      </c>
      <c r="AO72" s="341">
        <f t="shared" ca="1" si="61"/>
        <v>0</v>
      </c>
      <c r="AP72" s="341">
        <f t="shared" ca="1" si="62"/>
        <v>0</v>
      </c>
      <c r="AQ72" s="341">
        <f t="shared" ca="1" si="63"/>
        <v>0</v>
      </c>
      <c r="AR72" s="341">
        <f t="shared" ca="1" si="64"/>
        <v>0</v>
      </c>
      <c r="AS72" s="341">
        <f t="shared" ca="1" si="65"/>
        <v>0</v>
      </c>
      <c r="AT72" s="341">
        <f t="shared" ca="1" si="66"/>
        <v>0</v>
      </c>
      <c r="AU72" s="341">
        <f t="shared" ca="1" si="78"/>
        <v>0</v>
      </c>
      <c r="AV72" s="341">
        <f t="shared" ca="1" si="79"/>
        <v>0</v>
      </c>
      <c r="AW72" s="333">
        <f t="shared" ca="1" si="69"/>
        <v>0</v>
      </c>
      <c r="AX72" s="333">
        <f t="shared" ca="1" si="70"/>
        <v>0</v>
      </c>
      <c r="AY72" s="333">
        <f t="shared" ca="1" si="71"/>
        <v>0</v>
      </c>
      <c r="AZ72" s="341">
        <f t="shared" ca="1" si="25"/>
        <v>2.5</v>
      </c>
      <c r="BA72" s="341">
        <f t="shared" ca="1" si="26"/>
        <v>1</v>
      </c>
      <c r="BB72" s="341">
        <f t="shared" ca="1" si="27"/>
        <v>0</v>
      </c>
      <c r="BC72" s="341">
        <f t="shared" ca="1" si="28"/>
        <v>0</v>
      </c>
      <c r="BD72" s="341">
        <f t="shared" ca="1" si="29"/>
        <v>0</v>
      </c>
      <c r="BE72" s="341">
        <f t="shared" ca="1" si="30"/>
        <v>0</v>
      </c>
      <c r="BF72" s="341">
        <f t="shared" ca="1" si="31"/>
        <v>0</v>
      </c>
      <c r="BG72" s="441">
        <f t="shared" ca="1" si="32"/>
        <v>0</v>
      </c>
      <c r="BH72" s="441">
        <f t="shared" ca="1" si="33"/>
        <v>0</v>
      </c>
      <c r="BI72" s="441">
        <f t="shared" ca="1" si="34"/>
        <v>0</v>
      </c>
      <c r="BJ72" s="441">
        <f t="shared" ca="1" si="35"/>
        <v>0</v>
      </c>
      <c r="BK72" s="441">
        <f t="shared" ca="1" si="36"/>
        <v>0</v>
      </c>
      <c r="BL72" s="341">
        <f t="shared" ca="1" si="37"/>
        <v>0</v>
      </c>
      <c r="BM72" s="341">
        <f t="shared" ca="1" si="38"/>
        <v>0</v>
      </c>
      <c r="BN72" s="341">
        <f t="shared" ca="1" si="39"/>
        <v>0</v>
      </c>
      <c r="BO72" s="341">
        <f t="shared" ca="1" si="40"/>
        <v>0</v>
      </c>
      <c r="BP72" s="341">
        <f t="shared" ca="1" si="41"/>
        <v>0</v>
      </c>
      <c r="BQ72" s="341">
        <f t="shared" ca="1" si="42"/>
        <v>2.5</v>
      </c>
      <c r="BR72" s="341" t="str">
        <f t="shared" ca="1" si="72"/>
        <v>BP2</v>
      </c>
      <c r="BS72" s="357" t="str">
        <f t="shared" ca="1" si="73"/>
        <v>BP2</v>
      </c>
      <c r="BT72" s="358">
        <f t="shared" si="48"/>
        <v>50</v>
      </c>
      <c r="BU72" s="358">
        <f t="shared" ca="1" si="45"/>
        <v>0</v>
      </c>
      <c r="BV72" s="358">
        <f t="shared" ca="1" si="46"/>
        <v>0</v>
      </c>
      <c r="BW72" s="341"/>
      <c r="BX72" s="341"/>
      <c r="BY72" s="341"/>
      <c r="BZ72" s="341"/>
      <c r="CA72" s="127"/>
      <c r="CB72" s="127"/>
    </row>
    <row r="73" spans="1:80" x14ac:dyDescent="0.25">
      <c r="A73" s="136"/>
      <c r="B73" s="728"/>
      <c r="C73" s="678"/>
      <c r="D73" s="678"/>
      <c r="E73" s="729" t="s">
        <v>196</v>
      </c>
      <c r="F73" s="678"/>
      <c r="G73" s="678"/>
      <c r="H73" s="12">
        <v>0</v>
      </c>
      <c r="I73" s="12">
        <v>0</v>
      </c>
      <c r="J73" s="12">
        <v>0</v>
      </c>
      <c r="K73" s="10" t="s">
        <v>512</v>
      </c>
      <c r="L73" s="244" t="s">
        <v>514</v>
      </c>
      <c r="M73" s="244" t="s">
        <v>458</v>
      </c>
      <c r="N73" s="244" t="s">
        <v>458</v>
      </c>
      <c r="O73" s="12" t="s">
        <v>396</v>
      </c>
      <c r="P73" s="234">
        <v>0</v>
      </c>
      <c r="Q73" s="13">
        <v>0.125</v>
      </c>
      <c r="R73" s="14" t="s">
        <v>28</v>
      </c>
      <c r="S73" s="237">
        <v>1</v>
      </c>
      <c r="T73" s="10">
        <v>0</v>
      </c>
      <c r="U73" s="548">
        <f t="shared" si="74"/>
        <v>0</v>
      </c>
      <c r="V73" s="484">
        <f t="shared" ca="1" si="75"/>
        <v>0</v>
      </c>
      <c r="W73" s="484">
        <f t="shared" ca="1" si="2"/>
        <v>0</v>
      </c>
      <c r="X73" s="485">
        <f t="shared" ca="1" si="51"/>
        <v>0</v>
      </c>
      <c r="Y73" s="450" t="s">
        <v>458</v>
      </c>
      <c r="Z73" s="370"/>
      <c r="AA73" s="371" t="s">
        <v>458</v>
      </c>
      <c r="AB73" s="370"/>
      <c r="AC73" s="449"/>
      <c r="AD73" s="489">
        <f t="shared" si="76"/>
        <v>0</v>
      </c>
      <c r="AE73" s="341">
        <f t="shared" si="5"/>
        <v>212</v>
      </c>
      <c r="AF73" s="341">
        <f t="shared" si="6"/>
        <v>0</v>
      </c>
      <c r="AG73" s="341">
        <f t="shared" ca="1" si="53"/>
        <v>0</v>
      </c>
      <c r="AH73" s="341">
        <f t="shared" ca="1" si="54"/>
        <v>0</v>
      </c>
      <c r="AI73" s="341">
        <f t="shared" ca="1" si="55"/>
        <v>0</v>
      </c>
      <c r="AJ73" s="341">
        <f t="shared" ca="1" si="56"/>
        <v>0</v>
      </c>
      <c r="AK73" s="341">
        <f t="shared" ca="1" si="57"/>
        <v>0</v>
      </c>
      <c r="AL73" s="341">
        <f t="shared" ca="1" si="77"/>
        <v>0</v>
      </c>
      <c r="AM73" s="341">
        <f t="shared" ca="1" si="59"/>
        <v>0</v>
      </c>
      <c r="AN73" s="341">
        <f t="shared" ca="1" si="60"/>
        <v>0</v>
      </c>
      <c r="AO73" s="341">
        <f t="shared" ca="1" si="61"/>
        <v>0</v>
      </c>
      <c r="AP73" s="341">
        <f t="shared" ca="1" si="62"/>
        <v>0</v>
      </c>
      <c r="AQ73" s="341">
        <f t="shared" ca="1" si="63"/>
        <v>0</v>
      </c>
      <c r="AR73" s="341">
        <f t="shared" ca="1" si="64"/>
        <v>0</v>
      </c>
      <c r="AS73" s="341">
        <f t="shared" ca="1" si="65"/>
        <v>0</v>
      </c>
      <c r="AT73" s="341">
        <f t="shared" ca="1" si="66"/>
        <v>0</v>
      </c>
      <c r="AU73" s="341">
        <f t="shared" ca="1" si="78"/>
        <v>0</v>
      </c>
      <c r="AV73" s="341">
        <f t="shared" ca="1" si="79"/>
        <v>0</v>
      </c>
      <c r="AW73" s="333">
        <f t="shared" ca="1" si="69"/>
        <v>0</v>
      </c>
      <c r="AX73" s="333">
        <f t="shared" ca="1" si="70"/>
        <v>0</v>
      </c>
      <c r="AY73" s="333">
        <f t="shared" ca="1" si="71"/>
        <v>0</v>
      </c>
      <c r="AZ73" s="341">
        <f t="shared" ca="1" si="25"/>
        <v>2.5</v>
      </c>
      <c r="BA73" s="341">
        <f t="shared" ca="1" si="26"/>
        <v>1</v>
      </c>
      <c r="BB73" s="341">
        <f t="shared" ca="1" si="27"/>
        <v>0</v>
      </c>
      <c r="BC73" s="341">
        <f t="shared" ca="1" si="28"/>
        <v>0</v>
      </c>
      <c r="BD73" s="341">
        <f t="shared" ca="1" si="29"/>
        <v>0</v>
      </c>
      <c r="BE73" s="341">
        <f t="shared" ca="1" si="30"/>
        <v>0</v>
      </c>
      <c r="BF73" s="341">
        <f t="shared" ca="1" si="31"/>
        <v>0</v>
      </c>
      <c r="BG73" s="441">
        <f t="shared" ca="1" si="32"/>
        <v>0</v>
      </c>
      <c r="BH73" s="441">
        <f t="shared" ca="1" si="33"/>
        <v>0</v>
      </c>
      <c r="BI73" s="441">
        <f t="shared" ca="1" si="34"/>
        <v>0</v>
      </c>
      <c r="BJ73" s="441">
        <f t="shared" ca="1" si="35"/>
        <v>0</v>
      </c>
      <c r="BK73" s="441">
        <f t="shared" ca="1" si="36"/>
        <v>0</v>
      </c>
      <c r="BL73" s="341">
        <f t="shared" ca="1" si="37"/>
        <v>0</v>
      </c>
      <c r="BM73" s="341">
        <f t="shared" ca="1" si="38"/>
        <v>0</v>
      </c>
      <c r="BN73" s="341">
        <f t="shared" ca="1" si="39"/>
        <v>0</v>
      </c>
      <c r="BO73" s="341">
        <f t="shared" ca="1" si="40"/>
        <v>0</v>
      </c>
      <c r="BP73" s="341">
        <f t="shared" ca="1" si="41"/>
        <v>0</v>
      </c>
      <c r="BQ73" s="341">
        <f t="shared" ca="1" si="42"/>
        <v>2.5</v>
      </c>
      <c r="BR73" s="341" t="str">
        <f t="shared" ca="1" si="72"/>
        <v>BP2</v>
      </c>
      <c r="BS73" s="357" t="str">
        <f t="shared" ca="1" si="73"/>
        <v>BP2</v>
      </c>
      <c r="BT73" s="358">
        <f t="shared" si="48"/>
        <v>50</v>
      </c>
      <c r="BU73" s="358">
        <f t="shared" ca="1" si="45"/>
        <v>0</v>
      </c>
      <c r="BV73" s="358">
        <f t="shared" ca="1" si="46"/>
        <v>0</v>
      </c>
      <c r="BW73" s="341"/>
      <c r="BX73" s="341"/>
      <c r="BY73" s="341"/>
      <c r="BZ73" s="341"/>
      <c r="CA73" s="127"/>
      <c r="CB73" s="127"/>
    </row>
    <row r="74" spans="1:80" x14ac:dyDescent="0.25">
      <c r="A74" s="136"/>
      <c r="B74" s="728"/>
      <c r="C74" s="678"/>
      <c r="D74" s="678"/>
      <c r="E74" s="729" t="s">
        <v>196</v>
      </c>
      <c r="F74" s="678"/>
      <c r="G74" s="678"/>
      <c r="H74" s="12">
        <v>0</v>
      </c>
      <c r="I74" s="12">
        <v>0</v>
      </c>
      <c r="J74" s="12">
        <v>0</v>
      </c>
      <c r="K74" s="10" t="s">
        <v>512</v>
      </c>
      <c r="L74" s="244" t="s">
        <v>514</v>
      </c>
      <c r="M74" s="244" t="s">
        <v>458</v>
      </c>
      <c r="N74" s="244" t="s">
        <v>458</v>
      </c>
      <c r="O74" s="12" t="s">
        <v>396</v>
      </c>
      <c r="P74" s="234">
        <v>0</v>
      </c>
      <c r="Q74" s="13">
        <v>0.125</v>
      </c>
      <c r="R74" s="14" t="s">
        <v>28</v>
      </c>
      <c r="S74" s="237">
        <v>1</v>
      </c>
      <c r="T74" s="10">
        <v>0</v>
      </c>
      <c r="U74" s="548">
        <f t="shared" si="74"/>
        <v>0</v>
      </c>
      <c r="V74" s="484">
        <f t="shared" ca="1" si="75"/>
        <v>0</v>
      </c>
      <c r="W74" s="484">
        <f t="shared" ca="1" si="2"/>
        <v>0</v>
      </c>
      <c r="X74" s="485">
        <f t="shared" ca="1" si="51"/>
        <v>0</v>
      </c>
      <c r="Y74" s="450" t="s">
        <v>458</v>
      </c>
      <c r="Z74" s="370"/>
      <c r="AA74" s="371" t="s">
        <v>458</v>
      </c>
      <c r="AB74" s="370"/>
      <c r="AC74" s="449"/>
      <c r="AD74" s="489">
        <f t="shared" si="76"/>
        <v>0</v>
      </c>
      <c r="AE74" s="341">
        <f t="shared" si="5"/>
        <v>212</v>
      </c>
      <c r="AF74" s="341">
        <f t="shared" si="6"/>
        <v>0</v>
      </c>
      <c r="AG74" s="341">
        <f t="shared" ca="1" si="53"/>
        <v>0</v>
      </c>
      <c r="AH74" s="341">
        <f t="shared" ca="1" si="54"/>
        <v>0</v>
      </c>
      <c r="AI74" s="341">
        <f t="shared" ca="1" si="55"/>
        <v>0</v>
      </c>
      <c r="AJ74" s="341">
        <f t="shared" ca="1" si="56"/>
        <v>0</v>
      </c>
      <c r="AK74" s="341">
        <f t="shared" ca="1" si="57"/>
        <v>0</v>
      </c>
      <c r="AL74" s="341">
        <f t="shared" ca="1" si="77"/>
        <v>0</v>
      </c>
      <c r="AM74" s="341">
        <f t="shared" ca="1" si="59"/>
        <v>0</v>
      </c>
      <c r="AN74" s="341">
        <f t="shared" ca="1" si="60"/>
        <v>0</v>
      </c>
      <c r="AO74" s="341">
        <f t="shared" ca="1" si="61"/>
        <v>0</v>
      </c>
      <c r="AP74" s="341">
        <f t="shared" ca="1" si="62"/>
        <v>0</v>
      </c>
      <c r="AQ74" s="341">
        <f t="shared" ca="1" si="63"/>
        <v>0</v>
      </c>
      <c r="AR74" s="341">
        <f t="shared" ca="1" si="64"/>
        <v>0</v>
      </c>
      <c r="AS74" s="341">
        <f t="shared" ca="1" si="65"/>
        <v>0</v>
      </c>
      <c r="AT74" s="341">
        <f t="shared" ca="1" si="66"/>
        <v>0</v>
      </c>
      <c r="AU74" s="341">
        <f t="shared" ca="1" si="78"/>
        <v>0</v>
      </c>
      <c r="AV74" s="341">
        <f t="shared" ca="1" si="79"/>
        <v>0</v>
      </c>
      <c r="AW74" s="333">
        <f t="shared" ca="1" si="69"/>
        <v>0</v>
      </c>
      <c r="AX74" s="333">
        <f t="shared" ca="1" si="70"/>
        <v>0</v>
      </c>
      <c r="AY74" s="333">
        <f t="shared" ca="1" si="71"/>
        <v>0</v>
      </c>
      <c r="AZ74" s="341">
        <f t="shared" ca="1" si="25"/>
        <v>2.5</v>
      </c>
      <c r="BA74" s="341">
        <f t="shared" ca="1" si="26"/>
        <v>1</v>
      </c>
      <c r="BB74" s="341">
        <f t="shared" ca="1" si="27"/>
        <v>0</v>
      </c>
      <c r="BC74" s="341">
        <f t="shared" ca="1" si="28"/>
        <v>0</v>
      </c>
      <c r="BD74" s="341">
        <f t="shared" ca="1" si="29"/>
        <v>0</v>
      </c>
      <c r="BE74" s="341">
        <f t="shared" ca="1" si="30"/>
        <v>0</v>
      </c>
      <c r="BF74" s="341">
        <f t="shared" ca="1" si="31"/>
        <v>0</v>
      </c>
      <c r="BG74" s="441">
        <f t="shared" ca="1" si="32"/>
        <v>0</v>
      </c>
      <c r="BH74" s="441">
        <f t="shared" ca="1" si="33"/>
        <v>0</v>
      </c>
      <c r="BI74" s="441">
        <f t="shared" ca="1" si="34"/>
        <v>0</v>
      </c>
      <c r="BJ74" s="441">
        <f t="shared" ca="1" si="35"/>
        <v>0</v>
      </c>
      <c r="BK74" s="441">
        <f t="shared" ca="1" si="36"/>
        <v>0</v>
      </c>
      <c r="BL74" s="341">
        <f t="shared" ca="1" si="37"/>
        <v>0</v>
      </c>
      <c r="BM74" s="341">
        <f t="shared" ca="1" si="38"/>
        <v>0</v>
      </c>
      <c r="BN74" s="341">
        <f t="shared" ca="1" si="39"/>
        <v>0</v>
      </c>
      <c r="BO74" s="341">
        <f t="shared" ca="1" si="40"/>
        <v>0</v>
      </c>
      <c r="BP74" s="341">
        <f t="shared" ca="1" si="41"/>
        <v>0</v>
      </c>
      <c r="BQ74" s="341">
        <f t="shared" ca="1" si="42"/>
        <v>2.5</v>
      </c>
      <c r="BR74" s="341" t="str">
        <f t="shared" ca="1" si="72"/>
        <v>BP2</v>
      </c>
      <c r="BS74" s="357" t="str">
        <f t="shared" ca="1" si="73"/>
        <v>BP2</v>
      </c>
      <c r="BT74" s="358">
        <f t="shared" si="48"/>
        <v>50</v>
      </c>
      <c r="BU74" s="358">
        <f t="shared" ca="1" si="45"/>
        <v>0</v>
      </c>
      <c r="BV74" s="358">
        <f t="shared" ca="1" si="46"/>
        <v>0</v>
      </c>
      <c r="BW74" s="341"/>
      <c r="BX74" s="341"/>
      <c r="BY74" s="341"/>
      <c r="BZ74" s="341"/>
      <c r="CA74" s="127"/>
      <c r="CB74" s="127"/>
    </row>
    <row r="75" spans="1:80" x14ac:dyDescent="0.25">
      <c r="A75" s="136"/>
      <c r="B75" s="728"/>
      <c r="C75" s="678"/>
      <c r="D75" s="678"/>
      <c r="E75" s="729" t="s">
        <v>196</v>
      </c>
      <c r="F75" s="678"/>
      <c r="G75" s="678"/>
      <c r="H75" s="12">
        <v>0</v>
      </c>
      <c r="I75" s="12">
        <v>0</v>
      </c>
      <c r="J75" s="12">
        <v>0</v>
      </c>
      <c r="K75" s="10" t="s">
        <v>512</v>
      </c>
      <c r="L75" s="244" t="s">
        <v>514</v>
      </c>
      <c r="M75" s="244" t="s">
        <v>458</v>
      </c>
      <c r="N75" s="244" t="s">
        <v>458</v>
      </c>
      <c r="O75" s="12" t="s">
        <v>396</v>
      </c>
      <c r="P75" s="234">
        <v>0</v>
      </c>
      <c r="Q75" s="13">
        <v>0.125</v>
      </c>
      <c r="R75" s="14" t="s">
        <v>28</v>
      </c>
      <c r="S75" s="237">
        <v>1</v>
      </c>
      <c r="T75" s="10">
        <v>0</v>
      </c>
      <c r="U75" s="548">
        <f t="shared" si="74"/>
        <v>0</v>
      </c>
      <c r="V75" s="484">
        <f t="shared" ca="1" si="75"/>
        <v>0</v>
      </c>
      <c r="W75" s="484">
        <f t="shared" ca="1" si="2"/>
        <v>0</v>
      </c>
      <c r="X75" s="485">
        <f t="shared" ca="1" si="51"/>
        <v>0</v>
      </c>
      <c r="Y75" s="450" t="s">
        <v>458</v>
      </c>
      <c r="Z75" s="370"/>
      <c r="AA75" s="371" t="s">
        <v>458</v>
      </c>
      <c r="AB75" s="370"/>
      <c r="AC75" s="449"/>
      <c r="AD75" s="489">
        <f t="shared" si="76"/>
        <v>0</v>
      </c>
      <c r="AE75" s="341">
        <f t="shared" si="5"/>
        <v>212</v>
      </c>
      <c r="AF75" s="341">
        <f t="shared" si="6"/>
        <v>0</v>
      </c>
      <c r="AG75" s="341">
        <f t="shared" ca="1" si="53"/>
        <v>0</v>
      </c>
      <c r="AH75" s="341">
        <f t="shared" ca="1" si="54"/>
        <v>0</v>
      </c>
      <c r="AI75" s="341">
        <f t="shared" ca="1" si="55"/>
        <v>0</v>
      </c>
      <c r="AJ75" s="341">
        <f t="shared" ca="1" si="56"/>
        <v>0</v>
      </c>
      <c r="AK75" s="341">
        <f t="shared" ca="1" si="57"/>
        <v>0</v>
      </c>
      <c r="AL75" s="341">
        <f t="shared" ca="1" si="77"/>
        <v>0</v>
      </c>
      <c r="AM75" s="341">
        <f t="shared" ca="1" si="59"/>
        <v>0</v>
      </c>
      <c r="AN75" s="341">
        <f t="shared" ca="1" si="60"/>
        <v>0</v>
      </c>
      <c r="AO75" s="341">
        <f t="shared" ca="1" si="61"/>
        <v>0</v>
      </c>
      <c r="AP75" s="341">
        <f t="shared" ca="1" si="62"/>
        <v>0</v>
      </c>
      <c r="AQ75" s="341">
        <f t="shared" ca="1" si="63"/>
        <v>0</v>
      </c>
      <c r="AR75" s="341">
        <f t="shared" ca="1" si="64"/>
        <v>0</v>
      </c>
      <c r="AS75" s="341">
        <f t="shared" ca="1" si="65"/>
        <v>0</v>
      </c>
      <c r="AT75" s="341">
        <f t="shared" ca="1" si="66"/>
        <v>0</v>
      </c>
      <c r="AU75" s="341">
        <f t="shared" ca="1" si="78"/>
        <v>0</v>
      </c>
      <c r="AV75" s="341">
        <f t="shared" ca="1" si="79"/>
        <v>0</v>
      </c>
      <c r="AW75" s="333">
        <f t="shared" ca="1" si="69"/>
        <v>0</v>
      </c>
      <c r="AX75" s="333">
        <f t="shared" ca="1" si="70"/>
        <v>0</v>
      </c>
      <c r="AY75" s="333">
        <f t="shared" ca="1" si="71"/>
        <v>0</v>
      </c>
      <c r="AZ75" s="341">
        <f t="shared" ca="1" si="25"/>
        <v>2.5</v>
      </c>
      <c r="BA75" s="341">
        <f t="shared" ca="1" si="26"/>
        <v>1</v>
      </c>
      <c r="BB75" s="341">
        <f t="shared" ca="1" si="27"/>
        <v>0</v>
      </c>
      <c r="BC75" s="341">
        <f t="shared" ca="1" si="28"/>
        <v>0</v>
      </c>
      <c r="BD75" s="341">
        <f t="shared" ca="1" si="29"/>
        <v>0</v>
      </c>
      <c r="BE75" s="341">
        <f t="shared" ca="1" si="30"/>
        <v>0</v>
      </c>
      <c r="BF75" s="341">
        <f t="shared" ca="1" si="31"/>
        <v>0</v>
      </c>
      <c r="BG75" s="441">
        <f t="shared" ca="1" si="32"/>
        <v>0</v>
      </c>
      <c r="BH75" s="441">
        <f t="shared" ca="1" si="33"/>
        <v>0</v>
      </c>
      <c r="BI75" s="441">
        <f t="shared" ca="1" si="34"/>
        <v>0</v>
      </c>
      <c r="BJ75" s="441">
        <f t="shared" ca="1" si="35"/>
        <v>0</v>
      </c>
      <c r="BK75" s="441">
        <f t="shared" ca="1" si="36"/>
        <v>0</v>
      </c>
      <c r="BL75" s="341">
        <f t="shared" ca="1" si="37"/>
        <v>0</v>
      </c>
      <c r="BM75" s="341">
        <f t="shared" ca="1" si="38"/>
        <v>0</v>
      </c>
      <c r="BN75" s="341">
        <f t="shared" ca="1" si="39"/>
        <v>0</v>
      </c>
      <c r="BO75" s="341">
        <f t="shared" ca="1" si="40"/>
        <v>0</v>
      </c>
      <c r="BP75" s="341">
        <f t="shared" ca="1" si="41"/>
        <v>0</v>
      </c>
      <c r="BQ75" s="341">
        <f t="shared" ca="1" si="42"/>
        <v>2.5</v>
      </c>
      <c r="BR75" s="341" t="str">
        <f t="shared" ca="1" si="72"/>
        <v>BP2</v>
      </c>
      <c r="BS75" s="357" t="str">
        <f t="shared" ca="1" si="73"/>
        <v>BP2</v>
      </c>
      <c r="BT75" s="358">
        <f t="shared" si="48"/>
        <v>50</v>
      </c>
      <c r="BU75" s="358">
        <f t="shared" ca="1" si="45"/>
        <v>0</v>
      </c>
      <c r="BV75" s="358">
        <f t="shared" ca="1" si="46"/>
        <v>0</v>
      </c>
      <c r="BW75" s="341"/>
      <c r="BX75" s="341"/>
      <c r="BY75" s="341"/>
      <c r="BZ75" s="341"/>
      <c r="CA75" s="127"/>
      <c r="CB75" s="127"/>
    </row>
    <row r="76" spans="1:80" x14ac:dyDescent="0.25">
      <c r="A76" s="136"/>
      <c r="B76" s="728"/>
      <c r="C76" s="678"/>
      <c r="D76" s="678"/>
      <c r="E76" s="729" t="s">
        <v>196</v>
      </c>
      <c r="F76" s="678"/>
      <c r="G76" s="678"/>
      <c r="H76" s="12">
        <v>0</v>
      </c>
      <c r="I76" s="12">
        <v>0</v>
      </c>
      <c r="J76" s="12">
        <v>0</v>
      </c>
      <c r="K76" s="10" t="s">
        <v>512</v>
      </c>
      <c r="L76" s="244" t="s">
        <v>514</v>
      </c>
      <c r="M76" s="244" t="s">
        <v>458</v>
      </c>
      <c r="N76" s="244" t="s">
        <v>458</v>
      </c>
      <c r="O76" s="12" t="s">
        <v>396</v>
      </c>
      <c r="P76" s="234">
        <v>0</v>
      </c>
      <c r="Q76" s="13">
        <v>0.125</v>
      </c>
      <c r="R76" s="14" t="s">
        <v>28</v>
      </c>
      <c r="S76" s="237">
        <v>1</v>
      </c>
      <c r="T76" s="10">
        <v>0</v>
      </c>
      <c r="U76" s="548">
        <f t="shared" si="74"/>
        <v>0</v>
      </c>
      <c r="V76" s="484">
        <f t="shared" ca="1" si="75"/>
        <v>0</v>
      </c>
      <c r="W76" s="484">
        <f t="shared" ca="1" si="2"/>
        <v>0</v>
      </c>
      <c r="X76" s="485">
        <f t="shared" ca="1" si="51"/>
        <v>0</v>
      </c>
      <c r="Y76" s="450" t="s">
        <v>458</v>
      </c>
      <c r="Z76" s="370"/>
      <c r="AA76" s="371" t="s">
        <v>458</v>
      </c>
      <c r="AB76" s="370"/>
      <c r="AC76" s="449"/>
      <c r="AD76" s="489">
        <f t="shared" si="76"/>
        <v>0</v>
      </c>
      <c r="AE76" s="341">
        <f t="shared" si="5"/>
        <v>212</v>
      </c>
      <c r="AF76" s="341">
        <f t="shared" si="6"/>
        <v>0</v>
      </c>
      <c r="AG76" s="341">
        <f t="shared" ca="1" si="53"/>
        <v>0</v>
      </c>
      <c r="AH76" s="341">
        <f t="shared" ca="1" si="54"/>
        <v>0</v>
      </c>
      <c r="AI76" s="341">
        <f t="shared" ca="1" si="55"/>
        <v>0</v>
      </c>
      <c r="AJ76" s="341">
        <f t="shared" ca="1" si="56"/>
        <v>0</v>
      </c>
      <c r="AK76" s="341">
        <f t="shared" ca="1" si="57"/>
        <v>0</v>
      </c>
      <c r="AL76" s="341">
        <f t="shared" ca="1" si="77"/>
        <v>0</v>
      </c>
      <c r="AM76" s="341">
        <f t="shared" ca="1" si="59"/>
        <v>0</v>
      </c>
      <c r="AN76" s="341">
        <f t="shared" ca="1" si="60"/>
        <v>0</v>
      </c>
      <c r="AO76" s="341">
        <f t="shared" ca="1" si="61"/>
        <v>0</v>
      </c>
      <c r="AP76" s="341">
        <f t="shared" ca="1" si="62"/>
        <v>0</v>
      </c>
      <c r="AQ76" s="341">
        <f t="shared" ca="1" si="63"/>
        <v>0</v>
      </c>
      <c r="AR76" s="341">
        <f t="shared" ca="1" si="64"/>
        <v>0</v>
      </c>
      <c r="AS76" s="341">
        <f t="shared" ca="1" si="65"/>
        <v>0</v>
      </c>
      <c r="AT76" s="341">
        <f t="shared" ca="1" si="66"/>
        <v>0</v>
      </c>
      <c r="AU76" s="341">
        <f t="shared" ca="1" si="78"/>
        <v>0</v>
      </c>
      <c r="AV76" s="341">
        <f t="shared" ca="1" si="79"/>
        <v>0</v>
      </c>
      <c r="AW76" s="333">
        <f t="shared" ca="1" si="69"/>
        <v>0</v>
      </c>
      <c r="AX76" s="333">
        <f t="shared" ca="1" si="70"/>
        <v>0</v>
      </c>
      <c r="AY76" s="333">
        <f t="shared" ca="1" si="71"/>
        <v>0</v>
      </c>
      <c r="AZ76" s="341">
        <f t="shared" ca="1" si="25"/>
        <v>2.5</v>
      </c>
      <c r="BA76" s="341">
        <f t="shared" ca="1" si="26"/>
        <v>1</v>
      </c>
      <c r="BB76" s="341">
        <f t="shared" ca="1" si="27"/>
        <v>0</v>
      </c>
      <c r="BC76" s="341">
        <f t="shared" ca="1" si="28"/>
        <v>0</v>
      </c>
      <c r="BD76" s="341">
        <f t="shared" ca="1" si="29"/>
        <v>0</v>
      </c>
      <c r="BE76" s="341">
        <f t="shared" ca="1" si="30"/>
        <v>0</v>
      </c>
      <c r="BF76" s="341">
        <f t="shared" ca="1" si="31"/>
        <v>0</v>
      </c>
      <c r="BG76" s="441">
        <f t="shared" ca="1" si="32"/>
        <v>0</v>
      </c>
      <c r="BH76" s="441">
        <f t="shared" ca="1" si="33"/>
        <v>0</v>
      </c>
      <c r="BI76" s="441">
        <f t="shared" ca="1" si="34"/>
        <v>0</v>
      </c>
      <c r="BJ76" s="441">
        <f t="shared" ca="1" si="35"/>
        <v>0</v>
      </c>
      <c r="BK76" s="441">
        <f t="shared" ca="1" si="36"/>
        <v>0</v>
      </c>
      <c r="BL76" s="341">
        <f t="shared" ca="1" si="37"/>
        <v>0</v>
      </c>
      <c r="BM76" s="341">
        <f t="shared" ca="1" si="38"/>
        <v>0</v>
      </c>
      <c r="BN76" s="341">
        <f t="shared" ca="1" si="39"/>
        <v>0</v>
      </c>
      <c r="BO76" s="341">
        <f t="shared" ca="1" si="40"/>
        <v>0</v>
      </c>
      <c r="BP76" s="341">
        <f t="shared" ca="1" si="41"/>
        <v>0</v>
      </c>
      <c r="BQ76" s="341">
        <f t="shared" ca="1" si="42"/>
        <v>2.5</v>
      </c>
      <c r="BR76" s="341" t="str">
        <f t="shared" ca="1" si="72"/>
        <v>BP2</v>
      </c>
      <c r="BS76" s="357" t="str">
        <f t="shared" ca="1" si="73"/>
        <v>BP2</v>
      </c>
      <c r="BT76" s="358">
        <f t="shared" si="48"/>
        <v>50</v>
      </c>
      <c r="BU76" s="358">
        <f t="shared" ca="1" si="45"/>
        <v>0</v>
      </c>
      <c r="BV76" s="358">
        <f t="shared" ca="1" si="46"/>
        <v>0</v>
      </c>
      <c r="BW76" s="341"/>
      <c r="BX76" s="341"/>
      <c r="BY76" s="341"/>
      <c r="BZ76" s="341"/>
      <c r="CA76" s="127"/>
      <c r="CB76" s="127"/>
    </row>
    <row r="77" spans="1:80" x14ac:dyDescent="0.25">
      <c r="A77" s="136"/>
      <c r="B77" s="728"/>
      <c r="C77" s="678"/>
      <c r="D77" s="678"/>
      <c r="E77" s="729" t="s">
        <v>196</v>
      </c>
      <c r="F77" s="678"/>
      <c r="G77" s="678"/>
      <c r="H77" s="12">
        <v>0</v>
      </c>
      <c r="I77" s="12">
        <v>0</v>
      </c>
      <c r="J77" s="12">
        <v>0</v>
      </c>
      <c r="K77" s="10" t="s">
        <v>512</v>
      </c>
      <c r="L77" s="244" t="s">
        <v>514</v>
      </c>
      <c r="M77" s="244" t="s">
        <v>458</v>
      </c>
      <c r="N77" s="244" t="s">
        <v>458</v>
      </c>
      <c r="O77" s="12" t="s">
        <v>396</v>
      </c>
      <c r="P77" s="234">
        <v>0</v>
      </c>
      <c r="Q77" s="13">
        <v>0.125</v>
      </c>
      <c r="R77" s="14" t="s">
        <v>28</v>
      </c>
      <c r="S77" s="237">
        <v>1</v>
      </c>
      <c r="T77" s="10">
        <v>0</v>
      </c>
      <c r="U77" s="548">
        <f t="shared" si="74"/>
        <v>0</v>
      </c>
      <c r="V77" s="484">
        <f t="shared" ca="1" si="75"/>
        <v>0</v>
      </c>
      <c r="W77" s="484">
        <f t="shared" ca="1" si="2"/>
        <v>0</v>
      </c>
      <c r="X77" s="485">
        <f t="shared" ca="1" si="51"/>
        <v>0</v>
      </c>
      <c r="Y77" s="450" t="s">
        <v>458</v>
      </c>
      <c r="Z77" s="370"/>
      <c r="AA77" s="371" t="s">
        <v>458</v>
      </c>
      <c r="AB77" s="370"/>
      <c r="AC77" s="449"/>
      <c r="AD77" s="489">
        <f t="shared" si="76"/>
        <v>0</v>
      </c>
      <c r="AE77" s="341">
        <f t="shared" si="5"/>
        <v>212</v>
      </c>
      <c r="AF77" s="341">
        <f t="shared" si="6"/>
        <v>0</v>
      </c>
      <c r="AG77" s="341">
        <f t="shared" ca="1" si="53"/>
        <v>0</v>
      </c>
      <c r="AH77" s="341">
        <f t="shared" ca="1" si="54"/>
        <v>0</v>
      </c>
      <c r="AI77" s="341">
        <f t="shared" ca="1" si="55"/>
        <v>0</v>
      </c>
      <c r="AJ77" s="341">
        <f t="shared" ca="1" si="56"/>
        <v>0</v>
      </c>
      <c r="AK77" s="341">
        <f t="shared" ca="1" si="57"/>
        <v>0</v>
      </c>
      <c r="AL77" s="341">
        <f t="shared" ca="1" si="77"/>
        <v>0</v>
      </c>
      <c r="AM77" s="341">
        <f t="shared" ca="1" si="59"/>
        <v>0</v>
      </c>
      <c r="AN77" s="341">
        <f t="shared" ca="1" si="60"/>
        <v>0</v>
      </c>
      <c r="AO77" s="341">
        <f t="shared" ca="1" si="61"/>
        <v>0</v>
      </c>
      <c r="AP77" s="341">
        <f t="shared" ca="1" si="62"/>
        <v>0</v>
      </c>
      <c r="AQ77" s="341">
        <f t="shared" ca="1" si="63"/>
        <v>0</v>
      </c>
      <c r="AR77" s="341">
        <f t="shared" ca="1" si="64"/>
        <v>0</v>
      </c>
      <c r="AS77" s="341">
        <f t="shared" ca="1" si="65"/>
        <v>0</v>
      </c>
      <c r="AT77" s="341">
        <f t="shared" ca="1" si="66"/>
        <v>0</v>
      </c>
      <c r="AU77" s="341">
        <f t="shared" ca="1" si="78"/>
        <v>0</v>
      </c>
      <c r="AV77" s="341">
        <f t="shared" ca="1" si="79"/>
        <v>0</v>
      </c>
      <c r="AW77" s="333">
        <f t="shared" ca="1" si="69"/>
        <v>0</v>
      </c>
      <c r="AX77" s="333">
        <f t="shared" ca="1" si="70"/>
        <v>0</v>
      </c>
      <c r="AY77" s="333">
        <f t="shared" ca="1" si="71"/>
        <v>0</v>
      </c>
      <c r="AZ77" s="341">
        <f t="shared" ca="1" si="25"/>
        <v>2.5</v>
      </c>
      <c r="BA77" s="341">
        <f t="shared" ca="1" si="26"/>
        <v>1</v>
      </c>
      <c r="BB77" s="341">
        <f t="shared" ca="1" si="27"/>
        <v>0</v>
      </c>
      <c r="BC77" s="341">
        <f t="shared" ca="1" si="28"/>
        <v>0</v>
      </c>
      <c r="BD77" s="341">
        <f t="shared" ca="1" si="29"/>
        <v>0</v>
      </c>
      <c r="BE77" s="341">
        <f t="shared" ca="1" si="30"/>
        <v>0</v>
      </c>
      <c r="BF77" s="341">
        <f t="shared" ca="1" si="31"/>
        <v>0</v>
      </c>
      <c r="BG77" s="441">
        <f t="shared" ca="1" si="32"/>
        <v>0</v>
      </c>
      <c r="BH77" s="441">
        <f t="shared" ca="1" si="33"/>
        <v>0</v>
      </c>
      <c r="BI77" s="441">
        <f t="shared" ca="1" si="34"/>
        <v>0</v>
      </c>
      <c r="BJ77" s="441">
        <f t="shared" ca="1" si="35"/>
        <v>0</v>
      </c>
      <c r="BK77" s="441">
        <f t="shared" ca="1" si="36"/>
        <v>0</v>
      </c>
      <c r="BL77" s="341">
        <f t="shared" ca="1" si="37"/>
        <v>0</v>
      </c>
      <c r="BM77" s="341">
        <f t="shared" ca="1" si="38"/>
        <v>0</v>
      </c>
      <c r="BN77" s="341">
        <f t="shared" ca="1" si="39"/>
        <v>0</v>
      </c>
      <c r="BO77" s="341">
        <f t="shared" ca="1" si="40"/>
        <v>0</v>
      </c>
      <c r="BP77" s="341">
        <f t="shared" ca="1" si="41"/>
        <v>0</v>
      </c>
      <c r="BQ77" s="341">
        <f t="shared" ca="1" si="42"/>
        <v>2.5</v>
      </c>
      <c r="BR77" s="341" t="str">
        <f t="shared" ca="1" si="72"/>
        <v>BP2</v>
      </c>
      <c r="BS77" s="357" t="str">
        <f t="shared" ca="1" si="73"/>
        <v>BP2</v>
      </c>
      <c r="BT77" s="358">
        <f t="shared" si="48"/>
        <v>50</v>
      </c>
      <c r="BU77" s="358">
        <f t="shared" ca="1" si="45"/>
        <v>0</v>
      </c>
      <c r="BV77" s="358">
        <f t="shared" ca="1" si="46"/>
        <v>0</v>
      </c>
      <c r="BW77" s="341"/>
      <c r="BX77" s="341"/>
      <c r="BY77" s="341"/>
      <c r="BZ77" s="341"/>
      <c r="CA77" s="127"/>
      <c r="CB77" s="127"/>
    </row>
    <row r="78" spans="1:80" x14ac:dyDescent="0.25">
      <c r="A78" s="136"/>
      <c r="B78" s="728"/>
      <c r="C78" s="678"/>
      <c r="D78" s="678"/>
      <c r="E78" s="729" t="s">
        <v>196</v>
      </c>
      <c r="F78" s="678"/>
      <c r="G78" s="678"/>
      <c r="H78" s="12">
        <v>0</v>
      </c>
      <c r="I78" s="12">
        <v>0</v>
      </c>
      <c r="J78" s="12">
        <v>0</v>
      </c>
      <c r="K78" s="10" t="s">
        <v>512</v>
      </c>
      <c r="L78" s="244" t="s">
        <v>514</v>
      </c>
      <c r="M78" s="244" t="s">
        <v>458</v>
      </c>
      <c r="N78" s="244" t="s">
        <v>458</v>
      </c>
      <c r="O78" s="12" t="s">
        <v>396</v>
      </c>
      <c r="P78" s="234">
        <v>0</v>
      </c>
      <c r="Q78" s="13">
        <v>0.125</v>
      </c>
      <c r="R78" s="14" t="s">
        <v>28</v>
      </c>
      <c r="S78" s="237">
        <v>1</v>
      </c>
      <c r="T78" s="10">
        <v>0</v>
      </c>
      <c r="U78" s="548">
        <f t="shared" ref="U78:U109" si="80">P78*Q78*IF(R78="DDR",2,1)</f>
        <v>0</v>
      </c>
      <c r="V78" s="484">
        <f t="shared" ref="V78:V109" ca="1" si="81">IF(POWERMODE="Active",VCCINT/1000*VCCINT_N*((IF($K78="No",0,$P78*(SUM($H78:$J78))*OFFSET(CLOCK_DATA,IF(ISSTA=1,2,1),7)))+($AF78*2*OFFSET(FANOUT,3,6)*(SUM($H78:$J78)))+OFFSET(IO_STANDARDS,$AE78,7)*(H78+(1-S78)*J78) +$AW78 + $AV78),0)*IF(LEFT($E78,4)="Diff",2,1)</f>
        <v>0</v>
      </c>
      <c r="W78" s="484">
        <f t="shared" ca="1" si="2"/>
        <v>0</v>
      </c>
      <c r="X78" s="485">
        <f t="shared" ca="1" si="51"/>
        <v>0</v>
      </c>
      <c r="Y78" s="450" t="s">
        <v>458</v>
      </c>
      <c r="Z78" s="370"/>
      <c r="AA78" s="371" t="s">
        <v>458</v>
      </c>
      <c r="AB78" s="370"/>
      <c r="AC78" s="449"/>
      <c r="AD78" s="489">
        <f t="shared" ref="AD78:AD109" si="82">IF((POWERMODE="Hibernate")+(AA78="None")+(NOT(M78="None"))+(NOT(N78="None")),0,$BV78*(($I78+J78)*$S78))</f>
        <v>0</v>
      </c>
      <c r="AE78" s="341">
        <f t="shared" si="5"/>
        <v>212</v>
      </c>
      <c r="AF78" s="341">
        <f t="shared" si="6"/>
        <v>0</v>
      </c>
      <c r="AG78" s="341">
        <f t="shared" ca="1" si="53"/>
        <v>0</v>
      </c>
      <c r="AH78" s="341">
        <f t="shared" ca="1" si="54"/>
        <v>0</v>
      </c>
      <c r="AI78" s="341">
        <f t="shared" ca="1" si="55"/>
        <v>0</v>
      </c>
      <c r="AJ78" s="341">
        <f t="shared" ca="1" si="56"/>
        <v>0</v>
      </c>
      <c r="AK78" s="341">
        <f t="shared" ca="1" si="57"/>
        <v>0</v>
      </c>
      <c r="AL78" s="341">
        <f t="shared" ref="AL78:AL109" ca="1" si="83">(IF($BA78=2,0.0012,0)*($I78+$J78)+$AN78)*$AZ78+OFFSET($AG78,0,$BA78)+IF($M78="None",0,(($H78+$J78*(1-$S78))*$AP78*$AZ78/1000)+$H78*OFFSET(IO_STANDARDS,$AE78,14)/1000)+(($I78+J78)*$S78)*$AQ78</f>
        <v>0</v>
      </c>
      <c r="AM78" s="341">
        <f t="shared" ca="1" si="59"/>
        <v>0</v>
      </c>
      <c r="AN78" s="341">
        <f t="shared" ca="1" si="60"/>
        <v>0</v>
      </c>
      <c r="AO78" s="341">
        <f t="shared" ca="1" si="61"/>
        <v>0</v>
      </c>
      <c r="AP78" s="341">
        <f t="shared" ca="1" si="62"/>
        <v>0</v>
      </c>
      <c r="AQ78" s="341">
        <f t="shared" ca="1" si="63"/>
        <v>0</v>
      </c>
      <c r="AR78" s="341">
        <f t="shared" ca="1" si="64"/>
        <v>0</v>
      </c>
      <c r="AS78" s="341">
        <f t="shared" ca="1" si="65"/>
        <v>0</v>
      </c>
      <c r="AT78" s="341">
        <f t="shared" ca="1" si="66"/>
        <v>0</v>
      </c>
      <c r="AU78" s="341">
        <f t="shared" ref="AU78:AU109" ca="1" si="84">IF((POWERMODE="Suspend")*($O78="OCT_ON")*($M78&lt;&gt;"None"),(($H78+$J78*(1-$S78))*$AS78*$AZ78/1000),IF((POWERMODE="Suspend")*($O78="Drivelast")*($BA78&lt;&gt;2)+(POWERMODE="Active"),(IF($M78="None",0,(($H78+$J78*(1-$S78))*$AS78*$AZ78/1000))+(($I78+J78)*$S78)*$AT78/1000),0))</f>
        <v>0</v>
      </c>
      <c r="AV78" s="341">
        <f t="shared" ref="AV78:AV109" ca="1" si="85">IF(ISSTA=1,IF($K78="No",0,$AF78*(OFFSET(S6IODELAY_DATA,3,3)*(H78+(1-S78)*J78) + IF($K78="Yes",OFFSET(S6IODELAY_DATA,4,3),OFFSET(S6IODELAY_DATA,5,3))*(I78+S78*J78))),0)</f>
        <v>0</v>
      </c>
      <c r="AW78" s="333">
        <f t="shared" ca="1" si="69"/>
        <v>0</v>
      </c>
      <c r="AX78" s="333">
        <f t="shared" ca="1" si="70"/>
        <v>0</v>
      </c>
      <c r="AY78" s="333">
        <f t="shared" ca="1" si="71"/>
        <v>0</v>
      </c>
      <c r="AZ78" s="341">
        <f t="shared" ca="1" si="25"/>
        <v>2.5</v>
      </c>
      <c r="BA78" s="341">
        <f t="shared" ca="1" si="26"/>
        <v>1</v>
      </c>
      <c r="BB78" s="341">
        <f t="shared" ca="1" si="27"/>
        <v>0</v>
      </c>
      <c r="BC78" s="341">
        <f t="shared" ca="1" si="28"/>
        <v>0</v>
      </c>
      <c r="BD78" s="341">
        <f t="shared" ca="1" si="29"/>
        <v>0</v>
      </c>
      <c r="BE78" s="341">
        <f t="shared" ca="1" si="30"/>
        <v>0</v>
      </c>
      <c r="BF78" s="341">
        <f t="shared" ca="1" si="31"/>
        <v>0</v>
      </c>
      <c r="BG78" s="441">
        <f t="shared" ca="1" si="32"/>
        <v>0</v>
      </c>
      <c r="BH78" s="441">
        <f t="shared" ca="1" si="33"/>
        <v>0</v>
      </c>
      <c r="BI78" s="441">
        <f t="shared" ca="1" si="34"/>
        <v>0</v>
      </c>
      <c r="BJ78" s="441">
        <f t="shared" ca="1" si="35"/>
        <v>0</v>
      </c>
      <c r="BK78" s="441">
        <f t="shared" ca="1" si="36"/>
        <v>0</v>
      </c>
      <c r="BL78" s="341">
        <f t="shared" ca="1" si="37"/>
        <v>0</v>
      </c>
      <c r="BM78" s="341">
        <f t="shared" ca="1" si="38"/>
        <v>0</v>
      </c>
      <c r="BN78" s="341">
        <f t="shared" ca="1" si="39"/>
        <v>0</v>
      </c>
      <c r="BO78" s="341">
        <f t="shared" ca="1" si="40"/>
        <v>0</v>
      </c>
      <c r="BP78" s="341">
        <f t="shared" ca="1" si="41"/>
        <v>0</v>
      </c>
      <c r="BQ78" s="341">
        <f t="shared" ca="1" si="42"/>
        <v>2.5</v>
      </c>
      <c r="BR78" s="341" t="str">
        <f t="shared" ca="1" si="72"/>
        <v>BP2</v>
      </c>
      <c r="BS78" s="357" t="str">
        <f t="shared" ca="1" si="73"/>
        <v>BP2</v>
      </c>
      <c r="BT78" s="358">
        <f t="shared" si="48"/>
        <v>50</v>
      </c>
      <c r="BU78" s="358">
        <f t="shared" ca="1" si="45"/>
        <v>0</v>
      </c>
      <c r="BV78" s="358">
        <f t="shared" ca="1" si="46"/>
        <v>0</v>
      </c>
      <c r="BW78" s="341"/>
      <c r="BX78" s="341"/>
      <c r="BY78" s="341"/>
      <c r="BZ78" s="341"/>
      <c r="CA78" s="127"/>
      <c r="CB78" s="127"/>
    </row>
    <row r="79" spans="1:80" x14ac:dyDescent="0.25">
      <c r="A79" s="136"/>
      <c r="B79" s="728"/>
      <c r="C79" s="678"/>
      <c r="D79" s="678"/>
      <c r="E79" s="729" t="s">
        <v>196</v>
      </c>
      <c r="F79" s="678"/>
      <c r="G79" s="678"/>
      <c r="H79" s="12">
        <v>0</v>
      </c>
      <c r="I79" s="12">
        <v>0</v>
      </c>
      <c r="J79" s="12">
        <v>0</v>
      </c>
      <c r="K79" s="10" t="s">
        <v>512</v>
      </c>
      <c r="L79" s="244" t="s">
        <v>514</v>
      </c>
      <c r="M79" s="244" t="s">
        <v>458</v>
      </c>
      <c r="N79" s="244" t="s">
        <v>458</v>
      </c>
      <c r="O79" s="12" t="s">
        <v>396</v>
      </c>
      <c r="P79" s="234">
        <v>0</v>
      </c>
      <c r="Q79" s="13">
        <v>0.125</v>
      </c>
      <c r="R79" s="14" t="s">
        <v>28</v>
      </c>
      <c r="S79" s="237">
        <v>1</v>
      </c>
      <c r="T79" s="10">
        <v>0</v>
      </c>
      <c r="U79" s="548">
        <f t="shared" si="80"/>
        <v>0</v>
      </c>
      <c r="V79" s="484">
        <f t="shared" ca="1" si="81"/>
        <v>0</v>
      </c>
      <c r="W79" s="484">
        <f t="shared" ca="1" si="2"/>
        <v>0</v>
      </c>
      <c r="X79" s="485">
        <f t="shared" ca="1" si="51"/>
        <v>0</v>
      </c>
      <c r="Y79" s="450" t="s">
        <v>458</v>
      </c>
      <c r="Z79" s="370"/>
      <c r="AA79" s="371" t="s">
        <v>458</v>
      </c>
      <c r="AB79" s="370"/>
      <c r="AC79" s="449"/>
      <c r="AD79" s="489">
        <f t="shared" si="82"/>
        <v>0</v>
      </c>
      <c r="AE79" s="341">
        <f t="shared" si="5"/>
        <v>212</v>
      </c>
      <c r="AF79" s="341">
        <f t="shared" si="6"/>
        <v>0</v>
      </c>
      <c r="AG79" s="341">
        <f t="shared" ca="1" si="53"/>
        <v>0</v>
      </c>
      <c r="AH79" s="341">
        <f t="shared" ca="1" si="54"/>
        <v>0</v>
      </c>
      <c r="AI79" s="341">
        <f t="shared" ca="1" si="55"/>
        <v>0</v>
      </c>
      <c r="AJ79" s="341">
        <f t="shared" ca="1" si="56"/>
        <v>0</v>
      </c>
      <c r="AK79" s="341">
        <f t="shared" ca="1" si="57"/>
        <v>0</v>
      </c>
      <c r="AL79" s="341">
        <f t="shared" ca="1" si="83"/>
        <v>0</v>
      </c>
      <c r="AM79" s="341">
        <f t="shared" ca="1" si="59"/>
        <v>0</v>
      </c>
      <c r="AN79" s="341">
        <f t="shared" ca="1" si="60"/>
        <v>0</v>
      </c>
      <c r="AO79" s="341">
        <f t="shared" ca="1" si="61"/>
        <v>0</v>
      </c>
      <c r="AP79" s="341">
        <f t="shared" ca="1" si="62"/>
        <v>0</v>
      </c>
      <c r="AQ79" s="341">
        <f t="shared" ca="1" si="63"/>
        <v>0</v>
      </c>
      <c r="AR79" s="341">
        <f t="shared" ca="1" si="64"/>
        <v>0</v>
      </c>
      <c r="AS79" s="341">
        <f t="shared" ca="1" si="65"/>
        <v>0</v>
      </c>
      <c r="AT79" s="341">
        <f t="shared" ca="1" si="66"/>
        <v>0</v>
      </c>
      <c r="AU79" s="341">
        <f t="shared" ca="1" si="84"/>
        <v>0</v>
      </c>
      <c r="AV79" s="341">
        <f t="shared" ca="1" si="85"/>
        <v>0</v>
      </c>
      <c r="AW79" s="333">
        <f t="shared" ca="1" si="69"/>
        <v>0</v>
      </c>
      <c r="AX79" s="333">
        <f t="shared" ca="1" si="70"/>
        <v>0</v>
      </c>
      <c r="AY79" s="333">
        <f t="shared" ca="1" si="71"/>
        <v>0</v>
      </c>
      <c r="AZ79" s="341">
        <f t="shared" ca="1" si="25"/>
        <v>2.5</v>
      </c>
      <c r="BA79" s="341">
        <f t="shared" ca="1" si="26"/>
        <v>1</v>
      </c>
      <c r="BB79" s="341">
        <f t="shared" ca="1" si="27"/>
        <v>0</v>
      </c>
      <c r="BC79" s="341">
        <f t="shared" ca="1" si="28"/>
        <v>0</v>
      </c>
      <c r="BD79" s="341">
        <f t="shared" ca="1" si="29"/>
        <v>0</v>
      </c>
      <c r="BE79" s="341">
        <f t="shared" ca="1" si="30"/>
        <v>0</v>
      </c>
      <c r="BF79" s="341">
        <f t="shared" ca="1" si="31"/>
        <v>0</v>
      </c>
      <c r="BG79" s="441">
        <f t="shared" ca="1" si="32"/>
        <v>0</v>
      </c>
      <c r="BH79" s="441">
        <f t="shared" ca="1" si="33"/>
        <v>0</v>
      </c>
      <c r="BI79" s="441">
        <f t="shared" ca="1" si="34"/>
        <v>0</v>
      </c>
      <c r="BJ79" s="441">
        <f t="shared" ca="1" si="35"/>
        <v>0</v>
      </c>
      <c r="BK79" s="441">
        <f t="shared" ca="1" si="36"/>
        <v>0</v>
      </c>
      <c r="BL79" s="341">
        <f t="shared" ca="1" si="37"/>
        <v>0</v>
      </c>
      <c r="BM79" s="341">
        <f t="shared" ca="1" si="38"/>
        <v>0</v>
      </c>
      <c r="BN79" s="341">
        <f t="shared" ca="1" si="39"/>
        <v>0</v>
      </c>
      <c r="BO79" s="341">
        <f t="shared" ca="1" si="40"/>
        <v>0</v>
      </c>
      <c r="BP79" s="341">
        <f t="shared" ca="1" si="41"/>
        <v>0</v>
      </c>
      <c r="BQ79" s="341">
        <f t="shared" ca="1" si="42"/>
        <v>2.5</v>
      </c>
      <c r="BR79" s="341" t="str">
        <f t="shared" ca="1" si="72"/>
        <v>BP2</v>
      </c>
      <c r="BS79" s="357" t="str">
        <f t="shared" ca="1" si="73"/>
        <v>BP2</v>
      </c>
      <c r="BT79" s="358">
        <f t="shared" si="48"/>
        <v>50</v>
      </c>
      <c r="BU79" s="358">
        <f t="shared" ca="1" si="45"/>
        <v>0</v>
      </c>
      <c r="BV79" s="358">
        <f t="shared" ca="1" si="46"/>
        <v>0</v>
      </c>
      <c r="BW79" s="341"/>
      <c r="BX79" s="341"/>
      <c r="BY79" s="341"/>
      <c r="BZ79" s="341"/>
      <c r="CA79" s="127"/>
      <c r="CB79" s="127"/>
    </row>
    <row r="80" spans="1:80" x14ac:dyDescent="0.25">
      <c r="A80" s="136"/>
      <c r="B80" s="728"/>
      <c r="C80" s="678"/>
      <c r="D80" s="678"/>
      <c r="E80" s="729" t="s">
        <v>196</v>
      </c>
      <c r="F80" s="678"/>
      <c r="G80" s="678"/>
      <c r="H80" s="12">
        <v>0</v>
      </c>
      <c r="I80" s="12">
        <v>0</v>
      </c>
      <c r="J80" s="12">
        <v>0</v>
      </c>
      <c r="K80" s="10" t="s">
        <v>512</v>
      </c>
      <c r="L80" s="244" t="s">
        <v>514</v>
      </c>
      <c r="M80" s="244" t="s">
        <v>458</v>
      </c>
      <c r="N80" s="244" t="s">
        <v>458</v>
      </c>
      <c r="O80" s="12" t="s">
        <v>396</v>
      </c>
      <c r="P80" s="234">
        <v>0</v>
      </c>
      <c r="Q80" s="13">
        <v>0.125</v>
      </c>
      <c r="R80" s="14" t="s">
        <v>28</v>
      </c>
      <c r="S80" s="237">
        <v>1</v>
      </c>
      <c r="T80" s="10">
        <v>0</v>
      </c>
      <c r="U80" s="548">
        <f t="shared" si="80"/>
        <v>0</v>
      </c>
      <c r="V80" s="484">
        <f t="shared" ca="1" si="81"/>
        <v>0</v>
      </c>
      <c r="W80" s="484">
        <f t="shared" ca="1" si="2"/>
        <v>0</v>
      </c>
      <c r="X80" s="485">
        <f t="shared" ca="1" si="51"/>
        <v>0</v>
      </c>
      <c r="Y80" s="450" t="s">
        <v>458</v>
      </c>
      <c r="Z80" s="370"/>
      <c r="AA80" s="371" t="s">
        <v>458</v>
      </c>
      <c r="AB80" s="370"/>
      <c r="AC80" s="449"/>
      <c r="AD80" s="489">
        <f t="shared" si="82"/>
        <v>0</v>
      </c>
      <c r="AE80" s="341">
        <f t="shared" si="5"/>
        <v>212</v>
      </c>
      <c r="AF80" s="341">
        <f t="shared" si="6"/>
        <v>0</v>
      </c>
      <c r="AG80" s="341">
        <f t="shared" ca="1" si="53"/>
        <v>0</v>
      </c>
      <c r="AH80" s="341">
        <f t="shared" ca="1" si="54"/>
        <v>0</v>
      </c>
      <c r="AI80" s="341">
        <f t="shared" ca="1" si="55"/>
        <v>0</v>
      </c>
      <c r="AJ80" s="341">
        <f t="shared" ca="1" si="56"/>
        <v>0</v>
      </c>
      <c r="AK80" s="341">
        <f t="shared" ca="1" si="57"/>
        <v>0</v>
      </c>
      <c r="AL80" s="341">
        <f t="shared" ca="1" si="83"/>
        <v>0</v>
      </c>
      <c r="AM80" s="341">
        <f t="shared" ca="1" si="59"/>
        <v>0</v>
      </c>
      <c r="AN80" s="341">
        <f t="shared" ca="1" si="60"/>
        <v>0</v>
      </c>
      <c r="AO80" s="341">
        <f t="shared" ca="1" si="61"/>
        <v>0</v>
      </c>
      <c r="AP80" s="341">
        <f t="shared" ca="1" si="62"/>
        <v>0</v>
      </c>
      <c r="AQ80" s="341">
        <f t="shared" ca="1" si="63"/>
        <v>0</v>
      </c>
      <c r="AR80" s="341">
        <f t="shared" ca="1" si="64"/>
        <v>0</v>
      </c>
      <c r="AS80" s="341">
        <f t="shared" ca="1" si="65"/>
        <v>0</v>
      </c>
      <c r="AT80" s="341">
        <f t="shared" ca="1" si="66"/>
        <v>0</v>
      </c>
      <c r="AU80" s="341">
        <f t="shared" ca="1" si="84"/>
        <v>0</v>
      </c>
      <c r="AV80" s="341">
        <f t="shared" ca="1" si="85"/>
        <v>0</v>
      </c>
      <c r="AW80" s="333">
        <f t="shared" ca="1" si="69"/>
        <v>0</v>
      </c>
      <c r="AX80" s="333">
        <f t="shared" ca="1" si="70"/>
        <v>0</v>
      </c>
      <c r="AY80" s="333">
        <f t="shared" ca="1" si="71"/>
        <v>0</v>
      </c>
      <c r="AZ80" s="341">
        <f t="shared" ca="1" si="25"/>
        <v>2.5</v>
      </c>
      <c r="BA80" s="341">
        <f t="shared" ca="1" si="26"/>
        <v>1</v>
      </c>
      <c r="BB80" s="341">
        <f t="shared" ca="1" si="27"/>
        <v>0</v>
      </c>
      <c r="BC80" s="341">
        <f t="shared" ca="1" si="28"/>
        <v>0</v>
      </c>
      <c r="BD80" s="341">
        <f t="shared" ca="1" si="29"/>
        <v>0</v>
      </c>
      <c r="BE80" s="341">
        <f t="shared" ca="1" si="30"/>
        <v>0</v>
      </c>
      <c r="BF80" s="341">
        <f t="shared" ca="1" si="31"/>
        <v>0</v>
      </c>
      <c r="BG80" s="441">
        <f t="shared" ca="1" si="32"/>
        <v>0</v>
      </c>
      <c r="BH80" s="441">
        <f t="shared" ca="1" si="33"/>
        <v>0</v>
      </c>
      <c r="BI80" s="441">
        <f t="shared" ca="1" si="34"/>
        <v>0</v>
      </c>
      <c r="BJ80" s="441">
        <f t="shared" ca="1" si="35"/>
        <v>0</v>
      </c>
      <c r="BK80" s="441">
        <f t="shared" ca="1" si="36"/>
        <v>0</v>
      </c>
      <c r="BL80" s="341">
        <f t="shared" ca="1" si="37"/>
        <v>0</v>
      </c>
      <c r="BM80" s="341">
        <f t="shared" ca="1" si="38"/>
        <v>0</v>
      </c>
      <c r="BN80" s="341">
        <f t="shared" ca="1" si="39"/>
        <v>0</v>
      </c>
      <c r="BO80" s="341">
        <f t="shared" ca="1" si="40"/>
        <v>0</v>
      </c>
      <c r="BP80" s="341">
        <f t="shared" ca="1" si="41"/>
        <v>0</v>
      </c>
      <c r="BQ80" s="341">
        <f t="shared" ca="1" si="42"/>
        <v>2.5</v>
      </c>
      <c r="BR80" s="341" t="str">
        <f t="shared" ca="1" si="72"/>
        <v>BP2</v>
      </c>
      <c r="BS80" s="357" t="str">
        <f t="shared" ca="1" si="73"/>
        <v>BP2</v>
      </c>
      <c r="BT80" s="358">
        <f t="shared" si="48"/>
        <v>50</v>
      </c>
      <c r="BU80" s="358">
        <f t="shared" ca="1" si="45"/>
        <v>0</v>
      </c>
      <c r="BV80" s="358">
        <f t="shared" ca="1" si="46"/>
        <v>0</v>
      </c>
      <c r="BW80" s="341"/>
      <c r="BX80" s="341"/>
      <c r="BY80" s="341"/>
      <c r="BZ80" s="341"/>
      <c r="CA80" s="127"/>
      <c r="CB80" s="127"/>
    </row>
    <row r="81" spans="1:80" x14ac:dyDescent="0.25">
      <c r="A81" s="136"/>
      <c r="B81" s="728"/>
      <c r="C81" s="678"/>
      <c r="D81" s="678"/>
      <c r="E81" s="729" t="s">
        <v>196</v>
      </c>
      <c r="F81" s="678"/>
      <c r="G81" s="678"/>
      <c r="H81" s="12">
        <v>0</v>
      </c>
      <c r="I81" s="12">
        <v>0</v>
      </c>
      <c r="J81" s="12">
        <v>0</v>
      </c>
      <c r="K81" s="10" t="s">
        <v>512</v>
      </c>
      <c r="L81" s="244" t="s">
        <v>514</v>
      </c>
      <c r="M81" s="244" t="s">
        <v>458</v>
      </c>
      <c r="N81" s="244" t="s">
        <v>458</v>
      </c>
      <c r="O81" s="12" t="s">
        <v>396</v>
      </c>
      <c r="P81" s="234">
        <v>0</v>
      </c>
      <c r="Q81" s="13">
        <v>0.125</v>
      </c>
      <c r="R81" s="14" t="s">
        <v>28</v>
      </c>
      <c r="S81" s="237">
        <v>1</v>
      </c>
      <c r="T81" s="10">
        <v>0</v>
      </c>
      <c r="U81" s="548">
        <f t="shared" si="80"/>
        <v>0</v>
      </c>
      <c r="V81" s="484">
        <f t="shared" ca="1" si="81"/>
        <v>0</v>
      </c>
      <c r="W81" s="484">
        <f t="shared" ca="1" si="2"/>
        <v>0</v>
      </c>
      <c r="X81" s="485">
        <f t="shared" ca="1" si="51"/>
        <v>0</v>
      </c>
      <c r="Y81" s="450" t="s">
        <v>458</v>
      </c>
      <c r="Z81" s="370"/>
      <c r="AA81" s="371" t="s">
        <v>458</v>
      </c>
      <c r="AB81" s="370"/>
      <c r="AC81" s="449"/>
      <c r="AD81" s="489">
        <f t="shared" si="82"/>
        <v>0</v>
      </c>
      <c r="AE81" s="341">
        <f t="shared" si="5"/>
        <v>212</v>
      </c>
      <c r="AF81" s="341">
        <f t="shared" si="6"/>
        <v>0</v>
      </c>
      <c r="AG81" s="341">
        <f t="shared" ca="1" si="53"/>
        <v>0</v>
      </c>
      <c r="AH81" s="341">
        <f t="shared" ca="1" si="54"/>
        <v>0</v>
      </c>
      <c r="AI81" s="341">
        <f t="shared" ca="1" si="55"/>
        <v>0</v>
      </c>
      <c r="AJ81" s="341">
        <f t="shared" ca="1" si="56"/>
        <v>0</v>
      </c>
      <c r="AK81" s="341">
        <f t="shared" ca="1" si="57"/>
        <v>0</v>
      </c>
      <c r="AL81" s="341">
        <f t="shared" ca="1" si="83"/>
        <v>0</v>
      </c>
      <c r="AM81" s="341">
        <f t="shared" ca="1" si="59"/>
        <v>0</v>
      </c>
      <c r="AN81" s="341">
        <f t="shared" ca="1" si="60"/>
        <v>0</v>
      </c>
      <c r="AO81" s="341">
        <f t="shared" ca="1" si="61"/>
        <v>0</v>
      </c>
      <c r="AP81" s="341">
        <f t="shared" ca="1" si="62"/>
        <v>0</v>
      </c>
      <c r="AQ81" s="341">
        <f t="shared" ca="1" si="63"/>
        <v>0</v>
      </c>
      <c r="AR81" s="341">
        <f t="shared" ca="1" si="64"/>
        <v>0</v>
      </c>
      <c r="AS81" s="341">
        <f t="shared" ca="1" si="65"/>
        <v>0</v>
      </c>
      <c r="AT81" s="341">
        <f t="shared" ca="1" si="66"/>
        <v>0</v>
      </c>
      <c r="AU81" s="341">
        <f t="shared" ca="1" si="84"/>
        <v>0</v>
      </c>
      <c r="AV81" s="341">
        <f t="shared" ca="1" si="85"/>
        <v>0</v>
      </c>
      <c r="AW81" s="333">
        <f t="shared" ca="1" si="69"/>
        <v>0</v>
      </c>
      <c r="AX81" s="333">
        <f t="shared" ca="1" si="70"/>
        <v>0</v>
      </c>
      <c r="AY81" s="333">
        <f t="shared" ca="1" si="71"/>
        <v>0</v>
      </c>
      <c r="AZ81" s="341">
        <f t="shared" ca="1" si="25"/>
        <v>2.5</v>
      </c>
      <c r="BA81" s="341">
        <f t="shared" ca="1" si="26"/>
        <v>1</v>
      </c>
      <c r="BB81" s="341">
        <f t="shared" ca="1" si="27"/>
        <v>0</v>
      </c>
      <c r="BC81" s="341">
        <f t="shared" ca="1" si="28"/>
        <v>0</v>
      </c>
      <c r="BD81" s="341">
        <f t="shared" ca="1" si="29"/>
        <v>0</v>
      </c>
      <c r="BE81" s="341">
        <f t="shared" ca="1" si="30"/>
        <v>0</v>
      </c>
      <c r="BF81" s="341">
        <f t="shared" ca="1" si="31"/>
        <v>0</v>
      </c>
      <c r="BG81" s="441">
        <f t="shared" ca="1" si="32"/>
        <v>0</v>
      </c>
      <c r="BH81" s="441">
        <f t="shared" ca="1" si="33"/>
        <v>0</v>
      </c>
      <c r="BI81" s="441">
        <f t="shared" ca="1" si="34"/>
        <v>0</v>
      </c>
      <c r="BJ81" s="441">
        <f t="shared" ca="1" si="35"/>
        <v>0</v>
      </c>
      <c r="BK81" s="441">
        <f t="shared" ca="1" si="36"/>
        <v>0</v>
      </c>
      <c r="BL81" s="341">
        <f t="shared" ca="1" si="37"/>
        <v>0</v>
      </c>
      <c r="BM81" s="341">
        <f t="shared" ca="1" si="38"/>
        <v>0</v>
      </c>
      <c r="BN81" s="341">
        <f t="shared" ca="1" si="39"/>
        <v>0</v>
      </c>
      <c r="BO81" s="341">
        <f t="shared" ca="1" si="40"/>
        <v>0</v>
      </c>
      <c r="BP81" s="341">
        <f t="shared" ca="1" si="41"/>
        <v>0</v>
      </c>
      <c r="BQ81" s="341">
        <f t="shared" ca="1" si="42"/>
        <v>2.5</v>
      </c>
      <c r="BR81" s="341" t="str">
        <f t="shared" ca="1" si="72"/>
        <v>BP2</v>
      </c>
      <c r="BS81" s="357" t="str">
        <f t="shared" ca="1" si="73"/>
        <v>BP2</v>
      </c>
      <c r="BT81" s="358">
        <f t="shared" si="48"/>
        <v>50</v>
      </c>
      <c r="BU81" s="358">
        <f t="shared" ca="1" si="45"/>
        <v>0</v>
      </c>
      <c r="BV81" s="358">
        <f t="shared" ca="1" si="46"/>
        <v>0</v>
      </c>
      <c r="BW81" s="341"/>
      <c r="BX81" s="341"/>
      <c r="BY81" s="341"/>
      <c r="BZ81" s="341"/>
      <c r="CA81" s="127"/>
      <c r="CB81" s="127"/>
    </row>
    <row r="82" spans="1:80" x14ac:dyDescent="0.25">
      <c r="A82" s="136"/>
      <c r="B82" s="728"/>
      <c r="C82" s="678"/>
      <c r="D82" s="678"/>
      <c r="E82" s="729" t="s">
        <v>196</v>
      </c>
      <c r="F82" s="678"/>
      <c r="G82" s="678"/>
      <c r="H82" s="12">
        <v>0</v>
      </c>
      <c r="I82" s="12">
        <v>0</v>
      </c>
      <c r="J82" s="12">
        <v>0</v>
      </c>
      <c r="K82" s="10" t="s">
        <v>512</v>
      </c>
      <c r="L82" s="244" t="s">
        <v>514</v>
      </c>
      <c r="M82" s="244" t="s">
        <v>458</v>
      </c>
      <c r="N82" s="244" t="s">
        <v>458</v>
      </c>
      <c r="O82" s="12" t="s">
        <v>396</v>
      </c>
      <c r="P82" s="234">
        <v>0</v>
      </c>
      <c r="Q82" s="13">
        <v>0.125</v>
      </c>
      <c r="R82" s="14" t="s">
        <v>28</v>
      </c>
      <c r="S82" s="237">
        <v>1</v>
      </c>
      <c r="T82" s="10">
        <v>0</v>
      </c>
      <c r="U82" s="548">
        <f t="shared" si="80"/>
        <v>0</v>
      </c>
      <c r="V82" s="484">
        <f t="shared" ca="1" si="81"/>
        <v>0</v>
      </c>
      <c r="W82" s="484">
        <f t="shared" ca="1" si="2"/>
        <v>0</v>
      </c>
      <c r="X82" s="485">
        <f t="shared" ca="1" si="51"/>
        <v>0</v>
      </c>
      <c r="Y82" s="450" t="s">
        <v>458</v>
      </c>
      <c r="Z82" s="370"/>
      <c r="AA82" s="371" t="s">
        <v>458</v>
      </c>
      <c r="AB82" s="370"/>
      <c r="AC82" s="449"/>
      <c r="AD82" s="489">
        <f t="shared" si="82"/>
        <v>0</v>
      </c>
      <c r="AE82" s="341">
        <f t="shared" si="5"/>
        <v>212</v>
      </c>
      <c r="AF82" s="341">
        <f t="shared" si="6"/>
        <v>0</v>
      </c>
      <c r="AG82" s="341">
        <f t="shared" ca="1" si="53"/>
        <v>0</v>
      </c>
      <c r="AH82" s="341">
        <f t="shared" ca="1" si="54"/>
        <v>0</v>
      </c>
      <c r="AI82" s="341">
        <f t="shared" ca="1" si="55"/>
        <v>0</v>
      </c>
      <c r="AJ82" s="341">
        <f t="shared" ca="1" si="56"/>
        <v>0</v>
      </c>
      <c r="AK82" s="341">
        <f t="shared" ca="1" si="57"/>
        <v>0</v>
      </c>
      <c r="AL82" s="341">
        <f t="shared" ca="1" si="83"/>
        <v>0</v>
      </c>
      <c r="AM82" s="341">
        <f t="shared" ca="1" si="59"/>
        <v>0</v>
      </c>
      <c r="AN82" s="341">
        <f t="shared" ca="1" si="60"/>
        <v>0</v>
      </c>
      <c r="AO82" s="341">
        <f t="shared" ca="1" si="61"/>
        <v>0</v>
      </c>
      <c r="AP82" s="341">
        <f t="shared" ca="1" si="62"/>
        <v>0</v>
      </c>
      <c r="AQ82" s="341">
        <f t="shared" ca="1" si="63"/>
        <v>0</v>
      </c>
      <c r="AR82" s="341">
        <f t="shared" ca="1" si="64"/>
        <v>0</v>
      </c>
      <c r="AS82" s="341">
        <f t="shared" ca="1" si="65"/>
        <v>0</v>
      </c>
      <c r="AT82" s="341">
        <f t="shared" ca="1" si="66"/>
        <v>0</v>
      </c>
      <c r="AU82" s="341">
        <f t="shared" ca="1" si="84"/>
        <v>0</v>
      </c>
      <c r="AV82" s="341">
        <f t="shared" ca="1" si="85"/>
        <v>0</v>
      </c>
      <c r="AW82" s="333">
        <f t="shared" ca="1" si="69"/>
        <v>0</v>
      </c>
      <c r="AX82" s="333">
        <f t="shared" ca="1" si="70"/>
        <v>0</v>
      </c>
      <c r="AY82" s="333">
        <f t="shared" ca="1" si="71"/>
        <v>0</v>
      </c>
      <c r="AZ82" s="341">
        <f t="shared" ca="1" si="25"/>
        <v>2.5</v>
      </c>
      <c r="BA82" s="341">
        <f t="shared" ca="1" si="26"/>
        <v>1</v>
      </c>
      <c r="BB82" s="341">
        <f t="shared" ca="1" si="27"/>
        <v>0</v>
      </c>
      <c r="BC82" s="341">
        <f t="shared" ca="1" si="28"/>
        <v>0</v>
      </c>
      <c r="BD82" s="341">
        <f t="shared" ca="1" si="29"/>
        <v>0</v>
      </c>
      <c r="BE82" s="341">
        <f t="shared" ca="1" si="30"/>
        <v>0</v>
      </c>
      <c r="BF82" s="341">
        <f t="shared" ca="1" si="31"/>
        <v>0</v>
      </c>
      <c r="BG82" s="441">
        <f t="shared" ca="1" si="32"/>
        <v>0</v>
      </c>
      <c r="BH82" s="441">
        <f t="shared" ca="1" si="33"/>
        <v>0</v>
      </c>
      <c r="BI82" s="441">
        <f t="shared" ca="1" si="34"/>
        <v>0</v>
      </c>
      <c r="BJ82" s="441">
        <f t="shared" ca="1" si="35"/>
        <v>0</v>
      </c>
      <c r="BK82" s="441">
        <f t="shared" ca="1" si="36"/>
        <v>0</v>
      </c>
      <c r="BL82" s="341">
        <f t="shared" ca="1" si="37"/>
        <v>0</v>
      </c>
      <c r="BM82" s="341">
        <f t="shared" ca="1" si="38"/>
        <v>0</v>
      </c>
      <c r="BN82" s="341">
        <f t="shared" ca="1" si="39"/>
        <v>0</v>
      </c>
      <c r="BO82" s="341">
        <f t="shared" ca="1" si="40"/>
        <v>0</v>
      </c>
      <c r="BP82" s="341">
        <f t="shared" ca="1" si="41"/>
        <v>0</v>
      </c>
      <c r="BQ82" s="341">
        <f t="shared" ca="1" si="42"/>
        <v>2.5</v>
      </c>
      <c r="BR82" s="341" t="str">
        <f t="shared" ca="1" si="72"/>
        <v>BP2</v>
      </c>
      <c r="BS82" s="357" t="str">
        <f t="shared" ca="1" si="73"/>
        <v>BP2</v>
      </c>
      <c r="BT82" s="358">
        <f t="shared" si="48"/>
        <v>50</v>
      </c>
      <c r="BU82" s="358">
        <f t="shared" ca="1" si="45"/>
        <v>0</v>
      </c>
      <c r="BV82" s="358">
        <f t="shared" ca="1" si="46"/>
        <v>0</v>
      </c>
      <c r="BW82" s="341"/>
      <c r="BX82" s="341"/>
      <c r="BY82" s="341"/>
      <c r="BZ82" s="341"/>
      <c r="CA82" s="127"/>
      <c r="CB82" s="127"/>
    </row>
    <row r="83" spans="1:80" x14ac:dyDescent="0.25">
      <c r="A83" s="136"/>
      <c r="B83" s="728"/>
      <c r="C83" s="678"/>
      <c r="D83" s="678"/>
      <c r="E83" s="729" t="s">
        <v>196</v>
      </c>
      <c r="F83" s="678"/>
      <c r="G83" s="678"/>
      <c r="H83" s="12">
        <v>0</v>
      </c>
      <c r="I83" s="12">
        <v>0</v>
      </c>
      <c r="J83" s="12">
        <v>0</v>
      </c>
      <c r="K83" s="10" t="s">
        <v>512</v>
      </c>
      <c r="L83" s="244" t="s">
        <v>514</v>
      </c>
      <c r="M83" s="244" t="s">
        <v>458</v>
      </c>
      <c r="N83" s="244" t="s">
        <v>458</v>
      </c>
      <c r="O83" s="12" t="s">
        <v>396</v>
      </c>
      <c r="P83" s="234">
        <v>0</v>
      </c>
      <c r="Q83" s="13">
        <v>0.125</v>
      </c>
      <c r="R83" s="14" t="s">
        <v>28</v>
      </c>
      <c r="S83" s="237">
        <v>1</v>
      </c>
      <c r="T83" s="10">
        <v>0</v>
      </c>
      <c r="U83" s="548">
        <f t="shared" si="80"/>
        <v>0</v>
      </c>
      <c r="V83" s="484">
        <f t="shared" ca="1" si="81"/>
        <v>0</v>
      </c>
      <c r="W83" s="484">
        <f t="shared" ca="1" si="2"/>
        <v>0</v>
      </c>
      <c r="X83" s="485">
        <f t="shared" ca="1" si="51"/>
        <v>0</v>
      </c>
      <c r="Y83" s="450" t="s">
        <v>458</v>
      </c>
      <c r="Z83" s="370"/>
      <c r="AA83" s="371" t="s">
        <v>458</v>
      </c>
      <c r="AB83" s="370"/>
      <c r="AC83" s="449"/>
      <c r="AD83" s="489">
        <f t="shared" si="82"/>
        <v>0</v>
      </c>
      <c r="AE83" s="341">
        <f t="shared" si="5"/>
        <v>212</v>
      </c>
      <c r="AF83" s="341">
        <f t="shared" si="6"/>
        <v>0</v>
      </c>
      <c r="AG83" s="341">
        <f t="shared" ca="1" si="53"/>
        <v>0</v>
      </c>
      <c r="AH83" s="341">
        <f t="shared" ca="1" si="54"/>
        <v>0</v>
      </c>
      <c r="AI83" s="341">
        <f t="shared" ca="1" si="55"/>
        <v>0</v>
      </c>
      <c r="AJ83" s="341">
        <f t="shared" ca="1" si="56"/>
        <v>0</v>
      </c>
      <c r="AK83" s="341">
        <f t="shared" ca="1" si="57"/>
        <v>0</v>
      </c>
      <c r="AL83" s="341">
        <f t="shared" ca="1" si="83"/>
        <v>0</v>
      </c>
      <c r="AM83" s="341">
        <f t="shared" ca="1" si="59"/>
        <v>0</v>
      </c>
      <c r="AN83" s="341">
        <f t="shared" ca="1" si="60"/>
        <v>0</v>
      </c>
      <c r="AO83" s="341">
        <f t="shared" ca="1" si="61"/>
        <v>0</v>
      </c>
      <c r="AP83" s="341">
        <f t="shared" ca="1" si="62"/>
        <v>0</v>
      </c>
      <c r="AQ83" s="341">
        <f t="shared" ca="1" si="63"/>
        <v>0</v>
      </c>
      <c r="AR83" s="341">
        <f t="shared" ca="1" si="64"/>
        <v>0</v>
      </c>
      <c r="AS83" s="341">
        <f t="shared" ca="1" si="65"/>
        <v>0</v>
      </c>
      <c r="AT83" s="341">
        <f t="shared" ca="1" si="66"/>
        <v>0</v>
      </c>
      <c r="AU83" s="341">
        <f t="shared" ca="1" si="84"/>
        <v>0</v>
      </c>
      <c r="AV83" s="341">
        <f t="shared" ca="1" si="85"/>
        <v>0</v>
      </c>
      <c r="AW83" s="333">
        <f t="shared" ca="1" si="69"/>
        <v>0</v>
      </c>
      <c r="AX83" s="333">
        <f t="shared" ca="1" si="70"/>
        <v>0</v>
      </c>
      <c r="AY83" s="333">
        <f t="shared" ca="1" si="71"/>
        <v>0</v>
      </c>
      <c r="AZ83" s="341">
        <f t="shared" ca="1" si="25"/>
        <v>2.5</v>
      </c>
      <c r="BA83" s="341">
        <f t="shared" ca="1" si="26"/>
        <v>1</v>
      </c>
      <c r="BB83" s="341">
        <f t="shared" ca="1" si="27"/>
        <v>0</v>
      </c>
      <c r="BC83" s="341">
        <f t="shared" ca="1" si="28"/>
        <v>0</v>
      </c>
      <c r="BD83" s="341">
        <f t="shared" ca="1" si="29"/>
        <v>0</v>
      </c>
      <c r="BE83" s="341">
        <f t="shared" ca="1" si="30"/>
        <v>0</v>
      </c>
      <c r="BF83" s="341">
        <f t="shared" ca="1" si="31"/>
        <v>0</v>
      </c>
      <c r="BG83" s="441">
        <f t="shared" ca="1" si="32"/>
        <v>0</v>
      </c>
      <c r="BH83" s="441">
        <f t="shared" ca="1" si="33"/>
        <v>0</v>
      </c>
      <c r="BI83" s="441">
        <f t="shared" ca="1" si="34"/>
        <v>0</v>
      </c>
      <c r="BJ83" s="441">
        <f t="shared" ca="1" si="35"/>
        <v>0</v>
      </c>
      <c r="BK83" s="441">
        <f t="shared" ca="1" si="36"/>
        <v>0</v>
      </c>
      <c r="BL83" s="341">
        <f t="shared" ca="1" si="37"/>
        <v>0</v>
      </c>
      <c r="BM83" s="341">
        <f t="shared" ca="1" si="38"/>
        <v>0</v>
      </c>
      <c r="BN83" s="341">
        <f t="shared" ca="1" si="39"/>
        <v>0</v>
      </c>
      <c r="BO83" s="341">
        <f t="shared" ca="1" si="40"/>
        <v>0</v>
      </c>
      <c r="BP83" s="341">
        <f t="shared" ca="1" si="41"/>
        <v>0</v>
      </c>
      <c r="BQ83" s="341">
        <f t="shared" ca="1" si="42"/>
        <v>2.5</v>
      </c>
      <c r="BR83" s="341" t="str">
        <f t="shared" ca="1" si="72"/>
        <v>BP2</v>
      </c>
      <c r="BS83" s="357" t="str">
        <f t="shared" ca="1" si="73"/>
        <v>BP2</v>
      </c>
      <c r="BT83" s="358">
        <f t="shared" si="48"/>
        <v>50</v>
      </c>
      <c r="BU83" s="358">
        <f t="shared" ca="1" si="45"/>
        <v>0</v>
      </c>
      <c r="BV83" s="358">
        <f t="shared" ca="1" si="46"/>
        <v>0</v>
      </c>
      <c r="BW83" s="341"/>
      <c r="BX83" s="341"/>
      <c r="BY83" s="341"/>
      <c r="BZ83" s="341"/>
      <c r="CA83" s="127"/>
      <c r="CB83" s="127"/>
    </row>
    <row r="84" spans="1:80" x14ac:dyDescent="0.25">
      <c r="A84" s="136"/>
      <c r="B84" s="728"/>
      <c r="C84" s="678"/>
      <c r="D84" s="678"/>
      <c r="E84" s="729" t="s">
        <v>196</v>
      </c>
      <c r="F84" s="678"/>
      <c r="G84" s="678"/>
      <c r="H84" s="12">
        <v>0</v>
      </c>
      <c r="I84" s="12">
        <v>0</v>
      </c>
      <c r="J84" s="12">
        <v>0</v>
      </c>
      <c r="K84" s="10" t="s">
        <v>512</v>
      </c>
      <c r="L84" s="244" t="s">
        <v>514</v>
      </c>
      <c r="M84" s="244" t="s">
        <v>458</v>
      </c>
      <c r="N84" s="244" t="s">
        <v>458</v>
      </c>
      <c r="O84" s="12" t="s">
        <v>396</v>
      </c>
      <c r="P84" s="234">
        <v>0</v>
      </c>
      <c r="Q84" s="13">
        <v>0.125</v>
      </c>
      <c r="R84" s="14" t="s">
        <v>28</v>
      </c>
      <c r="S84" s="237">
        <v>1</v>
      </c>
      <c r="T84" s="10">
        <v>0</v>
      </c>
      <c r="U84" s="548">
        <f t="shared" si="80"/>
        <v>0</v>
      </c>
      <c r="V84" s="484">
        <f t="shared" ca="1" si="81"/>
        <v>0</v>
      </c>
      <c r="W84" s="484">
        <f t="shared" ca="1" si="2"/>
        <v>0</v>
      </c>
      <c r="X84" s="485">
        <f t="shared" ca="1" si="51"/>
        <v>0</v>
      </c>
      <c r="Y84" s="450" t="s">
        <v>458</v>
      </c>
      <c r="Z84" s="370"/>
      <c r="AA84" s="371" t="s">
        <v>458</v>
      </c>
      <c r="AB84" s="370"/>
      <c r="AC84" s="449"/>
      <c r="AD84" s="489">
        <f t="shared" si="82"/>
        <v>0</v>
      </c>
      <c r="AE84" s="341">
        <f t="shared" si="5"/>
        <v>212</v>
      </c>
      <c r="AF84" s="341">
        <f t="shared" si="6"/>
        <v>0</v>
      </c>
      <c r="AG84" s="341">
        <f t="shared" ca="1" si="53"/>
        <v>0</v>
      </c>
      <c r="AH84" s="341">
        <f t="shared" ca="1" si="54"/>
        <v>0</v>
      </c>
      <c r="AI84" s="341">
        <f t="shared" ca="1" si="55"/>
        <v>0</v>
      </c>
      <c r="AJ84" s="341">
        <f t="shared" ca="1" si="56"/>
        <v>0</v>
      </c>
      <c r="AK84" s="341">
        <f t="shared" ca="1" si="57"/>
        <v>0</v>
      </c>
      <c r="AL84" s="341">
        <f t="shared" ca="1" si="83"/>
        <v>0</v>
      </c>
      <c r="AM84" s="341">
        <f t="shared" ca="1" si="59"/>
        <v>0</v>
      </c>
      <c r="AN84" s="341">
        <f t="shared" ca="1" si="60"/>
        <v>0</v>
      </c>
      <c r="AO84" s="341">
        <f t="shared" ca="1" si="61"/>
        <v>0</v>
      </c>
      <c r="AP84" s="341">
        <f t="shared" ca="1" si="62"/>
        <v>0</v>
      </c>
      <c r="AQ84" s="341">
        <f t="shared" ca="1" si="63"/>
        <v>0</v>
      </c>
      <c r="AR84" s="341">
        <f t="shared" ca="1" si="64"/>
        <v>0</v>
      </c>
      <c r="AS84" s="341">
        <f t="shared" ca="1" si="65"/>
        <v>0</v>
      </c>
      <c r="AT84" s="341">
        <f t="shared" ca="1" si="66"/>
        <v>0</v>
      </c>
      <c r="AU84" s="341">
        <f t="shared" ca="1" si="84"/>
        <v>0</v>
      </c>
      <c r="AV84" s="341">
        <f t="shared" ca="1" si="85"/>
        <v>0</v>
      </c>
      <c r="AW84" s="333">
        <f t="shared" ca="1" si="69"/>
        <v>0</v>
      </c>
      <c r="AX84" s="333">
        <f t="shared" ca="1" si="70"/>
        <v>0</v>
      </c>
      <c r="AY84" s="333">
        <f t="shared" ca="1" si="71"/>
        <v>0</v>
      </c>
      <c r="AZ84" s="341">
        <f t="shared" ca="1" si="25"/>
        <v>2.5</v>
      </c>
      <c r="BA84" s="341">
        <f t="shared" ca="1" si="26"/>
        <v>1</v>
      </c>
      <c r="BB84" s="341">
        <f t="shared" ca="1" si="27"/>
        <v>0</v>
      </c>
      <c r="BC84" s="341">
        <f t="shared" ca="1" si="28"/>
        <v>0</v>
      </c>
      <c r="BD84" s="341">
        <f t="shared" ca="1" si="29"/>
        <v>0</v>
      </c>
      <c r="BE84" s="341">
        <f t="shared" ca="1" si="30"/>
        <v>0</v>
      </c>
      <c r="BF84" s="341">
        <f t="shared" ca="1" si="31"/>
        <v>0</v>
      </c>
      <c r="BG84" s="441">
        <f t="shared" ca="1" si="32"/>
        <v>0</v>
      </c>
      <c r="BH84" s="441">
        <f t="shared" ca="1" si="33"/>
        <v>0</v>
      </c>
      <c r="BI84" s="441">
        <f t="shared" ca="1" si="34"/>
        <v>0</v>
      </c>
      <c r="BJ84" s="441">
        <f t="shared" ca="1" si="35"/>
        <v>0</v>
      </c>
      <c r="BK84" s="441">
        <f t="shared" ca="1" si="36"/>
        <v>0</v>
      </c>
      <c r="BL84" s="341">
        <f t="shared" ca="1" si="37"/>
        <v>0</v>
      </c>
      <c r="BM84" s="341">
        <f t="shared" ca="1" si="38"/>
        <v>0</v>
      </c>
      <c r="BN84" s="341">
        <f t="shared" ca="1" si="39"/>
        <v>0</v>
      </c>
      <c r="BO84" s="341">
        <f t="shared" ca="1" si="40"/>
        <v>0</v>
      </c>
      <c r="BP84" s="341">
        <f t="shared" ca="1" si="41"/>
        <v>0</v>
      </c>
      <c r="BQ84" s="341">
        <f t="shared" ca="1" si="42"/>
        <v>2.5</v>
      </c>
      <c r="BR84" s="341" t="str">
        <f t="shared" ca="1" si="72"/>
        <v>BP2</v>
      </c>
      <c r="BS84" s="357" t="str">
        <f t="shared" ca="1" si="73"/>
        <v>BP2</v>
      </c>
      <c r="BT84" s="358">
        <f t="shared" si="48"/>
        <v>50</v>
      </c>
      <c r="BU84" s="358">
        <f t="shared" ca="1" si="45"/>
        <v>0</v>
      </c>
      <c r="BV84" s="358">
        <f t="shared" ca="1" si="46"/>
        <v>0</v>
      </c>
      <c r="BW84" s="341"/>
      <c r="BX84" s="341"/>
      <c r="BY84" s="341"/>
      <c r="BZ84" s="341"/>
      <c r="CA84" s="127"/>
      <c r="CB84" s="127"/>
    </row>
    <row r="85" spans="1:80" x14ac:dyDescent="0.25">
      <c r="A85" s="136"/>
      <c r="B85" s="728"/>
      <c r="C85" s="678"/>
      <c r="D85" s="678"/>
      <c r="E85" s="729" t="s">
        <v>196</v>
      </c>
      <c r="F85" s="678"/>
      <c r="G85" s="678"/>
      <c r="H85" s="12">
        <v>0</v>
      </c>
      <c r="I85" s="12">
        <v>0</v>
      </c>
      <c r="J85" s="12">
        <v>0</v>
      </c>
      <c r="K85" s="10" t="s">
        <v>512</v>
      </c>
      <c r="L85" s="244" t="s">
        <v>514</v>
      </c>
      <c r="M85" s="244" t="s">
        <v>458</v>
      </c>
      <c r="N85" s="244" t="s">
        <v>458</v>
      </c>
      <c r="O85" s="12" t="s">
        <v>396</v>
      </c>
      <c r="P85" s="234">
        <v>0</v>
      </c>
      <c r="Q85" s="13">
        <v>0.125</v>
      </c>
      <c r="R85" s="14" t="s">
        <v>28</v>
      </c>
      <c r="S85" s="237">
        <v>1</v>
      </c>
      <c r="T85" s="10">
        <v>0</v>
      </c>
      <c r="U85" s="548">
        <f t="shared" si="80"/>
        <v>0</v>
      </c>
      <c r="V85" s="484">
        <f t="shared" ca="1" si="81"/>
        <v>0</v>
      </c>
      <c r="W85" s="484">
        <f t="shared" ca="1" si="2"/>
        <v>0</v>
      </c>
      <c r="X85" s="485">
        <f t="shared" ca="1" si="51"/>
        <v>0</v>
      </c>
      <c r="Y85" s="450" t="s">
        <v>458</v>
      </c>
      <c r="Z85" s="370"/>
      <c r="AA85" s="371" t="s">
        <v>458</v>
      </c>
      <c r="AB85" s="370"/>
      <c r="AC85" s="449"/>
      <c r="AD85" s="489">
        <f t="shared" si="82"/>
        <v>0</v>
      </c>
      <c r="AE85" s="341">
        <f t="shared" si="5"/>
        <v>212</v>
      </c>
      <c r="AF85" s="341">
        <f t="shared" si="6"/>
        <v>0</v>
      </c>
      <c r="AG85" s="341">
        <f t="shared" ca="1" si="53"/>
        <v>0</v>
      </c>
      <c r="AH85" s="341">
        <f t="shared" ca="1" si="54"/>
        <v>0</v>
      </c>
      <c r="AI85" s="341">
        <f t="shared" ca="1" si="55"/>
        <v>0</v>
      </c>
      <c r="AJ85" s="341">
        <f t="shared" ca="1" si="56"/>
        <v>0</v>
      </c>
      <c r="AK85" s="341">
        <f t="shared" ca="1" si="57"/>
        <v>0</v>
      </c>
      <c r="AL85" s="341">
        <f t="shared" ca="1" si="83"/>
        <v>0</v>
      </c>
      <c r="AM85" s="341">
        <f t="shared" ca="1" si="59"/>
        <v>0</v>
      </c>
      <c r="AN85" s="341">
        <f t="shared" ca="1" si="60"/>
        <v>0</v>
      </c>
      <c r="AO85" s="341">
        <f t="shared" ca="1" si="61"/>
        <v>0</v>
      </c>
      <c r="AP85" s="341">
        <f t="shared" ca="1" si="62"/>
        <v>0</v>
      </c>
      <c r="AQ85" s="341">
        <f t="shared" ca="1" si="63"/>
        <v>0</v>
      </c>
      <c r="AR85" s="341">
        <f t="shared" ca="1" si="64"/>
        <v>0</v>
      </c>
      <c r="AS85" s="341">
        <f t="shared" ca="1" si="65"/>
        <v>0</v>
      </c>
      <c r="AT85" s="341">
        <f t="shared" ca="1" si="66"/>
        <v>0</v>
      </c>
      <c r="AU85" s="341">
        <f t="shared" ca="1" si="84"/>
        <v>0</v>
      </c>
      <c r="AV85" s="341">
        <f t="shared" ca="1" si="85"/>
        <v>0</v>
      </c>
      <c r="AW85" s="333">
        <f t="shared" ca="1" si="69"/>
        <v>0</v>
      </c>
      <c r="AX85" s="333">
        <f t="shared" ca="1" si="70"/>
        <v>0</v>
      </c>
      <c r="AY85" s="333">
        <f t="shared" ca="1" si="71"/>
        <v>0</v>
      </c>
      <c r="AZ85" s="341">
        <f t="shared" ca="1" si="25"/>
        <v>2.5</v>
      </c>
      <c r="BA85" s="341">
        <f t="shared" ca="1" si="26"/>
        <v>1</v>
      </c>
      <c r="BB85" s="341">
        <f t="shared" ca="1" si="27"/>
        <v>0</v>
      </c>
      <c r="BC85" s="341">
        <f t="shared" ca="1" si="28"/>
        <v>0</v>
      </c>
      <c r="BD85" s="341">
        <f t="shared" ca="1" si="29"/>
        <v>0</v>
      </c>
      <c r="BE85" s="341">
        <f t="shared" ca="1" si="30"/>
        <v>0</v>
      </c>
      <c r="BF85" s="341">
        <f t="shared" ca="1" si="31"/>
        <v>0</v>
      </c>
      <c r="BG85" s="441">
        <f t="shared" ca="1" si="32"/>
        <v>0</v>
      </c>
      <c r="BH85" s="441">
        <f t="shared" ca="1" si="33"/>
        <v>0</v>
      </c>
      <c r="BI85" s="441">
        <f t="shared" ca="1" si="34"/>
        <v>0</v>
      </c>
      <c r="BJ85" s="441">
        <f t="shared" ca="1" si="35"/>
        <v>0</v>
      </c>
      <c r="BK85" s="441">
        <f t="shared" ca="1" si="36"/>
        <v>0</v>
      </c>
      <c r="BL85" s="341">
        <f t="shared" ca="1" si="37"/>
        <v>0</v>
      </c>
      <c r="BM85" s="341">
        <f t="shared" ca="1" si="38"/>
        <v>0</v>
      </c>
      <c r="BN85" s="341">
        <f t="shared" ca="1" si="39"/>
        <v>0</v>
      </c>
      <c r="BO85" s="341">
        <f t="shared" ca="1" si="40"/>
        <v>0</v>
      </c>
      <c r="BP85" s="341">
        <f t="shared" ca="1" si="41"/>
        <v>0</v>
      </c>
      <c r="BQ85" s="341">
        <f t="shared" ca="1" si="42"/>
        <v>2.5</v>
      </c>
      <c r="BR85" s="341" t="str">
        <f t="shared" ca="1" si="72"/>
        <v>BP2</v>
      </c>
      <c r="BS85" s="357" t="str">
        <f t="shared" ca="1" si="73"/>
        <v>BP2</v>
      </c>
      <c r="BT85" s="358">
        <f t="shared" si="48"/>
        <v>50</v>
      </c>
      <c r="BU85" s="358">
        <f t="shared" ca="1" si="45"/>
        <v>0</v>
      </c>
      <c r="BV85" s="358">
        <f t="shared" ca="1" si="46"/>
        <v>0</v>
      </c>
      <c r="BW85" s="341"/>
      <c r="BX85" s="341"/>
      <c r="BY85" s="341"/>
      <c r="BZ85" s="341"/>
      <c r="CA85" s="127"/>
      <c r="CB85" s="127"/>
    </row>
    <row r="86" spans="1:80" x14ac:dyDescent="0.25">
      <c r="A86" s="136"/>
      <c r="B86" s="728"/>
      <c r="C86" s="678"/>
      <c r="D86" s="678"/>
      <c r="E86" s="729" t="s">
        <v>196</v>
      </c>
      <c r="F86" s="678"/>
      <c r="G86" s="678"/>
      <c r="H86" s="12">
        <v>0</v>
      </c>
      <c r="I86" s="12">
        <v>0</v>
      </c>
      <c r="J86" s="12">
        <v>0</v>
      </c>
      <c r="K86" s="10" t="s">
        <v>512</v>
      </c>
      <c r="L86" s="244" t="s">
        <v>514</v>
      </c>
      <c r="M86" s="244" t="s">
        <v>458</v>
      </c>
      <c r="N86" s="244" t="s">
        <v>458</v>
      </c>
      <c r="O86" s="12" t="s">
        <v>396</v>
      </c>
      <c r="P86" s="234">
        <v>0</v>
      </c>
      <c r="Q86" s="13">
        <v>0.125</v>
      </c>
      <c r="R86" s="14" t="s">
        <v>28</v>
      </c>
      <c r="S86" s="237">
        <v>1</v>
      </c>
      <c r="T86" s="10">
        <v>0</v>
      </c>
      <c r="U86" s="548">
        <f t="shared" si="80"/>
        <v>0</v>
      </c>
      <c r="V86" s="484">
        <f t="shared" ca="1" si="81"/>
        <v>0</v>
      </c>
      <c r="W86" s="484">
        <f t="shared" ca="1" si="2"/>
        <v>0</v>
      </c>
      <c r="X86" s="485">
        <f t="shared" ca="1" si="51"/>
        <v>0</v>
      </c>
      <c r="Y86" s="450" t="s">
        <v>458</v>
      </c>
      <c r="Z86" s="370"/>
      <c r="AA86" s="371" t="s">
        <v>458</v>
      </c>
      <c r="AB86" s="370"/>
      <c r="AC86" s="449"/>
      <c r="AD86" s="489">
        <f t="shared" si="82"/>
        <v>0</v>
      </c>
      <c r="AE86" s="341">
        <f t="shared" si="5"/>
        <v>212</v>
      </c>
      <c r="AF86" s="341">
        <f t="shared" si="6"/>
        <v>0</v>
      </c>
      <c r="AG86" s="341">
        <f t="shared" ca="1" si="53"/>
        <v>0</v>
      </c>
      <c r="AH86" s="341">
        <f t="shared" ca="1" si="54"/>
        <v>0</v>
      </c>
      <c r="AI86" s="341">
        <f t="shared" ca="1" si="55"/>
        <v>0</v>
      </c>
      <c r="AJ86" s="341">
        <f t="shared" ca="1" si="56"/>
        <v>0</v>
      </c>
      <c r="AK86" s="341">
        <f t="shared" ca="1" si="57"/>
        <v>0</v>
      </c>
      <c r="AL86" s="341">
        <f t="shared" ca="1" si="83"/>
        <v>0</v>
      </c>
      <c r="AM86" s="341">
        <f t="shared" ca="1" si="59"/>
        <v>0</v>
      </c>
      <c r="AN86" s="341">
        <f t="shared" ca="1" si="60"/>
        <v>0</v>
      </c>
      <c r="AO86" s="341">
        <f t="shared" ca="1" si="61"/>
        <v>0</v>
      </c>
      <c r="AP86" s="341">
        <f t="shared" ca="1" si="62"/>
        <v>0</v>
      </c>
      <c r="AQ86" s="341">
        <f t="shared" ca="1" si="63"/>
        <v>0</v>
      </c>
      <c r="AR86" s="341">
        <f t="shared" ca="1" si="64"/>
        <v>0</v>
      </c>
      <c r="AS86" s="341">
        <f t="shared" ca="1" si="65"/>
        <v>0</v>
      </c>
      <c r="AT86" s="341">
        <f t="shared" ca="1" si="66"/>
        <v>0</v>
      </c>
      <c r="AU86" s="341">
        <f t="shared" ca="1" si="84"/>
        <v>0</v>
      </c>
      <c r="AV86" s="341">
        <f t="shared" ca="1" si="85"/>
        <v>0</v>
      </c>
      <c r="AW86" s="333">
        <f t="shared" ca="1" si="69"/>
        <v>0</v>
      </c>
      <c r="AX86" s="333">
        <f t="shared" ca="1" si="70"/>
        <v>0</v>
      </c>
      <c r="AY86" s="333">
        <f t="shared" ca="1" si="71"/>
        <v>0</v>
      </c>
      <c r="AZ86" s="341">
        <f t="shared" ca="1" si="25"/>
        <v>2.5</v>
      </c>
      <c r="BA86" s="341">
        <f t="shared" ca="1" si="26"/>
        <v>1</v>
      </c>
      <c r="BB86" s="341">
        <f t="shared" ca="1" si="27"/>
        <v>0</v>
      </c>
      <c r="BC86" s="341">
        <f t="shared" ca="1" si="28"/>
        <v>0</v>
      </c>
      <c r="BD86" s="341">
        <f t="shared" ca="1" si="29"/>
        <v>0</v>
      </c>
      <c r="BE86" s="341">
        <f t="shared" ca="1" si="30"/>
        <v>0</v>
      </c>
      <c r="BF86" s="341">
        <f t="shared" ca="1" si="31"/>
        <v>0</v>
      </c>
      <c r="BG86" s="441">
        <f t="shared" ca="1" si="32"/>
        <v>0</v>
      </c>
      <c r="BH86" s="441">
        <f t="shared" ca="1" si="33"/>
        <v>0</v>
      </c>
      <c r="BI86" s="441">
        <f t="shared" ca="1" si="34"/>
        <v>0</v>
      </c>
      <c r="BJ86" s="441">
        <f t="shared" ca="1" si="35"/>
        <v>0</v>
      </c>
      <c r="BK86" s="441">
        <f t="shared" ca="1" si="36"/>
        <v>0</v>
      </c>
      <c r="BL86" s="341">
        <f t="shared" ca="1" si="37"/>
        <v>0</v>
      </c>
      <c r="BM86" s="341">
        <f t="shared" ca="1" si="38"/>
        <v>0</v>
      </c>
      <c r="BN86" s="341">
        <f t="shared" ca="1" si="39"/>
        <v>0</v>
      </c>
      <c r="BO86" s="341">
        <f t="shared" ca="1" si="40"/>
        <v>0</v>
      </c>
      <c r="BP86" s="341">
        <f t="shared" ca="1" si="41"/>
        <v>0</v>
      </c>
      <c r="BQ86" s="341">
        <f t="shared" ca="1" si="42"/>
        <v>2.5</v>
      </c>
      <c r="BR86" s="341" t="str">
        <f t="shared" ca="1" si="72"/>
        <v>BP2</v>
      </c>
      <c r="BS86" s="357" t="str">
        <f t="shared" ca="1" si="73"/>
        <v>BP2</v>
      </c>
      <c r="BT86" s="358">
        <f t="shared" si="48"/>
        <v>50</v>
      </c>
      <c r="BU86" s="358">
        <f t="shared" ca="1" si="45"/>
        <v>0</v>
      </c>
      <c r="BV86" s="358">
        <f t="shared" ca="1" si="46"/>
        <v>0</v>
      </c>
      <c r="BW86" s="341"/>
      <c r="BX86" s="341"/>
      <c r="BY86" s="341"/>
      <c r="BZ86" s="341"/>
      <c r="CA86" s="127"/>
      <c r="CB86" s="127"/>
    </row>
    <row r="87" spans="1:80" x14ac:dyDescent="0.25">
      <c r="A87" s="136"/>
      <c r="B87" s="728"/>
      <c r="C87" s="678"/>
      <c r="D87" s="678"/>
      <c r="E87" s="729" t="s">
        <v>196</v>
      </c>
      <c r="F87" s="678"/>
      <c r="G87" s="678"/>
      <c r="H87" s="12">
        <v>0</v>
      </c>
      <c r="I87" s="12">
        <v>0</v>
      </c>
      <c r="J87" s="12">
        <v>0</v>
      </c>
      <c r="K87" s="10" t="s">
        <v>512</v>
      </c>
      <c r="L87" s="244" t="s">
        <v>514</v>
      </c>
      <c r="M87" s="244" t="s">
        <v>458</v>
      </c>
      <c r="N87" s="244" t="s">
        <v>458</v>
      </c>
      <c r="O87" s="12" t="s">
        <v>396</v>
      </c>
      <c r="P87" s="234">
        <v>0</v>
      </c>
      <c r="Q87" s="13">
        <v>0.125</v>
      </c>
      <c r="R87" s="14" t="s">
        <v>28</v>
      </c>
      <c r="S87" s="237">
        <v>1</v>
      </c>
      <c r="T87" s="10">
        <v>0</v>
      </c>
      <c r="U87" s="548">
        <f t="shared" si="80"/>
        <v>0</v>
      </c>
      <c r="V87" s="484">
        <f t="shared" ca="1" si="81"/>
        <v>0</v>
      </c>
      <c r="W87" s="484">
        <f t="shared" ca="1" si="2"/>
        <v>0</v>
      </c>
      <c r="X87" s="485">
        <f t="shared" ca="1" si="51"/>
        <v>0</v>
      </c>
      <c r="Y87" s="450" t="s">
        <v>458</v>
      </c>
      <c r="Z87" s="370"/>
      <c r="AA87" s="371" t="s">
        <v>458</v>
      </c>
      <c r="AB87" s="370"/>
      <c r="AC87" s="449"/>
      <c r="AD87" s="489">
        <f t="shared" si="82"/>
        <v>0</v>
      </c>
      <c r="AE87" s="341">
        <f t="shared" si="5"/>
        <v>212</v>
      </c>
      <c r="AF87" s="341">
        <f t="shared" si="6"/>
        <v>0</v>
      </c>
      <c r="AG87" s="341">
        <f t="shared" ca="1" si="53"/>
        <v>0</v>
      </c>
      <c r="AH87" s="341">
        <f t="shared" ca="1" si="54"/>
        <v>0</v>
      </c>
      <c r="AI87" s="341">
        <f t="shared" ca="1" si="55"/>
        <v>0</v>
      </c>
      <c r="AJ87" s="341">
        <f t="shared" ca="1" si="56"/>
        <v>0</v>
      </c>
      <c r="AK87" s="341">
        <f t="shared" ca="1" si="57"/>
        <v>0</v>
      </c>
      <c r="AL87" s="341">
        <f t="shared" ca="1" si="83"/>
        <v>0</v>
      </c>
      <c r="AM87" s="341">
        <f t="shared" ca="1" si="59"/>
        <v>0</v>
      </c>
      <c r="AN87" s="341">
        <f t="shared" ca="1" si="60"/>
        <v>0</v>
      </c>
      <c r="AO87" s="341">
        <f t="shared" ca="1" si="61"/>
        <v>0</v>
      </c>
      <c r="AP87" s="341">
        <f t="shared" ca="1" si="62"/>
        <v>0</v>
      </c>
      <c r="AQ87" s="341">
        <f t="shared" ca="1" si="63"/>
        <v>0</v>
      </c>
      <c r="AR87" s="341">
        <f t="shared" ca="1" si="64"/>
        <v>0</v>
      </c>
      <c r="AS87" s="341">
        <f t="shared" ca="1" si="65"/>
        <v>0</v>
      </c>
      <c r="AT87" s="341">
        <f t="shared" ca="1" si="66"/>
        <v>0</v>
      </c>
      <c r="AU87" s="341">
        <f t="shared" ca="1" si="84"/>
        <v>0</v>
      </c>
      <c r="AV87" s="341">
        <f t="shared" ca="1" si="85"/>
        <v>0</v>
      </c>
      <c r="AW87" s="333">
        <f t="shared" ca="1" si="69"/>
        <v>0</v>
      </c>
      <c r="AX87" s="333">
        <f t="shared" ca="1" si="70"/>
        <v>0</v>
      </c>
      <c r="AY87" s="333">
        <f t="shared" ca="1" si="71"/>
        <v>0</v>
      </c>
      <c r="AZ87" s="341">
        <f t="shared" ca="1" si="25"/>
        <v>2.5</v>
      </c>
      <c r="BA87" s="341">
        <f t="shared" ca="1" si="26"/>
        <v>1</v>
      </c>
      <c r="BB87" s="341">
        <f t="shared" ca="1" si="27"/>
        <v>0</v>
      </c>
      <c r="BC87" s="341">
        <f t="shared" ca="1" si="28"/>
        <v>0</v>
      </c>
      <c r="BD87" s="341">
        <f t="shared" ca="1" si="29"/>
        <v>0</v>
      </c>
      <c r="BE87" s="341">
        <f t="shared" ca="1" si="30"/>
        <v>0</v>
      </c>
      <c r="BF87" s="341">
        <f t="shared" ca="1" si="31"/>
        <v>0</v>
      </c>
      <c r="BG87" s="441">
        <f t="shared" ca="1" si="32"/>
        <v>0</v>
      </c>
      <c r="BH87" s="441">
        <f t="shared" ca="1" si="33"/>
        <v>0</v>
      </c>
      <c r="BI87" s="441">
        <f t="shared" ca="1" si="34"/>
        <v>0</v>
      </c>
      <c r="BJ87" s="441">
        <f t="shared" ca="1" si="35"/>
        <v>0</v>
      </c>
      <c r="BK87" s="441">
        <f t="shared" ca="1" si="36"/>
        <v>0</v>
      </c>
      <c r="BL87" s="341">
        <f t="shared" ca="1" si="37"/>
        <v>0</v>
      </c>
      <c r="BM87" s="341">
        <f t="shared" ca="1" si="38"/>
        <v>0</v>
      </c>
      <c r="BN87" s="341">
        <f t="shared" ca="1" si="39"/>
        <v>0</v>
      </c>
      <c r="BO87" s="341">
        <f t="shared" ca="1" si="40"/>
        <v>0</v>
      </c>
      <c r="BP87" s="341">
        <f t="shared" ca="1" si="41"/>
        <v>0</v>
      </c>
      <c r="BQ87" s="341">
        <f t="shared" ca="1" si="42"/>
        <v>2.5</v>
      </c>
      <c r="BR87" s="341" t="str">
        <f t="shared" ca="1" si="72"/>
        <v>BP2</v>
      </c>
      <c r="BS87" s="357" t="str">
        <f t="shared" ca="1" si="73"/>
        <v>BP2</v>
      </c>
      <c r="BT87" s="358">
        <f t="shared" si="48"/>
        <v>50</v>
      </c>
      <c r="BU87" s="358">
        <f t="shared" ca="1" si="45"/>
        <v>0</v>
      </c>
      <c r="BV87" s="358">
        <f t="shared" ca="1" si="46"/>
        <v>0</v>
      </c>
      <c r="BW87" s="341"/>
      <c r="BX87" s="341"/>
      <c r="BY87" s="341"/>
      <c r="BZ87" s="341"/>
      <c r="CA87" s="127"/>
      <c r="CB87" s="127"/>
    </row>
    <row r="88" spans="1:80" x14ac:dyDescent="0.25">
      <c r="A88" s="136"/>
      <c r="B88" s="728"/>
      <c r="C88" s="678"/>
      <c r="D88" s="678"/>
      <c r="E88" s="729" t="s">
        <v>196</v>
      </c>
      <c r="F88" s="678"/>
      <c r="G88" s="678"/>
      <c r="H88" s="12">
        <v>0</v>
      </c>
      <c r="I88" s="12">
        <v>0</v>
      </c>
      <c r="J88" s="12">
        <v>0</v>
      </c>
      <c r="K88" s="10" t="s">
        <v>512</v>
      </c>
      <c r="L88" s="244" t="s">
        <v>514</v>
      </c>
      <c r="M88" s="244" t="s">
        <v>458</v>
      </c>
      <c r="N88" s="244" t="s">
        <v>458</v>
      </c>
      <c r="O88" s="12" t="s">
        <v>396</v>
      </c>
      <c r="P88" s="234">
        <v>0</v>
      </c>
      <c r="Q88" s="13">
        <v>0.125</v>
      </c>
      <c r="R88" s="14" t="s">
        <v>28</v>
      </c>
      <c r="S88" s="237">
        <v>1</v>
      </c>
      <c r="T88" s="10">
        <v>0</v>
      </c>
      <c r="U88" s="548">
        <f t="shared" si="80"/>
        <v>0</v>
      </c>
      <c r="V88" s="484">
        <f t="shared" ca="1" si="81"/>
        <v>0</v>
      </c>
      <c r="W88" s="484">
        <f t="shared" ca="1" si="2"/>
        <v>0</v>
      </c>
      <c r="X88" s="485">
        <f t="shared" ca="1" si="51"/>
        <v>0</v>
      </c>
      <c r="Y88" s="450" t="s">
        <v>458</v>
      </c>
      <c r="Z88" s="370"/>
      <c r="AA88" s="371" t="s">
        <v>458</v>
      </c>
      <c r="AB88" s="370"/>
      <c r="AC88" s="449"/>
      <c r="AD88" s="489">
        <f t="shared" si="82"/>
        <v>0</v>
      </c>
      <c r="AE88" s="341">
        <f t="shared" si="5"/>
        <v>212</v>
      </c>
      <c r="AF88" s="341">
        <f t="shared" si="6"/>
        <v>0</v>
      </c>
      <c r="AG88" s="341">
        <f t="shared" ca="1" si="53"/>
        <v>0</v>
      </c>
      <c r="AH88" s="341">
        <f t="shared" ca="1" si="54"/>
        <v>0</v>
      </c>
      <c r="AI88" s="341">
        <f t="shared" ca="1" si="55"/>
        <v>0</v>
      </c>
      <c r="AJ88" s="341">
        <f t="shared" ca="1" si="56"/>
        <v>0</v>
      </c>
      <c r="AK88" s="341">
        <f t="shared" ca="1" si="57"/>
        <v>0</v>
      </c>
      <c r="AL88" s="341">
        <f t="shared" ca="1" si="83"/>
        <v>0</v>
      </c>
      <c r="AM88" s="341">
        <f t="shared" ca="1" si="59"/>
        <v>0</v>
      </c>
      <c r="AN88" s="341">
        <f t="shared" ca="1" si="60"/>
        <v>0</v>
      </c>
      <c r="AO88" s="341">
        <f t="shared" ca="1" si="61"/>
        <v>0</v>
      </c>
      <c r="AP88" s="341">
        <f t="shared" ca="1" si="62"/>
        <v>0</v>
      </c>
      <c r="AQ88" s="341">
        <f t="shared" ca="1" si="63"/>
        <v>0</v>
      </c>
      <c r="AR88" s="341">
        <f t="shared" ca="1" si="64"/>
        <v>0</v>
      </c>
      <c r="AS88" s="341">
        <f t="shared" ca="1" si="65"/>
        <v>0</v>
      </c>
      <c r="AT88" s="341">
        <f t="shared" ca="1" si="66"/>
        <v>0</v>
      </c>
      <c r="AU88" s="341">
        <f t="shared" ca="1" si="84"/>
        <v>0</v>
      </c>
      <c r="AV88" s="341">
        <f t="shared" ca="1" si="85"/>
        <v>0</v>
      </c>
      <c r="AW88" s="333">
        <f t="shared" ca="1" si="69"/>
        <v>0</v>
      </c>
      <c r="AX88" s="333">
        <f t="shared" ca="1" si="70"/>
        <v>0</v>
      </c>
      <c r="AY88" s="333">
        <f t="shared" ca="1" si="71"/>
        <v>0</v>
      </c>
      <c r="AZ88" s="341">
        <f t="shared" ca="1" si="25"/>
        <v>2.5</v>
      </c>
      <c r="BA88" s="341">
        <f t="shared" ca="1" si="26"/>
        <v>1</v>
      </c>
      <c r="BB88" s="341">
        <f t="shared" ca="1" si="27"/>
        <v>0</v>
      </c>
      <c r="BC88" s="341">
        <f t="shared" ca="1" si="28"/>
        <v>0</v>
      </c>
      <c r="BD88" s="341">
        <f t="shared" ca="1" si="29"/>
        <v>0</v>
      </c>
      <c r="BE88" s="341">
        <f t="shared" ca="1" si="30"/>
        <v>0</v>
      </c>
      <c r="BF88" s="341">
        <f t="shared" ca="1" si="31"/>
        <v>0</v>
      </c>
      <c r="BG88" s="441">
        <f t="shared" ca="1" si="32"/>
        <v>0</v>
      </c>
      <c r="BH88" s="441">
        <f t="shared" ca="1" si="33"/>
        <v>0</v>
      </c>
      <c r="BI88" s="441">
        <f t="shared" ca="1" si="34"/>
        <v>0</v>
      </c>
      <c r="BJ88" s="441">
        <f t="shared" ca="1" si="35"/>
        <v>0</v>
      </c>
      <c r="BK88" s="441">
        <f t="shared" ca="1" si="36"/>
        <v>0</v>
      </c>
      <c r="BL88" s="341">
        <f t="shared" ca="1" si="37"/>
        <v>0</v>
      </c>
      <c r="BM88" s="341">
        <f t="shared" ca="1" si="38"/>
        <v>0</v>
      </c>
      <c r="BN88" s="341">
        <f t="shared" ca="1" si="39"/>
        <v>0</v>
      </c>
      <c r="BO88" s="341">
        <f t="shared" ca="1" si="40"/>
        <v>0</v>
      </c>
      <c r="BP88" s="341">
        <f t="shared" ca="1" si="41"/>
        <v>0</v>
      </c>
      <c r="BQ88" s="341">
        <f t="shared" ca="1" si="42"/>
        <v>2.5</v>
      </c>
      <c r="BR88" s="341" t="str">
        <f t="shared" ca="1" si="72"/>
        <v>BP2</v>
      </c>
      <c r="BS88" s="357" t="str">
        <f t="shared" ca="1" si="73"/>
        <v>BP2</v>
      </c>
      <c r="BT88" s="358">
        <f t="shared" si="48"/>
        <v>50</v>
      </c>
      <c r="BU88" s="358">
        <f t="shared" ca="1" si="45"/>
        <v>0</v>
      </c>
      <c r="BV88" s="358">
        <f t="shared" ca="1" si="46"/>
        <v>0</v>
      </c>
      <c r="BW88" s="341"/>
      <c r="BX88" s="341"/>
      <c r="BY88" s="341"/>
      <c r="BZ88" s="341"/>
      <c r="CA88" s="127"/>
      <c r="CB88" s="127"/>
    </row>
    <row r="89" spans="1:80" x14ac:dyDescent="0.25">
      <c r="A89" s="136"/>
      <c r="B89" s="728"/>
      <c r="C89" s="678"/>
      <c r="D89" s="678"/>
      <c r="E89" s="729" t="s">
        <v>196</v>
      </c>
      <c r="F89" s="678"/>
      <c r="G89" s="678"/>
      <c r="H89" s="12">
        <v>0</v>
      </c>
      <c r="I89" s="12">
        <v>0</v>
      </c>
      <c r="J89" s="12">
        <v>0</v>
      </c>
      <c r="K89" s="10" t="s">
        <v>512</v>
      </c>
      <c r="L89" s="244" t="s">
        <v>514</v>
      </c>
      <c r="M89" s="244" t="s">
        <v>458</v>
      </c>
      <c r="N89" s="244" t="s">
        <v>458</v>
      </c>
      <c r="O89" s="12" t="s">
        <v>396</v>
      </c>
      <c r="P89" s="234">
        <v>0</v>
      </c>
      <c r="Q89" s="13">
        <v>0.125</v>
      </c>
      <c r="R89" s="14" t="s">
        <v>28</v>
      </c>
      <c r="S89" s="237">
        <v>1</v>
      </c>
      <c r="T89" s="10">
        <v>0</v>
      </c>
      <c r="U89" s="548">
        <f t="shared" si="80"/>
        <v>0</v>
      </c>
      <c r="V89" s="484">
        <f t="shared" ca="1" si="81"/>
        <v>0</v>
      </c>
      <c r="W89" s="484">
        <f t="shared" ca="1" si="2"/>
        <v>0</v>
      </c>
      <c r="X89" s="485">
        <f t="shared" ca="1" si="51"/>
        <v>0</v>
      </c>
      <c r="Y89" s="450" t="s">
        <v>458</v>
      </c>
      <c r="Z89" s="370"/>
      <c r="AA89" s="371" t="s">
        <v>458</v>
      </c>
      <c r="AB89" s="370"/>
      <c r="AC89" s="449"/>
      <c r="AD89" s="489">
        <f t="shared" si="82"/>
        <v>0</v>
      </c>
      <c r="AE89" s="341">
        <f t="shared" si="5"/>
        <v>212</v>
      </c>
      <c r="AF89" s="341">
        <f t="shared" si="6"/>
        <v>0</v>
      </c>
      <c r="AG89" s="341">
        <f t="shared" ca="1" si="53"/>
        <v>0</v>
      </c>
      <c r="AH89" s="341">
        <f t="shared" ca="1" si="54"/>
        <v>0</v>
      </c>
      <c r="AI89" s="341">
        <f t="shared" ca="1" si="55"/>
        <v>0</v>
      </c>
      <c r="AJ89" s="341">
        <f t="shared" ca="1" si="56"/>
        <v>0</v>
      </c>
      <c r="AK89" s="341">
        <f t="shared" ca="1" si="57"/>
        <v>0</v>
      </c>
      <c r="AL89" s="341">
        <f t="shared" ca="1" si="83"/>
        <v>0</v>
      </c>
      <c r="AM89" s="341">
        <f t="shared" ca="1" si="59"/>
        <v>0</v>
      </c>
      <c r="AN89" s="341">
        <f t="shared" ca="1" si="60"/>
        <v>0</v>
      </c>
      <c r="AO89" s="341">
        <f t="shared" ca="1" si="61"/>
        <v>0</v>
      </c>
      <c r="AP89" s="341">
        <f t="shared" ca="1" si="62"/>
        <v>0</v>
      </c>
      <c r="AQ89" s="341">
        <f t="shared" ca="1" si="63"/>
        <v>0</v>
      </c>
      <c r="AR89" s="341">
        <f t="shared" ca="1" si="64"/>
        <v>0</v>
      </c>
      <c r="AS89" s="341">
        <f t="shared" ca="1" si="65"/>
        <v>0</v>
      </c>
      <c r="AT89" s="341">
        <f t="shared" ca="1" si="66"/>
        <v>0</v>
      </c>
      <c r="AU89" s="341">
        <f t="shared" ca="1" si="84"/>
        <v>0</v>
      </c>
      <c r="AV89" s="341">
        <f t="shared" ca="1" si="85"/>
        <v>0</v>
      </c>
      <c r="AW89" s="333">
        <f t="shared" ca="1" si="69"/>
        <v>0</v>
      </c>
      <c r="AX89" s="333">
        <f t="shared" ca="1" si="70"/>
        <v>0</v>
      </c>
      <c r="AY89" s="333">
        <f t="shared" ca="1" si="71"/>
        <v>0</v>
      </c>
      <c r="AZ89" s="341">
        <f t="shared" ca="1" si="25"/>
        <v>2.5</v>
      </c>
      <c r="BA89" s="341">
        <f t="shared" ca="1" si="26"/>
        <v>1</v>
      </c>
      <c r="BB89" s="341">
        <f t="shared" ca="1" si="27"/>
        <v>0</v>
      </c>
      <c r="BC89" s="341">
        <f t="shared" ca="1" si="28"/>
        <v>0</v>
      </c>
      <c r="BD89" s="341">
        <f t="shared" ca="1" si="29"/>
        <v>0</v>
      </c>
      <c r="BE89" s="341">
        <f t="shared" ca="1" si="30"/>
        <v>0</v>
      </c>
      <c r="BF89" s="341">
        <f t="shared" ca="1" si="31"/>
        <v>0</v>
      </c>
      <c r="BG89" s="441">
        <f t="shared" ca="1" si="32"/>
        <v>0</v>
      </c>
      <c r="BH89" s="441">
        <f t="shared" ca="1" si="33"/>
        <v>0</v>
      </c>
      <c r="BI89" s="441">
        <f t="shared" ca="1" si="34"/>
        <v>0</v>
      </c>
      <c r="BJ89" s="441">
        <f t="shared" ca="1" si="35"/>
        <v>0</v>
      </c>
      <c r="BK89" s="441">
        <f t="shared" ca="1" si="36"/>
        <v>0</v>
      </c>
      <c r="BL89" s="341">
        <f t="shared" ca="1" si="37"/>
        <v>0</v>
      </c>
      <c r="BM89" s="341">
        <f t="shared" ca="1" si="38"/>
        <v>0</v>
      </c>
      <c r="BN89" s="341">
        <f t="shared" ca="1" si="39"/>
        <v>0</v>
      </c>
      <c r="BO89" s="341">
        <f t="shared" ca="1" si="40"/>
        <v>0</v>
      </c>
      <c r="BP89" s="341">
        <f t="shared" ca="1" si="41"/>
        <v>0</v>
      </c>
      <c r="BQ89" s="341">
        <f t="shared" ca="1" si="42"/>
        <v>2.5</v>
      </c>
      <c r="BR89" s="341" t="str">
        <f t="shared" ca="1" si="72"/>
        <v>BP2</v>
      </c>
      <c r="BS89" s="357" t="str">
        <f t="shared" ca="1" si="73"/>
        <v>BP2</v>
      </c>
      <c r="BT89" s="358">
        <f t="shared" si="48"/>
        <v>50</v>
      </c>
      <c r="BU89" s="358">
        <f t="shared" ca="1" si="45"/>
        <v>0</v>
      </c>
      <c r="BV89" s="358">
        <f t="shared" ca="1" si="46"/>
        <v>0</v>
      </c>
      <c r="BW89" s="341"/>
      <c r="BX89" s="341"/>
      <c r="BY89" s="341"/>
      <c r="BZ89" s="341"/>
      <c r="CA89" s="127"/>
      <c r="CB89" s="127"/>
    </row>
    <row r="90" spans="1:80" x14ac:dyDescent="0.25">
      <c r="A90" s="136"/>
      <c r="B90" s="728"/>
      <c r="C90" s="678"/>
      <c r="D90" s="678"/>
      <c r="E90" s="729" t="s">
        <v>196</v>
      </c>
      <c r="F90" s="678"/>
      <c r="G90" s="678"/>
      <c r="H90" s="12">
        <v>0</v>
      </c>
      <c r="I90" s="12">
        <v>0</v>
      </c>
      <c r="J90" s="12">
        <v>0</v>
      </c>
      <c r="K90" s="10" t="s">
        <v>512</v>
      </c>
      <c r="L90" s="244" t="s">
        <v>514</v>
      </c>
      <c r="M90" s="244" t="s">
        <v>458</v>
      </c>
      <c r="N90" s="244" t="s">
        <v>458</v>
      </c>
      <c r="O90" s="12" t="s">
        <v>396</v>
      </c>
      <c r="P90" s="234">
        <v>0</v>
      </c>
      <c r="Q90" s="13">
        <v>0.125</v>
      </c>
      <c r="R90" s="14" t="s">
        <v>28</v>
      </c>
      <c r="S90" s="237">
        <v>1</v>
      </c>
      <c r="T90" s="10">
        <v>0</v>
      </c>
      <c r="U90" s="548">
        <f t="shared" si="80"/>
        <v>0</v>
      </c>
      <c r="V90" s="484">
        <f t="shared" ca="1" si="81"/>
        <v>0</v>
      </c>
      <c r="W90" s="484">
        <f t="shared" ca="1" si="2"/>
        <v>0</v>
      </c>
      <c r="X90" s="485">
        <f t="shared" ca="1" si="51"/>
        <v>0</v>
      </c>
      <c r="Y90" s="450" t="s">
        <v>458</v>
      </c>
      <c r="Z90" s="370"/>
      <c r="AA90" s="371" t="s">
        <v>458</v>
      </c>
      <c r="AB90" s="370"/>
      <c r="AC90" s="449"/>
      <c r="AD90" s="489">
        <f t="shared" si="82"/>
        <v>0</v>
      </c>
      <c r="AE90" s="341">
        <f t="shared" si="5"/>
        <v>212</v>
      </c>
      <c r="AF90" s="341">
        <f t="shared" si="6"/>
        <v>0</v>
      </c>
      <c r="AG90" s="341">
        <f t="shared" ca="1" si="53"/>
        <v>0</v>
      </c>
      <c r="AH90" s="341">
        <f t="shared" ca="1" si="54"/>
        <v>0</v>
      </c>
      <c r="AI90" s="341">
        <f t="shared" ca="1" si="55"/>
        <v>0</v>
      </c>
      <c r="AJ90" s="341">
        <f t="shared" ca="1" si="56"/>
        <v>0</v>
      </c>
      <c r="AK90" s="341">
        <f t="shared" ca="1" si="57"/>
        <v>0</v>
      </c>
      <c r="AL90" s="341">
        <f t="shared" ca="1" si="83"/>
        <v>0</v>
      </c>
      <c r="AM90" s="341">
        <f t="shared" ca="1" si="59"/>
        <v>0</v>
      </c>
      <c r="AN90" s="341">
        <f t="shared" ca="1" si="60"/>
        <v>0</v>
      </c>
      <c r="AO90" s="341">
        <f t="shared" ca="1" si="61"/>
        <v>0</v>
      </c>
      <c r="AP90" s="341">
        <f t="shared" ca="1" si="62"/>
        <v>0</v>
      </c>
      <c r="AQ90" s="341">
        <f t="shared" ca="1" si="63"/>
        <v>0</v>
      </c>
      <c r="AR90" s="341">
        <f t="shared" ca="1" si="64"/>
        <v>0</v>
      </c>
      <c r="AS90" s="341">
        <f t="shared" ca="1" si="65"/>
        <v>0</v>
      </c>
      <c r="AT90" s="341">
        <f t="shared" ca="1" si="66"/>
        <v>0</v>
      </c>
      <c r="AU90" s="341">
        <f t="shared" ca="1" si="84"/>
        <v>0</v>
      </c>
      <c r="AV90" s="341">
        <f t="shared" ca="1" si="85"/>
        <v>0</v>
      </c>
      <c r="AW90" s="333">
        <f t="shared" ca="1" si="69"/>
        <v>0</v>
      </c>
      <c r="AX90" s="333">
        <f t="shared" ca="1" si="70"/>
        <v>0</v>
      </c>
      <c r="AY90" s="333">
        <f t="shared" ca="1" si="71"/>
        <v>0</v>
      </c>
      <c r="AZ90" s="341">
        <f t="shared" ca="1" si="25"/>
        <v>2.5</v>
      </c>
      <c r="BA90" s="341">
        <f t="shared" ca="1" si="26"/>
        <v>1</v>
      </c>
      <c r="BB90" s="341">
        <f t="shared" ca="1" si="27"/>
        <v>0</v>
      </c>
      <c r="BC90" s="341">
        <f t="shared" ca="1" si="28"/>
        <v>0</v>
      </c>
      <c r="BD90" s="341">
        <f t="shared" ca="1" si="29"/>
        <v>0</v>
      </c>
      <c r="BE90" s="341">
        <f t="shared" ca="1" si="30"/>
        <v>0</v>
      </c>
      <c r="BF90" s="341">
        <f t="shared" ca="1" si="31"/>
        <v>0</v>
      </c>
      <c r="BG90" s="441">
        <f t="shared" ca="1" si="32"/>
        <v>0</v>
      </c>
      <c r="BH90" s="441">
        <f t="shared" ca="1" si="33"/>
        <v>0</v>
      </c>
      <c r="BI90" s="441">
        <f t="shared" ca="1" si="34"/>
        <v>0</v>
      </c>
      <c r="BJ90" s="441">
        <f t="shared" ca="1" si="35"/>
        <v>0</v>
      </c>
      <c r="BK90" s="441">
        <f t="shared" ca="1" si="36"/>
        <v>0</v>
      </c>
      <c r="BL90" s="341">
        <f t="shared" ca="1" si="37"/>
        <v>0</v>
      </c>
      <c r="BM90" s="341">
        <f t="shared" ca="1" si="38"/>
        <v>0</v>
      </c>
      <c r="BN90" s="341">
        <f t="shared" ca="1" si="39"/>
        <v>0</v>
      </c>
      <c r="BO90" s="341">
        <f t="shared" ca="1" si="40"/>
        <v>0</v>
      </c>
      <c r="BP90" s="341">
        <f t="shared" ca="1" si="41"/>
        <v>0</v>
      </c>
      <c r="BQ90" s="341">
        <f t="shared" ca="1" si="42"/>
        <v>2.5</v>
      </c>
      <c r="BR90" s="341" t="str">
        <f t="shared" ca="1" si="72"/>
        <v>BP2</v>
      </c>
      <c r="BS90" s="357" t="str">
        <f t="shared" ca="1" si="73"/>
        <v>BP2</v>
      </c>
      <c r="BT90" s="358">
        <f t="shared" si="48"/>
        <v>50</v>
      </c>
      <c r="BU90" s="358">
        <f t="shared" ca="1" si="45"/>
        <v>0</v>
      </c>
      <c r="BV90" s="358">
        <f t="shared" ca="1" si="46"/>
        <v>0</v>
      </c>
      <c r="BW90" s="341"/>
      <c r="BX90" s="341"/>
      <c r="BY90" s="341"/>
      <c r="BZ90" s="341"/>
      <c r="CA90" s="127"/>
      <c r="CB90" s="127"/>
    </row>
    <row r="91" spans="1:80" x14ac:dyDescent="0.25">
      <c r="A91" s="136"/>
      <c r="B91" s="728"/>
      <c r="C91" s="678"/>
      <c r="D91" s="678"/>
      <c r="E91" s="729" t="s">
        <v>196</v>
      </c>
      <c r="F91" s="678"/>
      <c r="G91" s="678"/>
      <c r="H91" s="12">
        <v>0</v>
      </c>
      <c r="I91" s="12">
        <v>0</v>
      </c>
      <c r="J91" s="12">
        <v>0</v>
      </c>
      <c r="K91" s="10" t="s">
        <v>512</v>
      </c>
      <c r="L91" s="244" t="s">
        <v>514</v>
      </c>
      <c r="M91" s="244" t="s">
        <v>458</v>
      </c>
      <c r="N91" s="244" t="s">
        <v>458</v>
      </c>
      <c r="O91" s="12" t="s">
        <v>396</v>
      </c>
      <c r="P91" s="234">
        <v>0</v>
      </c>
      <c r="Q91" s="13">
        <v>0.125</v>
      </c>
      <c r="R91" s="14" t="s">
        <v>28</v>
      </c>
      <c r="S91" s="237">
        <v>1</v>
      </c>
      <c r="T91" s="10">
        <v>0</v>
      </c>
      <c r="U91" s="548">
        <f t="shared" si="80"/>
        <v>0</v>
      </c>
      <c r="V91" s="484">
        <f t="shared" ca="1" si="81"/>
        <v>0</v>
      </c>
      <c r="W91" s="484">
        <f t="shared" ca="1" si="2"/>
        <v>0</v>
      </c>
      <c r="X91" s="485">
        <f t="shared" ca="1" si="51"/>
        <v>0</v>
      </c>
      <c r="Y91" s="450" t="s">
        <v>458</v>
      </c>
      <c r="Z91" s="370"/>
      <c r="AA91" s="371" t="s">
        <v>458</v>
      </c>
      <c r="AB91" s="370"/>
      <c r="AC91" s="449"/>
      <c r="AD91" s="489">
        <f t="shared" si="82"/>
        <v>0</v>
      </c>
      <c r="AE91" s="341">
        <f t="shared" si="5"/>
        <v>212</v>
      </c>
      <c r="AF91" s="341">
        <f t="shared" si="6"/>
        <v>0</v>
      </c>
      <c r="AG91" s="341">
        <f t="shared" ca="1" si="53"/>
        <v>0</v>
      </c>
      <c r="AH91" s="341">
        <f t="shared" ca="1" si="54"/>
        <v>0</v>
      </c>
      <c r="AI91" s="341">
        <f t="shared" ca="1" si="55"/>
        <v>0</v>
      </c>
      <c r="AJ91" s="341">
        <f t="shared" ca="1" si="56"/>
        <v>0</v>
      </c>
      <c r="AK91" s="341">
        <f t="shared" ca="1" si="57"/>
        <v>0</v>
      </c>
      <c r="AL91" s="341">
        <f t="shared" ca="1" si="83"/>
        <v>0</v>
      </c>
      <c r="AM91" s="341">
        <f t="shared" ca="1" si="59"/>
        <v>0</v>
      </c>
      <c r="AN91" s="341">
        <f t="shared" ca="1" si="60"/>
        <v>0</v>
      </c>
      <c r="AO91" s="341">
        <f t="shared" ca="1" si="61"/>
        <v>0</v>
      </c>
      <c r="AP91" s="341">
        <f t="shared" ca="1" si="62"/>
        <v>0</v>
      </c>
      <c r="AQ91" s="341">
        <f t="shared" ca="1" si="63"/>
        <v>0</v>
      </c>
      <c r="AR91" s="341">
        <f t="shared" ca="1" si="64"/>
        <v>0</v>
      </c>
      <c r="AS91" s="341">
        <f t="shared" ca="1" si="65"/>
        <v>0</v>
      </c>
      <c r="AT91" s="341">
        <f t="shared" ca="1" si="66"/>
        <v>0</v>
      </c>
      <c r="AU91" s="341">
        <f t="shared" ca="1" si="84"/>
        <v>0</v>
      </c>
      <c r="AV91" s="341">
        <f t="shared" ca="1" si="85"/>
        <v>0</v>
      </c>
      <c r="AW91" s="333">
        <f t="shared" ca="1" si="69"/>
        <v>0</v>
      </c>
      <c r="AX91" s="333">
        <f t="shared" ca="1" si="70"/>
        <v>0</v>
      </c>
      <c r="AY91" s="333">
        <f t="shared" ca="1" si="71"/>
        <v>0</v>
      </c>
      <c r="AZ91" s="341">
        <f t="shared" ca="1" si="25"/>
        <v>2.5</v>
      </c>
      <c r="BA91" s="341">
        <f t="shared" ca="1" si="26"/>
        <v>1</v>
      </c>
      <c r="BB91" s="341">
        <f t="shared" ca="1" si="27"/>
        <v>0</v>
      </c>
      <c r="BC91" s="341">
        <f t="shared" ca="1" si="28"/>
        <v>0</v>
      </c>
      <c r="BD91" s="341">
        <f t="shared" ca="1" si="29"/>
        <v>0</v>
      </c>
      <c r="BE91" s="341">
        <f t="shared" ca="1" si="30"/>
        <v>0</v>
      </c>
      <c r="BF91" s="341">
        <f t="shared" ca="1" si="31"/>
        <v>0</v>
      </c>
      <c r="BG91" s="441">
        <f t="shared" ca="1" si="32"/>
        <v>0</v>
      </c>
      <c r="BH91" s="441">
        <f t="shared" ca="1" si="33"/>
        <v>0</v>
      </c>
      <c r="BI91" s="441">
        <f t="shared" ca="1" si="34"/>
        <v>0</v>
      </c>
      <c r="BJ91" s="441">
        <f t="shared" ca="1" si="35"/>
        <v>0</v>
      </c>
      <c r="BK91" s="441">
        <f t="shared" ca="1" si="36"/>
        <v>0</v>
      </c>
      <c r="BL91" s="341">
        <f t="shared" ca="1" si="37"/>
        <v>0</v>
      </c>
      <c r="BM91" s="341">
        <f t="shared" ca="1" si="38"/>
        <v>0</v>
      </c>
      <c r="BN91" s="341">
        <f t="shared" ca="1" si="39"/>
        <v>0</v>
      </c>
      <c r="BO91" s="341">
        <f t="shared" ca="1" si="40"/>
        <v>0</v>
      </c>
      <c r="BP91" s="341">
        <f t="shared" ca="1" si="41"/>
        <v>0</v>
      </c>
      <c r="BQ91" s="341">
        <f t="shared" ca="1" si="42"/>
        <v>2.5</v>
      </c>
      <c r="BR91" s="341" t="str">
        <f t="shared" ca="1" si="72"/>
        <v>BP2</v>
      </c>
      <c r="BS91" s="357" t="str">
        <f t="shared" ca="1" si="73"/>
        <v>BP2</v>
      </c>
      <c r="BT91" s="358">
        <f t="shared" si="48"/>
        <v>50</v>
      </c>
      <c r="BU91" s="358">
        <f t="shared" ca="1" si="45"/>
        <v>0</v>
      </c>
      <c r="BV91" s="358">
        <f t="shared" ca="1" si="46"/>
        <v>0</v>
      </c>
      <c r="BW91" s="341"/>
      <c r="BX91" s="341"/>
      <c r="BY91" s="341"/>
      <c r="BZ91" s="341"/>
      <c r="CA91" s="127"/>
      <c r="CB91" s="127"/>
    </row>
    <row r="92" spans="1:80" x14ac:dyDescent="0.25">
      <c r="A92" s="136"/>
      <c r="B92" s="728"/>
      <c r="C92" s="678"/>
      <c r="D92" s="678"/>
      <c r="E92" s="729" t="s">
        <v>196</v>
      </c>
      <c r="F92" s="678"/>
      <c r="G92" s="678"/>
      <c r="H92" s="12">
        <v>0</v>
      </c>
      <c r="I92" s="12">
        <v>0</v>
      </c>
      <c r="J92" s="12">
        <v>0</v>
      </c>
      <c r="K92" s="10" t="s">
        <v>512</v>
      </c>
      <c r="L92" s="244" t="s">
        <v>514</v>
      </c>
      <c r="M92" s="244" t="s">
        <v>458</v>
      </c>
      <c r="N92" s="244" t="s">
        <v>458</v>
      </c>
      <c r="O92" s="12" t="s">
        <v>396</v>
      </c>
      <c r="P92" s="234">
        <v>0</v>
      </c>
      <c r="Q92" s="13">
        <v>0.125</v>
      </c>
      <c r="R92" s="14" t="s">
        <v>28</v>
      </c>
      <c r="S92" s="237">
        <v>1</v>
      </c>
      <c r="T92" s="10">
        <v>0</v>
      </c>
      <c r="U92" s="548">
        <f t="shared" si="80"/>
        <v>0</v>
      </c>
      <c r="V92" s="484">
        <f t="shared" ca="1" si="81"/>
        <v>0</v>
      </c>
      <c r="W92" s="484">
        <f t="shared" ca="1" si="2"/>
        <v>0</v>
      </c>
      <c r="X92" s="485">
        <f t="shared" ca="1" si="51"/>
        <v>0</v>
      </c>
      <c r="Y92" s="450" t="s">
        <v>458</v>
      </c>
      <c r="Z92" s="370"/>
      <c r="AA92" s="371" t="s">
        <v>458</v>
      </c>
      <c r="AB92" s="370"/>
      <c r="AC92" s="449"/>
      <c r="AD92" s="489">
        <f t="shared" si="82"/>
        <v>0</v>
      </c>
      <c r="AE92" s="341">
        <f t="shared" si="5"/>
        <v>212</v>
      </c>
      <c r="AF92" s="341">
        <f t="shared" si="6"/>
        <v>0</v>
      </c>
      <c r="AG92" s="341">
        <f t="shared" ca="1" si="53"/>
        <v>0</v>
      </c>
      <c r="AH92" s="341">
        <f t="shared" ca="1" si="54"/>
        <v>0</v>
      </c>
      <c r="AI92" s="341">
        <f t="shared" ca="1" si="55"/>
        <v>0</v>
      </c>
      <c r="AJ92" s="341">
        <f t="shared" ca="1" si="56"/>
        <v>0</v>
      </c>
      <c r="AK92" s="341">
        <f t="shared" ca="1" si="57"/>
        <v>0</v>
      </c>
      <c r="AL92" s="341">
        <f t="shared" ca="1" si="83"/>
        <v>0</v>
      </c>
      <c r="AM92" s="341">
        <f t="shared" ca="1" si="59"/>
        <v>0</v>
      </c>
      <c r="AN92" s="341">
        <f t="shared" ca="1" si="60"/>
        <v>0</v>
      </c>
      <c r="AO92" s="341">
        <f t="shared" ca="1" si="61"/>
        <v>0</v>
      </c>
      <c r="AP92" s="341">
        <f t="shared" ca="1" si="62"/>
        <v>0</v>
      </c>
      <c r="AQ92" s="341">
        <f t="shared" ca="1" si="63"/>
        <v>0</v>
      </c>
      <c r="AR92" s="341">
        <f t="shared" ca="1" si="64"/>
        <v>0</v>
      </c>
      <c r="AS92" s="341">
        <f t="shared" ca="1" si="65"/>
        <v>0</v>
      </c>
      <c r="AT92" s="341">
        <f t="shared" ca="1" si="66"/>
        <v>0</v>
      </c>
      <c r="AU92" s="341">
        <f t="shared" ca="1" si="84"/>
        <v>0</v>
      </c>
      <c r="AV92" s="341">
        <f t="shared" ca="1" si="85"/>
        <v>0</v>
      </c>
      <c r="AW92" s="333">
        <f t="shared" ca="1" si="69"/>
        <v>0</v>
      </c>
      <c r="AX92" s="333">
        <f t="shared" ca="1" si="70"/>
        <v>0</v>
      </c>
      <c r="AY92" s="333">
        <f t="shared" ca="1" si="71"/>
        <v>0</v>
      </c>
      <c r="AZ92" s="341">
        <f t="shared" ca="1" si="25"/>
        <v>2.5</v>
      </c>
      <c r="BA92" s="341">
        <f t="shared" ca="1" si="26"/>
        <v>1</v>
      </c>
      <c r="BB92" s="341">
        <f t="shared" ca="1" si="27"/>
        <v>0</v>
      </c>
      <c r="BC92" s="341">
        <f t="shared" ca="1" si="28"/>
        <v>0</v>
      </c>
      <c r="BD92" s="341">
        <f t="shared" ca="1" si="29"/>
        <v>0</v>
      </c>
      <c r="BE92" s="341">
        <f t="shared" ca="1" si="30"/>
        <v>0</v>
      </c>
      <c r="BF92" s="341">
        <f t="shared" ca="1" si="31"/>
        <v>0</v>
      </c>
      <c r="BG92" s="441">
        <f t="shared" ca="1" si="32"/>
        <v>0</v>
      </c>
      <c r="BH92" s="441">
        <f t="shared" ca="1" si="33"/>
        <v>0</v>
      </c>
      <c r="BI92" s="441">
        <f t="shared" ca="1" si="34"/>
        <v>0</v>
      </c>
      <c r="BJ92" s="441">
        <f t="shared" ca="1" si="35"/>
        <v>0</v>
      </c>
      <c r="BK92" s="441">
        <f t="shared" ca="1" si="36"/>
        <v>0</v>
      </c>
      <c r="BL92" s="341">
        <f t="shared" ca="1" si="37"/>
        <v>0</v>
      </c>
      <c r="BM92" s="341">
        <f t="shared" ca="1" si="38"/>
        <v>0</v>
      </c>
      <c r="BN92" s="341">
        <f t="shared" ca="1" si="39"/>
        <v>0</v>
      </c>
      <c r="BO92" s="341">
        <f t="shared" ca="1" si="40"/>
        <v>0</v>
      </c>
      <c r="BP92" s="341">
        <f t="shared" ca="1" si="41"/>
        <v>0</v>
      </c>
      <c r="BQ92" s="341">
        <f t="shared" ca="1" si="42"/>
        <v>2.5</v>
      </c>
      <c r="BR92" s="341" t="str">
        <f t="shared" ca="1" si="72"/>
        <v>BP2</v>
      </c>
      <c r="BS92" s="357" t="str">
        <f t="shared" ca="1" si="73"/>
        <v>BP2</v>
      </c>
      <c r="BT92" s="358">
        <f t="shared" si="48"/>
        <v>50</v>
      </c>
      <c r="BU92" s="358">
        <f t="shared" ca="1" si="45"/>
        <v>0</v>
      </c>
      <c r="BV92" s="358">
        <f t="shared" ca="1" si="46"/>
        <v>0</v>
      </c>
      <c r="BW92" s="341"/>
      <c r="BX92" s="341"/>
      <c r="BY92" s="341"/>
      <c r="BZ92" s="341"/>
      <c r="CA92" s="127"/>
      <c r="CB92" s="127"/>
    </row>
    <row r="93" spans="1:80" x14ac:dyDescent="0.25">
      <c r="A93" s="136"/>
      <c r="B93" s="728"/>
      <c r="C93" s="678"/>
      <c r="D93" s="678"/>
      <c r="E93" s="729" t="s">
        <v>196</v>
      </c>
      <c r="F93" s="678"/>
      <c r="G93" s="678"/>
      <c r="H93" s="12">
        <v>0</v>
      </c>
      <c r="I93" s="12">
        <v>0</v>
      </c>
      <c r="J93" s="12">
        <v>0</v>
      </c>
      <c r="K93" s="10" t="s">
        <v>512</v>
      </c>
      <c r="L93" s="244" t="s">
        <v>514</v>
      </c>
      <c r="M93" s="244" t="s">
        <v>458</v>
      </c>
      <c r="N93" s="244" t="s">
        <v>458</v>
      </c>
      <c r="O93" s="12" t="s">
        <v>396</v>
      </c>
      <c r="P93" s="234">
        <v>0</v>
      </c>
      <c r="Q93" s="13">
        <v>0.125</v>
      </c>
      <c r="R93" s="14" t="s">
        <v>28</v>
      </c>
      <c r="S93" s="237">
        <v>1</v>
      </c>
      <c r="T93" s="10">
        <v>0</v>
      </c>
      <c r="U93" s="548">
        <f t="shared" si="80"/>
        <v>0</v>
      </c>
      <c r="V93" s="484">
        <f t="shared" ca="1" si="81"/>
        <v>0</v>
      </c>
      <c r="W93" s="484">
        <f t="shared" ca="1" si="2"/>
        <v>0</v>
      </c>
      <c r="X93" s="485">
        <f t="shared" ca="1" si="51"/>
        <v>0</v>
      </c>
      <c r="Y93" s="450" t="s">
        <v>458</v>
      </c>
      <c r="Z93" s="370"/>
      <c r="AA93" s="371" t="s">
        <v>458</v>
      </c>
      <c r="AB93" s="370"/>
      <c r="AC93" s="449"/>
      <c r="AD93" s="489">
        <f t="shared" si="82"/>
        <v>0</v>
      </c>
      <c r="AE93" s="341">
        <f t="shared" si="5"/>
        <v>212</v>
      </c>
      <c r="AF93" s="341">
        <f t="shared" si="6"/>
        <v>0</v>
      </c>
      <c r="AG93" s="341">
        <f t="shared" ca="1" si="53"/>
        <v>0</v>
      </c>
      <c r="AH93" s="341">
        <f t="shared" ca="1" si="54"/>
        <v>0</v>
      </c>
      <c r="AI93" s="341">
        <f t="shared" ca="1" si="55"/>
        <v>0</v>
      </c>
      <c r="AJ93" s="341">
        <f t="shared" ca="1" si="56"/>
        <v>0</v>
      </c>
      <c r="AK93" s="341">
        <f t="shared" ca="1" si="57"/>
        <v>0</v>
      </c>
      <c r="AL93" s="341">
        <f t="shared" ca="1" si="83"/>
        <v>0</v>
      </c>
      <c r="AM93" s="341">
        <f t="shared" ca="1" si="59"/>
        <v>0</v>
      </c>
      <c r="AN93" s="341">
        <f t="shared" ca="1" si="60"/>
        <v>0</v>
      </c>
      <c r="AO93" s="341">
        <f t="shared" ca="1" si="61"/>
        <v>0</v>
      </c>
      <c r="AP93" s="341">
        <f t="shared" ca="1" si="62"/>
        <v>0</v>
      </c>
      <c r="AQ93" s="341">
        <f t="shared" ca="1" si="63"/>
        <v>0</v>
      </c>
      <c r="AR93" s="341">
        <f t="shared" ca="1" si="64"/>
        <v>0</v>
      </c>
      <c r="AS93" s="341">
        <f t="shared" ca="1" si="65"/>
        <v>0</v>
      </c>
      <c r="AT93" s="341">
        <f t="shared" ca="1" si="66"/>
        <v>0</v>
      </c>
      <c r="AU93" s="341">
        <f t="shared" ca="1" si="84"/>
        <v>0</v>
      </c>
      <c r="AV93" s="341">
        <f t="shared" ca="1" si="85"/>
        <v>0</v>
      </c>
      <c r="AW93" s="333">
        <f t="shared" ca="1" si="69"/>
        <v>0</v>
      </c>
      <c r="AX93" s="333">
        <f t="shared" ca="1" si="70"/>
        <v>0</v>
      </c>
      <c r="AY93" s="333">
        <f t="shared" ca="1" si="71"/>
        <v>0</v>
      </c>
      <c r="AZ93" s="341">
        <f t="shared" ca="1" si="25"/>
        <v>2.5</v>
      </c>
      <c r="BA93" s="341">
        <f t="shared" ca="1" si="26"/>
        <v>1</v>
      </c>
      <c r="BB93" s="341">
        <f t="shared" ca="1" si="27"/>
        <v>0</v>
      </c>
      <c r="BC93" s="341">
        <f t="shared" ca="1" si="28"/>
        <v>0</v>
      </c>
      <c r="BD93" s="341">
        <f t="shared" ca="1" si="29"/>
        <v>0</v>
      </c>
      <c r="BE93" s="341">
        <f t="shared" ca="1" si="30"/>
        <v>0</v>
      </c>
      <c r="BF93" s="341">
        <f t="shared" ca="1" si="31"/>
        <v>0</v>
      </c>
      <c r="BG93" s="441">
        <f t="shared" ca="1" si="32"/>
        <v>0</v>
      </c>
      <c r="BH93" s="441">
        <f t="shared" ca="1" si="33"/>
        <v>0</v>
      </c>
      <c r="BI93" s="441">
        <f t="shared" ca="1" si="34"/>
        <v>0</v>
      </c>
      <c r="BJ93" s="441">
        <f t="shared" ca="1" si="35"/>
        <v>0</v>
      </c>
      <c r="BK93" s="441">
        <f t="shared" ca="1" si="36"/>
        <v>0</v>
      </c>
      <c r="BL93" s="341">
        <f t="shared" ca="1" si="37"/>
        <v>0</v>
      </c>
      <c r="BM93" s="341">
        <f t="shared" ca="1" si="38"/>
        <v>0</v>
      </c>
      <c r="BN93" s="341">
        <f t="shared" ca="1" si="39"/>
        <v>0</v>
      </c>
      <c r="BO93" s="341">
        <f t="shared" ca="1" si="40"/>
        <v>0</v>
      </c>
      <c r="BP93" s="341">
        <f t="shared" ca="1" si="41"/>
        <v>0</v>
      </c>
      <c r="BQ93" s="341">
        <f t="shared" ca="1" si="42"/>
        <v>2.5</v>
      </c>
      <c r="BR93" s="341" t="str">
        <f t="shared" ca="1" si="72"/>
        <v>BP2</v>
      </c>
      <c r="BS93" s="357" t="str">
        <f t="shared" ca="1" si="73"/>
        <v>BP2</v>
      </c>
      <c r="BT93" s="358">
        <f t="shared" si="48"/>
        <v>50</v>
      </c>
      <c r="BU93" s="358">
        <f t="shared" ca="1" si="45"/>
        <v>0</v>
      </c>
      <c r="BV93" s="358">
        <f t="shared" ca="1" si="46"/>
        <v>0</v>
      </c>
      <c r="BW93" s="341"/>
      <c r="BX93" s="341"/>
      <c r="BY93" s="341"/>
      <c r="BZ93" s="341"/>
      <c r="CA93" s="127"/>
      <c r="CB93" s="127"/>
    </row>
    <row r="94" spans="1:80" x14ac:dyDescent="0.25">
      <c r="A94" s="136"/>
      <c r="B94" s="728"/>
      <c r="C94" s="678"/>
      <c r="D94" s="678"/>
      <c r="E94" s="729" t="s">
        <v>196</v>
      </c>
      <c r="F94" s="678"/>
      <c r="G94" s="678"/>
      <c r="H94" s="12">
        <v>0</v>
      </c>
      <c r="I94" s="12">
        <v>0</v>
      </c>
      <c r="J94" s="12">
        <v>0</v>
      </c>
      <c r="K94" s="10" t="s">
        <v>512</v>
      </c>
      <c r="L94" s="244" t="s">
        <v>514</v>
      </c>
      <c r="M94" s="244" t="s">
        <v>458</v>
      </c>
      <c r="N94" s="244" t="s">
        <v>458</v>
      </c>
      <c r="O94" s="12" t="s">
        <v>396</v>
      </c>
      <c r="P94" s="234">
        <v>0</v>
      </c>
      <c r="Q94" s="13">
        <v>0.125</v>
      </c>
      <c r="R94" s="14" t="s">
        <v>28</v>
      </c>
      <c r="S94" s="237">
        <v>1</v>
      </c>
      <c r="T94" s="10">
        <v>0</v>
      </c>
      <c r="U94" s="548">
        <f t="shared" si="80"/>
        <v>0</v>
      </c>
      <c r="V94" s="484">
        <f t="shared" ca="1" si="81"/>
        <v>0</v>
      </c>
      <c r="W94" s="484">
        <f t="shared" ca="1" si="2"/>
        <v>0</v>
      </c>
      <c r="X94" s="485">
        <f t="shared" ca="1" si="51"/>
        <v>0</v>
      </c>
      <c r="Y94" s="450" t="s">
        <v>458</v>
      </c>
      <c r="Z94" s="370"/>
      <c r="AA94" s="371" t="s">
        <v>458</v>
      </c>
      <c r="AB94" s="370"/>
      <c r="AC94" s="449"/>
      <c r="AD94" s="489">
        <f t="shared" si="82"/>
        <v>0</v>
      </c>
      <c r="AE94" s="341">
        <f t="shared" si="5"/>
        <v>212</v>
      </c>
      <c r="AF94" s="341">
        <f t="shared" si="6"/>
        <v>0</v>
      </c>
      <c r="AG94" s="341">
        <f t="shared" ca="1" si="53"/>
        <v>0</v>
      </c>
      <c r="AH94" s="341">
        <f t="shared" ca="1" si="54"/>
        <v>0</v>
      </c>
      <c r="AI94" s="341">
        <f t="shared" ca="1" si="55"/>
        <v>0</v>
      </c>
      <c r="AJ94" s="341">
        <f t="shared" ca="1" si="56"/>
        <v>0</v>
      </c>
      <c r="AK94" s="341">
        <f t="shared" ca="1" si="57"/>
        <v>0</v>
      </c>
      <c r="AL94" s="341">
        <f t="shared" ca="1" si="83"/>
        <v>0</v>
      </c>
      <c r="AM94" s="341">
        <f t="shared" ca="1" si="59"/>
        <v>0</v>
      </c>
      <c r="AN94" s="341">
        <f t="shared" ca="1" si="60"/>
        <v>0</v>
      </c>
      <c r="AO94" s="341">
        <f t="shared" ca="1" si="61"/>
        <v>0</v>
      </c>
      <c r="AP94" s="341">
        <f t="shared" ca="1" si="62"/>
        <v>0</v>
      </c>
      <c r="AQ94" s="341">
        <f t="shared" ca="1" si="63"/>
        <v>0</v>
      </c>
      <c r="AR94" s="341">
        <f t="shared" ca="1" si="64"/>
        <v>0</v>
      </c>
      <c r="AS94" s="341">
        <f t="shared" ca="1" si="65"/>
        <v>0</v>
      </c>
      <c r="AT94" s="341">
        <f t="shared" ca="1" si="66"/>
        <v>0</v>
      </c>
      <c r="AU94" s="341">
        <f t="shared" ca="1" si="84"/>
        <v>0</v>
      </c>
      <c r="AV94" s="341">
        <f t="shared" ca="1" si="85"/>
        <v>0</v>
      </c>
      <c r="AW94" s="333">
        <f t="shared" ca="1" si="69"/>
        <v>0</v>
      </c>
      <c r="AX94" s="333">
        <f t="shared" ca="1" si="70"/>
        <v>0</v>
      </c>
      <c r="AY94" s="333">
        <f t="shared" ca="1" si="71"/>
        <v>0</v>
      </c>
      <c r="AZ94" s="341">
        <f t="shared" ca="1" si="25"/>
        <v>2.5</v>
      </c>
      <c r="BA94" s="341">
        <f t="shared" ca="1" si="26"/>
        <v>1</v>
      </c>
      <c r="BB94" s="341">
        <f t="shared" ca="1" si="27"/>
        <v>0</v>
      </c>
      <c r="BC94" s="341">
        <f t="shared" ca="1" si="28"/>
        <v>0</v>
      </c>
      <c r="BD94" s="341">
        <f t="shared" ca="1" si="29"/>
        <v>0</v>
      </c>
      <c r="BE94" s="341">
        <f t="shared" ca="1" si="30"/>
        <v>0</v>
      </c>
      <c r="BF94" s="341">
        <f t="shared" ca="1" si="31"/>
        <v>0</v>
      </c>
      <c r="BG94" s="441">
        <f t="shared" ca="1" si="32"/>
        <v>0</v>
      </c>
      <c r="BH94" s="441">
        <f t="shared" ca="1" si="33"/>
        <v>0</v>
      </c>
      <c r="BI94" s="441">
        <f t="shared" ca="1" si="34"/>
        <v>0</v>
      </c>
      <c r="BJ94" s="441">
        <f t="shared" ca="1" si="35"/>
        <v>0</v>
      </c>
      <c r="BK94" s="441">
        <f t="shared" ca="1" si="36"/>
        <v>0</v>
      </c>
      <c r="BL94" s="341">
        <f t="shared" ca="1" si="37"/>
        <v>0</v>
      </c>
      <c r="BM94" s="341">
        <f t="shared" ca="1" si="38"/>
        <v>0</v>
      </c>
      <c r="BN94" s="341">
        <f t="shared" ca="1" si="39"/>
        <v>0</v>
      </c>
      <c r="BO94" s="341">
        <f t="shared" ca="1" si="40"/>
        <v>0</v>
      </c>
      <c r="BP94" s="341">
        <f t="shared" ca="1" si="41"/>
        <v>0</v>
      </c>
      <c r="BQ94" s="341">
        <f t="shared" ca="1" si="42"/>
        <v>2.5</v>
      </c>
      <c r="BR94" s="341" t="str">
        <f t="shared" ca="1" si="72"/>
        <v>BP2</v>
      </c>
      <c r="BS94" s="357" t="str">
        <f t="shared" ca="1" si="73"/>
        <v>BP2</v>
      </c>
      <c r="BT94" s="358">
        <f t="shared" si="48"/>
        <v>50</v>
      </c>
      <c r="BU94" s="358">
        <f t="shared" ca="1" si="45"/>
        <v>0</v>
      </c>
      <c r="BV94" s="358">
        <f t="shared" ca="1" si="46"/>
        <v>0</v>
      </c>
      <c r="BW94" s="341"/>
      <c r="BX94" s="341"/>
      <c r="BY94" s="341"/>
      <c r="BZ94" s="341"/>
      <c r="CA94" s="127"/>
      <c r="CB94" s="127"/>
    </row>
    <row r="95" spans="1:80" x14ac:dyDescent="0.25">
      <c r="A95" s="136"/>
      <c r="B95" s="728"/>
      <c r="C95" s="678"/>
      <c r="D95" s="678"/>
      <c r="E95" s="729" t="s">
        <v>196</v>
      </c>
      <c r="F95" s="678"/>
      <c r="G95" s="678"/>
      <c r="H95" s="12">
        <v>0</v>
      </c>
      <c r="I95" s="12">
        <v>0</v>
      </c>
      <c r="J95" s="12">
        <v>0</v>
      </c>
      <c r="K95" s="10" t="s">
        <v>512</v>
      </c>
      <c r="L95" s="244" t="s">
        <v>514</v>
      </c>
      <c r="M95" s="244" t="s">
        <v>458</v>
      </c>
      <c r="N95" s="244" t="s">
        <v>458</v>
      </c>
      <c r="O95" s="12" t="s">
        <v>396</v>
      </c>
      <c r="P95" s="234">
        <v>0</v>
      </c>
      <c r="Q95" s="13">
        <v>0.125</v>
      </c>
      <c r="R95" s="14" t="s">
        <v>28</v>
      </c>
      <c r="S95" s="237">
        <v>1</v>
      </c>
      <c r="T95" s="10">
        <v>0</v>
      </c>
      <c r="U95" s="548">
        <f t="shared" si="80"/>
        <v>0</v>
      </c>
      <c r="V95" s="484">
        <f t="shared" ca="1" si="81"/>
        <v>0</v>
      </c>
      <c r="W95" s="484">
        <f t="shared" ca="1" si="2"/>
        <v>0</v>
      </c>
      <c r="X95" s="485">
        <f t="shared" ca="1" si="51"/>
        <v>0</v>
      </c>
      <c r="Y95" s="450" t="s">
        <v>458</v>
      </c>
      <c r="Z95" s="370"/>
      <c r="AA95" s="371" t="s">
        <v>458</v>
      </c>
      <c r="AB95" s="370"/>
      <c r="AC95" s="449"/>
      <c r="AD95" s="489">
        <f t="shared" si="82"/>
        <v>0</v>
      </c>
      <c r="AE95" s="341">
        <f t="shared" si="5"/>
        <v>212</v>
      </c>
      <c r="AF95" s="341">
        <f t="shared" si="6"/>
        <v>0</v>
      </c>
      <c r="AG95" s="341">
        <f t="shared" ca="1" si="53"/>
        <v>0</v>
      </c>
      <c r="AH95" s="341">
        <f t="shared" ca="1" si="54"/>
        <v>0</v>
      </c>
      <c r="AI95" s="341">
        <f t="shared" ca="1" si="55"/>
        <v>0</v>
      </c>
      <c r="AJ95" s="341">
        <f t="shared" ca="1" si="56"/>
        <v>0</v>
      </c>
      <c r="AK95" s="341">
        <f t="shared" ca="1" si="57"/>
        <v>0</v>
      </c>
      <c r="AL95" s="341">
        <f t="shared" ca="1" si="83"/>
        <v>0</v>
      </c>
      <c r="AM95" s="341">
        <f t="shared" ca="1" si="59"/>
        <v>0</v>
      </c>
      <c r="AN95" s="341">
        <f t="shared" ca="1" si="60"/>
        <v>0</v>
      </c>
      <c r="AO95" s="341">
        <f t="shared" ca="1" si="61"/>
        <v>0</v>
      </c>
      <c r="AP95" s="341">
        <f t="shared" ca="1" si="62"/>
        <v>0</v>
      </c>
      <c r="AQ95" s="341">
        <f t="shared" ca="1" si="63"/>
        <v>0</v>
      </c>
      <c r="AR95" s="341">
        <f t="shared" ca="1" si="64"/>
        <v>0</v>
      </c>
      <c r="AS95" s="341">
        <f t="shared" ca="1" si="65"/>
        <v>0</v>
      </c>
      <c r="AT95" s="341">
        <f t="shared" ca="1" si="66"/>
        <v>0</v>
      </c>
      <c r="AU95" s="341">
        <f t="shared" ca="1" si="84"/>
        <v>0</v>
      </c>
      <c r="AV95" s="341">
        <f t="shared" ca="1" si="85"/>
        <v>0</v>
      </c>
      <c r="AW95" s="333">
        <f t="shared" ca="1" si="69"/>
        <v>0</v>
      </c>
      <c r="AX95" s="333">
        <f t="shared" ca="1" si="70"/>
        <v>0</v>
      </c>
      <c r="AY95" s="333">
        <f t="shared" ca="1" si="71"/>
        <v>0</v>
      </c>
      <c r="AZ95" s="341">
        <f t="shared" ca="1" si="25"/>
        <v>2.5</v>
      </c>
      <c r="BA95" s="341">
        <f t="shared" ca="1" si="26"/>
        <v>1</v>
      </c>
      <c r="BB95" s="341">
        <f t="shared" ca="1" si="27"/>
        <v>0</v>
      </c>
      <c r="BC95" s="341">
        <f t="shared" ca="1" si="28"/>
        <v>0</v>
      </c>
      <c r="BD95" s="341">
        <f t="shared" ca="1" si="29"/>
        <v>0</v>
      </c>
      <c r="BE95" s="341">
        <f t="shared" ca="1" si="30"/>
        <v>0</v>
      </c>
      <c r="BF95" s="341">
        <f t="shared" ca="1" si="31"/>
        <v>0</v>
      </c>
      <c r="BG95" s="441">
        <f t="shared" ca="1" si="32"/>
        <v>0</v>
      </c>
      <c r="BH95" s="441">
        <f t="shared" ca="1" si="33"/>
        <v>0</v>
      </c>
      <c r="BI95" s="441">
        <f t="shared" ca="1" si="34"/>
        <v>0</v>
      </c>
      <c r="BJ95" s="441">
        <f t="shared" ca="1" si="35"/>
        <v>0</v>
      </c>
      <c r="BK95" s="441">
        <f t="shared" ca="1" si="36"/>
        <v>0</v>
      </c>
      <c r="BL95" s="341">
        <f t="shared" ca="1" si="37"/>
        <v>0</v>
      </c>
      <c r="BM95" s="341">
        <f t="shared" ca="1" si="38"/>
        <v>0</v>
      </c>
      <c r="BN95" s="341">
        <f t="shared" ca="1" si="39"/>
        <v>0</v>
      </c>
      <c r="BO95" s="341">
        <f t="shared" ca="1" si="40"/>
        <v>0</v>
      </c>
      <c r="BP95" s="341">
        <f t="shared" ca="1" si="41"/>
        <v>0</v>
      </c>
      <c r="BQ95" s="341">
        <f t="shared" ca="1" si="42"/>
        <v>2.5</v>
      </c>
      <c r="BR95" s="341" t="str">
        <f t="shared" ca="1" si="72"/>
        <v>BP2</v>
      </c>
      <c r="BS95" s="357" t="str">
        <f t="shared" ca="1" si="73"/>
        <v>BP2</v>
      </c>
      <c r="BT95" s="358">
        <f t="shared" si="48"/>
        <v>50</v>
      </c>
      <c r="BU95" s="358">
        <f t="shared" ca="1" si="45"/>
        <v>0</v>
      </c>
      <c r="BV95" s="358">
        <f t="shared" ca="1" si="46"/>
        <v>0</v>
      </c>
      <c r="BW95" s="341"/>
      <c r="BX95" s="341"/>
      <c r="BY95" s="341"/>
      <c r="BZ95" s="341"/>
      <c r="CA95" s="127"/>
      <c r="CB95" s="127"/>
    </row>
    <row r="96" spans="1:80" x14ac:dyDescent="0.25">
      <c r="A96" s="136"/>
      <c r="B96" s="728"/>
      <c r="C96" s="678"/>
      <c r="D96" s="678"/>
      <c r="E96" s="729" t="s">
        <v>196</v>
      </c>
      <c r="F96" s="678"/>
      <c r="G96" s="678"/>
      <c r="H96" s="12">
        <v>0</v>
      </c>
      <c r="I96" s="12">
        <v>0</v>
      </c>
      <c r="J96" s="12">
        <v>0</v>
      </c>
      <c r="K96" s="10" t="s">
        <v>512</v>
      </c>
      <c r="L96" s="244" t="s">
        <v>514</v>
      </c>
      <c r="M96" s="244" t="s">
        <v>458</v>
      </c>
      <c r="N96" s="244" t="s">
        <v>458</v>
      </c>
      <c r="O96" s="12" t="s">
        <v>396</v>
      </c>
      <c r="P96" s="234">
        <v>0</v>
      </c>
      <c r="Q96" s="13">
        <v>0.125</v>
      </c>
      <c r="R96" s="14" t="s">
        <v>28</v>
      </c>
      <c r="S96" s="237">
        <v>1</v>
      </c>
      <c r="T96" s="10">
        <v>0</v>
      </c>
      <c r="U96" s="548">
        <f t="shared" si="80"/>
        <v>0</v>
      </c>
      <c r="V96" s="484">
        <f t="shared" ca="1" si="81"/>
        <v>0</v>
      </c>
      <c r="W96" s="484">
        <f t="shared" ca="1" si="2"/>
        <v>0</v>
      </c>
      <c r="X96" s="485">
        <f t="shared" ca="1" si="51"/>
        <v>0</v>
      </c>
      <c r="Y96" s="450" t="s">
        <v>458</v>
      </c>
      <c r="Z96" s="370"/>
      <c r="AA96" s="371" t="s">
        <v>458</v>
      </c>
      <c r="AB96" s="370"/>
      <c r="AC96" s="449"/>
      <c r="AD96" s="489">
        <f t="shared" si="82"/>
        <v>0</v>
      </c>
      <c r="AE96" s="341">
        <f t="shared" si="5"/>
        <v>212</v>
      </c>
      <c r="AF96" s="341">
        <f t="shared" si="6"/>
        <v>0</v>
      </c>
      <c r="AG96" s="341">
        <f t="shared" ca="1" si="53"/>
        <v>0</v>
      </c>
      <c r="AH96" s="341">
        <f t="shared" ca="1" si="54"/>
        <v>0</v>
      </c>
      <c r="AI96" s="341">
        <f t="shared" ca="1" si="55"/>
        <v>0</v>
      </c>
      <c r="AJ96" s="341">
        <f t="shared" ca="1" si="56"/>
        <v>0</v>
      </c>
      <c r="AK96" s="341">
        <f t="shared" ca="1" si="57"/>
        <v>0</v>
      </c>
      <c r="AL96" s="341">
        <f t="shared" ca="1" si="83"/>
        <v>0</v>
      </c>
      <c r="AM96" s="341">
        <f t="shared" ca="1" si="59"/>
        <v>0</v>
      </c>
      <c r="AN96" s="341">
        <f t="shared" ca="1" si="60"/>
        <v>0</v>
      </c>
      <c r="AO96" s="341">
        <f t="shared" ca="1" si="61"/>
        <v>0</v>
      </c>
      <c r="AP96" s="341">
        <f t="shared" ca="1" si="62"/>
        <v>0</v>
      </c>
      <c r="AQ96" s="341">
        <f t="shared" ca="1" si="63"/>
        <v>0</v>
      </c>
      <c r="AR96" s="341">
        <f t="shared" ca="1" si="64"/>
        <v>0</v>
      </c>
      <c r="AS96" s="341">
        <f t="shared" ca="1" si="65"/>
        <v>0</v>
      </c>
      <c r="AT96" s="341">
        <f t="shared" ca="1" si="66"/>
        <v>0</v>
      </c>
      <c r="AU96" s="341">
        <f t="shared" ca="1" si="84"/>
        <v>0</v>
      </c>
      <c r="AV96" s="341">
        <f t="shared" ca="1" si="85"/>
        <v>0</v>
      </c>
      <c r="AW96" s="333">
        <f t="shared" ca="1" si="69"/>
        <v>0</v>
      </c>
      <c r="AX96" s="333">
        <f t="shared" ca="1" si="70"/>
        <v>0</v>
      </c>
      <c r="AY96" s="333">
        <f t="shared" ca="1" si="71"/>
        <v>0</v>
      </c>
      <c r="AZ96" s="341">
        <f t="shared" ca="1" si="25"/>
        <v>2.5</v>
      </c>
      <c r="BA96" s="341">
        <f t="shared" ca="1" si="26"/>
        <v>1</v>
      </c>
      <c r="BB96" s="341">
        <f t="shared" ca="1" si="27"/>
        <v>0</v>
      </c>
      <c r="BC96" s="341">
        <f t="shared" ca="1" si="28"/>
        <v>0</v>
      </c>
      <c r="BD96" s="341">
        <f t="shared" ca="1" si="29"/>
        <v>0</v>
      </c>
      <c r="BE96" s="341">
        <f t="shared" ca="1" si="30"/>
        <v>0</v>
      </c>
      <c r="BF96" s="341">
        <f t="shared" ca="1" si="31"/>
        <v>0</v>
      </c>
      <c r="BG96" s="441">
        <f t="shared" ca="1" si="32"/>
        <v>0</v>
      </c>
      <c r="BH96" s="441">
        <f t="shared" ca="1" si="33"/>
        <v>0</v>
      </c>
      <c r="BI96" s="441">
        <f t="shared" ca="1" si="34"/>
        <v>0</v>
      </c>
      <c r="BJ96" s="441">
        <f t="shared" ca="1" si="35"/>
        <v>0</v>
      </c>
      <c r="BK96" s="441">
        <f t="shared" ca="1" si="36"/>
        <v>0</v>
      </c>
      <c r="BL96" s="341">
        <f t="shared" ca="1" si="37"/>
        <v>0</v>
      </c>
      <c r="BM96" s="341">
        <f t="shared" ca="1" si="38"/>
        <v>0</v>
      </c>
      <c r="BN96" s="341">
        <f t="shared" ca="1" si="39"/>
        <v>0</v>
      </c>
      <c r="BO96" s="341">
        <f t="shared" ca="1" si="40"/>
        <v>0</v>
      </c>
      <c r="BP96" s="341">
        <f t="shared" ca="1" si="41"/>
        <v>0</v>
      </c>
      <c r="BQ96" s="341">
        <f t="shared" ca="1" si="42"/>
        <v>2.5</v>
      </c>
      <c r="BR96" s="341" t="str">
        <f t="shared" ca="1" si="72"/>
        <v>BP2</v>
      </c>
      <c r="BS96" s="357" t="str">
        <f t="shared" ca="1" si="73"/>
        <v>BP2</v>
      </c>
      <c r="BT96" s="358">
        <f t="shared" si="48"/>
        <v>50</v>
      </c>
      <c r="BU96" s="358">
        <f t="shared" ca="1" si="45"/>
        <v>0</v>
      </c>
      <c r="BV96" s="358">
        <f t="shared" ca="1" si="46"/>
        <v>0</v>
      </c>
      <c r="BW96" s="341"/>
      <c r="BX96" s="341"/>
      <c r="BY96" s="341"/>
      <c r="BZ96" s="341"/>
      <c r="CA96" s="127"/>
      <c r="CB96" s="127"/>
    </row>
    <row r="97" spans="1:80" x14ac:dyDescent="0.25">
      <c r="A97" s="136"/>
      <c r="B97" s="728"/>
      <c r="C97" s="678"/>
      <c r="D97" s="678"/>
      <c r="E97" s="729" t="s">
        <v>196</v>
      </c>
      <c r="F97" s="678"/>
      <c r="G97" s="678"/>
      <c r="H97" s="12">
        <v>0</v>
      </c>
      <c r="I97" s="12">
        <v>0</v>
      </c>
      <c r="J97" s="12">
        <v>0</v>
      </c>
      <c r="K97" s="10" t="s">
        <v>512</v>
      </c>
      <c r="L97" s="244" t="s">
        <v>514</v>
      </c>
      <c r="M97" s="244" t="s">
        <v>458</v>
      </c>
      <c r="N97" s="244" t="s">
        <v>458</v>
      </c>
      <c r="O97" s="12" t="s">
        <v>396</v>
      </c>
      <c r="P97" s="234">
        <v>0</v>
      </c>
      <c r="Q97" s="13">
        <v>0.125</v>
      </c>
      <c r="R97" s="14" t="s">
        <v>28</v>
      </c>
      <c r="S97" s="237">
        <v>1</v>
      </c>
      <c r="T97" s="10">
        <v>0</v>
      </c>
      <c r="U97" s="548">
        <f t="shared" si="80"/>
        <v>0</v>
      </c>
      <c r="V97" s="484">
        <f t="shared" ca="1" si="81"/>
        <v>0</v>
      </c>
      <c r="W97" s="484">
        <f t="shared" ca="1" si="2"/>
        <v>0</v>
      </c>
      <c r="X97" s="485">
        <f t="shared" ca="1" si="51"/>
        <v>0</v>
      </c>
      <c r="Y97" s="450" t="s">
        <v>458</v>
      </c>
      <c r="Z97" s="370"/>
      <c r="AA97" s="371" t="s">
        <v>458</v>
      </c>
      <c r="AB97" s="370"/>
      <c r="AC97" s="449"/>
      <c r="AD97" s="489">
        <f t="shared" si="82"/>
        <v>0</v>
      </c>
      <c r="AE97" s="341">
        <f t="shared" si="5"/>
        <v>212</v>
      </c>
      <c r="AF97" s="341">
        <f t="shared" si="6"/>
        <v>0</v>
      </c>
      <c r="AG97" s="341">
        <f t="shared" ca="1" si="53"/>
        <v>0</v>
      </c>
      <c r="AH97" s="341">
        <f t="shared" ca="1" si="54"/>
        <v>0</v>
      </c>
      <c r="AI97" s="341">
        <f t="shared" ca="1" si="55"/>
        <v>0</v>
      </c>
      <c r="AJ97" s="341">
        <f t="shared" ca="1" si="56"/>
        <v>0</v>
      </c>
      <c r="AK97" s="341">
        <f t="shared" ca="1" si="57"/>
        <v>0</v>
      </c>
      <c r="AL97" s="341">
        <f t="shared" ca="1" si="83"/>
        <v>0</v>
      </c>
      <c r="AM97" s="341">
        <f t="shared" ca="1" si="59"/>
        <v>0</v>
      </c>
      <c r="AN97" s="341">
        <f t="shared" ca="1" si="60"/>
        <v>0</v>
      </c>
      <c r="AO97" s="341">
        <f t="shared" ca="1" si="61"/>
        <v>0</v>
      </c>
      <c r="AP97" s="341">
        <f t="shared" ca="1" si="62"/>
        <v>0</v>
      </c>
      <c r="AQ97" s="341">
        <f t="shared" ca="1" si="63"/>
        <v>0</v>
      </c>
      <c r="AR97" s="341">
        <f t="shared" ca="1" si="64"/>
        <v>0</v>
      </c>
      <c r="AS97" s="341">
        <f t="shared" ca="1" si="65"/>
        <v>0</v>
      </c>
      <c r="AT97" s="341">
        <f t="shared" ca="1" si="66"/>
        <v>0</v>
      </c>
      <c r="AU97" s="341">
        <f t="shared" ca="1" si="84"/>
        <v>0</v>
      </c>
      <c r="AV97" s="341">
        <f t="shared" ca="1" si="85"/>
        <v>0</v>
      </c>
      <c r="AW97" s="333">
        <f t="shared" ca="1" si="69"/>
        <v>0</v>
      </c>
      <c r="AX97" s="333">
        <f t="shared" ca="1" si="70"/>
        <v>0</v>
      </c>
      <c r="AY97" s="333">
        <f t="shared" ca="1" si="71"/>
        <v>0</v>
      </c>
      <c r="AZ97" s="341">
        <f t="shared" ca="1" si="25"/>
        <v>2.5</v>
      </c>
      <c r="BA97" s="341">
        <f t="shared" ca="1" si="26"/>
        <v>1</v>
      </c>
      <c r="BB97" s="341">
        <f t="shared" ca="1" si="27"/>
        <v>0</v>
      </c>
      <c r="BC97" s="341">
        <f t="shared" ca="1" si="28"/>
        <v>0</v>
      </c>
      <c r="BD97" s="341">
        <f t="shared" ca="1" si="29"/>
        <v>0</v>
      </c>
      <c r="BE97" s="341">
        <f t="shared" ca="1" si="30"/>
        <v>0</v>
      </c>
      <c r="BF97" s="341">
        <f t="shared" ca="1" si="31"/>
        <v>0</v>
      </c>
      <c r="BG97" s="441">
        <f t="shared" ca="1" si="32"/>
        <v>0</v>
      </c>
      <c r="BH97" s="441">
        <f t="shared" ca="1" si="33"/>
        <v>0</v>
      </c>
      <c r="BI97" s="441">
        <f t="shared" ca="1" si="34"/>
        <v>0</v>
      </c>
      <c r="BJ97" s="441">
        <f t="shared" ca="1" si="35"/>
        <v>0</v>
      </c>
      <c r="BK97" s="441">
        <f t="shared" ca="1" si="36"/>
        <v>0</v>
      </c>
      <c r="BL97" s="341">
        <f t="shared" ca="1" si="37"/>
        <v>0</v>
      </c>
      <c r="BM97" s="341">
        <f t="shared" ca="1" si="38"/>
        <v>0</v>
      </c>
      <c r="BN97" s="341">
        <f t="shared" ca="1" si="39"/>
        <v>0</v>
      </c>
      <c r="BO97" s="341">
        <f t="shared" ca="1" si="40"/>
        <v>0</v>
      </c>
      <c r="BP97" s="341">
        <f t="shared" ca="1" si="41"/>
        <v>0</v>
      </c>
      <c r="BQ97" s="341">
        <f t="shared" ca="1" si="42"/>
        <v>2.5</v>
      </c>
      <c r="BR97" s="341" t="str">
        <f t="shared" ca="1" si="72"/>
        <v>BP2</v>
      </c>
      <c r="BS97" s="357" t="str">
        <f t="shared" ca="1" si="73"/>
        <v>BP2</v>
      </c>
      <c r="BT97" s="358">
        <f t="shared" si="48"/>
        <v>50</v>
      </c>
      <c r="BU97" s="358">
        <f t="shared" ca="1" si="45"/>
        <v>0</v>
      </c>
      <c r="BV97" s="358">
        <f t="shared" ca="1" si="46"/>
        <v>0</v>
      </c>
      <c r="BW97" s="341"/>
      <c r="BX97" s="341"/>
      <c r="BY97" s="341"/>
      <c r="BZ97" s="341"/>
      <c r="CA97" s="127"/>
      <c r="CB97" s="127"/>
    </row>
    <row r="98" spans="1:80" x14ac:dyDescent="0.25">
      <c r="A98" s="136"/>
      <c r="B98" s="728"/>
      <c r="C98" s="678"/>
      <c r="D98" s="678"/>
      <c r="E98" s="729" t="s">
        <v>196</v>
      </c>
      <c r="F98" s="678"/>
      <c r="G98" s="678"/>
      <c r="H98" s="12">
        <v>0</v>
      </c>
      <c r="I98" s="12">
        <v>0</v>
      </c>
      <c r="J98" s="12">
        <v>0</v>
      </c>
      <c r="K98" s="10" t="s">
        <v>512</v>
      </c>
      <c r="L98" s="244" t="s">
        <v>514</v>
      </c>
      <c r="M98" s="244" t="s">
        <v>458</v>
      </c>
      <c r="N98" s="244" t="s">
        <v>458</v>
      </c>
      <c r="O98" s="12" t="s">
        <v>396</v>
      </c>
      <c r="P98" s="234">
        <v>0</v>
      </c>
      <c r="Q98" s="13">
        <v>0.125</v>
      </c>
      <c r="R98" s="14" t="s">
        <v>28</v>
      </c>
      <c r="S98" s="237">
        <v>1</v>
      </c>
      <c r="T98" s="10">
        <v>0</v>
      </c>
      <c r="U98" s="548">
        <f t="shared" si="80"/>
        <v>0</v>
      </c>
      <c r="V98" s="484">
        <f t="shared" ca="1" si="81"/>
        <v>0</v>
      </c>
      <c r="W98" s="484">
        <f t="shared" ca="1" si="2"/>
        <v>0</v>
      </c>
      <c r="X98" s="485">
        <f t="shared" ca="1" si="51"/>
        <v>0</v>
      </c>
      <c r="Y98" s="450" t="s">
        <v>458</v>
      </c>
      <c r="Z98" s="370"/>
      <c r="AA98" s="371" t="s">
        <v>458</v>
      </c>
      <c r="AB98" s="370"/>
      <c r="AC98" s="449"/>
      <c r="AD98" s="489">
        <f t="shared" si="82"/>
        <v>0</v>
      </c>
      <c r="AE98" s="341">
        <f t="shared" si="5"/>
        <v>212</v>
      </c>
      <c r="AF98" s="341">
        <f t="shared" si="6"/>
        <v>0</v>
      </c>
      <c r="AG98" s="341">
        <f t="shared" ca="1" si="53"/>
        <v>0</v>
      </c>
      <c r="AH98" s="341">
        <f t="shared" ca="1" si="54"/>
        <v>0</v>
      </c>
      <c r="AI98" s="341">
        <f t="shared" ca="1" si="55"/>
        <v>0</v>
      </c>
      <c r="AJ98" s="341">
        <f t="shared" ca="1" si="56"/>
        <v>0</v>
      </c>
      <c r="AK98" s="341">
        <f t="shared" ca="1" si="57"/>
        <v>0</v>
      </c>
      <c r="AL98" s="341">
        <f t="shared" ca="1" si="83"/>
        <v>0</v>
      </c>
      <c r="AM98" s="341">
        <f t="shared" ca="1" si="59"/>
        <v>0</v>
      </c>
      <c r="AN98" s="341">
        <f t="shared" ca="1" si="60"/>
        <v>0</v>
      </c>
      <c r="AO98" s="341">
        <f t="shared" ca="1" si="61"/>
        <v>0</v>
      </c>
      <c r="AP98" s="341">
        <f t="shared" ca="1" si="62"/>
        <v>0</v>
      </c>
      <c r="AQ98" s="341">
        <f t="shared" ca="1" si="63"/>
        <v>0</v>
      </c>
      <c r="AR98" s="341">
        <f t="shared" ca="1" si="64"/>
        <v>0</v>
      </c>
      <c r="AS98" s="341">
        <f t="shared" ca="1" si="65"/>
        <v>0</v>
      </c>
      <c r="AT98" s="341">
        <f t="shared" ca="1" si="66"/>
        <v>0</v>
      </c>
      <c r="AU98" s="341">
        <f t="shared" ca="1" si="84"/>
        <v>0</v>
      </c>
      <c r="AV98" s="341">
        <f t="shared" ca="1" si="85"/>
        <v>0</v>
      </c>
      <c r="AW98" s="333">
        <f t="shared" ca="1" si="69"/>
        <v>0</v>
      </c>
      <c r="AX98" s="333">
        <f t="shared" ca="1" si="70"/>
        <v>0</v>
      </c>
      <c r="AY98" s="333">
        <f t="shared" ca="1" si="71"/>
        <v>0</v>
      </c>
      <c r="AZ98" s="341">
        <f t="shared" ca="1" si="25"/>
        <v>2.5</v>
      </c>
      <c r="BA98" s="341">
        <f t="shared" ca="1" si="26"/>
        <v>1</v>
      </c>
      <c r="BB98" s="341">
        <f t="shared" ca="1" si="27"/>
        <v>0</v>
      </c>
      <c r="BC98" s="341">
        <f t="shared" ca="1" si="28"/>
        <v>0</v>
      </c>
      <c r="BD98" s="341">
        <f t="shared" ca="1" si="29"/>
        <v>0</v>
      </c>
      <c r="BE98" s="341">
        <f t="shared" ca="1" si="30"/>
        <v>0</v>
      </c>
      <c r="BF98" s="341">
        <f t="shared" ca="1" si="31"/>
        <v>0</v>
      </c>
      <c r="BG98" s="441">
        <f t="shared" ca="1" si="32"/>
        <v>0</v>
      </c>
      <c r="BH98" s="441">
        <f t="shared" ca="1" si="33"/>
        <v>0</v>
      </c>
      <c r="BI98" s="441">
        <f t="shared" ca="1" si="34"/>
        <v>0</v>
      </c>
      <c r="BJ98" s="441">
        <f t="shared" ca="1" si="35"/>
        <v>0</v>
      </c>
      <c r="BK98" s="441">
        <f t="shared" ca="1" si="36"/>
        <v>0</v>
      </c>
      <c r="BL98" s="341">
        <f t="shared" ca="1" si="37"/>
        <v>0</v>
      </c>
      <c r="BM98" s="341">
        <f t="shared" ca="1" si="38"/>
        <v>0</v>
      </c>
      <c r="BN98" s="341">
        <f t="shared" ca="1" si="39"/>
        <v>0</v>
      </c>
      <c r="BO98" s="341">
        <f t="shared" ca="1" si="40"/>
        <v>0</v>
      </c>
      <c r="BP98" s="341">
        <f t="shared" ca="1" si="41"/>
        <v>0</v>
      </c>
      <c r="BQ98" s="341">
        <f t="shared" ca="1" si="42"/>
        <v>2.5</v>
      </c>
      <c r="BR98" s="341" t="str">
        <f t="shared" ca="1" si="72"/>
        <v>BP2</v>
      </c>
      <c r="BS98" s="357" t="str">
        <f t="shared" ca="1" si="73"/>
        <v>BP2</v>
      </c>
      <c r="BT98" s="358">
        <f t="shared" si="48"/>
        <v>50</v>
      </c>
      <c r="BU98" s="358">
        <f t="shared" ca="1" si="45"/>
        <v>0</v>
      </c>
      <c r="BV98" s="358">
        <f t="shared" ca="1" si="46"/>
        <v>0</v>
      </c>
      <c r="BW98" s="341"/>
      <c r="BX98" s="341"/>
      <c r="BY98" s="341"/>
      <c r="BZ98" s="341"/>
      <c r="CA98" s="127"/>
      <c r="CB98" s="127"/>
    </row>
    <row r="99" spans="1:80" x14ac:dyDescent="0.25">
      <c r="A99" s="136"/>
      <c r="B99" s="728"/>
      <c r="C99" s="678"/>
      <c r="D99" s="678"/>
      <c r="E99" s="729" t="s">
        <v>196</v>
      </c>
      <c r="F99" s="678"/>
      <c r="G99" s="678"/>
      <c r="H99" s="12">
        <v>0</v>
      </c>
      <c r="I99" s="12">
        <v>0</v>
      </c>
      <c r="J99" s="12">
        <v>0</v>
      </c>
      <c r="K99" s="10" t="s">
        <v>512</v>
      </c>
      <c r="L99" s="244" t="s">
        <v>514</v>
      </c>
      <c r="M99" s="244" t="s">
        <v>458</v>
      </c>
      <c r="N99" s="244" t="s">
        <v>458</v>
      </c>
      <c r="O99" s="12" t="s">
        <v>396</v>
      </c>
      <c r="P99" s="234">
        <v>0</v>
      </c>
      <c r="Q99" s="13">
        <v>0.125</v>
      </c>
      <c r="R99" s="14" t="s">
        <v>28</v>
      </c>
      <c r="S99" s="237">
        <v>1</v>
      </c>
      <c r="T99" s="10">
        <v>0</v>
      </c>
      <c r="U99" s="548">
        <f t="shared" si="80"/>
        <v>0</v>
      </c>
      <c r="V99" s="484">
        <f t="shared" ca="1" si="81"/>
        <v>0</v>
      </c>
      <c r="W99" s="484">
        <f t="shared" ca="1" si="2"/>
        <v>0</v>
      </c>
      <c r="X99" s="485">
        <f t="shared" ca="1" si="51"/>
        <v>0</v>
      </c>
      <c r="Y99" s="450" t="s">
        <v>458</v>
      </c>
      <c r="Z99" s="370"/>
      <c r="AA99" s="371" t="s">
        <v>458</v>
      </c>
      <c r="AB99" s="370"/>
      <c r="AC99" s="449"/>
      <c r="AD99" s="489">
        <f t="shared" si="82"/>
        <v>0</v>
      </c>
      <c r="AE99" s="341">
        <f t="shared" si="5"/>
        <v>212</v>
      </c>
      <c r="AF99" s="341">
        <f t="shared" si="6"/>
        <v>0</v>
      </c>
      <c r="AG99" s="341">
        <f t="shared" ca="1" si="53"/>
        <v>0</v>
      </c>
      <c r="AH99" s="341">
        <f t="shared" ca="1" si="54"/>
        <v>0</v>
      </c>
      <c r="AI99" s="341">
        <f t="shared" ca="1" si="55"/>
        <v>0</v>
      </c>
      <c r="AJ99" s="341">
        <f t="shared" ca="1" si="56"/>
        <v>0</v>
      </c>
      <c r="AK99" s="341">
        <f t="shared" ca="1" si="57"/>
        <v>0</v>
      </c>
      <c r="AL99" s="341">
        <f t="shared" ca="1" si="83"/>
        <v>0</v>
      </c>
      <c r="AM99" s="341">
        <f t="shared" ca="1" si="59"/>
        <v>0</v>
      </c>
      <c r="AN99" s="341">
        <f t="shared" ca="1" si="60"/>
        <v>0</v>
      </c>
      <c r="AO99" s="341">
        <f t="shared" ca="1" si="61"/>
        <v>0</v>
      </c>
      <c r="AP99" s="341">
        <f t="shared" ca="1" si="62"/>
        <v>0</v>
      </c>
      <c r="AQ99" s="341">
        <f t="shared" ca="1" si="63"/>
        <v>0</v>
      </c>
      <c r="AR99" s="341">
        <f t="shared" ca="1" si="64"/>
        <v>0</v>
      </c>
      <c r="AS99" s="341">
        <f t="shared" ca="1" si="65"/>
        <v>0</v>
      </c>
      <c r="AT99" s="341">
        <f t="shared" ca="1" si="66"/>
        <v>0</v>
      </c>
      <c r="AU99" s="341">
        <f t="shared" ca="1" si="84"/>
        <v>0</v>
      </c>
      <c r="AV99" s="341">
        <f t="shared" ca="1" si="85"/>
        <v>0</v>
      </c>
      <c r="AW99" s="333">
        <f t="shared" ca="1" si="69"/>
        <v>0</v>
      </c>
      <c r="AX99" s="333">
        <f t="shared" ca="1" si="70"/>
        <v>0</v>
      </c>
      <c r="AY99" s="333">
        <f t="shared" ca="1" si="71"/>
        <v>0</v>
      </c>
      <c r="AZ99" s="341">
        <f t="shared" ca="1" si="25"/>
        <v>2.5</v>
      </c>
      <c r="BA99" s="341">
        <f t="shared" ca="1" si="26"/>
        <v>1</v>
      </c>
      <c r="BB99" s="341">
        <f t="shared" ca="1" si="27"/>
        <v>0</v>
      </c>
      <c r="BC99" s="341">
        <f t="shared" ca="1" si="28"/>
        <v>0</v>
      </c>
      <c r="BD99" s="341">
        <f t="shared" ca="1" si="29"/>
        <v>0</v>
      </c>
      <c r="BE99" s="341">
        <f t="shared" ca="1" si="30"/>
        <v>0</v>
      </c>
      <c r="BF99" s="341">
        <f t="shared" ca="1" si="31"/>
        <v>0</v>
      </c>
      <c r="BG99" s="441">
        <f t="shared" ca="1" si="32"/>
        <v>0</v>
      </c>
      <c r="BH99" s="441">
        <f t="shared" ca="1" si="33"/>
        <v>0</v>
      </c>
      <c r="BI99" s="441">
        <f t="shared" ca="1" si="34"/>
        <v>0</v>
      </c>
      <c r="BJ99" s="441">
        <f t="shared" ca="1" si="35"/>
        <v>0</v>
      </c>
      <c r="BK99" s="441">
        <f t="shared" ca="1" si="36"/>
        <v>0</v>
      </c>
      <c r="BL99" s="341">
        <f t="shared" ca="1" si="37"/>
        <v>0</v>
      </c>
      <c r="BM99" s="341">
        <f t="shared" ca="1" si="38"/>
        <v>0</v>
      </c>
      <c r="BN99" s="341">
        <f t="shared" ca="1" si="39"/>
        <v>0</v>
      </c>
      <c r="BO99" s="341">
        <f t="shared" ca="1" si="40"/>
        <v>0</v>
      </c>
      <c r="BP99" s="341">
        <f t="shared" ca="1" si="41"/>
        <v>0</v>
      </c>
      <c r="BQ99" s="341">
        <f t="shared" ca="1" si="42"/>
        <v>2.5</v>
      </c>
      <c r="BR99" s="341" t="str">
        <f t="shared" ca="1" si="72"/>
        <v>BP2</v>
      </c>
      <c r="BS99" s="357" t="str">
        <f t="shared" ca="1" si="73"/>
        <v>BP2</v>
      </c>
      <c r="BT99" s="358">
        <f t="shared" si="48"/>
        <v>50</v>
      </c>
      <c r="BU99" s="358">
        <f t="shared" ca="1" si="45"/>
        <v>0</v>
      </c>
      <c r="BV99" s="358">
        <f t="shared" ca="1" si="46"/>
        <v>0</v>
      </c>
      <c r="BW99" s="341"/>
      <c r="BX99" s="341"/>
      <c r="BY99" s="341"/>
      <c r="BZ99" s="341"/>
      <c r="CA99" s="127"/>
      <c r="CB99" s="127"/>
    </row>
    <row r="100" spans="1:80" x14ac:dyDescent="0.25">
      <c r="A100" s="136"/>
      <c r="B100" s="728"/>
      <c r="C100" s="678"/>
      <c r="D100" s="678"/>
      <c r="E100" s="729" t="s">
        <v>196</v>
      </c>
      <c r="F100" s="678"/>
      <c r="G100" s="678"/>
      <c r="H100" s="12">
        <v>0</v>
      </c>
      <c r="I100" s="12">
        <v>0</v>
      </c>
      <c r="J100" s="12">
        <v>0</v>
      </c>
      <c r="K100" s="10" t="s">
        <v>512</v>
      </c>
      <c r="L100" s="244" t="s">
        <v>514</v>
      </c>
      <c r="M100" s="244" t="s">
        <v>458</v>
      </c>
      <c r="N100" s="244" t="s">
        <v>458</v>
      </c>
      <c r="O100" s="12" t="s">
        <v>396</v>
      </c>
      <c r="P100" s="234">
        <v>0</v>
      </c>
      <c r="Q100" s="13">
        <v>0.125</v>
      </c>
      <c r="R100" s="14" t="s">
        <v>28</v>
      </c>
      <c r="S100" s="237">
        <v>1</v>
      </c>
      <c r="T100" s="10">
        <v>0</v>
      </c>
      <c r="U100" s="548">
        <f t="shared" si="80"/>
        <v>0</v>
      </c>
      <c r="V100" s="484">
        <f t="shared" ca="1" si="81"/>
        <v>0</v>
      </c>
      <c r="W100" s="484">
        <f t="shared" ca="1" si="2"/>
        <v>0</v>
      </c>
      <c r="X100" s="485">
        <f t="shared" ca="1" si="51"/>
        <v>0</v>
      </c>
      <c r="Y100" s="450" t="s">
        <v>458</v>
      </c>
      <c r="Z100" s="370"/>
      <c r="AA100" s="371" t="s">
        <v>458</v>
      </c>
      <c r="AB100" s="370"/>
      <c r="AC100" s="449"/>
      <c r="AD100" s="489">
        <f t="shared" si="82"/>
        <v>0</v>
      </c>
      <c r="AE100" s="341">
        <f t="shared" si="5"/>
        <v>212</v>
      </c>
      <c r="AF100" s="341">
        <f t="shared" si="6"/>
        <v>0</v>
      </c>
      <c r="AG100" s="341">
        <f t="shared" ca="1" si="53"/>
        <v>0</v>
      </c>
      <c r="AH100" s="341">
        <f t="shared" ca="1" si="54"/>
        <v>0</v>
      </c>
      <c r="AI100" s="341">
        <f t="shared" ca="1" si="55"/>
        <v>0</v>
      </c>
      <c r="AJ100" s="341">
        <f t="shared" ca="1" si="56"/>
        <v>0</v>
      </c>
      <c r="AK100" s="341">
        <f t="shared" ca="1" si="57"/>
        <v>0</v>
      </c>
      <c r="AL100" s="341">
        <f t="shared" ca="1" si="83"/>
        <v>0</v>
      </c>
      <c r="AM100" s="341">
        <f t="shared" ca="1" si="59"/>
        <v>0</v>
      </c>
      <c r="AN100" s="341">
        <f t="shared" ca="1" si="60"/>
        <v>0</v>
      </c>
      <c r="AO100" s="341">
        <f t="shared" ca="1" si="61"/>
        <v>0</v>
      </c>
      <c r="AP100" s="341">
        <f t="shared" ca="1" si="62"/>
        <v>0</v>
      </c>
      <c r="AQ100" s="341">
        <f t="shared" ca="1" si="63"/>
        <v>0</v>
      </c>
      <c r="AR100" s="341">
        <f t="shared" ca="1" si="64"/>
        <v>0</v>
      </c>
      <c r="AS100" s="341">
        <f t="shared" ca="1" si="65"/>
        <v>0</v>
      </c>
      <c r="AT100" s="341">
        <f t="shared" ca="1" si="66"/>
        <v>0</v>
      </c>
      <c r="AU100" s="341">
        <f t="shared" ca="1" si="84"/>
        <v>0</v>
      </c>
      <c r="AV100" s="341">
        <f t="shared" ca="1" si="85"/>
        <v>0</v>
      </c>
      <c r="AW100" s="333">
        <f t="shared" ca="1" si="69"/>
        <v>0</v>
      </c>
      <c r="AX100" s="333">
        <f t="shared" ca="1" si="70"/>
        <v>0</v>
      </c>
      <c r="AY100" s="333">
        <f t="shared" ca="1" si="71"/>
        <v>0</v>
      </c>
      <c r="AZ100" s="341">
        <f t="shared" ca="1" si="25"/>
        <v>2.5</v>
      </c>
      <c r="BA100" s="341">
        <f t="shared" ca="1" si="26"/>
        <v>1</v>
      </c>
      <c r="BB100" s="341">
        <f t="shared" ca="1" si="27"/>
        <v>0</v>
      </c>
      <c r="BC100" s="341">
        <f t="shared" ca="1" si="28"/>
        <v>0</v>
      </c>
      <c r="BD100" s="341">
        <f t="shared" ca="1" si="29"/>
        <v>0</v>
      </c>
      <c r="BE100" s="341">
        <f t="shared" ca="1" si="30"/>
        <v>0</v>
      </c>
      <c r="BF100" s="341">
        <f t="shared" ca="1" si="31"/>
        <v>0</v>
      </c>
      <c r="BG100" s="441">
        <f t="shared" ca="1" si="32"/>
        <v>0</v>
      </c>
      <c r="BH100" s="441">
        <f t="shared" ca="1" si="33"/>
        <v>0</v>
      </c>
      <c r="BI100" s="441">
        <f t="shared" ca="1" si="34"/>
        <v>0</v>
      </c>
      <c r="BJ100" s="441">
        <f t="shared" ca="1" si="35"/>
        <v>0</v>
      </c>
      <c r="BK100" s="441">
        <f t="shared" ca="1" si="36"/>
        <v>0</v>
      </c>
      <c r="BL100" s="341">
        <f t="shared" ca="1" si="37"/>
        <v>0</v>
      </c>
      <c r="BM100" s="341">
        <f t="shared" ca="1" si="38"/>
        <v>0</v>
      </c>
      <c r="BN100" s="341">
        <f t="shared" ca="1" si="39"/>
        <v>0</v>
      </c>
      <c r="BO100" s="341">
        <f t="shared" ca="1" si="40"/>
        <v>0</v>
      </c>
      <c r="BP100" s="341">
        <f t="shared" ca="1" si="41"/>
        <v>0</v>
      </c>
      <c r="BQ100" s="341">
        <f t="shared" ca="1" si="42"/>
        <v>2.5</v>
      </c>
      <c r="BR100" s="341" t="str">
        <f t="shared" ca="1" si="72"/>
        <v>BP2</v>
      </c>
      <c r="BS100" s="357" t="str">
        <f t="shared" ca="1" si="73"/>
        <v>BP2</v>
      </c>
      <c r="BT100" s="358">
        <f t="shared" si="48"/>
        <v>50</v>
      </c>
      <c r="BU100" s="358">
        <f t="shared" ca="1" si="45"/>
        <v>0</v>
      </c>
      <c r="BV100" s="358">
        <f t="shared" ca="1" si="46"/>
        <v>0</v>
      </c>
      <c r="BW100" s="341"/>
      <c r="BX100" s="341"/>
      <c r="BY100" s="341"/>
      <c r="BZ100" s="341"/>
      <c r="CA100" s="127"/>
      <c r="CB100" s="127"/>
    </row>
    <row r="101" spans="1:80" x14ac:dyDescent="0.25">
      <c r="A101" s="136"/>
      <c r="B101" s="728"/>
      <c r="C101" s="678"/>
      <c r="D101" s="678"/>
      <c r="E101" s="729" t="s">
        <v>196</v>
      </c>
      <c r="F101" s="678"/>
      <c r="G101" s="678"/>
      <c r="H101" s="12">
        <v>0</v>
      </c>
      <c r="I101" s="12">
        <v>0</v>
      </c>
      <c r="J101" s="12">
        <v>0</v>
      </c>
      <c r="K101" s="10" t="s">
        <v>512</v>
      </c>
      <c r="L101" s="244" t="s">
        <v>514</v>
      </c>
      <c r="M101" s="244" t="s">
        <v>458</v>
      </c>
      <c r="N101" s="244" t="s">
        <v>458</v>
      </c>
      <c r="O101" s="12" t="s">
        <v>396</v>
      </c>
      <c r="P101" s="234">
        <v>0</v>
      </c>
      <c r="Q101" s="13">
        <v>0.125</v>
      </c>
      <c r="R101" s="14" t="s">
        <v>28</v>
      </c>
      <c r="S101" s="237">
        <v>1</v>
      </c>
      <c r="T101" s="10">
        <v>0</v>
      </c>
      <c r="U101" s="548">
        <f t="shared" si="80"/>
        <v>0</v>
      </c>
      <c r="V101" s="484">
        <f t="shared" ca="1" si="81"/>
        <v>0</v>
      </c>
      <c r="W101" s="484">
        <f t="shared" ca="1" si="2"/>
        <v>0</v>
      </c>
      <c r="X101" s="485">
        <f t="shared" ca="1" si="51"/>
        <v>0</v>
      </c>
      <c r="Y101" s="450" t="s">
        <v>458</v>
      </c>
      <c r="Z101" s="370"/>
      <c r="AA101" s="371" t="s">
        <v>458</v>
      </c>
      <c r="AB101" s="370"/>
      <c r="AC101" s="449"/>
      <c r="AD101" s="489">
        <f t="shared" si="82"/>
        <v>0</v>
      </c>
      <c r="AE101" s="341">
        <f t="shared" si="5"/>
        <v>212</v>
      </c>
      <c r="AF101" s="341">
        <f t="shared" si="6"/>
        <v>0</v>
      </c>
      <c r="AG101" s="341">
        <f t="shared" ca="1" si="53"/>
        <v>0</v>
      </c>
      <c r="AH101" s="341">
        <f t="shared" ca="1" si="54"/>
        <v>0</v>
      </c>
      <c r="AI101" s="341">
        <f t="shared" ca="1" si="55"/>
        <v>0</v>
      </c>
      <c r="AJ101" s="341">
        <f t="shared" ca="1" si="56"/>
        <v>0</v>
      </c>
      <c r="AK101" s="341">
        <f t="shared" ca="1" si="57"/>
        <v>0</v>
      </c>
      <c r="AL101" s="341">
        <f t="shared" ca="1" si="83"/>
        <v>0</v>
      </c>
      <c r="AM101" s="341">
        <f t="shared" ca="1" si="59"/>
        <v>0</v>
      </c>
      <c r="AN101" s="341">
        <f t="shared" ca="1" si="60"/>
        <v>0</v>
      </c>
      <c r="AO101" s="341">
        <f t="shared" ca="1" si="61"/>
        <v>0</v>
      </c>
      <c r="AP101" s="341">
        <f t="shared" ca="1" si="62"/>
        <v>0</v>
      </c>
      <c r="AQ101" s="341">
        <f t="shared" ca="1" si="63"/>
        <v>0</v>
      </c>
      <c r="AR101" s="341">
        <f t="shared" ca="1" si="64"/>
        <v>0</v>
      </c>
      <c r="AS101" s="341">
        <f t="shared" ca="1" si="65"/>
        <v>0</v>
      </c>
      <c r="AT101" s="341">
        <f t="shared" ca="1" si="66"/>
        <v>0</v>
      </c>
      <c r="AU101" s="341">
        <f t="shared" ca="1" si="84"/>
        <v>0</v>
      </c>
      <c r="AV101" s="341">
        <f t="shared" ca="1" si="85"/>
        <v>0</v>
      </c>
      <c r="AW101" s="333">
        <f t="shared" ca="1" si="69"/>
        <v>0</v>
      </c>
      <c r="AX101" s="333">
        <f t="shared" ca="1" si="70"/>
        <v>0</v>
      </c>
      <c r="AY101" s="333">
        <f t="shared" ca="1" si="71"/>
        <v>0</v>
      </c>
      <c r="AZ101" s="341">
        <f t="shared" ca="1" si="25"/>
        <v>2.5</v>
      </c>
      <c r="BA101" s="341">
        <f t="shared" ca="1" si="26"/>
        <v>1</v>
      </c>
      <c r="BB101" s="341">
        <f t="shared" ca="1" si="27"/>
        <v>0</v>
      </c>
      <c r="BC101" s="341">
        <f t="shared" ca="1" si="28"/>
        <v>0</v>
      </c>
      <c r="BD101" s="341">
        <f t="shared" ca="1" si="29"/>
        <v>0</v>
      </c>
      <c r="BE101" s="341">
        <f t="shared" ca="1" si="30"/>
        <v>0</v>
      </c>
      <c r="BF101" s="341">
        <f t="shared" ca="1" si="31"/>
        <v>0</v>
      </c>
      <c r="BG101" s="441">
        <f t="shared" ca="1" si="32"/>
        <v>0</v>
      </c>
      <c r="BH101" s="441">
        <f t="shared" ca="1" si="33"/>
        <v>0</v>
      </c>
      <c r="BI101" s="441">
        <f t="shared" ca="1" si="34"/>
        <v>0</v>
      </c>
      <c r="BJ101" s="441">
        <f t="shared" ca="1" si="35"/>
        <v>0</v>
      </c>
      <c r="BK101" s="441">
        <f t="shared" ca="1" si="36"/>
        <v>0</v>
      </c>
      <c r="BL101" s="341">
        <f t="shared" ca="1" si="37"/>
        <v>0</v>
      </c>
      <c r="BM101" s="341">
        <f t="shared" ca="1" si="38"/>
        <v>0</v>
      </c>
      <c r="BN101" s="341">
        <f t="shared" ca="1" si="39"/>
        <v>0</v>
      </c>
      <c r="BO101" s="341">
        <f t="shared" ca="1" si="40"/>
        <v>0</v>
      </c>
      <c r="BP101" s="341">
        <f t="shared" ca="1" si="41"/>
        <v>0</v>
      </c>
      <c r="BQ101" s="341">
        <f t="shared" ca="1" si="42"/>
        <v>2.5</v>
      </c>
      <c r="BR101" s="341" t="str">
        <f t="shared" ca="1" si="72"/>
        <v>BP2</v>
      </c>
      <c r="BS101" s="357" t="str">
        <f t="shared" ca="1" si="73"/>
        <v>BP2</v>
      </c>
      <c r="BT101" s="358">
        <f t="shared" si="48"/>
        <v>50</v>
      </c>
      <c r="BU101" s="358">
        <f t="shared" ca="1" si="45"/>
        <v>0</v>
      </c>
      <c r="BV101" s="358">
        <f t="shared" ca="1" si="46"/>
        <v>0</v>
      </c>
      <c r="BW101" s="341"/>
      <c r="BX101" s="341"/>
      <c r="BY101" s="341"/>
      <c r="BZ101" s="341"/>
      <c r="CA101" s="127"/>
      <c r="CB101" s="127"/>
    </row>
    <row r="102" spans="1:80" x14ac:dyDescent="0.25">
      <c r="A102" s="136"/>
      <c r="B102" s="728"/>
      <c r="C102" s="678"/>
      <c r="D102" s="678"/>
      <c r="E102" s="729" t="s">
        <v>196</v>
      </c>
      <c r="F102" s="678"/>
      <c r="G102" s="678"/>
      <c r="H102" s="12">
        <v>0</v>
      </c>
      <c r="I102" s="12">
        <v>0</v>
      </c>
      <c r="J102" s="12">
        <v>0</v>
      </c>
      <c r="K102" s="10" t="s">
        <v>512</v>
      </c>
      <c r="L102" s="244" t="s">
        <v>514</v>
      </c>
      <c r="M102" s="244" t="s">
        <v>458</v>
      </c>
      <c r="N102" s="244" t="s">
        <v>458</v>
      </c>
      <c r="O102" s="12" t="s">
        <v>396</v>
      </c>
      <c r="P102" s="234">
        <v>0</v>
      </c>
      <c r="Q102" s="13">
        <v>0.125</v>
      </c>
      <c r="R102" s="14" t="s">
        <v>28</v>
      </c>
      <c r="S102" s="237">
        <v>1</v>
      </c>
      <c r="T102" s="10">
        <v>0</v>
      </c>
      <c r="U102" s="548">
        <f t="shared" si="80"/>
        <v>0</v>
      </c>
      <c r="V102" s="484">
        <f t="shared" ca="1" si="81"/>
        <v>0</v>
      </c>
      <c r="W102" s="484">
        <f t="shared" ca="1" si="2"/>
        <v>0</v>
      </c>
      <c r="X102" s="485">
        <f t="shared" ca="1" si="51"/>
        <v>0</v>
      </c>
      <c r="Y102" s="450" t="s">
        <v>458</v>
      </c>
      <c r="Z102" s="370"/>
      <c r="AA102" s="371" t="s">
        <v>458</v>
      </c>
      <c r="AB102" s="370"/>
      <c r="AC102" s="449"/>
      <c r="AD102" s="489">
        <f t="shared" si="82"/>
        <v>0</v>
      </c>
      <c r="AE102" s="341">
        <f t="shared" si="5"/>
        <v>212</v>
      </c>
      <c r="AF102" s="341">
        <f t="shared" si="6"/>
        <v>0</v>
      </c>
      <c r="AG102" s="341">
        <f t="shared" ca="1" si="53"/>
        <v>0</v>
      </c>
      <c r="AH102" s="341">
        <f t="shared" ca="1" si="54"/>
        <v>0</v>
      </c>
      <c r="AI102" s="341">
        <f t="shared" ca="1" si="55"/>
        <v>0</v>
      </c>
      <c r="AJ102" s="341">
        <f t="shared" ca="1" si="56"/>
        <v>0</v>
      </c>
      <c r="AK102" s="341">
        <f t="shared" ca="1" si="57"/>
        <v>0</v>
      </c>
      <c r="AL102" s="341">
        <f t="shared" ca="1" si="83"/>
        <v>0</v>
      </c>
      <c r="AM102" s="341">
        <f t="shared" ca="1" si="59"/>
        <v>0</v>
      </c>
      <c r="AN102" s="341">
        <f t="shared" ca="1" si="60"/>
        <v>0</v>
      </c>
      <c r="AO102" s="341">
        <f t="shared" ca="1" si="61"/>
        <v>0</v>
      </c>
      <c r="AP102" s="341">
        <f t="shared" ca="1" si="62"/>
        <v>0</v>
      </c>
      <c r="AQ102" s="341">
        <f t="shared" ca="1" si="63"/>
        <v>0</v>
      </c>
      <c r="AR102" s="341">
        <f t="shared" ca="1" si="64"/>
        <v>0</v>
      </c>
      <c r="AS102" s="341">
        <f t="shared" ca="1" si="65"/>
        <v>0</v>
      </c>
      <c r="AT102" s="341">
        <f t="shared" ca="1" si="66"/>
        <v>0</v>
      </c>
      <c r="AU102" s="341">
        <f t="shared" ca="1" si="84"/>
        <v>0</v>
      </c>
      <c r="AV102" s="341">
        <f t="shared" ca="1" si="85"/>
        <v>0</v>
      </c>
      <c r="AW102" s="333">
        <f t="shared" ca="1" si="69"/>
        <v>0</v>
      </c>
      <c r="AX102" s="333">
        <f t="shared" ca="1" si="70"/>
        <v>0</v>
      </c>
      <c r="AY102" s="333">
        <f t="shared" ca="1" si="71"/>
        <v>0</v>
      </c>
      <c r="AZ102" s="341">
        <f t="shared" ca="1" si="25"/>
        <v>2.5</v>
      </c>
      <c r="BA102" s="341">
        <f t="shared" ca="1" si="26"/>
        <v>1</v>
      </c>
      <c r="BB102" s="341">
        <f t="shared" ca="1" si="27"/>
        <v>0</v>
      </c>
      <c r="BC102" s="341">
        <f t="shared" ca="1" si="28"/>
        <v>0</v>
      </c>
      <c r="BD102" s="341">
        <f t="shared" ca="1" si="29"/>
        <v>0</v>
      </c>
      <c r="BE102" s="341">
        <f t="shared" ca="1" si="30"/>
        <v>0</v>
      </c>
      <c r="BF102" s="341">
        <f t="shared" ca="1" si="31"/>
        <v>0</v>
      </c>
      <c r="BG102" s="441">
        <f t="shared" ca="1" si="32"/>
        <v>0</v>
      </c>
      <c r="BH102" s="441">
        <f t="shared" ca="1" si="33"/>
        <v>0</v>
      </c>
      <c r="BI102" s="441">
        <f t="shared" ca="1" si="34"/>
        <v>0</v>
      </c>
      <c r="BJ102" s="441">
        <f t="shared" ca="1" si="35"/>
        <v>0</v>
      </c>
      <c r="BK102" s="441">
        <f t="shared" ca="1" si="36"/>
        <v>0</v>
      </c>
      <c r="BL102" s="341">
        <f t="shared" ca="1" si="37"/>
        <v>0</v>
      </c>
      <c r="BM102" s="341">
        <f t="shared" ca="1" si="38"/>
        <v>0</v>
      </c>
      <c r="BN102" s="341">
        <f t="shared" ca="1" si="39"/>
        <v>0</v>
      </c>
      <c r="BO102" s="341">
        <f t="shared" ca="1" si="40"/>
        <v>0</v>
      </c>
      <c r="BP102" s="341">
        <f t="shared" ca="1" si="41"/>
        <v>0</v>
      </c>
      <c r="BQ102" s="341">
        <f t="shared" ca="1" si="42"/>
        <v>2.5</v>
      </c>
      <c r="BR102" s="341" t="str">
        <f t="shared" ca="1" si="72"/>
        <v>BP2</v>
      </c>
      <c r="BS102" s="357" t="str">
        <f t="shared" ca="1" si="73"/>
        <v>BP2</v>
      </c>
      <c r="BT102" s="358">
        <f t="shared" si="48"/>
        <v>50</v>
      </c>
      <c r="BU102" s="358">
        <f t="shared" ca="1" si="45"/>
        <v>0</v>
      </c>
      <c r="BV102" s="358">
        <f t="shared" ca="1" si="46"/>
        <v>0</v>
      </c>
      <c r="BW102" s="341"/>
      <c r="BX102" s="341"/>
      <c r="BY102" s="341"/>
      <c r="BZ102" s="341"/>
      <c r="CA102" s="127"/>
      <c r="CB102" s="127"/>
    </row>
    <row r="103" spans="1:80" x14ac:dyDescent="0.25">
      <c r="A103" s="136"/>
      <c r="B103" s="728"/>
      <c r="C103" s="678"/>
      <c r="D103" s="678"/>
      <c r="E103" s="729" t="s">
        <v>196</v>
      </c>
      <c r="F103" s="678"/>
      <c r="G103" s="678"/>
      <c r="H103" s="12">
        <v>0</v>
      </c>
      <c r="I103" s="12">
        <v>0</v>
      </c>
      <c r="J103" s="12">
        <v>0</v>
      </c>
      <c r="K103" s="10" t="s">
        <v>512</v>
      </c>
      <c r="L103" s="244" t="s">
        <v>514</v>
      </c>
      <c r="M103" s="244" t="s">
        <v>458</v>
      </c>
      <c r="N103" s="244" t="s">
        <v>458</v>
      </c>
      <c r="O103" s="12" t="s">
        <v>396</v>
      </c>
      <c r="P103" s="234">
        <v>0</v>
      </c>
      <c r="Q103" s="13">
        <v>0.125</v>
      </c>
      <c r="R103" s="14" t="s">
        <v>28</v>
      </c>
      <c r="S103" s="237">
        <v>1</v>
      </c>
      <c r="T103" s="10">
        <v>0</v>
      </c>
      <c r="U103" s="548">
        <f t="shared" si="80"/>
        <v>0</v>
      </c>
      <c r="V103" s="484">
        <f t="shared" ca="1" si="81"/>
        <v>0</v>
      </c>
      <c r="W103" s="484">
        <f t="shared" ca="1" si="2"/>
        <v>0</v>
      </c>
      <c r="X103" s="485">
        <f t="shared" ca="1" si="51"/>
        <v>0</v>
      </c>
      <c r="Y103" s="450" t="s">
        <v>458</v>
      </c>
      <c r="Z103" s="370"/>
      <c r="AA103" s="371" t="s">
        <v>458</v>
      </c>
      <c r="AB103" s="370"/>
      <c r="AC103" s="449"/>
      <c r="AD103" s="489">
        <f t="shared" si="82"/>
        <v>0</v>
      </c>
      <c r="AE103" s="341">
        <f t="shared" si="5"/>
        <v>212</v>
      </c>
      <c r="AF103" s="341">
        <f t="shared" si="6"/>
        <v>0</v>
      </c>
      <c r="AG103" s="341">
        <f t="shared" ca="1" si="53"/>
        <v>0</v>
      </c>
      <c r="AH103" s="341">
        <f t="shared" ca="1" si="54"/>
        <v>0</v>
      </c>
      <c r="AI103" s="341">
        <f t="shared" ca="1" si="55"/>
        <v>0</v>
      </c>
      <c r="AJ103" s="341">
        <f t="shared" ca="1" si="56"/>
        <v>0</v>
      </c>
      <c r="AK103" s="341">
        <f t="shared" ca="1" si="57"/>
        <v>0</v>
      </c>
      <c r="AL103" s="341">
        <f t="shared" ca="1" si="83"/>
        <v>0</v>
      </c>
      <c r="AM103" s="341">
        <f t="shared" ca="1" si="59"/>
        <v>0</v>
      </c>
      <c r="AN103" s="341">
        <f t="shared" ca="1" si="60"/>
        <v>0</v>
      </c>
      <c r="AO103" s="341">
        <f t="shared" ca="1" si="61"/>
        <v>0</v>
      </c>
      <c r="AP103" s="341">
        <f t="shared" ca="1" si="62"/>
        <v>0</v>
      </c>
      <c r="AQ103" s="341">
        <f t="shared" ca="1" si="63"/>
        <v>0</v>
      </c>
      <c r="AR103" s="341">
        <f t="shared" ca="1" si="64"/>
        <v>0</v>
      </c>
      <c r="AS103" s="341">
        <f t="shared" ca="1" si="65"/>
        <v>0</v>
      </c>
      <c r="AT103" s="341">
        <f t="shared" ca="1" si="66"/>
        <v>0</v>
      </c>
      <c r="AU103" s="341">
        <f t="shared" ca="1" si="84"/>
        <v>0</v>
      </c>
      <c r="AV103" s="341">
        <f t="shared" ca="1" si="85"/>
        <v>0</v>
      </c>
      <c r="AW103" s="333">
        <f t="shared" ca="1" si="69"/>
        <v>0</v>
      </c>
      <c r="AX103" s="333">
        <f t="shared" ca="1" si="70"/>
        <v>0</v>
      </c>
      <c r="AY103" s="333">
        <f t="shared" ca="1" si="71"/>
        <v>0</v>
      </c>
      <c r="AZ103" s="341">
        <f t="shared" ca="1" si="25"/>
        <v>2.5</v>
      </c>
      <c r="BA103" s="341">
        <f t="shared" ca="1" si="26"/>
        <v>1</v>
      </c>
      <c r="BB103" s="341">
        <f t="shared" ca="1" si="27"/>
        <v>0</v>
      </c>
      <c r="BC103" s="341">
        <f t="shared" ca="1" si="28"/>
        <v>0</v>
      </c>
      <c r="BD103" s="341">
        <f t="shared" ca="1" si="29"/>
        <v>0</v>
      </c>
      <c r="BE103" s="341">
        <f t="shared" ca="1" si="30"/>
        <v>0</v>
      </c>
      <c r="BF103" s="341">
        <f t="shared" ca="1" si="31"/>
        <v>0</v>
      </c>
      <c r="BG103" s="441">
        <f t="shared" ca="1" si="32"/>
        <v>0</v>
      </c>
      <c r="BH103" s="441">
        <f t="shared" ca="1" si="33"/>
        <v>0</v>
      </c>
      <c r="BI103" s="441">
        <f t="shared" ca="1" si="34"/>
        <v>0</v>
      </c>
      <c r="BJ103" s="441">
        <f t="shared" ca="1" si="35"/>
        <v>0</v>
      </c>
      <c r="BK103" s="441">
        <f t="shared" ca="1" si="36"/>
        <v>0</v>
      </c>
      <c r="BL103" s="341">
        <f t="shared" ca="1" si="37"/>
        <v>0</v>
      </c>
      <c r="BM103" s="341">
        <f t="shared" ca="1" si="38"/>
        <v>0</v>
      </c>
      <c r="BN103" s="341">
        <f t="shared" ca="1" si="39"/>
        <v>0</v>
      </c>
      <c r="BO103" s="341">
        <f t="shared" ca="1" si="40"/>
        <v>0</v>
      </c>
      <c r="BP103" s="341">
        <f t="shared" ca="1" si="41"/>
        <v>0</v>
      </c>
      <c r="BQ103" s="341">
        <f t="shared" ca="1" si="42"/>
        <v>2.5</v>
      </c>
      <c r="BR103" s="341" t="str">
        <f t="shared" ca="1" si="72"/>
        <v>BP2</v>
      </c>
      <c r="BS103" s="357" t="str">
        <f t="shared" ca="1" si="73"/>
        <v>BP2</v>
      </c>
      <c r="BT103" s="358">
        <f t="shared" si="48"/>
        <v>50</v>
      </c>
      <c r="BU103" s="358">
        <f t="shared" ca="1" si="45"/>
        <v>0</v>
      </c>
      <c r="BV103" s="358">
        <f t="shared" ca="1" si="46"/>
        <v>0</v>
      </c>
      <c r="BW103" s="341"/>
      <c r="BX103" s="341"/>
      <c r="BY103" s="341"/>
      <c r="BZ103" s="341"/>
      <c r="CA103" s="127"/>
      <c r="CB103" s="127"/>
    </row>
    <row r="104" spans="1:80" x14ac:dyDescent="0.25">
      <c r="A104" s="136"/>
      <c r="B104" s="728"/>
      <c r="C104" s="678"/>
      <c r="D104" s="678"/>
      <c r="E104" s="729" t="s">
        <v>196</v>
      </c>
      <c r="F104" s="678"/>
      <c r="G104" s="678"/>
      <c r="H104" s="12">
        <v>0</v>
      </c>
      <c r="I104" s="12">
        <v>0</v>
      </c>
      <c r="J104" s="12">
        <v>0</v>
      </c>
      <c r="K104" s="10" t="s">
        <v>512</v>
      </c>
      <c r="L104" s="244" t="s">
        <v>514</v>
      </c>
      <c r="M104" s="244" t="s">
        <v>458</v>
      </c>
      <c r="N104" s="244" t="s">
        <v>458</v>
      </c>
      <c r="O104" s="12" t="s">
        <v>396</v>
      </c>
      <c r="P104" s="234">
        <v>0</v>
      </c>
      <c r="Q104" s="13">
        <v>0.125</v>
      </c>
      <c r="R104" s="14" t="s">
        <v>28</v>
      </c>
      <c r="S104" s="237">
        <v>1</v>
      </c>
      <c r="T104" s="10">
        <v>0</v>
      </c>
      <c r="U104" s="548">
        <f t="shared" si="80"/>
        <v>0</v>
      </c>
      <c r="V104" s="484">
        <f t="shared" ca="1" si="81"/>
        <v>0</v>
      </c>
      <c r="W104" s="484">
        <f t="shared" ca="1" si="2"/>
        <v>0</v>
      </c>
      <c r="X104" s="485">
        <f t="shared" ca="1" si="51"/>
        <v>0</v>
      </c>
      <c r="Y104" s="450" t="s">
        <v>458</v>
      </c>
      <c r="Z104" s="370"/>
      <c r="AA104" s="371" t="s">
        <v>458</v>
      </c>
      <c r="AB104" s="370"/>
      <c r="AC104" s="449"/>
      <c r="AD104" s="489">
        <f t="shared" si="82"/>
        <v>0</v>
      </c>
      <c r="AE104" s="341">
        <f t="shared" si="5"/>
        <v>212</v>
      </c>
      <c r="AF104" s="341">
        <f t="shared" si="6"/>
        <v>0</v>
      </c>
      <c r="AG104" s="341">
        <f t="shared" ca="1" si="53"/>
        <v>0</v>
      </c>
      <c r="AH104" s="341">
        <f t="shared" ca="1" si="54"/>
        <v>0</v>
      </c>
      <c r="AI104" s="341">
        <f t="shared" ca="1" si="55"/>
        <v>0</v>
      </c>
      <c r="AJ104" s="341">
        <f t="shared" ca="1" si="56"/>
        <v>0</v>
      </c>
      <c r="AK104" s="341">
        <f t="shared" ca="1" si="57"/>
        <v>0</v>
      </c>
      <c r="AL104" s="341">
        <f t="shared" ca="1" si="83"/>
        <v>0</v>
      </c>
      <c r="AM104" s="341">
        <f t="shared" ca="1" si="59"/>
        <v>0</v>
      </c>
      <c r="AN104" s="341">
        <f t="shared" ca="1" si="60"/>
        <v>0</v>
      </c>
      <c r="AO104" s="341">
        <f t="shared" ca="1" si="61"/>
        <v>0</v>
      </c>
      <c r="AP104" s="341">
        <f t="shared" ca="1" si="62"/>
        <v>0</v>
      </c>
      <c r="AQ104" s="341">
        <f t="shared" ca="1" si="63"/>
        <v>0</v>
      </c>
      <c r="AR104" s="341">
        <f t="shared" ca="1" si="64"/>
        <v>0</v>
      </c>
      <c r="AS104" s="341">
        <f t="shared" ca="1" si="65"/>
        <v>0</v>
      </c>
      <c r="AT104" s="341">
        <f t="shared" ca="1" si="66"/>
        <v>0</v>
      </c>
      <c r="AU104" s="341">
        <f t="shared" ca="1" si="84"/>
        <v>0</v>
      </c>
      <c r="AV104" s="341">
        <f t="shared" ca="1" si="85"/>
        <v>0</v>
      </c>
      <c r="AW104" s="333">
        <f t="shared" ca="1" si="69"/>
        <v>0</v>
      </c>
      <c r="AX104" s="333">
        <f t="shared" ca="1" si="70"/>
        <v>0</v>
      </c>
      <c r="AY104" s="333">
        <f t="shared" ca="1" si="71"/>
        <v>0</v>
      </c>
      <c r="AZ104" s="341">
        <f t="shared" ca="1" si="25"/>
        <v>2.5</v>
      </c>
      <c r="BA104" s="341">
        <f t="shared" ca="1" si="26"/>
        <v>1</v>
      </c>
      <c r="BB104" s="341">
        <f t="shared" ca="1" si="27"/>
        <v>0</v>
      </c>
      <c r="BC104" s="341">
        <f t="shared" ca="1" si="28"/>
        <v>0</v>
      </c>
      <c r="BD104" s="341">
        <f t="shared" ca="1" si="29"/>
        <v>0</v>
      </c>
      <c r="BE104" s="341">
        <f t="shared" ca="1" si="30"/>
        <v>0</v>
      </c>
      <c r="BF104" s="341">
        <f t="shared" ca="1" si="31"/>
        <v>0</v>
      </c>
      <c r="BG104" s="441">
        <f t="shared" ca="1" si="32"/>
        <v>0</v>
      </c>
      <c r="BH104" s="441">
        <f t="shared" ca="1" si="33"/>
        <v>0</v>
      </c>
      <c r="BI104" s="441">
        <f t="shared" ca="1" si="34"/>
        <v>0</v>
      </c>
      <c r="BJ104" s="441">
        <f t="shared" ca="1" si="35"/>
        <v>0</v>
      </c>
      <c r="BK104" s="441">
        <f t="shared" ca="1" si="36"/>
        <v>0</v>
      </c>
      <c r="BL104" s="341">
        <f t="shared" ca="1" si="37"/>
        <v>0</v>
      </c>
      <c r="BM104" s="341">
        <f t="shared" ca="1" si="38"/>
        <v>0</v>
      </c>
      <c r="BN104" s="341">
        <f t="shared" ca="1" si="39"/>
        <v>0</v>
      </c>
      <c r="BO104" s="341">
        <f t="shared" ca="1" si="40"/>
        <v>0</v>
      </c>
      <c r="BP104" s="341">
        <f t="shared" ca="1" si="41"/>
        <v>0</v>
      </c>
      <c r="BQ104" s="341">
        <f t="shared" ca="1" si="42"/>
        <v>2.5</v>
      </c>
      <c r="BR104" s="341" t="str">
        <f t="shared" ca="1" si="72"/>
        <v>BP2</v>
      </c>
      <c r="BS104" s="357" t="str">
        <f t="shared" ca="1" si="73"/>
        <v>BP2</v>
      </c>
      <c r="BT104" s="358">
        <f t="shared" si="48"/>
        <v>50</v>
      </c>
      <c r="BU104" s="358">
        <f t="shared" ca="1" si="45"/>
        <v>0</v>
      </c>
      <c r="BV104" s="358">
        <f t="shared" ca="1" si="46"/>
        <v>0</v>
      </c>
      <c r="BW104" s="341"/>
      <c r="BX104" s="341"/>
      <c r="BY104" s="341"/>
      <c r="BZ104" s="341"/>
      <c r="CA104" s="127"/>
      <c r="CB104" s="127"/>
    </row>
    <row r="105" spans="1:80" x14ac:dyDescent="0.25">
      <c r="A105" s="136"/>
      <c r="B105" s="728"/>
      <c r="C105" s="678"/>
      <c r="D105" s="678"/>
      <c r="E105" s="729" t="s">
        <v>196</v>
      </c>
      <c r="F105" s="678"/>
      <c r="G105" s="678"/>
      <c r="H105" s="12">
        <v>0</v>
      </c>
      <c r="I105" s="12">
        <v>0</v>
      </c>
      <c r="J105" s="12">
        <v>0</v>
      </c>
      <c r="K105" s="10" t="s">
        <v>512</v>
      </c>
      <c r="L105" s="244" t="s">
        <v>514</v>
      </c>
      <c r="M105" s="244" t="s">
        <v>458</v>
      </c>
      <c r="N105" s="244" t="s">
        <v>458</v>
      </c>
      <c r="O105" s="12" t="s">
        <v>396</v>
      </c>
      <c r="P105" s="234">
        <v>0</v>
      </c>
      <c r="Q105" s="13">
        <v>0.125</v>
      </c>
      <c r="R105" s="14" t="s">
        <v>28</v>
      </c>
      <c r="S105" s="237">
        <v>1</v>
      </c>
      <c r="T105" s="10">
        <v>0</v>
      </c>
      <c r="U105" s="548">
        <f t="shared" si="80"/>
        <v>0</v>
      </c>
      <c r="V105" s="484">
        <f t="shared" ca="1" si="81"/>
        <v>0</v>
      </c>
      <c r="W105" s="484">
        <f t="shared" ca="1" si="2"/>
        <v>0</v>
      </c>
      <c r="X105" s="485">
        <f t="shared" ca="1" si="51"/>
        <v>0</v>
      </c>
      <c r="Y105" s="450" t="s">
        <v>458</v>
      </c>
      <c r="Z105" s="370"/>
      <c r="AA105" s="371" t="s">
        <v>458</v>
      </c>
      <c r="AB105" s="370"/>
      <c r="AC105" s="449"/>
      <c r="AD105" s="489">
        <f t="shared" si="82"/>
        <v>0</v>
      </c>
      <c r="AE105" s="341">
        <f t="shared" si="5"/>
        <v>212</v>
      </c>
      <c r="AF105" s="341">
        <f t="shared" si="6"/>
        <v>0</v>
      </c>
      <c r="AG105" s="341">
        <f t="shared" ca="1" si="53"/>
        <v>0</v>
      </c>
      <c r="AH105" s="341">
        <f t="shared" ca="1" si="54"/>
        <v>0</v>
      </c>
      <c r="AI105" s="341">
        <f t="shared" ca="1" si="55"/>
        <v>0</v>
      </c>
      <c r="AJ105" s="341">
        <f t="shared" ca="1" si="56"/>
        <v>0</v>
      </c>
      <c r="AK105" s="341">
        <f t="shared" ca="1" si="57"/>
        <v>0</v>
      </c>
      <c r="AL105" s="341">
        <f t="shared" ca="1" si="83"/>
        <v>0</v>
      </c>
      <c r="AM105" s="341">
        <f t="shared" ca="1" si="59"/>
        <v>0</v>
      </c>
      <c r="AN105" s="341">
        <f t="shared" ca="1" si="60"/>
        <v>0</v>
      </c>
      <c r="AO105" s="341">
        <f t="shared" ca="1" si="61"/>
        <v>0</v>
      </c>
      <c r="AP105" s="341">
        <f t="shared" ca="1" si="62"/>
        <v>0</v>
      </c>
      <c r="AQ105" s="341">
        <f t="shared" ca="1" si="63"/>
        <v>0</v>
      </c>
      <c r="AR105" s="341">
        <f t="shared" ca="1" si="64"/>
        <v>0</v>
      </c>
      <c r="AS105" s="341">
        <f t="shared" ca="1" si="65"/>
        <v>0</v>
      </c>
      <c r="AT105" s="341">
        <f t="shared" ca="1" si="66"/>
        <v>0</v>
      </c>
      <c r="AU105" s="341">
        <f t="shared" ca="1" si="84"/>
        <v>0</v>
      </c>
      <c r="AV105" s="341">
        <f t="shared" ca="1" si="85"/>
        <v>0</v>
      </c>
      <c r="AW105" s="333">
        <f t="shared" ca="1" si="69"/>
        <v>0</v>
      </c>
      <c r="AX105" s="333">
        <f t="shared" ca="1" si="70"/>
        <v>0</v>
      </c>
      <c r="AY105" s="333">
        <f t="shared" ca="1" si="71"/>
        <v>0</v>
      </c>
      <c r="AZ105" s="341">
        <f t="shared" ca="1" si="25"/>
        <v>2.5</v>
      </c>
      <c r="BA105" s="341">
        <f t="shared" ca="1" si="26"/>
        <v>1</v>
      </c>
      <c r="BB105" s="341">
        <f t="shared" ca="1" si="27"/>
        <v>0</v>
      </c>
      <c r="BC105" s="341">
        <f t="shared" ca="1" si="28"/>
        <v>0</v>
      </c>
      <c r="BD105" s="341">
        <f t="shared" ca="1" si="29"/>
        <v>0</v>
      </c>
      <c r="BE105" s="341">
        <f t="shared" ca="1" si="30"/>
        <v>0</v>
      </c>
      <c r="BF105" s="341">
        <f t="shared" ca="1" si="31"/>
        <v>0</v>
      </c>
      <c r="BG105" s="441">
        <f t="shared" ca="1" si="32"/>
        <v>0</v>
      </c>
      <c r="BH105" s="441">
        <f t="shared" ca="1" si="33"/>
        <v>0</v>
      </c>
      <c r="BI105" s="441">
        <f t="shared" ca="1" si="34"/>
        <v>0</v>
      </c>
      <c r="BJ105" s="441">
        <f t="shared" ca="1" si="35"/>
        <v>0</v>
      </c>
      <c r="BK105" s="441">
        <f t="shared" ca="1" si="36"/>
        <v>0</v>
      </c>
      <c r="BL105" s="341">
        <f t="shared" ca="1" si="37"/>
        <v>0</v>
      </c>
      <c r="BM105" s="341">
        <f t="shared" ca="1" si="38"/>
        <v>0</v>
      </c>
      <c r="BN105" s="341">
        <f t="shared" ca="1" si="39"/>
        <v>0</v>
      </c>
      <c r="BO105" s="341">
        <f t="shared" ca="1" si="40"/>
        <v>0</v>
      </c>
      <c r="BP105" s="341">
        <f t="shared" ca="1" si="41"/>
        <v>0</v>
      </c>
      <c r="BQ105" s="341">
        <f t="shared" ca="1" si="42"/>
        <v>2.5</v>
      </c>
      <c r="BR105" s="341" t="str">
        <f t="shared" ca="1" si="72"/>
        <v>BP2</v>
      </c>
      <c r="BS105" s="357" t="str">
        <f t="shared" ca="1" si="73"/>
        <v>BP2</v>
      </c>
      <c r="BT105" s="358">
        <f t="shared" si="48"/>
        <v>50</v>
      </c>
      <c r="BU105" s="358">
        <f t="shared" ca="1" si="45"/>
        <v>0</v>
      </c>
      <c r="BV105" s="358">
        <f t="shared" ca="1" si="46"/>
        <v>0</v>
      </c>
      <c r="BW105" s="341"/>
      <c r="BX105" s="341"/>
      <c r="BY105" s="341"/>
      <c r="BZ105" s="341"/>
      <c r="CA105" s="127"/>
      <c r="CB105" s="127"/>
    </row>
    <row r="106" spans="1:80" x14ac:dyDescent="0.25">
      <c r="A106" s="136"/>
      <c r="B106" s="728"/>
      <c r="C106" s="678"/>
      <c r="D106" s="678"/>
      <c r="E106" s="729" t="s">
        <v>196</v>
      </c>
      <c r="F106" s="678"/>
      <c r="G106" s="678"/>
      <c r="H106" s="12">
        <v>0</v>
      </c>
      <c r="I106" s="12">
        <v>0</v>
      </c>
      <c r="J106" s="12">
        <v>0</v>
      </c>
      <c r="K106" s="10" t="s">
        <v>512</v>
      </c>
      <c r="L106" s="244" t="s">
        <v>514</v>
      </c>
      <c r="M106" s="244" t="s">
        <v>458</v>
      </c>
      <c r="N106" s="244" t="s">
        <v>458</v>
      </c>
      <c r="O106" s="12" t="s">
        <v>396</v>
      </c>
      <c r="P106" s="234">
        <v>0</v>
      </c>
      <c r="Q106" s="13">
        <v>0.125</v>
      </c>
      <c r="R106" s="14" t="s">
        <v>28</v>
      </c>
      <c r="S106" s="237">
        <v>1</v>
      </c>
      <c r="T106" s="10">
        <v>0</v>
      </c>
      <c r="U106" s="548">
        <f t="shared" si="80"/>
        <v>0</v>
      </c>
      <c r="V106" s="484">
        <f t="shared" ca="1" si="81"/>
        <v>0</v>
      </c>
      <c r="W106" s="484">
        <f t="shared" ca="1" si="2"/>
        <v>0</v>
      </c>
      <c r="X106" s="485">
        <f t="shared" ca="1" si="51"/>
        <v>0</v>
      </c>
      <c r="Y106" s="450" t="s">
        <v>458</v>
      </c>
      <c r="Z106" s="370"/>
      <c r="AA106" s="371" t="s">
        <v>458</v>
      </c>
      <c r="AB106" s="370"/>
      <c r="AC106" s="449"/>
      <c r="AD106" s="489">
        <f t="shared" si="82"/>
        <v>0</v>
      </c>
      <c r="AE106" s="341">
        <f t="shared" si="5"/>
        <v>212</v>
      </c>
      <c r="AF106" s="341">
        <f t="shared" si="6"/>
        <v>0</v>
      </c>
      <c r="AG106" s="341">
        <f t="shared" ca="1" si="53"/>
        <v>0</v>
      </c>
      <c r="AH106" s="341">
        <f t="shared" ca="1" si="54"/>
        <v>0</v>
      </c>
      <c r="AI106" s="341">
        <f t="shared" ca="1" si="55"/>
        <v>0</v>
      </c>
      <c r="AJ106" s="341">
        <f t="shared" ca="1" si="56"/>
        <v>0</v>
      </c>
      <c r="AK106" s="341">
        <f t="shared" ca="1" si="57"/>
        <v>0</v>
      </c>
      <c r="AL106" s="341">
        <f t="shared" ca="1" si="83"/>
        <v>0</v>
      </c>
      <c r="AM106" s="341">
        <f t="shared" ca="1" si="59"/>
        <v>0</v>
      </c>
      <c r="AN106" s="341">
        <f t="shared" ca="1" si="60"/>
        <v>0</v>
      </c>
      <c r="AO106" s="341">
        <f t="shared" ca="1" si="61"/>
        <v>0</v>
      </c>
      <c r="AP106" s="341">
        <f t="shared" ca="1" si="62"/>
        <v>0</v>
      </c>
      <c r="AQ106" s="341">
        <f t="shared" ca="1" si="63"/>
        <v>0</v>
      </c>
      <c r="AR106" s="341">
        <f t="shared" ca="1" si="64"/>
        <v>0</v>
      </c>
      <c r="AS106" s="341">
        <f t="shared" ca="1" si="65"/>
        <v>0</v>
      </c>
      <c r="AT106" s="341">
        <f t="shared" ca="1" si="66"/>
        <v>0</v>
      </c>
      <c r="AU106" s="341">
        <f t="shared" ca="1" si="84"/>
        <v>0</v>
      </c>
      <c r="AV106" s="341">
        <f t="shared" ca="1" si="85"/>
        <v>0</v>
      </c>
      <c r="AW106" s="333">
        <f t="shared" ca="1" si="69"/>
        <v>0</v>
      </c>
      <c r="AX106" s="333">
        <f t="shared" ca="1" si="70"/>
        <v>0</v>
      </c>
      <c r="AY106" s="333">
        <f t="shared" ca="1" si="71"/>
        <v>0</v>
      </c>
      <c r="AZ106" s="341">
        <f t="shared" ca="1" si="25"/>
        <v>2.5</v>
      </c>
      <c r="BA106" s="341">
        <f t="shared" ca="1" si="26"/>
        <v>1</v>
      </c>
      <c r="BB106" s="341">
        <f t="shared" ca="1" si="27"/>
        <v>0</v>
      </c>
      <c r="BC106" s="341">
        <f t="shared" ca="1" si="28"/>
        <v>0</v>
      </c>
      <c r="BD106" s="341">
        <f t="shared" ca="1" si="29"/>
        <v>0</v>
      </c>
      <c r="BE106" s="341">
        <f t="shared" ca="1" si="30"/>
        <v>0</v>
      </c>
      <c r="BF106" s="341">
        <f t="shared" ca="1" si="31"/>
        <v>0</v>
      </c>
      <c r="BG106" s="441">
        <f t="shared" ca="1" si="32"/>
        <v>0</v>
      </c>
      <c r="BH106" s="441">
        <f t="shared" ca="1" si="33"/>
        <v>0</v>
      </c>
      <c r="BI106" s="441">
        <f t="shared" ca="1" si="34"/>
        <v>0</v>
      </c>
      <c r="BJ106" s="441">
        <f t="shared" ca="1" si="35"/>
        <v>0</v>
      </c>
      <c r="BK106" s="441">
        <f t="shared" ca="1" si="36"/>
        <v>0</v>
      </c>
      <c r="BL106" s="341">
        <f t="shared" ca="1" si="37"/>
        <v>0</v>
      </c>
      <c r="BM106" s="341">
        <f t="shared" ca="1" si="38"/>
        <v>0</v>
      </c>
      <c r="BN106" s="341">
        <f t="shared" ca="1" si="39"/>
        <v>0</v>
      </c>
      <c r="BO106" s="341">
        <f t="shared" ca="1" si="40"/>
        <v>0</v>
      </c>
      <c r="BP106" s="341">
        <f t="shared" ca="1" si="41"/>
        <v>0</v>
      </c>
      <c r="BQ106" s="341">
        <f t="shared" ca="1" si="42"/>
        <v>2.5</v>
      </c>
      <c r="BR106" s="341" t="str">
        <f t="shared" ca="1" si="72"/>
        <v>BP2</v>
      </c>
      <c r="BS106" s="357" t="str">
        <f t="shared" ca="1" si="73"/>
        <v>BP2</v>
      </c>
      <c r="BT106" s="358">
        <f t="shared" si="48"/>
        <v>50</v>
      </c>
      <c r="BU106" s="358">
        <f t="shared" ca="1" si="45"/>
        <v>0</v>
      </c>
      <c r="BV106" s="358">
        <f t="shared" ca="1" si="46"/>
        <v>0</v>
      </c>
      <c r="BW106" s="341"/>
      <c r="BX106" s="341"/>
      <c r="BY106" s="341"/>
      <c r="BZ106" s="341"/>
      <c r="CA106" s="127"/>
      <c r="CB106" s="127"/>
    </row>
    <row r="107" spans="1:80" x14ac:dyDescent="0.25">
      <c r="A107" s="136"/>
      <c r="B107" s="728"/>
      <c r="C107" s="678"/>
      <c r="D107" s="678"/>
      <c r="E107" s="729" t="s">
        <v>196</v>
      </c>
      <c r="F107" s="678"/>
      <c r="G107" s="678"/>
      <c r="H107" s="12">
        <v>0</v>
      </c>
      <c r="I107" s="12">
        <v>0</v>
      </c>
      <c r="J107" s="12">
        <v>0</v>
      </c>
      <c r="K107" s="10" t="s">
        <v>512</v>
      </c>
      <c r="L107" s="244" t="s">
        <v>514</v>
      </c>
      <c r="M107" s="244" t="s">
        <v>458</v>
      </c>
      <c r="N107" s="244" t="s">
        <v>458</v>
      </c>
      <c r="O107" s="12" t="s">
        <v>396</v>
      </c>
      <c r="P107" s="234">
        <v>0</v>
      </c>
      <c r="Q107" s="13">
        <v>0.125</v>
      </c>
      <c r="R107" s="14" t="s">
        <v>28</v>
      </c>
      <c r="S107" s="237">
        <v>1</v>
      </c>
      <c r="T107" s="10">
        <v>0</v>
      </c>
      <c r="U107" s="548">
        <f t="shared" si="80"/>
        <v>0</v>
      </c>
      <c r="V107" s="484">
        <f t="shared" ca="1" si="81"/>
        <v>0</v>
      </c>
      <c r="W107" s="484">
        <f t="shared" ca="1" si="2"/>
        <v>0</v>
      </c>
      <c r="X107" s="485">
        <f t="shared" ca="1" si="51"/>
        <v>0</v>
      </c>
      <c r="Y107" s="450" t="s">
        <v>458</v>
      </c>
      <c r="Z107" s="370"/>
      <c r="AA107" s="371" t="s">
        <v>458</v>
      </c>
      <c r="AB107" s="370"/>
      <c r="AC107" s="449"/>
      <c r="AD107" s="489">
        <f t="shared" si="82"/>
        <v>0</v>
      </c>
      <c r="AE107" s="341">
        <f t="shared" si="5"/>
        <v>212</v>
      </c>
      <c r="AF107" s="341">
        <f t="shared" si="6"/>
        <v>0</v>
      </c>
      <c r="AG107" s="341">
        <f t="shared" ca="1" si="53"/>
        <v>0</v>
      </c>
      <c r="AH107" s="341">
        <f t="shared" ca="1" si="54"/>
        <v>0</v>
      </c>
      <c r="AI107" s="341">
        <f t="shared" ca="1" si="55"/>
        <v>0</v>
      </c>
      <c r="AJ107" s="341">
        <f t="shared" ca="1" si="56"/>
        <v>0</v>
      </c>
      <c r="AK107" s="341">
        <f t="shared" ca="1" si="57"/>
        <v>0</v>
      </c>
      <c r="AL107" s="341">
        <f t="shared" ca="1" si="83"/>
        <v>0</v>
      </c>
      <c r="AM107" s="341">
        <f t="shared" ca="1" si="59"/>
        <v>0</v>
      </c>
      <c r="AN107" s="341">
        <f t="shared" ca="1" si="60"/>
        <v>0</v>
      </c>
      <c r="AO107" s="341">
        <f t="shared" ca="1" si="61"/>
        <v>0</v>
      </c>
      <c r="AP107" s="341">
        <f t="shared" ca="1" si="62"/>
        <v>0</v>
      </c>
      <c r="AQ107" s="341">
        <f t="shared" ca="1" si="63"/>
        <v>0</v>
      </c>
      <c r="AR107" s="341">
        <f t="shared" ca="1" si="64"/>
        <v>0</v>
      </c>
      <c r="AS107" s="341">
        <f t="shared" ca="1" si="65"/>
        <v>0</v>
      </c>
      <c r="AT107" s="341">
        <f t="shared" ca="1" si="66"/>
        <v>0</v>
      </c>
      <c r="AU107" s="341">
        <f t="shared" ca="1" si="84"/>
        <v>0</v>
      </c>
      <c r="AV107" s="341">
        <f t="shared" ca="1" si="85"/>
        <v>0</v>
      </c>
      <c r="AW107" s="333">
        <f t="shared" ca="1" si="69"/>
        <v>0</v>
      </c>
      <c r="AX107" s="333">
        <f t="shared" ca="1" si="70"/>
        <v>0</v>
      </c>
      <c r="AY107" s="333">
        <f t="shared" ca="1" si="71"/>
        <v>0</v>
      </c>
      <c r="AZ107" s="341">
        <f t="shared" ca="1" si="25"/>
        <v>2.5</v>
      </c>
      <c r="BA107" s="341">
        <f t="shared" ca="1" si="26"/>
        <v>1</v>
      </c>
      <c r="BB107" s="341">
        <f t="shared" ca="1" si="27"/>
        <v>0</v>
      </c>
      <c r="BC107" s="341">
        <f t="shared" ca="1" si="28"/>
        <v>0</v>
      </c>
      <c r="BD107" s="341">
        <f t="shared" ca="1" si="29"/>
        <v>0</v>
      </c>
      <c r="BE107" s="341">
        <f t="shared" ca="1" si="30"/>
        <v>0</v>
      </c>
      <c r="BF107" s="341">
        <f t="shared" ca="1" si="31"/>
        <v>0</v>
      </c>
      <c r="BG107" s="441">
        <f t="shared" ca="1" si="32"/>
        <v>0</v>
      </c>
      <c r="BH107" s="441">
        <f t="shared" ca="1" si="33"/>
        <v>0</v>
      </c>
      <c r="BI107" s="441">
        <f t="shared" ca="1" si="34"/>
        <v>0</v>
      </c>
      <c r="BJ107" s="441">
        <f t="shared" ca="1" si="35"/>
        <v>0</v>
      </c>
      <c r="BK107" s="441">
        <f t="shared" ca="1" si="36"/>
        <v>0</v>
      </c>
      <c r="BL107" s="341">
        <f t="shared" ca="1" si="37"/>
        <v>0</v>
      </c>
      <c r="BM107" s="341">
        <f t="shared" ca="1" si="38"/>
        <v>0</v>
      </c>
      <c r="BN107" s="341">
        <f t="shared" ca="1" si="39"/>
        <v>0</v>
      </c>
      <c r="BO107" s="341">
        <f t="shared" ca="1" si="40"/>
        <v>0</v>
      </c>
      <c r="BP107" s="341">
        <f t="shared" ca="1" si="41"/>
        <v>0</v>
      </c>
      <c r="BQ107" s="341">
        <f t="shared" ca="1" si="42"/>
        <v>2.5</v>
      </c>
      <c r="BR107" s="341" t="str">
        <f t="shared" ca="1" si="72"/>
        <v>BP2</v>
      </c>
      <c r="BS107" s="357" t="str">
        <f t="shared" ca="1" si="73"/>
        <v>BP2</v>
      </c>
      <c r="BT107" s="358">
        <f t="shared" si="48"/>
        <v>50</v>
      </c>
      <c r="BU107" s="358">
        <f t="shared" ca="1" si="45"/>
        <v>0</v>
      </c>
      <c r="BV107" s="358">
        <f t="shared" ca="1" si="46"/>
        <v>0</v>
      </c>
      <c r="BW107" s="341"/>
      <c r="BX107" s="341"/>
      <c r="BY107" s="341"/>
      <c r="BZ107" s="341"/>
      <c r="CA107" s="127"/>
      <c r="CB107" s="127"/>
    </row>
    <row r="108" spans="1:80" x14ac:dyDescent="0.25">
      <c r="A108" s="136"/>
      <c r="B108" s="728"/>
      <c r="C108" s="678"/>
      <c r="D108" s="678"/>
      <c r="E108" s="729" t="s">
        <v>196</v>
      </c>
      <c r="F108" s="678"/>
      <c r="G108" s="678"/>
      <c r="H108" s="12">
        <v>0</v>
      </c>
      <c r="I108" s="12">
        <v>0</v>
      </c>
      <c r="J108" s="12">
        <v>0</v>
      </c>
      <c r="K108" s="10" t="s">
        <v>512</v>
      </c>
      <c r="L108" s="244" t="s">
        <v>514</v>
      </c>
      <c r="M108" s="244" t="s">
        <v>458</v>
      </c>
      <c r="N108" s="244" t="s">
        <v>458</v>
      </c>
      <c r="O108" s="12" t="s">
        <v>396</v>
      </c>
      <c r="P108" s="234">
        <v>0</v>
      </c>
      <c r="Q108" s="13">
        <v>0.125</v>
      </c>
      <c r="R108" s="14" t="s">
        <v>28</v>
      </c>
      <c r="S108" s="237">
        <v>1</v>
      </c>
      <c r="T108" s="10">
        <v>0</v>
      </c>
      <c r="U108" s="548">
        <f t="shared" si="80"/>
        <v>0</v>
      </c>
      <c r="V108" s="484">
        <f t="shared" ca="1" si="81"/>
        <v>0</v>
      </c>
      <c r="W108" s="484">
        <f t="shared" ca="1" si="2"/>
        <v>0</v>
      </c>
      <c r="X108" s="485">
        <f t="shared" ca="1" si="51"/>
        <v>0</v>
      </c>
      <c r="Y108" s="450" t="s">
        <v>458</v>
      </c>
      <c r="Z108" s="370"/>
      <c r="AA108" s="371" t="s">
        <v>458</v>
      </c>
      <c r="AB108" s="370"/>
      <c r="AC108" s="449"/>
      <c r="AD108" s="489">
        <f t="shared" si="82"/>
        <v>0</v>
      </c>
      <c r="AE108" s="341">
        <f t="shared" si="5"/>
        <v>212</v>
      </c>
      <c r="AF108" s="341">
        <f t="shared" si="6"/>
        <v>0</v>
      </c>
      <c r="AG108" s="341">
        <f t="shared" ca="1" si="53"/>
        <v>0</v>
      </c>
      <c r="AH108" s="341">
        <f t="shared" ca="1" si="54"/>
        <v>0</v>
      </c>
      <c r="AI108" s="341">
        <f t="shared" ca="1" si="55"/>
        <v>0</v>
      </c>
      <c r="AJ108" s="341">
        <f t="shared" ca="1" si="56"/>
        <v>0</v>
      </c>
      <c r="AK108" s="341">
        <f t="shared" ca="1" si="57"/>
        <v>0</v>
      </c>
      <c r="AL108" s="341">
        <f t="shared" ca="1" si="83"/>
        <v>0</v>
      </c>
      <c r="AM108" s="341">
        <f t="shared" ca="1" si="59"/>
        <v>0</v>
      </c>
      <c r="AN108" s="341">
        <f t="shared" ca="1" si="60"/>
        <v>0</v>
      </c>
      <c r="AO108" s="341">
        <f t="shared" ca="1" si="61"/>
        <v>0</v>
      </c>
      <c r="AP108" s="341">
        <f t="shared" ca="1" si="62"/>
        <v>0</v>
      </c>
      <c r="AQ108" s="341">
        <f t="shared" ca="1" si="63"/>
        <v>0</v>
      </c>
      <c r="AR108" s="341">
        <f t="shared" ca="1" si="64"/>
        <v>0</v>
      </c>
      <c r="AS108" s="341">
        <f t="shared" ca="1" si="65"/>
        <v>0</v>
      </c>
      <c r="AT108" s="341">
        <f t="shared" ca="1" si="66"/>
        <v>0</v>
      </c>
      <c r="AU108" s="341">
        <f t="shared" ca="1" si="84"/>
        <v>0</v>
      </c>
      <c r="AV108" s="341">
        <f t="shared" ca="1" si="85"/>
        <v>0</v>
      </c>
      <c r="AW108" s="333">
        <f t="shared" ca="1" si="69"/>
        <v>0</v>
      </c>
      <c r="AX108" s="333">
        <f t="shared" ca="1" si="70"/>
        <v>0</v>
      </c>
      <c r="AY108" s="333">
        <f t="shared" ca="1" si="71"/>
        <v>0</v>
      </c>
      <c r="AZ108" s="341">
        <f t="shared" ca="1" si="25"/>
        <v>2.5</v>
      </c>
      <c r="BA108" s="341">
        <f t="shared" ca="1" si="26"/>
        <v>1</v>
      </c>
      <c r="BB108" s="341">
        <f t="shared" ca="1" si="27"/>
        <v>0</v>
      </c>
      <c r="BC108" s="341">
        <f t="shared" ca="1" si="28"/>
        <v>0</v>
      </c>
      <c r="BD108" s="341">
        <f t="shared" ca="1" si="29"/>
        <v>0</v>
      </c>
      <c r="BE108" s="341">
        <f t="shared" ca="1" si="30"/>
        <v>0</v>
      </c>
      <c r="BF108" s="341">
        <f t="shared" ca="1" si="31"/>
        <v>0</v>
      </c>
      <c r="BG108" s="441">
        <f t="shared" ca="1" si="32"/>
        <v>0</v>
      </c>
      <c r="BH108" s="441">
        <f t="shared" ca="1" si="33"/>
        <v>0</v>
      </c>
      <c r="BI108" s="441">
        <f t="shared" ca="1" si="34"/>
        <v>0</v>
      </c>
      <c r="BJ108" s="441">
        <f t="shared" ca="1" si="35"/>
        <v>0</v>
      </c>
      <c r="BK108" s="441">
        <f t="shared" ca="1" si="36"/>
        <v>0</v>
      </c>
      <c r="BL108" s="341">
        <f t="shared" ca="1" si="37"/>
        <v>0</v>
      </c>
      <c r="BM108" s="341">
        <f t="shared" ca="1" si="38"/>
        <v>0</v>
      </c>
      <c r="BN108" s="341">
        <f t="shared" ca="1" si="39"/>
        <v>0</v>
      </c>
      <c r="BO108" s="341">
        <f t="shared" ca="1" si="40"/>
        <v>0</v>
      </c>
      <c r="BP108" s="341">
        <f t="shared" ca="1" si="41"/>
        <v>0</v>
      </c>
      <c r="BQ108" s="341">
        <f t="shared" ca="1" si="42"/>
        <v>2.5</v>
      </c>
      <c r="BR108" s="341" t="str">
        <f t="shared" ca="1" si="72"/>
        <v>BP2</v>
      </c>
      <c r="BS108" s="357" t="str">
        <f t="shared" ca="1" si="73"/>
        <v>BP2</v>
      </c>
      <c r="BT108" s="358">
        <f t="shared" si="48"/>
        <v>50</v>
      </c>
      <c r="BU108" s="358">
        <f t="shared" ca="1" si="45"/>
        <v>0</v>
      </c>
      <c r="BV108" s="358">
        <f t="shared" ca="1" si="46"/>
        <v>0</v>
      </c>
      <c r="BW108" s="341"/>
      <c r="BX108" s="341"/>
      <c r="BY108" s="341"/>
      <c r="BZ108" s="341"/>
      <c r="CA108" s="127"/>
      <c r="CB108" s="127"/>
    </row>
    <row r="109" spans="1:80" x14ac:dyDescent="0.25">
      <c r="A109" s="136"/>
      <c r="B109" s="728"/>
      <c r="C109" s="678"/>
      <c r="D109" s="678"/>
      <c r="E109" s="729" t="s">
        <v>196</v>
      </c>
      <c r="F109" s="678"/>
      <c r="G109" s="678"/>
      <c r="H109" s="12">
        <v>0</v>
      </c>
      <c r="I109" s="12">
        <v>0</v>
      </c>
      <c r="J109" s="12">
        <v>0</v>
      </c>
      <c r="K109" s="10" t="s">
        <v>512</v>
      </c>
      <c r="L109" s="244" t="s">
        <v>514</v>
      </c>
      <c r="M109" s="244" t="s">
        <v>458</v>
      </c>
      <c r="N109" s="244" t="s">
        <v>458</v>
      </c>
      <c r="O109" s="12" t="s">
        <v>396</v>
      </c>
      <c r="P109" s="234">
        <v>0</v>
      </c>
      <c r="Q109" s="13">
        <v>0.125</v>
      </c>
      <c r="R109" s="14" t="s">
        <v>28</v>
      </c>
      <c r="S109" s="237">
        <v>1</v>
      </c>
      <c r="T109" s="10">
        <v>0</v>
      </c>
      <c r="U109" s="548">
        <f t="shared" si="80"/>
        <v>0</v>
      </c>
      <c r="V109" s="484">
        <f t="shared" ca="1" si="81"/>
        <v>0</v>
      </c>
      <c r="W109" s="484">
        <f t="shared" ca="1" si="2"/>
        <v>0</v>
      </c>
      <c r="X109" s="485">
        <f t="shared" ca="1" si="51"/>
        <v>0</v>
      </c>
      <c r="Y109" s="450" t="s">
        <v>458</v>
      </c>
      <c r="Z109" s="370"/>
      <c r="AA109" s="371" t="s">
        <v>458</v>
      </c>
      <c r="AB109" s="370"/>
      <c r="AC109" s="449"/>
      <c r="AD109" s="489">
        <f t="shared" si="82"/>
        <v>0</v>
      </c>
      <c r="AE109" s="341">
        <f t="shared" si="5"/>
        <v>212</v>
      </c>
      <c r="AF109" s="341">
        <f t="shared" si="6"/>
        <v>0</v>
      </c>
      <c r="AG109" s="341">
        <f t="shared" ca="1" si="53"/>
        <v>0</v>
      </c>
      <c r="AH109" s="341">
        <f t="shared" ca="1" si="54"/>
        <v>0</v>
      </c>
      <c r="AI109" s="341">
        <f t="shared" ca="1" si="55"/>
        <v>0</v>
      </c>
      <c r="AJ109" s="341">
        <f t="shared" ca="1" si="56"/>
        <v>0</v>
      </c>
      <c r="AK109" s="341">
        <f t="shared" ca="1" si="57"/>
        <v>0</v>
      </c>
      <c r="AL109" s="341">
        <f t="shared" ca="1" si="83"/>
        <v>0</v>
      </c>
      <c r="AM109" s="341">
        <f t="shared" ca="1" si="59"/>
        <v>0</v>
      </c>
      <c r="AN109" s="341">
        <f t="shared" ca="1" si="60"/>
        <v>0</v>
      </c>
      <c r="AO109" s="341">
        <f t="shared" ca="1" si="61"/>
        <v>0</v>
      </c>
      <c r="AP109" s="341">
        <f t="shared" ca="1" si="62"/>
        <v>0</v>
      </c>
      <c r="AQ109" s="341">
        <f t="shared" ca="1" si="63"/>
        <v>0</v>
      </c>
      <c r="AR109" s="341">
        <f t="shared" ca="1" si="64"/>
        <v>0</v>
      </c>
      <c r="AS109" s="341">
        <f t="shared" ca="1" si="65"/>
        <v>0</v>
      </c>
      <c r="AT109" s="341">
        <f t="shared" ca="1" si="66"/>
        <v>0</v>
      </c>
      <c r="AU109" s="341">
        <f t="shared" ca="1" si="84"/>
        <v>0</v>
      </c>
      <c r="AV109" s="341">
        <f t="shared" ca="1" si="85"/>
        <v>0</v>
      </c>
      <c r="AW109" s="333">
        <f t="shared" ca="1" si="69"/>
        <v>0</v>
      </c>
      <c r="AX109" s="333">
        <f t="shared" ca="1" si="70"/>
        <v>0</v>
      </c>
      <c r="AY109" s="333">
        <f t="shared" ca="1" si="71"/>
        <v>0</v>
      </c>
      <c r="AZ109" s="341">
        <f t="shared" ca="1" si="25"/>
        <v>2.5</v>
      </c>
      <c r="BA109" s="341">
        <f t="shared" ca="1" si="26"/>
        <v>1</v>
      </c>
      <c r="BB109" s="341">
        <f t="shared" ca="1" si="27"/>
        <v>0</v>
      </c>
      <c r="BC109" s="341">
        <f t="shared" ca="1" si="28"/>
        <v>0</v>
      </c>
      <c r="BD109" s="341">
        <f t="shared" ca="1" si="29"/>
        <v>0</v>
      </c>
      <c r="BE109" s="341">
        <f t="shared" ca="1" si="30"/>
        <v>0</v>
      </c>
      <c r="BF109" s="341">
        <f t="shared" ca="1" si="31"/>
        <v>0</v>
      </c>
      <c r="BG109" s="441">
        <f t="shared" ca="1" si="32"/>
        <v>0</v>
      </c>
      <c r="BH109" s="441">
        <f t="shared" ca="1" si="33"/>
        <v>0</v>
      </c>
      <c r="BI109" s="441">
        <f t="shared" ca="1" si="34"/>
        <v>0</v>
      </c>
      <c r="BJ109" s="441">
        <f t="shared" ca="1" si="35"/>
        <v>0</v>
      </c>
      <c r="BK109" s="441">
        <f t="shared" ca="1" si="36"/>
        <v>0</v>
      </c>
      <c r="BL109" s="341">
        <f t="shared" ca="1" si="37"/>
        <v>0</v>
      </c>
      <c r="BM109" s="341">
        <f t="shared" ca="1" si="38"/>
        <v>0</v>
      </c>
      <c r="BN109" s="341">
        <f t="shared" ca="1" si="39"/>
        <v>0</v>
      </c>
      <c r="BO109" s="341">
        <f t="shared" ca="1" si="40"/>
        <v>0</v>
      </c>
      <c r="BP109" s="341">
        <f t="shared" ca="1" si="41"/>
        <v>0</v>
      </c>
      <c r="BQ109" s="341">
        <f t="shared" ca="1" si="42"/>
        <v>2.5</v>
      </c>
      <c r="BR109" s="341" t="str">
        <f t="shared" ca="1" si="72"/>
        <v>BP2</v>
      </c>
      <c r="BS109" s="357" t="str">
        <f t="shared" ca="1" si="73"/>
        <v>BP2</v>
      </c>
      <c r="BT109" s="358">
        <f t="shared" si="48"/>
        <v>50</v>
      </c>
      <c r="BU109" s="358">
        <f t="shared" ca="1" si="45"/>
        <v>0</v>
      </c>
      <c r="BV109" s="358">
        <f t="shared" ca="1" si="46"/>
        <v>0</v>
      </c>
      <c r="BW109" s="341"/>
      <c r="BX109" s="341"/>
      <c r="BY109" s="341"/>
      <c r="BZ109" s="341"/>
      <c r="CA109" s="127"/>
      <c r="CB109" s="127"/>
    </row>
    <row r="110" spans="1:80" x14ac:dyDescent="0.25">
      <c r="A110" s="136"/>
      <c r="B110" s="728"/>
      <c r="C110" s="678"/>
      <c r="D110" s="678"/>
      <c r="E110" s="729" t="s">
        <v>196</v>
      </c>
      <c r="F110" s="678"/>
      <c r="G110" s="678"/>
      <c r="H110" s="12">
        <v>0</v>
      </c>
      <c r="I110" s="12">
        <v>0</v>
      </c>
      <c r="J110" s="12">
        <v>0</v>
      </c>
      <c r="K110" s="10" t="s">
        <v>512</v>
      </c>
      <c r="L110" s="244" t="s">
        <v>514</v>
      </c>
      <c r="M110" s="244" t="s">
        <v>458</v>
      </c>
      <c r="N110" s="244" t="s">
        <v>458</v>
      </c>
      <c r="O110" s="12" t="s">
        <v>396</v>
      </c>
      <c r="P110" s="234">
        <v>0</v>
      </c>
      <c r="Q110" s="13">
        <v>0.125</v>
      </c>
      <c r="R110" s="14" t="s">
        <v>28</v>
      </c>
      <c r="S110" s="237">
        <v>1</v>
      </c>
      <c r="T110" s="10">
        <v>0</v>
      </c>
      <c r="U110" s="548">
        <f t="shared" ref="U110:U126" si="86">P110*Q110*IF(R110="DDR",2,1)</f>
        <v>0</v>
      </c>
      <c r="V110" s="484">
        <f t="shared" ref="V110:V126" ca="1" si="87">IF(POWERMODE="Active",VCCINT/1000*VCCINT_N*((IF($K110="No",0,$P110*(SUM($H110:$J110))*OFFSET(CLOCK_DATA,IF(ISSTA=1,2,1),7)))+($AF110*2*OFFSET(FANOUT,3,6)*(SUM($H110:$J110)))+OFFSET(IO_STANDARDS,$AE110,7)*(H110+(1-S110)*J110) +$AW110 + $AV110),0)*IF(LEFT($E110,4)="Diff",2,1)</f>
        <v>0</v>
      </c>
      <c r="W110" s="484">
        <f t="shared" ca="1" si="2"/>
        <v>0</v>
      </c>
      <c r="X110" s="485">
        <f t="shared" ca="1" si="51"/>
        <v>0</v>
      </c>
      <c r="Y110" s="450" t="s">
        <v>458</v>
      </c>
      <c r="Z110" s="370"/>
      <c r="AA110" s="371" t="s">
        <v>458</v>
      </c>
      <c r="AB110" s="370"/>
      <c r="AC110" s="449"/>
      <c r="AD110" s="489">
        <f t="shared" ref="AD110:AD126" si="88">IF((POWERMODE="Hibernate")+(AA110="None")+(NOT(M110="None"))+(NOT(N110="None")),0,$BV110*(($I110+J110)*$S110))</f>
        <v>0</v>
      </c>
      <c r="AE110" s="341">
        <f t="shared" si="5"/>
        <v>212</v>
      </c>
      <c r="AF110" s="341">
        <f t="shared" si="6"/>
        <v>0</v>
      </c>
      <c r="AG110" s="341">
        <f t="shared" ca="1" si="53"/>
        <v>0</v>
      </c>
      <c r="AH110" s="341">
        <f t="shared" ca="1" si="54"/>
        <v>0</v>
      </c>
      <c r="AI110" s="341">
        <f t="shared" ca="1" si="55"/>
        <v>0</v>
      </c>
      <c r="AJ110" s="341">
        <f t="shared" ca="1" si="56"/>
        <v>0</v>
      </c>
      <c r="AK110" s="341">
        <f t="shared" ca="1" si="57"/>
        <v>0</v>
      </c>
      <c r="AL110" s="341">
        <f t="shared" ref="AL110:AL126" ca="1" si="89">(IF($BA110=2,0.0012,0)*($I110+$J110)+$AN110)*$AZ110+OFFSET($AG110,0,$BA110)+IF($M110="None",0,(($H110+$J110*(1-$S110))*$AP110*$AZ110/1000)+$H110*OFFSET(IO_STANDARDS,$AE110,14)/1000)+(($I110+J110)*$S110)*$AQ110</f>
        <v>0</v>
      </c>
      <c r="AM110" s="341">
        <f t="shared" ca="1" si="59"/>
        <v>0</v>
      </c>
      <c r="AN110" s="341">
        <f t="shared" ca="1" si="60"/>
        <v>0</v>
      </c>
      <c r="AO110" s="341">
        <f t="shared" ca="1" si="61"/>
        <v>0</v>
      </c>
      <c r="AP110" s="341">
        <f t="shared" ca="1" si="62"/>
        <v>0</v>
      </c>
      <c r="AQ110" s="341">
        <f t="shared" ca="1" si="63"/>
        <v>0</v>
      </c>
      <c r="AR110" s="341">
        <f t="shared" ca="1" si="64"/>
        <v>0</v>
      </c>
      <c r="AS110" s="341">
        <f t="shared" ca="1" si="65"/>
        <v>0</v>
      </c>
      <c r="AT110" s="341">
        <f t="shared" ca="1" si="66"/>
        <v>0</v>
      </c>
      <c r="AU110" s="341">
        <f t="shared" ref="AU110:AU126" ca="1" si="90">IF((POWERMODE="Suspend")*($O110="OCT_ON")*($M110&lt;&gt;"None"),(($H110+$J110*(1-$S110))*$AS110*$AZ110/1000),IF((POWERMODE="Suspend")*($O110="Drivelast")*($BA110&lt;&gt;2)+(POWERMODE="Active"),(IF($M110="None",0,(($H110+$J110*(1-$S110))*$AS110*$AZ110/1000))+(($I110+J110)*$S110)*$AT110/1000),0))</f>
        <v>0</v>
      </c>
      <c r="AV110" s="341">
        <f t="shared" ref="AV110:AV126" ca="1" si="91">IF(ISSTA=1,IF($K110="No",0,$AF110*(OFFSET(S6IODELAY_DATA,3,3)*(H110+(1-S110)*J110) + IF($K110="Yes",OFFSET(S6IODELAY_DATA,4,3),OFFSET(S6IODELAY_DATA,5,3))*(I110+S110*J110))),0)</f>
        <v>0</v>
      </c>
      <c r="AW110" s="333">
        <f t="shared" ca="1" si="69"/>
        <v>0</v>
      </c>
      <c r="AX110" s="333">
        <f t="shared" ca="1" si="70"/>
        <v>0</v>
      </c>
      <c r="AY110" s="333">
        <f t="shared" ca="1" si="71"/>
        <v>0</v>
      </c>
      <c r="AZ110" s="341">
        <f t="shared" ca="1" si="25"/>
        <v>2.5</v>
      </c>
      <c r="BA110" s="341">
        <f t="shared" ca="1" si="26"/>
        <v>1</v>
      </c>
      <c r="BB110" s="341">
        <f t="shared" ca="1" si="27"/>
        <v>0</v>
      </c>
      <c r="BC110" s="341">
        <f t="shared" ca="1" si="28"/>
        <v>0</v>
      </c>
      <c r="BD110" s="341">
        <f t="shared" ca="1" si="29"/>
        <v>0</v>
      </c>
      <c r="BE110" s="341">
        <f t="shared" ca="1" si="30"/>
        <v>0</v>
      </c>
      <c r="BF110" s="341">
        <f t="shared" ca="1" si="31"/>
        <v>0</v>
      </c>
      <c r="BG110" s="441">
        <f t="shared" ca="1" si="32"/>
        <v>0</v>
      </c>
      <c r="BH110" s="441">
        <f t="shared" ca="1" si="33"/>
        <v>0</v>
      </c>
      <c r="BI110" s="441">
        <f t="shared" ca="1" si="34"/>
        <v>0</v>
      </c>
      <c r="BJ110" s="441">
        <f t="shared" ca="1" si="35"/>
        <v>0</v>
      </c>
      <c r="BK110" s="441">
        <f t="shared" ca="1" si="36"/>
        <v>0</v>
      </c>
      <c r="BL110" s="341">
        <f t="shared" ca="1" si="37"/>
        <v>0</v>
      </c>
      <c r="BM110" s="341">
        <f t="shared" ca="1" si="38"/>
        <v>0</v>
      </c>
      <c r="BN110" s="341">
        <f t="shared" ca="1" si="39"/>
        <v>0</v>
      </c>
      <c r="BO110" s="341">
        <f t="shared" ca="1" si="40"/>
        <v>0</v>
      </c>
      <c r="BP110" s="341">
        <f t="shared" ca="1" si="41"/>
        <v>0</v>
      </c>
      <c r="BQ110" s="341">
        <f t="shared" ca="1" si="42"/>
        <v>2.5</v>
      </c>
      <c r="BR110" s="341" t="str">
        <f t="shared" ca="1" si="72"/>
        <v>BP2</v>
      </c>
      <c r="BS110" s="357" t="str">
        <f t="shared" ca="1" si="73"/>
        <v>BP2</v>
      </c>
      <c r="BT110" s="358">
        <f t="shared" si="48"/>
        <v>50</v>
      </c>
      <c r="BU110" s="358">
        <f t="shared" ca="1" si="45"/>
        <v>0</v>
      </c>
      <c r="BV110" s="358">
        <f t="shared" ca="1" si="46"/>
        <v>0</v>
      </c>
      <c r="BW110" s="341"/>
      <c r="BX110" s="341"/>
      <c r="BY110" s="341"/>
      <c r="BZ110" s="341"/>
      <c r="CA110" s="127"/>
      <c r="CB110" s="127"/>
    </row>
    <row r="111" spans="1:80" x14ac:dyDescent="0.25">
      <c r="A111" s="136"/>
      <c r="B111" s="728"/>
      <c r="C111" s="678"/>
      <c r="D111" s="678"/>
      <c r="E111" s="729" t="s">
        <v>196</v>
      </c>
      <c r="F111" s="678"/>
      <c r="G111" s="678"/>
      <c r="H111" s="12">
        <v>0</v>
      </c>
      <c r="I111" s="12">
        <v>0</v>
      </c>
      <c r="J111" s="12">
        <v>0</v>
      </c>
      <c r="K111" s="10" t="s">
        <v>512</v>
      </c>
      <c r="L111" s="244" t="s">
        <v>514</v>
      </c>
      <c r="M111" s="244" t="s">
        <v>458</v>
      </c>
      <c r="N111" s="244" t="s">
        <v>458</v>
      </c>
      <c r="O111" s="12" t="s">
        <v>396</v>
      </c>
      <c r="P111" s="234">
        <v>0</v>
      </c>
      <c r="Q111" s="13">
        <v>0.125</v>
      </c>
      <c r="R111" s="14" t="s">
        <v>28</v>
      </c>
      <c r="S111" s="237">
        <v>1</v>
      </c>
      <c r="T111" s="10">
        <v>0</v>
      </c>
      <c r="U111" s="548">
        <f t="shared" si="86"/>
        <v>0</v>
      </c>
      <c r="V111" s="484">
        <f t="shared" ca="1" si="87"/>
        <v>0</v>
      </c>
      <c r="W111" s="484">
        <f t="shared" ca="1" si="2"/>
        <v>0</v>
      </c>
      <c r="X111" s="485">
        <f t="shared" ca="1" si="51"/>
        <v>0</v>
      </c>
      <c r="Y111" s="450" t="s">
        <v>458</v>
      </c>
      <c r="Z111" s="370"/>
      <c r="AA111" s="371" t="s">
        <v>458</v>
      </c>
      <c r="AB111" s="370"/>
      <c r="AC111" s="449"/>
      <c r="AD111" s="489">
        <f t="shared" si="88"/>
        <v>0</v>
      </c>
      <c r="AE111" s="341">
        <f t="shared" si="5"/>
        <v>212</v>
      </c>
      <c r="AF111" s="341">
        <f t="shared" si="6"/>
        <v>0</v>
      </c>
      <c r="AG111" s="341">
        <f t="shared" ca="1" si="53"/>
        <v>0</v>
      </c>
      <c r="AH111" s="341">
        <f t="shared" ca="1" si="54"/>
        <v>0</v>
      </c>
      <c r="AI111" s="341">
        <f t="shared" ca="1" si="55"/>
        <v>0</v>
      </c>
      <c r="AJ111" s="341">
        <f t="shared" ca="1" si="56"/>
        <v>0</v>
      </c>
      <c r="AK111" s="341">
        <f t="shared" ca="1" si="57"/>
        <v>0</v>
      </c>
      <c r="AL111" s="341">
        <f t="shared" ca="1" si="89"/>
        <v>0</v>
      </c>
      <c r="AM111" s="341">
        <f t="shared" ca="1" si="59"/>
        <v>0</v>
      </c>
      <c r="AN111" s="341">
        <f t="shared" ca="1" si="60"/>
        <v>0</v>
      </c>
      <c r="AO111" s="341">
        <f t="shared" ca="1" si="61"/>
        <v>0</v>
      </c>
      <c r="AP111" s="341">
        <f t="shared" ca="1" si="62"/>
        <v>0</v>
      </c>
      <c r="AQ111" s="341">
        <f t="shared" ca="1" si="63"/>
        <v>0</v>
      </c>
      <c r="AR111" s="341">
        <f t="shared" ca="1" si="64"/>
        <v>0</v>
      </c>
      <c r="AS111" s="341">
        <f t="shared" ca="1" si="65"/>
        <v>0</v>
      </c>
      <c r="AT111" s="341">
        <f t="shared" ca="1" si="66"/>
        <v>0</v>
      </c>
      <c r="AU111" s="341">
        <f t="shared" ca="1" si="90"/>
        <v>0</v>
      </c>
      <c r="AV111" s="341">
        <f t="shared" ca="1" si="91"/>
        <v>0</v>
      </c>
      <c r="AW111" s="333">
        <f t="shared" ca="1" si="69"/>
        <v>0</v>
      </c>
      <c r="AX111" s="333">
        <f t="shared" ca="1" si="70"/>
        <v>0</v>
      </c>
      <c r="AY111" s="333">
        <f t="shared" ca="1" si="71"/>
        <v>0</v>
      </c>
      <c r="AZ111" s="341">
        <f t="shared" ca="1" si="25"/>
        <v>2.5</v>
      </c>
      <c r="BA111" s="341">
        <f t="shared" ca="1" si="26"/>
        <v>1</v>
      </c>
      <c r="BB111" s="341">
        <f t="shared" ca="1" si="27"/>
        <v>0</v>
      </c>
      <c r="BC111" s="341">
        <f t="shared" ca="1" si="28"/>
        <v>0</v>
      </c>
      <c r="BD111" s="341">
        <f t="shared" ca="1" si="29"/>
        <v>0</v>
      </c>
      <c r="BE111" s="341">
        <f t="shared" ca="1" si="30"/>
        <v>0</v>
      </c>
      <c r="BF111" s="341">
        <f t="shared" ca="1" si="31"/>
        <v>0</v>
      </c>
      <c r="BG111" s="441">
        <f t="shared" ca="1" si="32"/>
        <v>0</v>
      </c>
      <c r="BH111" s="441">
        <f t="shared" ca="1" si="33"/>
        <v>0</v>
      </c>
      <c r="BI111" s="441">
        <f t="shared" ca="1" si="34"/>
        <v>0</v>
      </c>
      <c r="BJ111" s="441">
        <f t="shared" ca="1" si="35"/>
        <v>0</v>
      </c>
      <c r="BK111" s="441">
        <f t="shared" ca="1" si="36"/>
        <v>0</v>
      </c>
      <c r="BL111" s="341">
        <f t="shared" ca="1" si="37"/>
        <v>0</v>
      </c>
      <c r="BM111" s="341">
        <f t="shared" ca="1" si="38"/>
        <v>0</v>
      </c>
      <c r="BN111" s="341">
        <f t="shared" ca="1" si="39"/>
        <v>0</v>
      </c>
      <c r="BO111" s="341">
        <f t="shared" ca="1" si="40"/>
        <v>0</v>
      </c>
      <c r="BP111" s="341">
        <f t="shared" ca="1" si="41"/>
        <v>0</v>
      </c>
      <c r="BQ111" s="341">
        <f t="shared" ca="1" si="42"/>
        <v>2.5</v>
      </c>
      <c r="BR111" s="341" t="str">
        <f t="shared" ca="1" si="72"/>
        <v>BP2</v>
      </c>
      <c r="BS111" s="357" t="str">
        <f t="shared" ca="1" si="73"/>
        <v>BP2</v>
      </c>
      <c r="BT111" s="358">
        <f t="shared" si="48"/>
        <v>50</v>
      </c>
      <c r="BU111" s="358">
        <f t="shared" ca="1" si="45"/>
        <v>0</v>
      </c>
      <c r="BV111" s="358">
        <f t="shared" ca="1" si="46"/>
        <v>0</v>
      </c>
      <c r="BW111" s="341"/>
      <c r="BX111" s="341"/>
      <c r="BY111" s="341"/>
      <c r="BZ111" s="341"/>
      <c r="CA111" s="127"/>
      <c r="CB111" s="127"/>
    </row>
    <row r="112" spans="1:80" x14ac:dyDescent="0.25">
      <c r="A112" s="136"/>
      <c r="B112" s="728"/>
      <c r="C112" s="678"/>
      <c r="D112" s="678"/>
      <c r="E112" s="729" t="s">
        <v>196</v>
      </c>
      <c r="F112" s="678"/>
      <c r="G112" s="678"/>
      <c r="H112" s="12">
        <v>0</v>
      </c>
      <c r="I112" s="12">
        <v>0</v>
      </c>
      <c r="J112" s="12">
        <v>0</v>
      </c>
      <c r="K112" s="10" t="s">
        <v>512</v>
      </c>
      <c r="L112" s="244" t="s">
        <v>514</v>
      </c>
      <c r="M112" s="244" t="s">
        <v>458</v>
      </c>
      <c r="N112" s="244" t="s">
        <v>458</v>
      </c>
      <c r="O112" s="12" t="s">
        <v>396</v>
      </c>
      <c r="P112" s="234">
        <v>0</v>
      </c>
      <c r="Q112" s="13">
        <v>0.125</v>
      </c>
      <c r="R112" s="14" t="s">
        <v>28</v>
      </c>
      <c r="S112" s="237">
        <v>1</v>
      </c>
      <c r="T112" s="10">
        <v>0</v>
      </c>
      <c r="U112" s="548">
        <f t="shared" si="86"/>
        <v>0</v>
      </c>
      <c r="V112" s="484">
        <f t="shared" ca="1" si="87"/>
        <v>0</v>
      </c>
      <c r="W112" s="484">
        <f t="shared" ca="1" si="2"/>
        <v>0</v>
      </c>
      <c r="X112" s="485">
        <f t="shared" ca="1" si="51"/>
        <v>0</v>
      </c>
      <c r="Y112" s="450" t="s">
        <v>458</v>
      </c>
      <c r="Z112" s="370"/>
      <c r="AA112" s="371" t="s">
        <v>458</v>
      </c>
      <c r="AB112" s="370"/>
      <c r="AC112" s="449"/>
      <c r="AD112" s="489">
        <f t="shared" si="88"/>
        <v>0</v>
      </c>
      <c r="AE112" s="341">
        <f t="shared" si="5"/>
        <v>212</v>
      </c>
      <c r="AF112" s="341">
        <f t="shared" si="6"/>
        <v>0</v>
      </c>
      <c r="AG112" s="341">
        <f t="shared" ca="1" si="53"/>
        <v>0</v>
      </c>
      <c r="AH112" s="341">
        <f t="shared" ca="1" si="54"/>
        <v>0</v>
      </c>
      <c r="AI112" s="341">
        <f t="shared" ca="1" si="55"/>
        <v>0</v>
      </c>
      <c r="AJ112" s="341">
        <f t="shared" ca="1" si="56"/>
        <v>0</v>
      </c>
      <c r="AK112" s="341">
        <f t="shared" ca="1" si="57"/>
        <v>0</v>
      </c>
      <c r="AL112" s="341">
        <f t="shared" ca="1" si="89"/>
        <v>0</v>
      </c>
      <c r="AM112" s="341">
        <f t="shared" ca="1" si="59"/>
        <v>0</v>
      </c>
      <c r="AN112" s="341">
        <f t="shared" ca="1" si="60"/>
        <v>0</v>
      </c>
      <c r="AO112" s="341">
        <f t="shared" ca="1" si="61"/>
        <v>0</v>
      </c>
      <c r="AP112" s="341">
        <f t="shared" ca="1" si="62"/>
        <v>0</v>
      </c>
      <c r="AQ112" s="341">
        <f t="shared" ca="1" si="63"/>
        <v>0</v>
      </c>
      <c r="AR112" s="341">
        <f t="shared" ca="1" si="64"/>
        <v>0</v>
      </c>
      <c r="AS112" s="341">
        <f t="shared" ca="1" si="65"/>
        <v>0</v>
      </c>
      <c r="AT112" s="341">
        <f t="shared" ca="1" si="66"/>
        <v>0</v>
      </c>
      <c r="AU112" s="341">
        <f t="shared" ca="1" si="90"/>
        <v>0</v>
      </c>
      <c r="AV112" s="341">
        <f t="shared" ca="1" si="91"/>
        <v>0</v>
      </c>
      <c r="AW112" s="333">
        <f t="shared" ca="1" si="69"/>
        <v>0</v>
      </c>
      <c r="AX112" s="333">
        <f t="shared" ca="1" si="70"/>
        <v>0</v>
      </c>
      <c r="AY112" s="333">
        <f t="shared" ca="1" si="71"/>
        <v>0</v>
      </c>
      <c r="AZ112" s="341">
        <f t="shared" ca="1" si="25"/>
        <v>2.5</v>
      </c>
      <c r="BA112" s="341">
        <f t="shared" ca="1" si="26"/>
        <v>1</v>
      </c>
      <c r="BB112" s="341">
        <f t="shared" ca="1" si="27"/>
        <v>0</v>
      </c>
      <c r="BC112" s="341">
        <f t="shared" ca="1" si="28"/>
        <v>0</v>
      </c>
      <c r="BD112" s="341">
        <f t="shared" ca="1" si="29"/>
        <v>0</v>
      </c>
      <c r="BE112" s="341">
        <f t="shared" ca="1" si="30"/>
        <v>0</v>
      </c>
      <c r="BF112" s="341">
        <f t="shared" ca="1" si="31"/>
        <v>0</v>
      </c>
      <c r="BG112" s="441">
        <f t="shared" ca="1" si="32"/>
        <v>0</v>
      </c>
      <c r="BH112" s="441">
        <f t="shared" ca="1" si="33"/>
        <v>0</v>
      </c>
      <c r="BI112" s="441">
        <f t="shared" ca="1" si="34"/>
        <v>0</v>
      </c>
      <c r="BJ112" s="441">
        <f t="shared" ca="1" si="35"/>
        <v>0</v>
      </c>
      <c r="BK112" s="441">
        <f t="shared" ca="1" si="36"/>
        <v>0</v>
      </c>
      <c r="BL112" s="341">
        <f t="shared" ca="1" si="37"/>
        <v>0</v>
      </c>
      <c r="BM112" s="341">
        <f t="shared" ca="1" si="38"/>
        <v>0</v>
      </c>
      <c r="BN112" s="341">
        <f t="shared" ca="1" si="39"/>
        <v>0</v>
      </c>
      <c r="BO112" s="341">
        <f t="shared" ca="1" si="40"/>
        <v>0</v>
      </c>
      <c r="BP112" s="341">
        <f t="shared" ca="1" si="41"/>
        <v>0</v>
      </c>
      <c r="BQ112" s="341">
        <f t="shared" ca="1" si="42"/>
        <v>2.5</v>
      </c>
      <c r="BR112" s="341" t="str">
        <f t="shared" ca="1" si="72"/>
        <v>BP2</v>
      </c>
      <c r="BS112" s="357" t="str">
        <f t="shared" ca="1" si="73"/>
        <v>BP2</v>
      </c>
      <c r="BT112" s="358">
        <f t="shared" si="48"/>
        <v>50</v>
      </c>
      <c r="BU112" s="358">
        <f t="shared" ca="1" si="45"/>
        <v>0</v>
      </c>
      <c r="BV112" s="358">
        <f t="shared" ca="1" si="46"/>
        <v>0</v>
      </c>
      <c r="BW112" s="341"/>
      <c r="BX112" s="341"/>
      <c r="BY112" s="341"/>
      <c r="BZ112" s="341"/>
      <c r="CA112" s="127"/>
      <c r="CB112" s="127"/>
    </row>
    <row r="113" spans="1:80" x14ac:dyDescent="0.25">
      <c r="A113" s="136"/>
      <c r="B113" s="728"/>
      <c r="C113" s="678"/>
      <c r="D113" s="678"/>
      <c r="E113" s="729" t="s">
        <v>196</v>
      </c>
      <c r="F113" s="678"/>
      <c r="G113" s="678"/>
      <c r="H113" s="12">
        <v>0</v>
      </c>
      <c r="I113" s="12">
        <v>0</v>
      </c>
      <c r="J113" s="12">
        <v>0</v>
      </c>
      <c r="K113" s="10" t="s">
        <v>512</v>
      </c>
      <c r="L113" s="244" t="s">
        <v>514</v>
      </c>
      <c r="M113" s="244" t="s">
        <v>458</v>
      </c>
      <c r="N113" s="244" t="s">
        <v>458</v>
      </c>
      <c r="O113" s="12" t="s">
        <v>396</v>
      </c>
      <c r="P113" s="234">
        <v>0</v>
      </c>
      <c r="Q113" s="13">
        <v>0.125</v>
      </c>
      <c r="R113" s="14" t="s">
        <v>28</v>
      </c>
      <c r="S113" s="237">
        <v>1</v>
      </c>
      <c r="T113" s="10">
        <v>0</v>
      </c>
      <c r="U113" s="548">
        <f t="shared" si="86"/>
        <v>0</v>
      </c>
      <c r="V113" s="484">
        <f t="shared" ca="1" si="87"/>
        <v>0</v>
      </c>
      <c r="W113" s="484">
        <f t="shared" ca="1" si="2"/>
        <v>0</v>
      </c>
      <c r="X113" s="485">
        <f t="shared" ca="1" si="51"/>
        <v>0</v>
      </c>
      <c r="Y113" s="450" t="s">
        <v>458</v>
      </c>
      <c r="Z113" s="370"/>
      <c r="AA113" s="371" t="s">
        <v>458</v>
      </c>
      <c r="AB113" s="370"/>
      <c r="AC113" s="449"/>
      <c r="AD113" s="489">
        <f t="shared" si="88"/>
        <v>0</v>
      </c>
      <c r="AE113" s="341">
        <f t="shared" si="5"/>
        <v>212</v>
      </c>
      <c r="AF113" s="341">
        <f t="shared" si="6"/>
        <v>0</v>
      </c>
      <c r="AG113" s="341">
        <f t="shared" ca="1" si="53"/>
        <v>0</v>
      </c>
      <c r="AH113" s="341">
        <f t="shared" ca="1" si="54"/>
        <v>0</v>
      </c>
      <c r="AI113" s="341">
        <f t="shared" ca="1" si="55"/>
        <v>0</v>
      </c>
      <c r="AJ113" s="341">
        <f t="shared" ca="1" si="56"/>
        <v>0</v>
      </c>
      <c r="AK113" s="341">
        <f t="shared" ca="1" si="57"/>
        <v>0</v>
      </c>
      <c r="AL113" s="341">
        <f t="shared" ca="1" si="89"/>
        <v>0</v>
      </c>
      <c r="AM113" s="341">
        <f t="shared" ca="1" si="59"/>
        <v>0</v>
      </c>
      <c r="AN113" s="341">
        <f t="shared" ca="1" si="60"/>
        <v>0</v>
      </c>
      <c r="AO113" s="341">
        <f t="shared" ca="1" si="61"/>
        <v>0</v>
      </c>
      <c r="AP113" s="341">
        <f t="shared" ca="1" si="62"/>
        <v>0</v>
      </c>
      <c r="AQ113" s="341">
        <f t="shared" ca="1" si="63"/>
        <v>0</v>
      </c>
      <c r="AR113" s="341">
        <f t="shared" ca="1" si="64"/>
        <v>0</v>
      </c>
      <c r="AS113" s="341">
        <f t="shared" ca="1" si="65"/>
        <v>0</v>
      </c>
      <c r="AT113" s="341">
        <f t="shared" ca="1" si="66"/>
        <v>0</v>
      </c>
      <c r="AU113" s="341">
        <f t="shared" ca="1" si="90"/>
        <v>0</v>
      </c>
      <c r="AV113" s="341">
        <f t="shared" ca="1" si="91"/>
        <v>0</v>
      </c>
      <c r="AW113" s="333">
        <f t="shared" ca="1" si="69"/>
        <v>0</v>
      </c>
      <c r="AX113" s="333">
        <f t="shared" ca="1" si="70"/>
        <v>0</v>
      </c>
      <c r="AY113" s="333">
        <f t="shared" ca="1" si="71"/>
        <v>0</v>
      </c>
      <c r="AZ113" s="341">
        <f t="shared" ca="1" si="25"/>
        <v>2.5</v>
      </c>
      <c r="BA113" s="341">
        <f t="shared" ca="1" si="26"/>
        <v>1</v>
      </c>
      <c r="BB113" s="341">
        <f t="shared" ca="1" si="27"/>
        <v>0</v>
      </c>
      <c r="BC113" s="341">
        <f t="shared" ca="1" si="28"/>
        <v>0</v>
      </c>
      <c r="BD113" s="341">
        <f t="shared" ca="1" si="29"/>
        <v>0</v>
      </c>
      <c r="BE113" s="341">
        <f t="shared" ca="1" si="30"/>
        <v>0</v>
      </c>
      <c r="BF113" s="341">
        <f t="shared" ca="1" si="31"/>
        <v>0</v>
      </c>
      <c r="BG113" s="441">
        <f t="shared" ca="1" si="32"/>
        <v>0</v>
      </c>
      <c r="BH113" s="441">
        <f t="shared" ca="1" si="33"/>
        <v>0</v>
      </c>
      <c r="BI113" s="441">
        <f t="shared" ca="1" si="34"/>
        <v>0</v>
      </c>
      <c r="BJ113" s="441">
        <f t="shared" ca="1" si="35"/>
        <v>0</v>
      </c>
      <c r="BK113" s="441">
        <f t="shared" ca="1" si="36"/>
        <v>0</v>
      </c>
      <c r="BL113" s="341">
        <f t="shared" ca="1" si="37"/>
        <v>0</v>
      </c>
      <c r="BM113" s="341">
        <f t="shared" ca="1" si="38"/>
        <v>0</v>
      </c>
      <c r="BN113" s="341">
        <f t="shared" ca="1" si="39"/>
        <v>0</v>
      </c>
      <c r="BO113" s="341">
        <f t="shared" ca="1" si="40"/>
        <v>0</v>
      </c>
      <c r="BP113" s="341">
        <f t="shared" ca="1" si="41"/>
        <v>0</v>
      </c>
      <c r="BQ113" s="341">
        <f t="shared" ca="1" si="42"/>
        <v>2.5</v>
      </c>
      <c r="BR113" s="341" t="str">
        <f t="shared" ca="1" si="72"/>
        <v>BP2</v>
      </c>
      <c r="BS113" s="357" t="str">
        <f t="shared" ca="1" si="73"/>
        <v>BP2</v>
      </c>
      <c r="BT113" s="358">
        <f t="shared" si="48"/>
        <v>50</v>
      </c>
      <c r="BU113" s="358">
        <f t="shared" ca="1" si="45"/>
        <v>0</v>
      </c>
      <c r="BV113" s="358">
        <f t="shared" ca="1" si="46"/>
        <v>0</v>
      </c>
      <c r="BW113" s="341"/>
      <c r="BX113" s="341"/>
      <c r="BY113" s="341"/>
      <c r="BZ113" s="341"/>
      <c r="CA113" s="127"/>
      <c r="CB113" s="127"/>
    </row>
    <row r="114" spans="1:80" x14ac:dyDescent="0.25">
      <c r="A114" s="136"/>
      <c r="B114" s="728"/>
      <c r="C114" s="678"/>
      <c r="D114" s="678"/>
      <c r="E114" s="729" t="s">
        <v>196</v>
      </c>
      <c r="F114" s="678"/>
      <c r="G114" s="678"/>
      <c r="H114" s="12">
        <v>0</v>
      </c>
      <c r="I114" s="12">
        <v>0</v>
      </c>
      <c r="J114" s="12">
        <v>0</v>
      </c>
      <c r="K114" s="10" t="s">
        <v>512</v>
      </c>
      <c r="L114" s="244" t="s">
        <v>514</v>
      </c>
      <c r="M114" s="244" t="s">
        <v>458</v>
      </c>
      <c r="N114" s="244" t="s">
        <v>458</v>
      </c>
      <c r="O114" s="12" t="s">
        <v>396</v>
      </c>
      <c r="P114" s="234">
        <v>0</v>
      </c>
      <c r="Q114" s="13">
        <v>0.125</v>
      </c>
      <c r="R114" s="14" t="s">
        <v>28</v>
      </c>
      <c r="S114" s="237">
        <v>1</v>
      </c>
      <c r="T114" s="10">
        <v>0</v>
      </c>
      <c r="U114" s="548">
        <f t="shared" si="86"/>
        <v>0</v>
      </c>
      <c r="V114" s="484">
        <f t="shared" ca="1" si="87"/>
        <v>0</v>
      </c>
      <c r="W114" s="484">
        <f t="shared" ca="1" si="2"/>
        <v>0</v>
      </c>
      <c r="X114" s="485">
        <f t="shared" ca="1" si="51"/>
        <v>0</v>
      </c>
      <c r="Y114" s="450" t="s">
        <v>458</v>
      </c>
      <c r="Z114" s="370"/>
      <c r="AA114" s="371" t="s">
        <v>458</v>
      </c>
      <c r="AB114" s="370"/>
      <c r="AC114" s="449"/>
      <c r="AD114" s="489">
        <f t="shared" si="88"/>
        <v>0</v>
      </c>
      <c r="AE114" s="341">
        <f t="shared" si="5"/>
        <v>212</v>
      </c>
      <c r="AF114" s="341">
        <f t="shared" si="6"/>
        <v>0</v>
      </c>
      <c r="AG114" s="341">
        <f t="shared" ca="1" si="53"/>
        <v>0</v>
      </c>
      <c r="AH114" s="341">
        <f t="shared" ca="1" si="54"/>
        <v>0</v>
      </c>
      <c r="AI114" s="341">
        <f t="shared" ca="1" si="55"/>
        <v>0</v>
      </c>
      <c r="AJ114" s="341">
        <f t="shared" ca="1" si="56"/>
        <v>0</v>
      </c>
      <c r="AK114" s="341">
        <f t="shared" ca="1" si="57"/>
        <v>0</v>
      </c>
      <c r="AL114" s="341">
        <f t="shared" ca="1" si="89"/>
        <v>0</v>
      </c>
      <c r="AM114" s="341">
        <f t="shared" ca="1" si="59"/>
        <v>0</v>
      </c>
      <c r="AN114" s="341">
        <f t="shared" ca="1" si="60"/>
        <v>0</v>
      </c>
      <c r="AO114" s="341">
        <f t="shared" ca="1" si="61"/>
        <v>0</v>
      </c>
      <c r="AP114" s="341">
        <f t="shared" ca="1" si="62"/>
        <v>0</v>
      </c>
      <c r="AQ114" s="341">
        <f t="shared" ca="1" si="63"/>
        <v>0</v>
      </c>
      <c r="AR114" s="341">
        <f t="shared" ca="1" si="64"/>
        <v>0</v>
      </c>
      <c r="AS114" s="341">
        <f t="shared" ca="1" si="65"/>
        <v>0</v>
      </c>
      <c r="AT114" s="341">
        <f t="shared" ca="1" si="66"/>
        <v>0</v>
      </c>
      <c r="AU114" s="341">
        <f t="shared" ca="1" si="90"/>
        <v>0</v>
      </c>
      <c r="AV114" s="341">
        <f t="shared" ca="1" si="91"/>
        <v>0</v>
      </c>
      <c r="AW114" s="333">
        <f t="shared" ca="1" si="69"/>
        <v>0</v>
      </c>
      <c r="AX114" s="333">
        <f t="shared" ca="1" si="70"/>
        <v>0</v>
      </c>
      <c r="AY114" s="333">
        <f t="shared" ca="1" si="71"/>
        <v>0</v>
      </c>
      <c r="AZ114" s="341">
        <f t="shared" ca="1" si="25"/>
        <v>2.5</v>
      </c>
      <c r="BA114" s="341">
        <f t="shared" ca="1" si="26"/>
        <v>1</v>
      </c>
      <c r="BB114" s="341">
        <f t="shared" ca="1" si="27"/>
        <v>0</v>
      </c>
      <c r="BC114" s="341">
        <f t="shared" ca="1" si="28"/>
        <v>0</v>
      </c>
      <c r="BD114" s="341">
        <f t="shared" ca="1" si="29"/>
        <v>0</v>
      </c>
      <c r="BE114" s="341">
        <f t="shared" ca="1" si="30"/>
        <v>0</v>
      </c>
      <c r="BF114" s="341">
        <f t="shared" ca="1" si="31"/>
        <v>0</v>
      </c>
      <c r="BG114" s="441">
        <f t="shared" ca="1" si="32"/>
        <v>0</v>
      </c>
      <c r="BH114" s="441">
        <f t="shared" ca="1" si="33"/>
        <v>0</v>
      </c>
      <c r="BI114" s="441">
        <f t="shared" ca="1" si="34"/>
        <v>0</v>
      </c>
      <c r="BJ114" s="441">
        <f t="shared" ca="1" si="35"/>
        <v>0</v>
      </c>
      <c r="BK114" s="441">
        <f t="shared" ca="1" si="36"/>
        <v>0</v>
      </c>
      <c r="BL114" s="341">
        <f t="shared" ca="1" si="37"/>
        <v>0</v>
      </c>
      <c r="BM114" s="341">
        <f t="shared" ca="1" si="38"/>
        <v>0</v>
      </c>
      <c r="BN114" s="341">
        <f t="shared" ca="1" si="39"/>
        <v>0</v>
      </c>
      <c r="BO114" s="341">
        <f t="shared" ca="1" si="40"/>
        <v>0</v>
      </c>
      <c r="BP114" s="341">
        <f t="shared" ca="1" si="41"/>
        <v>0</v>
      </c>
      <c r="BQ114" s="341">
        <f t="shared" ca="1" si="42"/>
        <v>2.5</v>
      </c>
      <c r="BR114" s="341" t="str">
        <f t="shared" ca="1" si="72"/>
        <v>BP2</v>
      </c>
      <c r="BS114" s="357" t="str">
        <f t="shared" ca="1" si="73"/>
        <v>BP2</v>
      </c>
      <c r="BT114" s="358">
        <f t="shared" si="48"/>
        <v>50</v>
      </c>
      <c r="BU114" s="358">
        <f t="shared" ca="1" si="45"/>
        <v>0</v>
      </c>
      <c r="BV114" s="358">
        <f t="shared" ca="1" si="46"/>
        <v>0</v>
      </c>
      <c r="BW114" s="341"/>
      <c r="BX114" s="341"/>
      <c r="BY114" s="341"/>
      <c r="BZ114" s="341"/>
      <c r="CA114" s="127"/>
      <c r="CB114" s="127"/>
    </row>
    <row r="115" spans="1:80" x14ac:dyDescent="0.25">
      <c r="A115" s="136"/>
      <c r="B115" s="728"/>
      <c r="C115" s="678"/>
      <c r="D115" s="678"/>
      <c r="E115" s="729" t="s">
        <v>196</v>
      </c>
      <c r="F115" s="678"/>
      <c r="G115" s="678"/>
      <c r="H115" s="12">
        <v>0</v>
      </c>
      <c r="I115" s="12">
        <v>0</v>
      </c>
      <c r="J115" s="12">
        <v>0</v>
      </c>
      <c r="K115" s="10" t="s">
        <v>512</v>
      </c>
      <c r="L115" s="244" t="s">
        <v>514</v>
      </c>
      <c r="M115" s="244" t="s">
        <v>458</v>
      </c>
      <c r="N115" s="244" t="s">
        <v>458</v>
      </c>
      <c r="O115" s="12" t="s">
        <v>396</v>
      </c>
      <c r="P115" s="234">
        <v>0</v>
      </c>
      <c r="Q115" s="13">
        <v>0.125</v>
      </c>
      <c r="R115" s="14" t="s">
        <v>28</v>
      </c>
      <c r="S115" s="237">
        <v>1</v>
      </c>
      <c r="T115" s="10">
        <v>0</v>
      </c>
      <c r="U115" s="548">
        <f t="shared" si="86"/>
        <v>0</v>
      </c>
      <c r="V115" s="484">
        <f t="shared" ca="1" si="87"/>
        <v>0</v>
      </c>
      <c r="W115" s="484">
        <f t="shared" ca="1" si="2"/>
        <v>0</v>
      </c>
      <c r="X115" s="485">
        <f t="shared" ca="1" si="51"/>
        <v>0</v>
      </c>
      <c r="Y115" s="450" t="s">
        <v>458</v>
      </c>
      <c r="Z115" s="370"/>
      <c r="AA115" s="371" t="s">
        <v>458</v>
      </c>
      <c r="AB115" s="370"/>
      <c r="AC115" s="449"/>
      <c r="AD115" s="489">
        <f t="shared" si="88"/>
        <v>0</v>
      </c>
      <c r="AE115" s="341">
        <f t="shared" si="5"/>
        <v>212</v>
      </c>
      <c r="AF115" s="341">
        <f t="shared" si="6"/>
        <v>0</v>
      </c>
      <c r="AG115" s="341">
        <f t="shared" ca="1" si="53"/>
        <v>0</v>
      </c>
      <c r="AH115" s="341">
        <f t="shared" ca="1" si="54"/>
        <v>0</v>
      </c>
      <c r="AI115" s="341">
        <f t="shared" ca="1" si="55"/>
        <v>0</v>
      </c>
      <c r="AJ115" s="341">
        <f t="shared" ca="1" si="56"/>
        <v>0</v>
      </c>
      <c r="AK115" s="341">
        <f t="shared" ca="1" si="57"/>
        <v>0</v>
      </c>
      <c r="AL115" s="341">
        <f t="shared" ca="1" si="89"/>
        <v>0</v>
      </c>
      <c r="AM115" s="341">
        <f t="shared" ca="1" si="59"/>
        <v>0</v>
      </c>
      <c r="AN115" s="341">
        <f t="shared" ca="1" si="60"/>
        <v>0</v>
      </c>
      <c r="AO115" s="341">
        <f t="shared" ca="1" si="61"/>
        <v>0</v>
      </c>
      <c r="AP115" s="341">
        <f t="shared" ca="1" si="62"/>
        <v>0</v>
      </c>
      <c r="AQ115" s="341">
        <f t="shared" ca="1" si="63"/>
        <v>0</v>
      </c>
      <c r="AR115" s="341">
        <f t="shared" ca="1" si="64"/>
        <v>0</v>
      </c>
      <c r="AS115" s="341">
        <f t="shared" ca="1" si="65"/>
        <v>0</v>
      </c>
      <c r="AT115" s="341">
        <f t="shared" ca="1" si="66"/>
        <v>0</v>
      </c>
      <c r="AU115" s="341">
        <f t="shared" ca="1" si="90"/>
        <v>0</v>
      </c>
      <c r="AV115" s="341">
        <f t="shared" ca="1" si="91"/>
        <v>0</v>
      </c>
      <c r="AW115" s="333">
        <f t="shared" ca="1" si="69"/>
        <v>0</v>
      </c>
      <c r="AX115" s="333">
        <f t="shared" ca="1" si="70"/>
        <v>0</v>
      </c>
      <c r="AY115" s="333">
        <f t="shared" ca="1" si="71"/>
        <v>0</v>
      </c>
      <c r="AZ115" s="341">
        <f t="shared" ca="1" si="25"/>
        <v>2.5</v>
      </c>
      <c r="BA115" s="341">
        <f t="shared" ca="1" si="26"/>
        <v>1</v>
      </c>
      <c r="BB115" s="341">
        <f t="shared" ca="1" si="27"/>
        <v>0</v>
      </c>
      <c r="BC115" s="341">
        <f t="shared" ca="1" si="28"/>
        <v>0</v>
      </c>
      <c r="BD115" s="341">
        <f t="shared" ca="1" si="29"/>
        <v>0</v>
      </c>
      <c r="BE115" s="341">
        <f t="shared" ca="1" si="30"/>
        <v>0</v>
      </c>
      <c r="BF115" s="341">
        <f t="shared" ca="1" si="31"/>
        <v>0</v>
      </c>
      <c r="BG115" s="441">
        <f t="shared" ca="1" si="32"/>
        <v>0</v>
      </c>
      <c r="BH115" s="441">
        <f t="shared" ca="1" si="33"/>
        <v>0</v>
      </c>
      <c r="BI115" s="441">
        <f t="shared" ca="1" si="34"/>
        <v>0</v>
      </c>
      <c r="BJ115" s="441">
        <f t="shared" ca="1" si="35"/>
        <v>0</v>
      </c>
      <c r="BK115" s="441">
        <f t="shared" ca="1" si="36"/>
        <v>0</v>
      </c>
      <c r="BL115" s="341">
        <f t="shared" ca="1" si="37"/>
        <v>0</v>
      </c>
      <c r="BM115" s="341">
        <f t="shared" ca="1" si="38"/>
        <v>0</v>
      </c>
      <c r="BN115" s="341">
        <f t="shared" ca="1" si="39"/>
        <v>0</v>
      </c>
      <c r="BO115" s="341">
        <f t="shared" ca="1" si="40"/>
        <v>0</v>
      </c>
      <c r="BP115" s="341">
        <f t="shared" ca="1" si="41"/>
        <v>0</v>
      </c>
      <c r="BQ115" s="341">
        <f t="shared" ca="1" si="42"/>
        <v>2.5</v>
      </c>
      <c r="BR115" s="341" t="str">
        <f t="shared" ca="1" si="72"/>
        <v>BP2</v>
      </c>
      <c r="BS115" s="357" t="str">
        <f t="shared" ca="1" si="73"/>
        <v>BP2</v>
      </c>
      <c r="BT115" s="358">
        <f t="shared" si="48"/>
        <v>50</v>
      </c>
      <c r="BU115" s="358">
        <f t="shared" ca="1" si="45"/>
        <v>0</v>
      </c>
      <c r="BV115" s="358">
        <f t="shared" ca="1" si="46"/>
        <v>0</v>
      </c>
      <c r="BW115" s="341"/>
      <c r="BX115" s="341"/>
      <c r="BY115" s="341"/>
      <c r="BZ115" s="341"/>
      <c r="CA115" s="127"/>
      <c r="CB115" s="127"/>
    </row>
    <row r="116" spans="1:80" x14ac:dyDescent="0.25">
      <c r="A116" s="136"/>
      <c r="B116" s="728"/>
      <c r="C116" s="678"/>
      <c r="D116" s="678"/>
      <c r="E116" s="729" t="s">
        <v>196</v>
      </c>
      <c r="F116" s="678"/>
      <c r="G116" s="678"/>
      <c r="H116" s="12">
        <v>0</v>
      </c>
      <c r="I116" s="12">
        <v>0</v>
      </c>
      <c r="J116" s="12">
        <v>0</v>
      </c>
      <c r="K116" s="10" t="s">
        <v>512</v>
      </c>
      <c r="L116" s="244" t="s">
        <v>514</v>
      </c>
      <c r="M116" s="244" t="s">
        <v>458</v>
      </c>
      <c r="N116" s="244" t="s">
        <v>458</v>
      </c>
      <c r="O116" s="12" t="s">
        <v>396</v>
      </c>
      <c r="P116" s="234">
        <v>0</v>
      </c>
      <c r="Q116" s="13">
        <v>0.125</v>
      </c>
      <c r="R116" s="14" t="s">
        <v>28</v>
      </c>
      <c r="S116" s="237">
        <v>1</v>
      </c>
      <c r="T116" s="10">
        <v>0</v>
      </c>
      <c r="U116" s="548">
        <f t="shared" si="86"/>
        <v>0</v>
      </c>
      <c r="V116" s="484">
        <f t="shared" ca="1" si="87"/>
        <v>0</v>
      </c>
      <c r="W116" s="484">
        <f t="shared" ca="1" si="2"/>
        <v>0</v>
      </c>
      <c r="X116" s="485">
        <f t="shared" ca="1" si="51"/>
        <v>0</v>
      </c>
      <c r="Y116" s="450" t="s">
        <v>458</v>
      </c>
      <c r="Z116" s="370"/>
      <c r="AA116" s="371" t="s">
        <v>458</v>
      </c>
      <c r="AB116" s="370"/>
      <c r="AC116" s="449"/>
      <c r="AD116" s="489">
        <f t="shared" si="88"/>
        <v>0</v>
      </c>
      <c r="AE116" s="341">
        <f t="shared" si="5"/>
        <v>212</v>
      </c>
      <c r="AF116" s="341">
        <f t="shared" si="6"/>
        <v>0</v>
      </c>
      <c r="AG116" s="341">
        <f t="shared" ca="1" si="53"/>
        <v>0</v>
      </c>
      <c r="AH116" s="341">
        <f t="shared" ca="1" si="54"/>
        <v>0</v>
      </c>
      <c r="AI116" s="341">
        <f t="shared" ca="1" si="55"/>
        <v>0</v>
      </c>
      <c r="AJ116" s="341">
        <f t="shared" ca="1" si="56"/>
        <v>0</v>
      </c>
      <c r="AK116" s="341">
        <f t="shared" ca="1" si="57"/>
        <v>0</v>
      </c>
      <c r="AL116" s="341">
        <f t="shared" ca="1" si="89"/>
        <v>0</v>
      </c>
      <c r="AM116" s="341">
        <f t="shared" ca="1" si="59"/>
        <v>0</v>
      </c>
      <c r="AN116" s="341">
        <f t="shared" ca="1" si="60"/>
        <v>0</v>
      </c>
      <c r="AO116" s="341">
        <f t="shared" ca="1" si="61"/>
        <v>0</v>
      </c>
      <c r="AP116" s="341">
        <f t="shared" ca="1" si="62"/>
        <v>0</v>
      </c>
      <c r="AQ116" s="341">
        <f t="shared" ca="1" si="63"/>
        <v>0</v>
      </c>
      <c r="AR116" s="341">
        <f t="shared" ca="1" si="64"/>
        <v>0</v>
      </c>
      <c r="AS116" s="341">
        <f t="shared" ca="1" si="65"/>
        <v>0</v>
      </c>
      <c r="AT116" s="341">
        <f t="shared" ca="1" si="66"/>
        <v>0</v>
      </c>
      <c r="AU116" s="341">
        <f t="shared" ca="1" si="90"/>
        <v>0</v>
      </c>
      <c r="AV116" s="341">
        <f t="shared" ca="1" si="91"/>
        <v>0</v>
      </c>
      <c r="AW116" s="333">
        <f t="shared" ca="1" si="69"/>
        <v>0</v>
      </c>
      <c r="AX116" s="333">
        <f t="shared" ca="1" si="70"/>
        <v>0</v>
      </c>
      <c r="AY116" s="333">
        <f t="shared" ca="1" si="71"/>
        <v>0</v>
      </c>
      <c r="AZ116" s="341">
        <f t="shared" ca="1" si="25"/>
        <v>2.5</v>
      </c>
      <c r="BA116" s="341">
        <f t="shared" ca="1" si="26"/>
        <v>1</v>
      </c>
      <c r="BB116" s="341">
        <f t="shared" ca="1" si="27"/>
        <v>0</v>
      </c>
      <c r="BC116" s="341">
        <f t="shared" ca="1" si="28"/>
        <v>0</v>
      </c>
      <c r="BD116" s="341">
        <f t="shared" ca="1" si="29"/>
        <v>0</v>
      </c>
      <c r="BE116" s="341">
        <f t="shared" ca="1" si="30"/>
        <v>0</v>
      </c>
      <c r="BF116" s="341">
        <f t="shared" ca="1" si="31"/>
        <v>0</v>
      </c>
      <c r="BG116" s="441">
        <f t="shared" ca="1" si="32"/>
        <v>0</v>
      </c>
      <c r="BH116" s="441">
        <f t="shared" ca="1" si="33"/>
        <v>0</v>
      </c>
      <c r="BI116" s="441">
        <f t="shared" ca="1" si="34"/>
        <v>0</v>
      </c>
      <c r="BJ116" s="441">
        <f t="shared" ca="1" si="35"/>
        <v>0</v>
      </c>
      <c r="BK116" s="441">
        <f t="shared" ca="1" si="36"/>
        <v>0</v>
      </c>
      <c r="BL116" s="341">
        <f t="shared" ca="1" si="37"/>
        <v>0</v>
      </c>
      <c r="BM116" s="341">
        <f t="shared" ca="1" si="38"/>
        <v>0</v>
      </c>
      <c r="BN116" s="341">
        <f t="shared" ca="1" si="39"/>
        <v>0</v>
      </c>
      <c r="BO116" s="341">
        <f t="shared" ca="1" si="40"/>
        <v>0</v>
      </c>
      <c r="BP116" s="341">
        <f t="shared" ca="1" si="41"/>
        <v>0</v>
      </c>
      <c r="BQ116" s="341">
        <f t="shared" ca="1" si="42"/>
        <v>2.5</v>
      </c>
      <c r="BR116" s="341" t="str">
        <f t="shared" ca="1" si="72"/>
        <v>BP2</v>
      </c>
      <c r="BS116" s="357" t="str">
        <f t="shared" ca="1" si="73"/>
        <v>BP2</v>
      </c>
      <c r="BT116" s="358">
        <f t="shared" si="48"/>
        <v>50</v>
      </c>
      <c r="BU116" s="358">
        <f t="shared" ca="1" si="45"/>
        <v>0</v>
      </c>
      <c r="BV116" s="358">
        <f t="shared" ca="1" si="46"/>
        <v>0</v>
      </c>
      <c r="BW116" s="341"/>
      <c r="BX116" s="341"/>
      <c r="BY116" s="341"/>
      <c r="BZ116" s="341"/>
      <c r="CA116" s="127"/>
      <c r="CB116" s="127"/>
    </row>
    <row r="117" spans="1:80" x14ac:dyDescent="0.25">
      <c r="A117" s="136"/>
      <c r="B117" s="728"/>
      <c r="C117" s="678"/>
      <c r="D117" s="678"/>
      <c r="E117" s="729" t="s">
        <v>196</v>
      </c>
      <c r="F117" s="678"/>
      <c r="G117" s="678"/>
      <c r="H117" s="12">
        <v>0</v>
      </c>
      <c r="I117" s="12">
        <v>0</v>
      </c>
      <c r="J117" s="12">
        <v>0</v>
      </c>
      <c r="K117" s="10" t="s">
        <v>512</v>
      </c>
      <c r="L117" s="244" t="s">
        <v>514</v>
      </c>
      <c r="M117" s="244" t="s">
        <v>458</v>
      </c>
      <c r="N117" s="244" t="s">
        <v>458</v>
      </c>
      <c r="O117" s="12" t="s">
        <v>396</v>
      </c>
      <c r="P117" s="234">
        <v>0</v>
      </c>
      <c r="Q117" s="13">
        <v>0.125</v>
      </c>
      <c r="R117" s="14" t="s">
        <v>28</v>
      </c>
      <c r="S117" s="237">
        <v>1</v>
      </c>
      <c r="T117" s="10">
        <v>0</v>
      </c>
      <c r="U117" s="548">
        <f t="shared" si="86"/>
        <v>0</v>
      </c>
      <c r="V117" s="484">
        <f t="shared" ca="1" si="87"/>
        <v>0</v>
      </c>
      <c r="W117" s="484">
        <f t="shared" ca="1" si="2"/>
        <v>0</v>
      </c>
      <c r="X117" s="485">
        <f t="shared" ca="1" si="51"/>
        <v>0</v>
      </c>
      <c r="Y117" s="450" t="s">
        <v>458</v>
      </c>
      <c r="Z117" s="370"/>
      <c r="AA117" s="371" t="s">
        <v>458</v>
      </c>
      <c r="AB117" s="370"/>
      <c r="AC117" s="449"/>
      <c r="AD117" s="489">
        <f t="shared" si="88"/>
        <v>0</v>
      </c>
      <c r="AE117" s="341">
        <f t="shared" si="5"/>
        <v>212</v>
      </c>
      <c r="AF117" s="341">
        <f t="shared" si="6"/>
        <v>0</v>
      </c>
      <c r="AG117" s="341">
        <f t="shared" ca="1" si="53"/>
        <v>0</v>
      </c>
      <c r="AH117" s="341">
        <f t="shared" ca="1" si="54"/>
        <v>0</v>
      </c>
      <c r="AI117" s="341">
        <f t="shared" ca="1" si="55"/>
        <v>0</v>
      </c>
      <c r="AJ117" s="341">
        <f t="shared" ca="1" si="56"/>
        <v>0</v>
      </c>
      <c r="AK117" s="341">
        <f t="shared" ca="1" si="57"/>
        <v>0</v>
      </c>
      <c r="AL117" s="341">
        <f t="shared" ca="1" si="89"/>
        <v>0</v>
      </c>
      <c r="AM117" s="341">
        <f t="shared" ca="1" si="59"/>
        <v>0</v>
      </c>
      <c r="AN117" s="341">
        <f t="shared" ca="1" si="60"/>
        <v>0</v>
      </c>
      <c r="AO117" s="341">
        <f t="shared" ca="1" si="61"/>
        <v>0</v>
      </c>
      <c r="AP117" s="341">
        <f t="shared" ca="1" si="62"/>
        <v>0</v>
      </c>
      <c r="AQ117" s="341">
        <f t="shared" ca="1" si="63"/>
        <v>0</v>
      </c>
      <c r="AR117" s="341">
        <f t="shared" ca="1" si="64"/>
        <v>0</v>
      </c>
      <c r="AS117" s="341">
        <f t="shared" ca="1" si="65"/>
        <v>0</v>
      </c>
      <c r="AT117" s="341">
        <f t="shared" ca="1" si="66"/>
        <v>0</v>
      </c>
      <c r="AU117" s="341">
        <f t="shared" ca="1" si="90"/>
        <v>0</v>
      </c>
      <c r="AV117" s="341">
        <f t="shared" ca="1" si="91"/>
        <v>0</v>
      </c>
      <c r="AW117" s="333">
        <f t="shared" ca="1" si="69"/>
        <v>0</v>
      </c>
      <c r="AX117" s="333">
        <f t="shared" ca="1" si="70"/>
        <v>0</v>
      </c>
      <c r="AY117" s="333">
        <f t="shared" ca="1" si="71"/>
        <v>0</v>
      </c>
      <c r="AZ117" s="341">
        <f t="shared" ca="1" si="25"/>
        <v>2.5</v>
      </c>
      <c r="BA117" s="341">
        <f t="shared" ca="1" si="26"/>
        <v>1</v>
      </c>
      <c r="BB117" s="341">
        <f t="shared" ca="1" si="27"/>
        <v>0</v>
      </c>
      <c r="BC117" s="341">
        <f t="shared" ca="1" si="28"/>
        <v>0</v>
      </c>
      <c r="BD117" s="341">
        <f t="shared" ca="1" si="29"/>
        <v>0</v>
      </c>
      <c r="BE117" s="341">
        <f t="shared" ca="1" si="30"/>
        <v>0</v>
      </c>
      <c r="BF117" s="341">
        <f t="shared" ca="1" si="31"/>
        <v>0</v>
      </c>
      <c r="BG117" s="441">
        <f t="shared" ca="1" si="32"/>
        <v>0</v>
      </c>
      <c r="BH117" s="441">
        <f t="shared" ca="1" si="33"/>
        <v>0</v>
      </c>
      <c r="BI117" s="441">
        <f t="shared" ca="1" si="34"/>
        <v>0</v>
      </c>
      <c r="BJ117" s="441">
        <f t="shared" ca="1" si="35"/>
        <v>0</v>
      </c>
      <c r="BK117" s="441">
        <f t="shared" ca="1" si="36"/>
        <v>0</v>
      </c>
      <c r="BL117" s="341">
        <f t="shared" ca="1" si="37"/>
        <v>0</v>
      </c>
      <c r="BM117" s="341">
        <f t="shared" ca="1" si="38"/>
        <v>0</v>
      </c>
      <c r="BN117" s="341">
        <f t="shared" ca="1" si="39"/>
        <v>0</v>
      </c>
      <c r="BO117" s="341">
        <f t="shared" ca="1" si="40"/>
        <v>0</v>
      </c>
      <c r="BP117" s="341">
        <f t="shared" ca="1" si="41"/>
        <v>0</v>
      </c>
      <c r="BQ117" s="341">
        <f t="shared" ca="1" si="42"/>
        <v>2.5</v>
      </c>
      <c r="BR117" s="341" t="str">
        <f t="shared" ca="1" si="72"/>
        <v>BP2</v>
      </c>
      <c r="BS117" s="357" t="str">
        <f t="shared" ca="1" si="73"/>
        <v>BP2</v>
      </c>
      <c r="BT117" s="358">
        <f t="shared" si="48"/>
        <v>50</v>
      </c>
      <c r="BU117" s="358">
        <f t="shared" ca="1" si="45"/>
        <v>0</v>
      </c>
      <c r="BV117" s="358">
        <f t="shared" ca="1" si="46"/>
        <v>0</v>
      </c>
      <c r="BW117" s="341"/>
      <c r="BX117" s="341"/>
      <c r="BY117" s="341"/>
      <c r="BZ117" s="341"/>
      <c r="CA117" s="127"/>
      <c r="CB117" s="127"/>
    </row>
    <row r="118" spans="1:80" x14ac:dyDescent="0.25">
      <c r="A118" s="136"/>
      <c r="B118" s="728"/>
      <c r="C118" s="678"/>
      <c r="D118" s="678"/>
      <c r="E118" s="729" t="s">
        <v>196</v>
      </c>
      <c r="F118" s="678"/>
      <c r="G118" s="678"/>
      <c r="H118" s="12">
        <v>0</v>
      </c>
      <c r="I118" s="12">
        <v>0</v>
      </c>
      <c r="J118" s="12">
        <v>0</v>
      </c>
      <c r="K118" s="10" t="s">
        <v>512</v>
      </c>
      <c r="L118" s="244" t="s">
        <v>514</v>
      </c>
      <c r="M118" s="244" t="s">
        <v>458</v>
      </c>
      <c r="N118" s="244" t="s">
        <v>458</v>
      </c>
      <c r="O118" s="12" t="s">
        <v>396</v>
      </c>
      <c r="P118" s="234">
        <v>0</v>
      </c>
      <c r="Q118" s="13">
        <v>0.125</v>
      </c>
      <c r="R118" s="14" t="s">
        <v>28</v>
      </c>
      <c r="S118" s="237">
        <v>1</v>
      </c>
      <c r="T118" s="10">
        <v>0</v>
      </c>
      <c r="U118" s="548">
        <f t="shared" si="86"/>
        <v>0</v>
      </c>
      <c r="V118" s="484">
        <f t="shared" ca="1" si="87"/>
        <v>0</v>
      </c>
      <c r="W118" s="484">
        <f t="shared" ca="1" si="2"/>
        <v>0</v>
      </c>
      <c r="X118" s="485">
        <f t="shared" ca="1" si="51"/>
        <v>0</v>
      </c>
      <c r="Y118" s="450" t="s">
        <v>458</v>
      </c>
      <c r="Z118" s="370"/>
      <c r="AA118" s="371" t="s">
        <v>458</v>
      </c>
      <c r="AB118" s="370"/>
      <c r="AC118" s="449"/>
      <c r="AD118" s="489">
        <f t="shared" si="88"/>
        <v>0</v>
      </c>
      <c r="AE118" s="341">
        <f t="shared" si="5"/>
        <v>212</v>
      </c>
      <c r="AF118" s="341">
        <f t="shared" si="6"/>
        <v>0</v>
      </c>
      <c r="AG118" s="341">
        <f t="shared" ca="1" si="53"/>
        <v>0</v>
      </c>
      <c r="AH118" s="341">
        <f t="shared" ca="1" si="54"/>
        <v>0</v>
      </c>
      <c r="AI118" s="341">
        <f t="shared" ca="1" si="55"/>
        <v>0</v>
      </c>
      <c r="AJ118" s="341">
        <f t="shared" ca="1" si="56"/>
        <v>0</v>
      </c>
      <c r="AK118" s="341">
        <f t="shared" ca="1" si="57"/>
        <v>0</v>
      </c>
      <c r="AL118" s="341">
        <f t="shared" ca="1" si="89"/>
        <v>0</v>
      </c>
      <c r="AM118" s="341">
        <f t="shared" ca="1" si="59"/>
        <v>0</v>
      </c>
      <c r="AN118" s="341">
        <f t="shared" ca="1" si="60"/>
        <v>0</v>
      </c>
      <c r="AO118" s="341">
        <f t="shared" ca="1" si="61"/>
        <v>0</v>
      </c>
      <c r="AP118" s="341">
        <f t="shared" ca="1" si="62"/>
        <v>0</v>
      </c>
      <c r="AQ118" s="341">
        <f t="shared" ca="1" si="63"/>
        <v>0</v>
      </c>
      <c r="AR118" s="341">
        <f t="shared" ca="1" si="64"/>
        <v>0</v>
      </c>
      <c r="AS118" s="341">
        <f t="shared" ca="1" si="65"/>
        <v>0</v>
      </c>
      <c r="AT118" s="341">
        <f t="shared" ca="1" si="66"/>
        <v>0</v>
      </c>
      <c r="AU118" s="341">
        <f t="shared" ca="1" si="90"/>
        <v>0</v>
      </c>
      <c r="AV118" s="341">
        <f t="shared" ca="1" si="91"/>
        <v>0</v>
      </c>
      <c r="AW118" s="333">
        <f t="shared" ca="1" si="69"/>
        <v>0</v>
      </c>
      <c r="AX118" s="333">
        <f t="shared" ca="1" si="70"/>
        <v>0</v>
      </c>
      <c r="AY118" s="333">
        <f t="shared" ca="1" si="71"/>
        <v>0</v>
      </c>
      <c r="AZ118" s="341">
        <f t="shared" ca="1" si="25"/>
        <v>2.5</v>
      </c>
      <c r="BA118" s="341">
        <f t="shared" ca="1" si="26"/>
        <v>1</v>
      </c>
      <c r="BB118" s="341">
        <f t="shared" ca="1" si="27"/>
        <v>0</v>
      </c>
      <c r="BC118" s="341">
        <f t="shared" ca="1" si="28"/>
        <v>0</v>
      </c>
      <c r="BD118" s="341">
        <f t="shared" ca="1" si="29"/>
        <v>0</v>
      </c>
      <c r="BE118" s="341">
        <f t="shared" ca="1" si="30"/>
        <v>0</v>
      </c>
      <c r="BF118" s="341">
        <f t="shared" ca="1" si="31"/>
        <v>0</v>
      </c>
      <c r="BG118" s="441">
        <f t="shared" ca="1" si="32"/>
        <v>0</v>
      </c>
      <c r="BH118" s="441">
        <f t="shared" ca="1" si="33"/>
        <v>0</v>
      </c>
      <c r="BI118" s="441">
        <f t="shared" ca="1" si="34"/>
        <v>0</v>
      </c>
      <c r="BJ118" s="441">
        <f t="shared" ca="1" si="35"/>
        <v>0</v>
      </c>
      <c r="BK118" s="441">
        <f t="shared" ca="1" si="36"/>
        <v>0</v>
      </c>
      <c r="BL118" s="341">
        <f t="shared" ca="1" si="37"/>
        <v>0</v>
      </c>
      <c r="BM118" s="341">
        <f t="shared" ca="1" si="38"/>
        <v>0</v>
      </c>
      <c r="BN118" s="341">
        <f t="shared" ca="1" si="39"/>
        <v>0</v>
      </c>
      <c r="BO118" s="341">
        <f t="shared" ca="1" si="40"/>
        <v>0</v>
      </c>
      <c r="BP118" s="341">
        <f t="shared" ca="1" si="41"/>
        <v>0</v>
      </c>
      <c r="BQ118" s="341">
        <f t="shared" ca="1" si="42"/>
        <v>2.5</v>
      </c>
      <c r="BR118" s="341" t="str">
        <f t="shared" ca="1" si="72"/>
        <v>BP2</v>
      </c>
      <c r="BS118" s="357" t="str">
        <f t="shared" ca="1" si="73"/>
        <v>BP2</v>
      </c>
      <c r="BT118" s="358">
        <f t="shared" si="48"/>
        <v>50</v>
      </c>
      <c r="BU118" s="358">
        <f t="shared" ca="1" si="45"/>
        <v>0</v>
      </c>
      <c r="BV118" s="358">
        <f t="shared" ca="1" si="46"/>
        <v>0</v>
      </c>
      <c r="BW118" s="341"/>
      <c r="BX118" s="341"/>
      <c r="BY118" s="341"/>
      <c r="BZ118" s="341"/>
      <c r="CA118" s="127"/>
      <c r="CB118" s="127"/>
    </row>
    <row r="119" spans="1:80" x14ac:dyDescent="0.25">
      <c r="A119" s="136"/>
      <c r="B119" s="728"/>
      <c r="C119" s="678"/>
      <c r="D119" s="678"/>
      <c r="E119" s="729" t="s">
        <v>196</v>
      </c>
      <c r="F119" s="678"/>
      <c r="G119" s="678"/>
      <c r="H119" s="12">
        <v>0</v>
      </c>
      <c r="I119" s="12">
        <v>0</v>
      </c>
      <c r="J119" s="12">
        <v>0</v>
      </c>
      <c r="K119" s="10" t="s">
        <v>512</v>
      </c>
      <c r="L119" s="244" t="s">
        <v>514</v>
      </c>
      <c r="M119" s="244" t="s">
        <v>458</v>
      </c>
      <c r="N119" s="244" t="s">
        <v>458</v>
      </c>
      <c r="O119" s="12" t="s">
        <v>396</v>
      </c>
      <c r="P119" s="234">
        <v>0</v>
      </c>
      <c r="Q119" s="13">
        <v>0.125</v>
      </c>
      <c r="R119" s="14" t="s">
        <v>28</v>
      </c>
      <c r="S119" s="237">
        <v>1</v>
      </c>
      <c r="T119" s="10">
        <v>0</v>
      </c>
      <c r="U119" s="548">
        <f t="shared" si="86"/>
        <v>0</v>
      </c>
      <c r="V119" s="484">
        <f t="shared" ca="1" si="87"/>
        <v>0</v>
      </c>
      <c r="W119" s="484">
        <f t="shared" ca="1" si="2"/>
        <v>0</v>
      </c>
      <c r="X119" s="485">
        <f t="shared" ca="1" si="51"/>
        <v>0</v>
      </c>
      <c r="Y119" s="450" t="s">
        <v>458</v>
      </c>
      <c r="Z119" s="370"/>
      <c r="AA119" s="371" t="s">
        <v>458</v>
      </c>
      <c r="AB119" s="370"/>
      <c r="AC119" s="449"/>
      <c r="AD119" s="489">
        <f t="shared" si="88"/>
        <v>0</v>
      </c>
      <c r="AE119" s="341">
        <f t="shared" si="5"/>
        <v>212</v>
      </c>
      <c r="AF119" s="341">
        <f t="shared" si="6"/>
        <v>0</v>
      </c>
      <c r="AG119" s="341">
        <f t="shared" ca="1" si="53"/>
        <v>0</v>
      </c>
      <c r="AH119" s="341">
        <f t="shared" ca="1" si="54"/>
        <v>0</v>
      </c>
      <c r="AI119" s="341">
        <f t="shared" ca="1" si="55"/>
        <v>0</v>
      </c>
      <c r="AJ119" s="341">
        <f t="shared" ca="1" si="56"/>
        <v>0</v>
      </c>
      <c r="AK119" s="341">
        <f t="shared" ca="1" si="57"/>
        <v>0</v>
      </c>
      <c r="AL119" s="341">
        <f t="shared" ca="1" si="89"/>
        <v>0</v>
      </c>
      <c r="AM119" s="341">
        <f t="shared" ca="1" si="59"/>
        <v>0</v>
      </c>
      <c r="AN119" s="341">
        <f t="shared" ca="1" si="60"/>
        <v>0</v>
      </c>
      <c r="AO119" s="341">
        <f t="shared" ca="1" si="61"/>
        <v>0</v>
      </c>
      <c r="AP119" s="341">
        <f t="shared" ca="1" si="62"/>
        <v>0</v>
      </c>
      <c r="AQ119" s="341">
        <f t="shared" ca="1" si="63"/>
        <v>0</v>
      </c>
      <c r="AR119" s="341">
        <f t="shared" ca="1" si="64"/>
        <v>0</v>
      </c>
      <c r="AS119" s="341">
        <f t="shared" ca="1" si="65"/>
        <v>0</v>
      </c>
      <c r="AT119" s="341">
        <f t="shared" ca="1" si="66"/>
        <v>0</v>
      </c>
      <c r="AU119" s="341">
        <f t="shared" ca="1" si="90"/>
        <v>0</v>
      </c>
      <c r="AV119" s="341">
        <f t="shared" ca="1" si="91"/>
        <v>0</v>
      </c>
      <c r="AW119" s="333">
        <f t="shared" ca="1" si="69"/>
        <v>0</v>
      </c>
      <c r="AX119" s="333">
        <f t="shared" ca="1" si="70"/>
        <v>0</v>
      </c>
      <c r="AY119" s="333">
        <f t="shared" ca="1" si="71"/>
        <v>0</v>
      </c>
      <c r="AZ119" s="341">
        <f t="shared" ca="1" si="25"/>
        <v>2.5</v>
      </c>
      <c r="BA119" s="341">
        <f t="shared" ca="1" si="26"/>
        <v>1</v>
      </c>
      <c r="BB119" s="341">
        <f t="shared" ca="1" si="27"/>
        <v>0</v>
      </c>
      <c r="BC119" s="341">
        <f t="shared" ca="1" si="28"/>
        <v>0</v>
      </c>
      <c r="BD119" s="341">
        <f t="shared" ca="1" si="29"/>
        <v>0</v>
      </c>
      <c r="BE119" s="341">
        <f t="shared" ca="1" si="30"/>
        <v>0</v>
      </c>
      <c r="BF119" s="341">
        <f t="shared" ca="1" si="31"/>
        <v>0</v>
      </c>
      <c r="BG119" s="441">
        <f t="shared" ca="1" si="32"/>
        <v>0</v>
      </c>
      <c r="BH119" s="441">
        <f t="shared" ca="1" si="33"/>
        <v>0</v>
      </c>
      <c r="BI119" s="441">
        <f t="shared" ca="1" si="34"/>
        <v>0</v>
      </c>
      <c r="BJ119" s="441">
        <f t="shared" ca="1" si="35"/>
        <v>0</v>
      </c>
      <c r="BK119" s="441">
        <f t="shared" ca="1" si="36"/>
        <v>0</v>
      </c>
      <c r="BL119" s="341">
        <f t="shared" ca="1" si="37"/>
        <v>0</v>
      </c>
      <c r="BM119" s="341">
        <f t="shared" ca="1" si="38"/>
        <v>0</v>
      </c>
      <c r="BN119" s="341">
        <f t="shared" ca="1" si="39"/>
        <v>0</v>
      </c>
      <c r="BO119" s="341">
        <f t="shared" ca="1" si="40"/>
        <v>0</v>
      </c>
      <c r="BP119" s="341">
        <f t="shared" ca="1" si="41"/>
        <v>0</v>
      </c>
      <c r="BQ119" s="341">
        <f t="shared" ca="1" si="42"/>
        <v>2.5</v>
      </c>
      <c r="BR119" s="341" t="str">
        <f t="shared" ca="1" si="72"/>
        <v>BP2</v>
      </c>
      <c r="BS119" s="357" t="str">
        <f t="shared" ca="1" si="73"/>
        <v>BP2</v>
      </c>
      <c r="BT119" s="358">
        <f t="shared" si="48"/>
        <v>50</v>
      </c>
      <c r="BU119" s="358">
        <f t="shared" ca="1" si="45"/>
        <v>0</v>
      </c>
      <c r="BV119" s="358">
        <f t="shared" ca="1" si="46"/>
        <v>0</v>
      </c>
      <c r="BW119" s="341"/>
      <c r="BX119" s="341"/>
      <c r="BY119" s="341"/>
      <c r="BZ119" s="341"/>
      <c r="CA119" s="127"/>
      <c r="CB119" s="127"/>
    </row>
    <row r="120" spans="1:80" x14ac:dyDescent="0.25">
      <c r="A120" s="136"/>
      <c r="B120" s="728"/>
      <c r="C120" s="678"/>
      <c r="D120" s="678"/>
      <c r="E120" s="729" t="s">
        <v>196</v>
      </c>
      <c r="F120" s="678"/>
      <c r="G120" s="678"/>
      <c r="H120" s="12">
        <v>0</v>
      </c>
      <c r="I120" s="12">
        <v>0</v>
      </c>
      <c r="J120" s="12">
        <v>0</v>
      </c>
      <c r="K120" s="10" t="s">
        <v>512</v>
      </c>
      <c r="L120" s="244" t="s">
        <v>514</v>
      </c>
      <c r="M120" s="244" t="s">
        <v>458</v>
      </c>
      <c r="N120" s="244" t="s">
        <v>458</v>
      </c>
      <c r="O120" s="12" t="s">
        <v>396</v>
      </c>
      <c r="P120" s="234">
        <v>0</v>
      </c>
      <c r="Q120" s="13">
        <v>0.125</v>
      </c>
      <c r="R120" s="14" t="s">
        <v>28</v>
      </c>
      <c r="S120" s="237">
        <v>1</v>
      </c>
      <c r="T120" s="10">
        <v>0</v>
      </c>
      <c r="U120" s="548">
        <f t="shared" si="86"/>
        <v>0</v>
      </c>
      <c r="V120" s="484">
        <f t="shared" ca="1" si="87"/>
        <v>0</v>
      </c>
      <c r="W120" s="484">
        <f t="shared" ca="1" si="2"/>
        <v>0</v>
      </c>
      <c r="X120" s="485">
        <f t="shared" ca="1" si="51"/>
        <v>0</v>
      </c>
      <c r="Y120" s="450" t="s">
        <v>458</v>
      </c>
      <c r="Z120" s="370"/>
      <c r="AA120" s="371" t="s">
        <v>458</v>
      </c>
      <c r="AB120" s="370"/>
      <c r="AC120" s="449"/>
      <c r="AD120" s="489">
        <f t="shared" si="88"/>
        <v>0</v>
      </c>
      <c r="AE120" s="341">
        <f t="shared" si="5"/>
        <v>212</v>
      </c>
      <c r="AF120" s="341">
        <f t="shared" si="6"/>
        <v>0</v>
      </c>
      <c r="AG120" s="341">
        <f t="shared" ca="1" si="53"/>
        <v>0</v>
      </c>
      <c r="AH120" s="341">
        <f t="shared" ca="1" si="54"/>
        <v>0</v>
      </c>
      <c r="AI120" s="341">
        <f t="shared" ca="1" si="55"/>
        <v>0</v>
      </c>
      <c r="AJ120" s="341">
        <f t="shared" ca="1" si="56"/>
        <v>0</v>
      </c>
      <c r="AK120" s="341">
        <f t="shared" ca="1" si="57"/>
        <v>0</v>
      </c>
      <c r="AL120" s="341">
        <f t="shared" ca="1" si="89"/>
        <v>0</v>
      </c>
      <c r="AM120" s="341">
        <f t="shared" ca="1" si="59"/>
        <v>0</v>
      </c>
      <c r="AN120" s="341">
        <f t="shared" ca="1" si="60"/>
        <v>0</v>
      </c>
      <c r="AO120" s="341">
        <f t="shared" ca="1" si="61"/>
        <v>0</v>
      </c>
      <c r="AP120" s="341">
        <f t="shared" ca="1" si="62"/>
        <v>0</v>
      </c>
      <c r="AQ120" s="341">
        <f t="shared" ca="1" si="63"/>
        <v>0</v>
      </c>
      <c r="AR120" s="341">
        <f t="shared" ca="1" si="64"/>
        <v>0</v>
      </c>
      <c r="AS120" s="341">
        <f t="shared" ca="1" si="65"/>
        <v>0</v>
      </c>
      <c r="AT120" s="341">
        <f t="shared" ca="1" si="66"/>
        <v>0</v>
      </c>
      <c r="AU120" s="341">
        <f t="shared" ca="1" si="90"/>
        <v>0</v>
      </c>
      <c r="AV120" s="341">
        <f t="shared" ca="1" si="91"/>
        <v>0</v>
      </c>
      <c r="AW120" s="333">
        <f t="shared" ca="1" si="69"/>
        <v>0</v>
      </c>
      <c r="AX120" s="333">
        <f t="shared" ca="1" si="70"/>
        <v>0</v>
      </c>
      <c r="AY120" s="333">
        <f t="shared" ca="1" si="71"/>
        <v>0</v>
      </c>
      <c r="AZ120" s="341">
        <f t="shared" ca="1" si="25"/>
        <v>2.5</v>
      </c>
      <c r="BA120" s="341">
        <f t="shared" ca="1" si="26"/>
        <v>1</v>
      </c>
      <c r="BB120" s="341">
        <f t="shared" ca="1" si="27"/>
        <v>0</v>
      </c>
      <c r="BC120" s="341">
        <f t="shared" ca="1" si="28"/>
        <v>0</v>
      </c>
      <c r="BD120" s="341">
        <f t="shared" ca="1" si="29"/>
        <v>0</v>
      </c>
      <c r="BE120" s="341">
        <f t="shared" ca="1" si="30"/>
        <v>0</v>
      </c>
      <c r="BF120" s="341">
        <f t="shared" ca="1" si="31"/>
        <v>0</v>
      </c>
      <c r="BG120" s="441">
        <f t="shared" ca="1" si="32"/>
        <v>0</v>
      </c>
      <c r="BH120" s="441">
        <f t="shared" ca="1" si="33"/>
        <v>0</v>
      </c>
      <c r="BI120" s="441">
        <f t="shared" ca="1" si="34"/>
        <v>0</v>
      </c>
      <c r="BJ120" s="441">
        <f t="shared" ca="1" si="35"/>
        <v>0</v>
      </c>
      <c r="BK120" s="441">
        <f t="shared" ca="1" si="36"/>
        <v>0</v>
      </c>
      <c r="BL120" s="341">
        <f t="shared" ca="1" si="37"/>
        <v>0</v>
      </c>
      <c r="BM120" s="341">
        <f t="shared" ca="1" si="38"/>
        <v>0</v>
      </c>
      <c r="BN120" s="341">
        <f t="shared" ca="1" si="39"/>
        <v>0</v>
      </c>
      <c r="BO120" s="341">
        <f t="shared" ca="1" si="40"/>
        <v>0</v>
      </c>
      <c r="BP120" s="341">
        <f t="shared" ca="1" si="41"/>
        <v>0</v>
      </c>
      <c r="BQ120" s="341">
        <f t="shared" ca="1" si="42"/>
        <v>2.5</v>
      </c>
      <c r="BR120" s="341" t="str">
        <f t="shared" ca="1" si="72"/>
        <v>BP2</v>
      </c>
      <c r="BS120" s="357" t="str">
        <f t="shared" ca="1" si="73"/>
        <v>BP2</v>
      </c>
      <c r="BT120" s="358">
        <f t="shared" si="48"/>
        <v>50</v>
      </c>
      <c r="BU120" s="358">
        <f t="shared" ca="1" si="45"/>
        <v>0</v>
      </c>
      <c r="BV120" s="358">
        <f t="shared" ca="1" si="46"/>
        <v>0</v>
      </c>
      <c r="BW120" s="341"/>
      <c r="BX120" s="341"/>
      <c r="BY120" s="341"/>
      <c r="BZ120" s="341"/>
      <c r="CA120" s="127"/>
      <c r="CB120" s="127"/>
    </row>
    <row r="121" spans="1:80" x14ac:dyDescent="0.25">
      <c r="A121" s="136"/>
      <c r="B121" s="728"/>
      <c r="C121" s="678"/>
      <c r="D121" s="678"/>
      <c r="E121" s="729" t="s">
        <v>196</v>
      </c>
      <c r="F121" s="678"/>
      <c r="G121" s="678"/>
      <c r="H121" s="12">
        <v>0</v>
      </c>
      <c r="I121" s="12">
        <v>0</v>
      </c>
      <c r="J121" s="12">
        <v>0</v>
      </c>
      <c r="K121" s="10" t="s">
        <v>512</v>
      </c>
      <c r="L121" s="244" t="s">
        <v>514</v>
      </c>
      <c r="M121" s="244" t="s">
        <v>458</v>
      </c>
      <c r="N121" s="244" t="s">
        <v>458</v>
      </c>
      <c r="O121" s="12" t="s">
        <v>396</v>
      </c>
      <c r="P121" s="234">
        <v>0</v>
      </c>
      <c r="Q121" s="13">
        <v>0.125</v>
      </c>
      <c r="R121" s="14" t="s">
        <v>28</v>
      </c>
      <c r="S121" s="237">
        <v>1</v>
      </c>
      <c r="T121" s="10">
        <v>0</v>
      </c>
      <c r="U121" s="548">
        <f t="shared" si="86"/>
        <v>0</v>
      </c>
      <c r="V121" s="484">
        <f t="shared" ca="1" si="87"/>
        <v>0</v>
      </c>
      <c r="W121" s="484">
        <f t="shared" ca="1" si="2"/>
        <v>0</v>
      </c>
      <c r="X121" s="485">
        <f t="shared" ca="1" si="51"/>
        <v>0</v>
      </c>
      <c r="Y121" s="450" t="s">
        <v>458</v>
      </c>
      <c r="Z121" s="370"/>
      <c r="AA121" s="371" t="s">
        <v>458</v>
      </c>
      <c r="AB121" s="370"/>
      <c r="AC121" s="449"/>
      <c r="AD121" s="489">
        <f t="shared" si="88"/>
        <v>0</v>
      </c>
      <c r="AE121" s="341">
        <f t="shared" si="5"/>
        <v>212</v>
      </c>
      <c r="AF121" s="341">
        <f t="shared" si="6"/>
        <v>0</v>
      </c>
      <c r="AG121" s="341">
        <f t="shared" ca="1" si="53"/>
        <v>0</v>
      </c>
      <c r="AH121" s="341">
        <f t="shared" ca="1" si="54"/>
        <v>0</v>
      </c>
      <c r="AI121" s="341">
        <f t="shared" ca="1" si="55"/>
        <v>0</v>
      </c>
      <c r="AJ121" s="341">
        <f t="shared" ca="1" si="56"/>
        <v>0</v>
      </c>
      <c r="AK121" s="341">
        <f t="shared" ca="1" si="57"/>
        <v>0</v>
      </c>
      <c r="AL121" s="341">
        <f t="shared" ca="1" si="89"/>
        <v>0</v>
      </c>
      <c r="AM121" s="341">
        <f t="shared" ca="1" si="59"/>
        <v>0</v>
      </c>
      <c r="AN121" s="341">
        <f t="shared" ca="1" si="60"/>
        <v>0</v>
      </c>
      <c r="AO121" s="341">
        <f t="shared" ca="1" si="61"/>
        <v>0</v>
      </c>
      <c r="AP121" s="341">
        <f t="shared" ca="1" si="62"/>
        <v>0</v>
      </c>
      <c r="AQ121" s="341">
        <f t="shared" ca="1" si="63"/>
        <v>0</v>
      </c>
      <c r="AR121" s="341">
        <f t="shared" ca="1" si="64"/>
        <v>0</v>
      </c>
      <c r="AS121" s="341">
        <f t="shared" ca="1" si="65"/>
        <v>0</v>
      </c>
      <c r="AT121" s="341">
        <f t="shared" ca="1" si="66"/>
        <v>0</v>
      </c>
      <c r="AU121" s="341">
        <f t="shared" ca="1" si="90"/>
        <v>0</v>
      </c>
      <c r="AV121" s="341">
        <f t="shared" ca="1" si="91"/>
        <v>0</v>
      </c>
      <c r="AW121" s="333">
        <f t="shared" ca="1" si="69"/>
        <v>0</v>
      </c>
      <c r="AX121" s="333">
        <f t="shared" ca="1" si="70"/>
        <v>0</v>
      </c>
      <c r="AY121" s="333">
        <f t="shared" ca="1" si="71"/>
        <v>0</v>
      </c>
      <c r="AZ121" s="341">
        <f t="shared" ca="1" si="25"/>
        <v>2.5</v>
      </c>
      <c r="BA121" s="341">
        <f t="shared" ca="1" si="26"/>
        <v>1</v>
      </c>
      <c r="BB121" s="341">
        <f t="shared" ca="1" si="27"/>
        <v>0</v>
      </c>
      <c r="BC121" s="341">
        <f t="shared" ca="1" si="28"/>
        <v>0</v>
      </c>
      <c r="BD121" s="341">
        <f t="shared" ca="1" si="29"/>
        <v>0</v>
      </c>
      <c r="BE121" s="341">
        <f t="shared" ca="1" si="30"/>
        <v>0</v>
      </c>
      <c r="BF121" s="341">
        <f t="shared" ca="1" si="31"/>
        <v>0</v>
      </c>
      <c r="BG121" s="441">
        <f t="shared" ca="1" si="32"/>
        <v>0</v>
      </c>
      <c r="BH121" s="441">
        <f t="shared" ca="1" si="33"/>
        <v>0</v>
      </c>
      <c r="BI121" s="441">
        <f t="shared" ca="1" si="34"/>
        <v>0</v>
      </c>
      <c r="BJ121" s="441">
        <f t="shared" ca="1" si="35"/>
        <v>0</v>
      </c>
      <c r="BK121" s="441">
        <f t="shared" ca="1" si="36"/>
        <v>0</v>
      </c>
      <c r="BL121" s="341">
        <f t="shared" ca="1" si="37"/>
        <v>0</v>
      </c>
      <c r="BM121" s="341">
        <f t="shared" ca="1" si="38"/>
        <v>0</v>
      </c>
      <c r="BN121" s="341">
        <f t="shared" ca="1" si="39"/>
        <v>0</v>
      </c>
      <c r="BO121" s="341">
        <f t="shared" ca="1" si="40"/>
        <v>0</v>
      </c>
      <c r="BP121" s="341">
        <f t="shared" ca="1" si="41"/>
        <v>0</v>
      </c>
      <c r="BQ121" s="341">
        <f t="shared" ca="1" si="42"/>
        <v>2.5</v>
      </c>
      <c r="BR121" s="341" t="str">
        <f t="shared" ca="1" si="72"/>
        <v>BP2</v>
      </c>
      <c r="BS121" s="357" t="str">
        <f t="shared" ca="1" si="73"/>
        <v>BP2</v>
      </c>
      <c r="BT121" s="358">
        <f t="shared" si="48"/>
        <v>50</v>
      </c>
      <c r="BU121" s="358">
        <f t="shared" ca="1" si="45"/>
        <v>0</v>
      </c>
      <c r="BV121" s="358">
        <f t="shared" ca="1" si="46"/>
        <v>0</v>
      </c>
      <c r="BW121" s="341"/>
      <c r="BX121" s="341"/>
      <c r="BY121" s="341"/>
      <c r="BZ121" s="341"/>
      <c r="CA121" s="127"/>
      <c r="CB121" s="127"/>
    </row>
    <row r="122" spans="1:80" x14ac:dyDescent="0.25">
      <c r="A122" s="136"/>
      <c r="B122" s="728"/>
      <c r="C122" s="678"/>
      <c r="D122" s="678"/>
      <c r="E122" s="729" t="s">
        <v>196</v>
      </c>
      <c r="F122" s="678"/>
      <c r="G122" s="678"/>
      <c r="H122" s="12">
        <v>0</v>
      </c>
      <c r="I122" s="12">
        <v>0</v>
      </c>
      <c r="J122" s="12">
        <v>0</v>
      </c>
      <c r="K122" s="10" t="s">
        <v>512</v>
      </c>
      <c r="L122" s="244" t="s">
        <v>514</v>
      </c>
      <c r="M122" s="244" t="s">
        <v>458</v>
      </c>
      <c r="N122" s="244" t="s">
        <v>458</v>
      </c>
      <c r="O122" s="12" t="s">
        <v>396</v>
      </c>
      <c r="P122" s="234">
        <v>0</v>
      </c>
      <c r="Q122" s="13">
        <v>0.125</v>
      </c>
      <c r="R122" s="14" t="s">
        <v>28</v>
      </c>
      <c r="S122" s="237">
        <v>1</v>
      </c>
      <c r="T122" s="10">
        <v>0</v>
      </c>
      <c r="U122" s="548">
        <f t="shared" si="86"/>
        <v>0</v>
      </c>
      <c r="V122" s="484">
        <f t="shared" ca="1" si="87"/>
        <v>0</v>
      </c>
      <c r="W122" s="484">
        <f t="shared" ca="1" si="2"/>
        <v>0</v>
      </c>
      <c r="X122" s="485">
        <f t="shared" ca="1" si="51"/>
        <v>0</v>
      </c>
      <c r="Y122" s="450" t="s">
        <v>458</v>
      </c>
      <c r="Z122" s="370"/>
      <c r="AA122" s="371" t="s">
        <v>458</v>
      </c>
      <c r="AB122" s="370"/>
      <c r="AC122" s="449"/>
      <c r="AD122" s="489">
        <f t="shared" si="88"/>
        <v>0</v>
      </c>
      <c r="AE122" s="341">
        <f t="shared" si="5"/>
        <v>212</v>
      </c>
      <c r="AF122" s="341">
        <f t="shared" si="6"/>
        <v>0</v>
      </c>
      <c r="AG122" s="341">
        <f t="shared" ca="1" si="53"/>
        <v>0</v>
      </c>
      <c r="AH122" s="341">
        <f t="shared" ca="1" si="54"/>
        <v>0</v>
      </c>
      <c r="AI122" s="341">
        <f t="shared" ca="1" si="55"/>
        <v>0</v>
      </c>
      <c r="AJ122" s="341">
        <f t="shared" ca="1" si="56"/>
        <v>0</v>
      </c>
      <c r="AK122" s="341">
        <f t="shared" ca="1" si="57"/>
        <v>0</v>
      </c>
      <c r="AL122" s="341">
        <f t="shared" ca="1" si="89"/>
        <v>0</v>
      </c>
      <c r="AM122" s="341">
        <f t="shared" ca="1" si="59"/>
        <v>0</v>
      </c>
      <c r="AN122" s="341">
        <f t="shared" ca="1" si="60"/>
        <v>0</v>
      </c>
      <c r="AO122" s="341">
        <f t="shared" ca="1" si="61"/>
        <v>0</v>
      </c>
      <c r="AP122" s="341">
        <f t="shared" ca="1" si="62"/>
        <v>0</v>
      </c>
      <c r="AQ122" s="341">
        <f t="shared" ca="1" si="63"/>
        <v>0</v>
      </c>
      <c r="AR122" s="341">
        <f t="shared" ca="1" si="64"/>
        <v>0</v>
      </c>
      <c r="AS122" s="341">
        <f t="shared" ca="1" si="65"/>
        <v>0</v>
      </c>
      <c r="AT122" s="341">
        <f t="shared" ca="1" si="66"/>
        <v>0</v>
      </c>
      <c r="AU122" s="341">
        <f t="shared" ca="1" si="90"/>
        <v>0</v>
      </c>
      <c r="AV122" s="341">
        <f t="shared" ca="1" si="91"/>
        <v>0</v>
      </c>
      <c r="AW122" s="333">
        <f t="shared" ca="1" si="69"/>
        <v>0</v>
      </c>
      <c r="AX122" s="333">
        <f t="shared" ca="1" si="70"/>
        <v>0</v>
      </c>
      <c r="AY122" s="333">
        <f t="shared" ca="1" si="71"/>
        <v>0</v>
      </c>
      <c r="AZ122" s="341">
        <f t="shared" ca="1" si="25"/>
        <v>2.5</v>
      </c>
      <c r="BA122" s="341">
        <f t="shared" ca="1" si="26"/>
        <v>1</v>
      </c>
      <c r="BB122" s="341">
        <f t="shared" ca="1" si="27"/>
        <v>0</v>
      </c>
      <c r="BC122" s="341">
        <f t="shared" ca="1" si="28"/>
        <v>0</v>
      </c>
      <c r="BD122" s="341">
        <f t="shared" ca="1" si="29"/>
        <v>0</v>
      </c>
      <c r="BE122" s="341">
        <f t="shared" ca="1" si="30"/>
        <v>0</v>
      </c>
      <c r="BF122" s="341">
        <f t="shared" ca="1" si="31"/>
        <v>0</v>
      </c>
      <c r="BG122" s="441">
        <f t="shared" ca="1" si="32"/>
        <v>0</v>
      </c>
      <c r="BH122" s="441">
        <f t="shared" ca="1" si="33"/>
        <v>0</v>
      </c>
      <c r="BI122" s="441">
        <f t="shared" ca="1" si="34"/>
        <v>0</v>
      </c>
      <c r="BJ122" s="441">
        <f t="shared" ca="1" si="35"/>
        <v>0</v>
      </c>
      <c r="BK122" s="441">
        <f t="shared" ca="1" si="36"/>
        <v>0</v>
      </c>
      <c r="BL122" s="341">
        <f t="shared" ca="1" si="37"/>
        <v>0</v>
      </c>
      <c r="BM122" s="341">
        <f t="shared" ca="1" si="38"/>
        <v>0</v>
      </c>
      <c r="BN122" s="341">
        <f t="shared" ca="1" si="39"/>
        <v>0</v>
      </c>
      <c r="BO122" s="341">
        <f t="shared" ca="1" si="40"/>
        <v>0</v>
      </c>
      <c r="BP122" s="341">
        <f t="shared" ca="1" si="41"/>
        <v>0</v>
      </c>
      <c r="BQ122" s="341">
        <f t="shared" ca="1" si="42"/>
        <v>2.5</v>
      </c>
      <c r="BR122" s="341" t="str">
        <f t="shared" ca="1" si="72"/>
        <v>BP2</v>
      </c>
      <c r="BS122" s="357" t="str">
        <f t="shared" ca="1" si="73"/>
        <v>BP2</v>
      </c>
      <c r="BT122" s="358">
        <f t="shared" si="48"/>
        <v>50</v>
      </c>
      <c r="BU122" s="358">
        <f t="shared" ca="1" si="45"/>
        <v>0</v>
      </c>
      <c r="BV122" s="358">
        <f t="shared" ca="1" si="46"/>
        <v>0</v>
      </c>
      <c r="BW122" s="341"/>
      <c r="BX122" s="341"/>
      <c r="BY122" s="341"/>
      <c r="BZ122" s="341"/>
      <c r="CA122" s="127"/>
      <c r="CB122" s="127"/>
    </row>
    <row r="123" spans="1:80" x14ac:dyDescent="0.25">
      <c r="A123" s="136"/>
      <c r="B123" s="728"/>
      <c r="C123" s="678"/>
      <c r="D123" s="678"/>
      <c r="E123" s="729" t="s">
        <v>196</v>
      </c>
      <c r="F123" s="678"/>
      <c r="G123" s="678"/>
      <c r="H123" s="12">
        <v>0</v>
      </c>
      <c r="I123" s="12">
        <v>0</v>
      </c>
      <c r="J123" s="12">
        <v>0</v>
      </c>
      <c r="K123" s="10" t="s">
        <v>512</v>
      </c>
      <c r="L123" s="244" t="s">
        <v>514</v>
      </c>
      <c r="M123" s="244" t="s">
        <v>458</v>
      </c>
      <c r="N123" s="244" t="s">
        <v>458</v>
      </c>
      <c r="O123" s="12" t="s">
        <v>396</v>
      </c>
      <c r="P123" s="234">
        <v>0</v>
      </c>
      <c r="Q123" s="13">
        <v>0.125</v>
      </c>
      <c r="R123" s="14" t="s">
        <v>28</v>
      </c>
      <c r="S123" s="237">
        <v>1</v>
      </c>
      <c r="T123" s="10">
        <v>0</v>
      </c>
      <c r="U123" s="548">
        <f t="shared" si="86"/>
        <v>0</v>
      </c>
      <c r="V123" s="484">
        <f t="shared" ca="1" si="87"/>
        <v>0</v>
      </c>
      <c r="W123" s="484">
        <f t="shared" ca="1" si="2"/>
        <v>0</v>
      </c>
      <c r="X123" s="485">
        <f t="shared" ca="1" si="51"/>
        <v>0</v>
      </c>
      <c r="Y123" s="450" t="s">
        <v>458</v>
      </c>
      <c r="Z123" s="370"/>
      <c r="AA123" s="371" t="s">
        <v>458</v>
      </c>
      <c r="AB123" s="370"/>
      <c r="AC123" s="449"/>
      <c r="AD123" s="489">
        <f t="shared" si="88"/>
        <v>0</v>
      </c>
      <c r="AE123" s="341">
        <f t="shared" si="5"/>
        <v>212</v>
      </c>
      <c r="AF123" s="341">
        <f t="shared" si="6"/>
        <v>0</v>
      </c>
      <c r="AG123" s="341">
        <f t="shared" ca="1" si="53"/>
        <v>0</v>
      </c>
      <c r="AH123" s="341">
        <f t="shared" ca="1" si="54"/>
        <v>0</v>
      </c>
      <c r="AI123" s="341">
        <f t="shared" ca="1" si="55"/>
        <v>0</v>
      </c>
      <c r="AJ123" s="341">
        <f t="shared" ca="1" si="56"/>
        <v>0</v>
      </c>
      <c r="AK123" s="341">
        <f t="shared" ca="1" si="57"/>
        <v>0</v>
      </c>
      <c r="AL123" s="341">
        <f t="shared" ca="1" si="89"/>
        <v>0</v>
      </c>
      <c r="AM123" s="341">
        <f t="shared" ca="1" si="59"/>
        <v>0</v>
      </c>
      <c r="AN123" s="341">
        <f t="shared" ca="1" si="60"/>
        <v>0</v>
      </c>
      <c r="AO123" s="341">
        <f t="shared" ca="1" si="61"/>
        <v>0</v>
      </c>
      <c r="AP123" s="341">
        <f t="shared" ca="1" si="62"/>
        <v>0</v>
      </c>
      <c r="AQ123" s="341">
        <f t="shared" ca="1" si="63"/>
        <v>0</v>
      </c>
      <c r="AR123" s="341">
        <f t="shared" ca="1" si="64"/>
        <v>0</v>
      </c>
      <c r="AS123" s="341">
        <f t="shared" ca="1" si="65"/>
        <v>0</v>
      </c>
      <c r="AT123" s="341">
        <f t="shared" ca="1" si="66"/>
        <v>0</v>
      </c>
      <c r="AU123" s="341">
        <f t="shared" ca="1" si="90"/>
        <v>0</v>
      </c>
      <c r="AV123" s="341">
        <f t="shared" ca="1" si="91"/>
        <v>0</v>
      </c>
      <c r="AW123" s="333">
        <f t="shared" ca="1" si="69"/>
        <v>0</v>
      </c>
      <c r="AX123" s="333">
        <f t="shared" ca="1" si="70"/>
        <v>0</v>
      </c>
      <c r="AY123" s="333">
        <f t="shared" ca="1" si="71"/>
        <v>0</v>
      </c>
      <c r="AZ123" s="341">
        <f t="shared" ca="1" si="25"/>
        <v>2.5</v>
      </c>
      <c r="BA123" s="341">
        <f t="shared" ca="1" si="26"/>
        <v>1</v>
      </c>
      <c r="BB123" s="341">
        <f t="shared" ca="1" si="27"/>
        <v>0</v>
      </c>
      <c r="BC123" s="341">
        <f t="shared" ca="1" si="28"/>
        <v>0</v>
      </c>
      <c r="BD123" s="341">
        <f t="shared" ca="1" si="29"/>
        <v>0</v>
      </c>
      <c r="BE123" s="341">
        <f t="shared" ca="1" si="30"/>
        <v>0</v>
      </c>
      <c r="BF123" s="341">
        <f t="shared" ca="1" si="31"/>
        <v>0</v>
      </c>
      <c r="BG123" s="441">
        <f t="shared" ca="1" si="32"/>
        <v>0</v>
      </c>
      <c r="BH123" s="441">
        <f t="shared" ca="1" si="33"/>
        <v>0</v>
      </c>
      <c r="BI123" s="441">
        <f t="shared" ca="1" si="34"/>
        <v>0</v>
      </c>
      <c r="BJ123" s="441">
        <f t="shared" ca="1" si="35"/>
        <v>0</v>
      </c>
      <c r="BK123" s="441">
        <f t="shared" ca="1" si="36"/>
        <v>0</v>
      </c>
      <c r="BL123" s="341">
        <f t="shared" ca="1" si="37"/>
        <v>0</v>
      </c>
      <c r="BM123" s="341">
        <f t="shared" ca="1" si="38"/>
        <v>0</v>
      </c>
      <c r="BN123" s="341">
        <f t="shared" ca="1" si="39"/>
        <v>0</v>
      </c>
      <c r="BO123" s="341">
        <f t="shared" ca="1" si="40"/>
        <v>0</v>
      </c>
      <c r="BP123" s="341">
        <f t="shared" ca="1" si="41"/>
        <v>0</v>
      </c>
      <c r="BQ123" s="341">
        <f t="shared" ca="1" si="42"/>
        <v>2.5</v>
      </c>
      <c r="BR123" s="341" t="str">
        <f t="shared" ca="1" si="72"/>
        <v>BP2</v>
      </c>
      <c r="BS123" s="357" t="str">
        <f t="shared" ca="1" si="73"/>
        <v>BP2</v>
      </c>
      <c r="BT123" s="358">
        <f t="shared" si="48"/>
        <v>50</v>
      </c>
      <c r="BU123" s="358">
        <f t="shared" ca="1" si="45"/>
        <v>0</v>
      </c>
      <c r="BV123" s="358">
        <f t="shared" ca="1" si="46"/>
        <v>0</v>
      </c>
      <c r="BW123" s="341"/>
      <c r="BX123" s="341"/>
      <c r="BY123" s="341"/>
      <c r="BZ123" s="341"/>
      <c r="CA123" s="127"/>
      <c r="CB123" s="127"/>
    </row>
    <row r="124" spans="1:80" x14ac:dyDescent="0.25">
      <c r="A124" s="136"/>
      <c r="B124" s="728"/>
      <c r="C124" s="678"/>
      <c r="D124" s="678"/>
      <c r="E124" s="729" t="s">
        <v>196</v>
      </c>
      <c r="F124" s="678"/>
      <c r="G124" s="678"/>
      <c r="H124" s="12">
        <v>0</v>
      </c>
      <c r="I124" s="12">
        <v>0</v>
      </c>
      <c r="J124" s="12">
        <v>0</v>
      </c>
      <c r="K124" s="10" t="s">
        <v>512</v>
      </c>
      <c r="L124" s="244" t="s">
        <v>514</v>
      </c>
      <c r="M124" s="244" t="s">
        <v>458</v>
      </c>
      <c r="N124" s="244" t="s">
        <v>458</v>
      </c>
      <c r="O124" s="12" t="s">
        <v>396</v>
      </c>
      <c r="P124" s="234">
        <v>0</v>
      </c>
      <c r="Q124" s="13">
        <v>0.125</v>
      </c>
      <c r="R124" s="14" t="s">
        <v>28</v>
      </c>
      <c r="S124" s="237">
        <v>1</v>
      </c>
      <c r="T124" s="10">
        <v>0</v>
      </c>
      <c r="U124" s="548">
        <f t="shared" si="86"/>
        <v>0</v>
      </c>
      <c r="V124" s="484">
        <f t="shared" ca="1" si="87"/>
        <v>0</v>
      </c>
      <c r="W124" s="484">
        <f t="shared" ca="1" si="2"/>
        <v>0</v>
      </c>
      <c r="X124" s="485">
        <f t="shared" ca="1" si="51"/>
        <v>0</v>
      </c>
      <c r="Y124" s="450" t="s">
        <v>458</v>
      </c>
      <c r="Z124" s="370"/>
      <c r="AA124" s="371" t="s">
        <v>458</v>
      </c>
      <c r="AB124" s="370"/>
      <c r="AC124" s="449"/>
      <c r="AD124" s="489">
        <f t="shared" si="88"/>
        <v>0</v>
      </c>
      <c r="AE124" s="341">
        <f t="shared" si="5"/>
        <v>212</v>
      </c>
      <c r="AF124" s="341">
        <f t="shared" si="6"/>
        <v>0</v>
      </c>
      <c r="AG124" s="341">
        <f t="shared" ca="1" si="53"/>
        <v>0</v>
      </c>
      <c r="AH124" s="341">
        <f t="shared" ca="1" si="54"/>
        <v>0</v>
      </c>
      <c r="AI124" s="341">
        <f t="shared" ca="1" si="55"/>
        <v>0</v>
      </c>
      <c r="AJ124" s="341">
        <f t="shared" ca="1" si="56"/>
        <v>0</v>
      </c>
      <c r="AK124" s="341">
        <f t="shared" ca="1" si="57"/>
        <v>0</v>
      </c>
      <c r="AL124" s="341">
        <f t="shared" ca="1" si="89"/>
        <v>0</v>
      </c>
      <c r="AM124" s="341">
        <f t="shared" ca="1" si="59"/>
        <v>0</v>
      </c>
      <c r="AN124" s="341">
        <f t="shared" ca="1" si="60"/>
        <v>0</v>
      </c>
      <c r="AO124" s="341">
        <f t="shared" ca="1" si="61"/>
        <v>0</v>
      </c>
      <c r="AP124" s="341">
        <f t="shared" ca="1" si="62"/>
        <v>0</v>
      </c>
      <c r="AQ124" s="341">
        <f t="shared" ca="1" si="63"/>
        <v>0</v>
      </c>
      <c r="AR124" s="341">
        <f t="shared" ca="1" si="64"/>
        <v>0</v>
      </c>
      <c r="AS124" s="341">
        <f t="shared" ca="1" si="65"/>
        <v>0</v>
      </c>
      <c r="AT124" s="341">
        <f t="shared" ca="1" si="66"/>
        <v>0</v>
      </c>
      <c r="AU124" s="341">
        <f t="shared" ca="1" si="90"/>
        <v>0</v>
      </c>
      <c r="AV124" s="341">
        <f t="shared" ca="1" si="91"/>
        <v>0</v>
      </c>
      <c r="AW124" s="333">
        <f t="shared" ca="1" si="69"/>
        <v>0</v>
      </c>
      <c r="AX124" s="333">
        <f t="shared" ca="1" si="70"/>
        <v>0</v>
      </c>
      <c r="AY124" s="333">
        <f t="shared" ca="1" si="71"/>
        <v>0</v>
      </c>
      <c r="AZ124" s="341">
        <f t="shared" ca="1" si="25"/>
        <v>2.5</v>
      </c>
      <c r="BA124" s="341">
        <f t="shared" ca="1" si="26"/>
        <v>1</v>
      </c>
      <c r="BB124" s="341">
        <f t="shared" ca="1" si="27"/>
        <v>0</v>
      </c>
      <c r="BC124" s="341">
        <f t="shared" ca="1" si="28"/>
        <v>0</v>
      </c>
      <c r="BD124" s="341">
        <f t="shared" ca="1" si="29"/>
        <v>0</v>
      </c>
      <c r="BE124" s="341">
        <f t="shared" ca="1" si="30"/>
        <v>0</v>
      </c>
      <c r="BF124" s="341">
        <f t="shared" ca="1" si="31"/>
        <v>0</v>
      </c>
      <c r="BG124" s="441">
        <f t="shared" ca="1" si="32"/>
        <v>0</v>
      </c>
      <c r="BH124" s="441">
        <f t="shared" ca="1" si="33"/>
        <v>0</v>
      </c>
      <c r="BI124" s="441">
        <f t="shared" ca="1" si="34"/>
        <v>0</v>
      </c>
      <c r="BJ124" s="441">
        <f t="shared" ca="1" si="35"/>
        <v>0</v>
      </c>
      <c r="BK124" s="441">
        <f t="shared" ca="1" si="36"/>
        <v>0</v>
      </c>
      <c r="BL124" s="341">
        <f t="shared" ca="1" si="37"/>
        <v>0</v>
      </c>
      <c r="BM124" s="341">
        <f t="shared" ca="1" si="38"/>
        <v>0</v>
      </c>
      <c r="BN124" s="341">
        <f t="shared" ca="1" si="39"/>
        <v>0</v>
      </c>
      <c r="BO124" s="341">
        <f t="shared" ca="1" si="40"/>
        <v>0</v>
      </c>
      <c r="BP124" s="341">
        <f t="shared" ca="1" si="41"/>
        <v>0</v>
      </c>
      <c r="BQ124" s="341">
        <f t="shared" ca="1" si="42"/>
        <v>2.5</v>
      </c>
      <c r="BR124" s="341" t="str">
        <f t="shared" ca="1" si="72"/>
        <v>BP2</v>
      </c>
      <c r="BS124" s="357" t="str">
        <f t="shared" ca="1" si="73"/>
        <v>BP2</v>
      </c>
      <c r="BT124" s="358">
        <f t="shared" si="48"/>
        <v>50</v>
      </c>
      <c r="BU124" s="358">
        <f t="shared" ca="1" si="45"/>
        <v>0</v>
      </c>
      <c r="BV124" s="358">
        <f t="shared" ca="1" si="46"/>
        <v>0</v>
      </c>
      <c r="BW124" s="341"/>
      <c r="BX124" s="341"/>
      <c r="BY124" s="341"/>
      <c r="BZ124" s="341"/>
      <c r="CA124" s="127"/>
      <c r="CB124" s="127"/>
    </row>
    <row r="125" spans="1:80" x14ac:dyDescent="0.25">
      <c r="A125" s="136"/>
      <c r="B125" s="728"/>
      <c r="C125" s="678"/>
      <c r="D125" s="678"/>
      <c r="E125" s="729" t="s">
        <v>196</v>
      </c>
      <c r="F125" s="678"/>
      <c r="G125" s="678"/>
      <c r="H125" s="12">
        <v>0</v>
      </c>
      <c r="I125" s="12">
        <v>0</v>
      </c>
      <c r="J125" s="12">
        <v>0</v>
      </c>
      <c r="K125" s="10" t="s">
        <v>512</v>
      </c>
      <c r="L125" s="244" t="s">
        <v>514</v>
      </c>
      <c r="M125" s="244" t="s">
        <v>458</v>
      </c>
      <c r="N125" s="244" t="s">
        <v>458</v>
      </c>
      <c r="O125" s="12" t="s">
        <v>396</v>
      </c>
      <c r="P125" s="234">
        <v>0</v>
      </c>
      <c r="Q125" s="13">
        <v>0.125</v>
      </c>
      <c r="R125" s="14" t="s">
        <v>28</v>
      </c>
      <c r="S125" s="237">
        <v>1</v>
      </c>
      <c r="T125" s="10">
        <v>0</v>
      </c>
      <c r="U125" s="548">
        <f t="shared" si="86"/>
        <v>0</v>
      </c>
      <c r="V125" s="484">
        <f t="shared" ca="1" si="87"/>
        <v>0</v>
      </c>
      <c r="W125" s="484">
        <f t="shared" ca="1" si="2"/>
        <v>0</v>
      </c>
      <c r="X125" s="485">
        <f t="shared" ca="1" si="51"/>
        <v>0</v>
      </c>
      <c r="Y125" s="450" t="s">
        <v>458</v>
      </c>
      <c r="Z125" s="370"/>
      <c r="AA125" s="371" t="s">
        <v>458</v>
      </c>
      <c r="AB125" s="370"/>
      <c r="AC125" s="449"/>
      <c r="AD125" s="489">
        <f t="shared" si="88"/>
        <v>0</v>
      </c>
      <c r="AE125" s="341">
        <f t="shared" si="5"/>
        <v>212</v>
      </c>
      <c r="AF125" s="341">
        <f t="shared" si="6"/>
        <v>0</v>
      </c>
      <c r="AG125" s="341">
        <f t="shared" ca="1" si="53"/>
        <v>0</v>
      </c>
      <c r="AH125" s="341">
        <f t="shared" ca="1" si="54"/>
        <v>0</v>
      </c>
      <c r="AI125" s="341">
        <f t="shared" ca="1" si="55"/>
        <v>0</v>
      </c>
      <c r="AJ125" s="341">
        <f t="shared" ca="1" si="56"/>
        <v>0</v>
      </c>
      <c r="AK125" s="341">
        <f t="shared" ca="1" si="57"/>
        <v>0</v>
      </c>
      <c r="AL125" s="341">
        <f t="shared" ca="1" si="89"/>
        <v>0</v>
      </c>
      <c r="AM125" s="341">
        <f t="shared" ca="1" si="59"/>
        <v>0</v>
      </c>
      <c r="AN125" s="341">
        <f t="shared" ca="1" si="60"/>
        <v>0</v>
      </c>
      <c r="AO125" s="341">
        <f t="shared" ca="1" si="61"/>
        <v>0</v>
      </c>
      <c r="AP125" s="341">
        <f t="shared" ca="1" si="62"/>
        <v>0</v>
      </c>
      <c r="AQ125" s="341">
        <f t="shared" ca="1" si="63"/>
        <v>0</v>
      </c>
      <c r="AR125" s="341">
        <f t="shared" ca="1" si="64"/>
        <v>0</v>
      </c>
      <c r="AS125" s="341">
        <f t="shared" ca="1" si="65"/>
        <v>0</v>
      </c>
      <c r="AT125" s="341">
        <f t="shared" ca="1" si="66"/>
        <v>0</v>
      </c>
      <c r="AU125" s="341">
        <f t="shared" ca="1" si="90"/>
        <v>0</v>
      </c>
      <c r="AV125" s="341">
        <f t="shared" ca="1" si="91"/>
        <v>0</v>
      </c>
      <c r="AW125" s="333">
        <f t="shared" ca="1" si="69"/>
        <v>0</v>
      </c>
      <c r="AX125" s="333">
        <f t="shared" ca="1" si="70"/>
        <v>0</v>
      </c>
      <c r="AY125" s="333">
        <f t="shared" ca="1" si="71"/>
        <v>0</v>
      </c>
      <c r="AZ125" s="341">
        <f t="shared" ca="1" si="25"/>
        <v>2.5</v>
      </c>
      <c r="BA125" s="341">
        <f t="shared" ca="1" si="26"/>
        <v>1</v>
      </c>
      <c r="BB125" s="341">
        <f t="shared" ca="1" si="27"/>
        <v>0</v>
      </c>
      <c r="BC125" s="341">
        <f t="shared" ca="1" si="28"/>
        <v>0</v>
      </c>
      <c r="BD125" s="341">
        <f t="shared" ca="1" si="29"/>
        <v>0</v>
      </c>
      <c r="BE125" s="341">
        <f t="shared" ca="1" si="30"/>
        <v>0</v>
      </c>
      <c r="BF125" s="341">
        <f t="shared" ca="1" si="31"/>
        <v>0</v>
      </c>
      <c r="BG125" s="441">
        <f t="shared" ca="1" si="32"/>
        <v>0</v>
      </c>
      <c r="BH125" s="441">
        <f t="shared" ca="1" si="33"/>
        <v>0</v>
      </c>
      <c r="BI125" s="441">
        <f t="shared" ca="1" si="34"/>
        <v>0</v>
      </c>
      <c r="BJ125" s="441">
        <f t="shared" ca="1" si="35"/>
        <v>0</v>
      </c>
      <c r="BK125" s="441">
        <f t="shared" ca="1" si="36"/>
        <v>0</v>
      </c>
      <c r="BL125" s="341">
        <f t="shared" ca="1" si="37"/>
        <v>0</v>
      </c>
      <c r="BM125" s="341">
        <f t="shared" ca="1" si="38"/>
        <v>0</v>
      </c>
      <c r="BN125" s="341">
        <f t="shared" ca="1" si="39"/>
        <v>0</v>
      </c>
      <c r="BO125" s="341">
        <f t="shared" ca="1" si="40"/>
        <v>0</v>
      </c>
      <c r="BP125" s="341">
        <f t="shared" ca="1" si="41"/>
        <v>0</v>
      </c>
      <c r="BQ125" s="341">
        <f t="shared" ca="1" si="42"/>
        <v>2.5</v>
      </c>
      <c r="BR125" s="341" t="str">
        <f t="shared" ca="1" si="72"/>
        <v>BP2</v>
      </c>
      <c r="BS125" s="357" t="str">
        <f t="shared" ca="1" si="73"/>
        <v>BP2</v>
      </c>
      <c r="BT125" s="358">
        <f t="shared" si="48"/>
        <v>50</v>
      </c>
      <c r="BU125" s="358">
        <f t="shared" ca="1" si="45"/>
        <v>0</v>
      </c>
      <c r="BV125" s="358">
        <f t="shared" ca="1" si="46"/>
        <v>0</v>
      </c>
      <c r="BW125" s="341"/>
      <c r="BX125" s="341"/>
      <c r="BY125" s="341"/>
      <c r="BZ125" s="341"/>
      <c r="CA125" s="127"/>
      <c r="CB125" s="127"/>
    </row>
    <row r="126" spans="1:80" ht="13.8" thickBot="1" x14ac:dyDescent="0.3">
      <c r="A126" s="136"/>
      <c r="B126" s="784"/>
      <c r="C126" s="785"/>
      <c r="D126" s="785"/>
      <c r="E126" s="784" t="s">
        <v>196</v>
      </c>
      <c r="F126" s="785"/>
      <c r="G126" s="785"/>
      <c r="H126" s="224">
        <v>0</v>
      </c>
      <c r="I126" s="224">
        <v>0</v>
      </c>
      <c r="J126" s="224">
        <v>0</v>
      </c>
      <c r="K126" s="225" t="s">
        <v>512</v>
      </c>
      <c r="L126" s="245" t="s">
        <v>514</v>
      </c>
      <c r="M126" s="245" t="s">
        <v>458</v>
      </c>
      <c r="N126" s="245" t="s">
        <v>458</v>
      </c>
      <c r="O126" s="232" t="s">
        <v>396</v>
      </c>
      <c r="P126" s="235">
        <v>0</v>
      </c>
      <c r="Q126" s="226">
        <v>0.125</v>
      </c>
      <c r="R126" s="227" t="s">
        <v>28</v>
      </c>
      <c r="S126" s="238">
        <v>1</v>
      </c>
      <c r="T126" s="225">
        <v>0</v>
      </c>
      <c r="U126" s="549">
        <f t="shared" si="86"/>
        <v>0</v>
      </c>
      <c r="V126" s="486">
        <f t="shared" ca="1" si="87"/>
        <v>0</v>
      </c>
      <c r="W126" s="486">
        <f t="shared" ca="1" si="2"/>
        <v>0</v>
      </c>
      <c r="X126" s="487">
        <f t="shared" ca="1" si="51"/>
        <v>0</v>
      </c>
      <c r="Y126" s="451" t="s">
        <v>458</v>
      </c>
      <c r="Z126" s="452"/>
      <c r="AA126" s="453" t="s">
        <v>458</v>
      </c>
      <c r="AB126" s="452"/>
      <c r="AC126" s="454"/>
      <c r="AD126" s="490">
        <f t="shared" si="88"/>
        <v>0</v>
      </c>
      <c r="AE126" s="341">
        <f t="shared" si="5"/>
        <v>212</v>
      </c>
      <c r="AF126" s="341">
        <f t="shared" si="6"/>
        <v>0</v>
      </c>
      <c r="AG126" s="341">
        <f t="shared" ca="1" si="53"/>
        <v>0</v>
      </c>
      <c r="AH126" s="341">
        <f t="shared" ca="1" si="54"/>
        <v>0</v>
      </c>
      <c r="AI126" s="341">
        <f t="shared" ca="1" si="55"/>
        <v>0</v>
      </c>
      <c r="AJ126" s="341">
        <f t="shared" ca="1" si="56"/>
        <v>0</v>
      </c>
      <c r="AK126" s="341">
        <f t="shared" ca="1" si="57"/>
        <v>0</v>
      </c>
      <c r="AL126" s="341">
        <f t="shared" ca="1" si="89"/>
        <v>0</v>
      </c>
      <c r="AM126" s="341">
        <f t="shared" ca="1" si="59"/>
        <v>0</v>
      </c>
      <c r="AN126" s="341">
        <f t="shared" ca="1" si="60"/>
        <v>0</v>
      </c>
      <c r="AO126" s="341">
        <f t="shared" ca="1" si="61"/>
        <v>0</v>
      </c>
      <c r="AP126" s="341">
        <f t="shared" ca="1" si="62"/>
        <v>0</v>
      </c>
      <c r="AQ126" s="341">
        <f t="shared" ca="1" si="63"/>
        <v>0</v>
      </c>
      <c r="AR126" s="341">
        <f t="shared" ca="1" si="64"/>
        <v>0</v>
      </c>
      <c r="AS126" s="341">
        <f t="shared" ca="1" si="65"/>
        <v>0</v>
      </c>
      <c r="AT126" s="341">
        <f t="shared" ca="1" si="66"/>
        <v>0</v>
      </c>
      <c r="AU126" s="341">
        <f t="shared" ca="1" si="90"/>
        <v>0</v>
      </c>
      <c r="AV126" s="341">
        <f t="shared" ca="1" si="91"/>
        <v>0</v>
      </c>
      <c r="AW126" s="333">
        <f t="shared" ca="1" si="69"/>
        <v>0</v>
      </c>
      <c r="AX126" s="333">
        <f t="shared" ca="1" si="70"/>
        <v>0</v>
      </c>
      <c r="AY126" s="333">
        <f t="shared" ca="1" si="71"/>
        <v>0</v>
      </c>
      <c r="AZ126" s="341">
        <f t="shared" ca="1" si="25"/>
        <v>2.5</v>
      </c>
      <c r="BA126" s="341">
        <f t="shared" ca="1" si="26"/>
        <v>1</v>
      </c>
      <c r="BB126" s="341">
        <f t="shared" ca="1" si="27"/>
        <v>0</v>
      </c>
      <c r="BC126" s="341">
        <f t="shared" ca="1" si="28"/>
        <v>0</v>
      </c>
      <c r="BD126" s="341">
        <f t="shared" ca="1" si="29"/>
        <v>0</v>
      </c>
      <c r="BE126" s="341">
        <f t="shared" ca="1" si="30"/>
        <v>0</v>
      </c>
      <c r="BF126" s="341">
        <f t="shared" ca="1" si="31"/>
        <v>0</v>
      </c>
      <c r="BG126" s="441">
        <f t="shared" ca="1" si="32"/>
        <v>0</v>
      </c>
      <c r="BH126" s="441">
        <f t="shared" ca="1" si="33"/>
        <v>0</v>
      </c>
      <c r="BI126" s="441">
        <f t="shared" ca="1" si="34"/>
        <v>0</v>
      </c>
      <c r="BJ126" s="441">
        <f t="shared" ca="1" si="35"/>
        <v>0</v>
      </c>
      <c r="BK126" s="441">
        <f t="shared" ca="1" si="36"/>
        <v>0</v>
      </c>
      <c r="BL126" s="341">
        <f t="shared" ca="1" si="37"/>
        <v>0</v>
      </c>
      <c r="BM126" s="341">
        <f t="shared" ca="1" si="38"/>
        <v>0</v>
      </c>
      <c r="BN126" s="341">
        <f t="shared" ca="1" si="39"/>
        <v>0</v>
      </c>
      <c r="BO126" s="341">
        <f t="shared" ca="1" si="40"/>
        <v>0</v>
      </c>
      <c r="BP126" s="341">
        <f t="shared" ca="1" si="41"/>
        <v>0</v>
      </c>
      <c r="BQ126" s="341">
        <f t="shared" ca="1" si="42"/>
        <v>2.5</v>
      </c>
      <c r="BR126" s="341" t="str">
        <f t="shared" ca="1" si="72"/>
        <v>BP2</v>
      </c>
      <c r="BS126" s="357" t="str">
        <f t="shared" ca="1" si="73"/>
        <v>BP2</v>
      </c>
      <c r="BT126" s="358">
        <f t="shared" si="48"/>
        <v>50</v>
      </c>
      <c r="BU126" s="358">
        <f t="shared" ca="1" si="45"/>
        <v>0</v>
      </c>
      <c r="BV126" s="358">
        <f t="shared" ca="1" si="46"/>
        <v>0</v>
      </c>
      <c r="BW126" s="341"/>
      <c r="BX126" s="341"/>
      <c r="BY126" s="341"/>
      <c r="BZ126" s="341"/>
      <c r="CA126" s="127"/>
      <c r="CB126" s="127"/>
    </row>
    <row r="127" spans="1:80" ht="15.75" customHeight="1" thickBot="1" x14ac:dyDescent="0.3">
      <c r="A127" s="136"/>
      <c r="B127" s="136">
        <f>ROW(IOROWS)-17</f>
        <v>110</v>
      </c>
      <c r="C127" s="136"/>
      <c r="D127" s="136"/>
      <c r="E127" s="136"/>
      <c r="F127" s="780" t="s">
        <v>1291</v>
      </c>
      <c r="G127" s="781"/>
      <c r="H127" s="228">
        <f t="array" ref="H127">SUM(IF("(pair)"=RIGHT($E17:$E126,6),H17:H126*2,H17:H126))</f>
        <v>20</v>
      </c>
      <c r="I127" s="229">
        <f t="array" ref="I127">SUM(IF("(pair)"=RIGHT($E17:$E126,6),I17:I126*2,I17:I126))</f>
        <v>44</v>
      </c>
      <c r="J127" s="230">
        <f t="array" ref="J127">SUM(IF("(pair)"=RIGHT($E17:$E126,6),J17:J126*2,J17:J126))</f>
        <v>0</v>
      </c>
      <c r="K127" s="127"/>
      <c r="L127" s="151"/>
      <c r="M127" s="136"/>
      <c r="N127" s="136"/>
      <c r="O127" s="136"/>
      <c r="P127" s="136"/>
      <c r="Q127" s="136"/>
      <c r="R127" s="136"/>
      <c r="S127" s="127"/>
      <c r="T127" s="223"/>
      <c r="U127" s="154"/>
      <c r="V127" s="154">
        <f ca="1">SUM(V17:V126)</f>
        <v>1.9269503999999996E-2</v>
      </c>
      <c r="W127" s="154">
        <f ca="1">SUM(W17:W126)</f>
        <v>0.12913729242857139</v>
      </c>
      <c r="X127" s="154">
        <f ca="1">SUM(X17:X126)</f>
        <v>0.19184000000000001</v>
      </c>
      <c r="Y127" s="154"/>
      <c r="Z127" s="154"/>
      <c r="AA127" s="154"/>
      <c r="AB127" s="154"/>
      <c r="AC127" s="154"/>
      <c r="AD127" s="154"/>
      <c r="AE127" s="341"/>
      <c r="AF127" s="341"/>
      <c r="AG127" s="341"/>
      <c r="AH127" s="341"/>
      <c r="AI127" s="341"/>
      <c r="AJ127" s="341"/>
      <c r="AK127" s="341"/>
      <c r="AL127" s="341"/>
      <c r="AM127" s="341"/>
      <c r="AN127" s="341"/>
      <c r="AO127" s="341"/>
      <c r="AP127" s="341"/>
      <c r="AQ127" s="341"/>
      <c r="AR127" s="341"/>
      <c r="AS127" s="341"/>
      <c r="AT127" s="341"/>
      <c r="AU127" s="341"/>
      <c r="AV127" s="341"/>
      <c r="AW127" s="341"/>
      <c r="AX127" s="341"/>
      <c r="AY127" s="341"/>
      <c r="AZ127" s="341"/>
      <c r="BA127" s="341"/>
      <c r="BB127" s="341"/>
      <c r="BC127" s="341"/>
      <c r="BD127" s="341"/>
      <c r="BE127" s="341"/>
      <c r="BF127" s="341"/>
      <c r="BG127" s="441"/>
      <c r="BH127" s="441"/>
      <c r="BI127" s="441"/>
      <c r="BJ127" s="441"/>
      <c r="BK127" s="441"/>
      <c r="BL127" s="341"/>
      <c r="BM127" s="341"/>
      <c r="BN127" s="341"/>
      <c r="BO127" s="341"/>
      <c r="BP127" s="341"/>
      <c r="BQ127" s="341"/>
      <c r="BR127" s="341"/>
      <c r="BS127" s="341"/>
      <c r="BT127" s="341"/>
      <c r="BU127" s="341"/>
      <c r="BV127" s="341"/>
      <c r="BW127" s="364"/>
      <c r="BX127" s="364"/>
      <c r="BY127" s="364"/>
      <c r="BZ127" s="364"/>
    </row>
    <row r="128" spans="1:80" x14ac:dyDescent="0.25">
      <c r="A128" s="136"/>
      <c r="B128" s="136"/>
      <c r="C128" s="136"/>
      <c r="D128" s="136"/>
      <c r="E128" s="136"/>
      <c r="F128" s="136"/>
      <c r="G128" s="136"/>
      <c r="H128" s="136"/>
      <c r="I128" s="136"/>
      <c r="J128" s="136"/>
      <c r="K128" s="136"/>
      <c r="L128" s="136"/>
      <c r="M128" s="136"/>
      <c r="N128" s="136"/>
      <c r="O128" s="136"/>
      <c r="P128" s="136"/>
      <c r="Q128" s="136"/>
      <c r="R128" s="136"/>
      <c r="S128" s="136"/>
      <c r="T128" s="136"/>
      <c r="U128" s="136"/>
      <c r="V128" s="136"/>
      <c r="W128" s="152"/>
      <c r="X128" s="136"/>
      <c r="Y128" s="136"/>
      <c r="Z128" s="136"/>
      <c r="AA128" s="136"/>
      <c r="AB128" s="136"/>
      <c r="AC128" s="136"/>
      <c r="AD128" s="136"/>
      <c r="AE128" s="333"/>
      <c r="AF128" s="341">
        <f ca="1">SUMIF($AG17:$AG21, OFFSET(IO_STANDARDS,$AG17,1)=2.5,$V17:$V21)</f>
        <v>0</v>
      </c>
      <c r="AG128" s="341"/>
      <c r="AH128" s="341"/>
      <c r="AI128" s="341"/>
      <c r="AJ128" s="341"/>
      <c r="AK128" s="341"/>
      <c r="AL128" s="341"/>
      <c r="AM128" s="341"/>
      <c r="AN128" s="341"/>
      <c r="AO128" s="341"/>
      <c r="AP128" s="341"/>
      <c r="AQ128" s="341"/>
      <c r="AR128" s="341"/>
      <c r="AS128" s="341"/>
      <c r="AT128" s="341"/>
      <c r="AU128" s="341"/>
      <c r="AV128" s="341"/>
      <c r="AW128" s="341"/>
      <c r="AX128" s="341"/>
      <c r="AY128" s="341"/>
      <c r="AZ128" s="341"/>
      <c r="BA128" s="341"/>
      <c r="BB128" s="341"/>
      <c r="BC128" s="341"/>
      <c r="BD128" s="341"/>
      <c r="BE128" s="341"/>
      <c r="BF128" s="341"/>
      <c r="BG128" s="341"/>
      <c r="BH128" s="341"/>
      <c r="BI128" s="341"/>
      <c r="BJ128" s="341"/>
      <c r="BK128" s="341"/>
      <c r="BL128" s="341"/>
      <c r="BM128" s="341"/>
      <c r="BN128" s="341"/>
      <c r="BO128" s="341"/>
      <c r="BP128" s="341"/>
      <c r="BQ128" s="341"/>
      <c r="BR128" s="341"/>
      <c r="BS128" s="341"/>
      <c r="BT128" s="341"/>
      <c r="BU128" s="341"/>
      <c r="BV128" s="341"/>
      <c r="BW128" s="364"/>
      <c r="BX128" s="364"/>
      <c r="BY128" s="364"/>
      <c r="BZ128" s="364"/>
    </row>
    <row r="129" spans="1:78" ht="15" x14ac:dyDescent="0.25">
      <c r="A129" s="136"/>
      <c r="B129" s="136"/>
      <c r="C129" s="136"/>
      <c r="D129" s="136"/>
      <c r="E129" s="136"/>
      <c r="F129" s="136"/>
      <c r="G129" s="136"/>
      <c r="H129" s="783"/>
      <c r="I129" s="783"/>
      <c r="J129" s="153"/>
      <c r="K129" s="136"/>
      <c r="L129" s="136"/>
      <c r="M129" s="782"/>
      <c r="N129" s="673"/>
      <c r="O129" s="673"/>
      <c r="P129" s="127"/>
      <c r="Q129" s="127"/>
      <c r="R129" s="127"/>
      <c r="S129" s="127"/>
      <c r="T129" s="127"/>
      <c r="U129" s="150"/>
      <c r="V129" s="150"/>
      <c r="W129" s="154"/>
      <c r="X129" s="127"/>
      <c r="Y129" s="127"/>
      <c r="Z129" s="127"/>
      <c r="AA129" s="127"/>
      <c r="AB129" s="127"/>
      <c r="AC129" s="127"/>
      <c r="AD129" s="136"/>
      <c r="AE129" s="333"/>
      <c r="AF129" s="341"/>
      <c r="AG129" s="341"/>
      <c r="AH129" s="341"/>
      <c r="AI129" s="341"/>
      <c r="AJ129" s="341"/>
      <c r="AK129" s="341"/>
      <c r="AL129" s="341"/>
      <c r="AM129" s="341"/>
      <c r="AN129" s="341"/>
      <c r="AO129" s="341" t="s">
        <v>83</v>
      </c>
      <c r="AP129" s="341"/>
      <c r="AQ129" s="341"/>
      <c r="AR129" s="341"/>
      <c r="AS129" s="341"/>
      <c r="AT129" s="341"/>
      <c r="AU129" s="341"/>
      <c r="AV129" s="341"/>
      <c r="AW129" s="341"/>
      <c r="AX129" s="341"/>
      <c r="AY129" s="341"/>
      <c r="AZ129" s="341"/>
      <c r="BA129" s="341"/>
      <c r="BB129" s="341"/>
      <c r="BC129" s="341"/>
      <c r="BD129" s="341"/>
      <c r="BE129" s="341"/>
      <c r="BF129" s="341"/>
      <c r="BG129" s="341"/>
      <c r="BH129" s="341"/>
      <c r="BI129" s="341"/>
      <c r="BJ129" s="341"/>
      <c r="BK129" s="341"/>
      <c r="BL129" s="341"/>
      <c r="BM129" s="341"/>
      <c r="BN129" s="341"/>
      <c r="BO129" s="341"/>
      <c r="BP129" s="341"/>
      <c r="BQ129" s="341"/>
      <c r="BR129" s="341"/>
      <c r="BS129" s="341"/>
      <c r="BT129" s="341"/>
      <c r="BU129" s="341"/>
      <c r="BV129" s="341"/>
      <c r="BW129" s="364"/>
      <c r="BX129" s="364"/>
      <c r="BY129" s="364"/>
      <c r="BZ129" s="364"/>
    </row>
    <row r="130" spans="1:78" ht="13.8" hidden="1" thickBot="1" x14ac:dyDescent="0.3">
      <c r="A130" s="136"/>
      <c r="B130" s="136"/>
      <c r="C130" s="136"/>
      <c r="D130" s="136"/>
      <c r="E130" s="13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27"/>
      <c r="AE130" s="341"/>
      <c r="AF130" s="341"/>
      <c r="AG130" s="341"/>
      <c r="AH130" s="341"/>
      <c r="AI130" s="341"/>
      <c r="AJ130" s="341"/>
      <c r="AK130" s="341"/>
      <c r="AL130" s="341"/>
      <c r="AM130" s="341"/>
      <c r="AN130" s="341" t="s">
        <v>521</v>
      </c>
      <c r="AO130" s="341">
        <f t="array" aca="1" ref="AO130" ca="1">SUM(IF(VCCO33=$AZ17:$AZ126,H17:J126,0))</f>
        <v>0</v>
      </c>
      <c r="AP130" s="341"/>
      <c r="AQ130" s="341"/>
      <c r="AR130" s="341"/>
      <c r="AS130" s="341"/>
      <c r="AT130" s="341"/>
      <c r="AU130" s="341"/>
      <c r="AV130" s="341"/>
      <c r="AW130" s="341"/>
      <c r="AX130" s="341"/>
      <c r="AY130" s="341"/>
      <c r="AZ130" s="341"/>
      <c r="BA130" s="341"/>
      <c r="BB130" s="341"/>
      <c r="BC130" s="341"/>
      <c r="BD130" s="341"/>
      <c r="BE130" s="341"/>
      <c r="BF130" s="341"/>
      <c r="BG130" s="341"/>
      <c r="BH130" s="341"/>
      <c r="BI130" s="341"/>
      <c r="BJ130" s="341"/>
      <c r="BK130" s="341"/>
      <c r="BL130" s="341"/>
      <c r="BM130" s="341"/>
      <c r="BN130" s="341"/>
      <c r="BO130" s="341"/>
      <c r="BP130" s="341"/>
      <c r="BQ130" s="341"/>
      <c r="BR130" s="341"/>
      <c r="BS130" s="341"/>
      <c r="BT130" s="341"/>
      <c r="BU130" s="341"/>
      <c r="BV130" s="341"/>
      <c r="BW130" s="364"/>
      <c r="BX130" s="364"/>
      <c r="BY130" s="364"/>
      <c r="BZ130" s="364"/>
    </row>
    <row r="131" spans="1:78" ht="15.6" hidden="1" x14ac:dyDescent="0.25">
      <c r="A131" s="127"/>
      <c r="B131" s="127"/>
      <c r="C131" s="127"/>
      <c r="D131" s="673"/>
      <c r="E131" s="673"/>
      <c r="F131" s="673"/>
      <c r="G131" s="673"/>
      <c r="H131" s="673"/>
      <c r="I131" s="127"/>
      <c r="J131" s="127"/>
      <c r="K131" s="127"/>
      <c r="L131" s="127"/>
      <c r="M131" s="127"/>
      <c r="N131" s="127"/>
      <c r="O131" s="127"/>
      <c r="P131" s="773" t="s">
        <v>1242</v>
      </c>
      <c r="Q131" s="774"/>
      <c r="R131" s="774"/>
      <c r="S131" s="774"/>
      <c r="T131" s="774"/>
      <c r="U131" s="774"/>
      <c r="V131" s="774"/>
      <c r="W131" s="774"/>
      <c r="X131" s="774"/>
      <c r="Y131" s="774"/>
      <c r="Z131" s="774"/>
      <c r="AA131" s="774"/>
      <c r="AB131" s="774"/>
      <c r="AC131" s="774"/>
      <c r="AD131" s="775"/>
      <c r="AE131" s="341"/>
      <c r="AF131" s="341"/>
      <c r="AG131" s="341"/>
      <c r="AH131" s="341"/>
      <c r="AI131" s="341"/>
      <c r="AJ131" s="341"/>
      <c r="AK131" s="341"/>
      <c r="AL131" s="341"/>
      <c r="AM131" s="341"/>
      <c r="AN131" s="341" t="s">
        <v>522</v>
      </c>
      <c r="AO131" s="341">
        <f t="array" aca="1" ref="AO131" ca="1">SUM(IF(VCCO25=$AZ17:$AZ126,H17:J126,0))</f>
        <v>0</v>
      </c>
      <c r="AP131" s="341"/>
      <c r="AQ131" s="341"/>
      <c r="AR131" s="341"/>
      <c r="AS131" s="341"/>
      <c r="AT131" s="341"/>
      <c r="AU131" s="341"/>
      <c r="AV131" s="341"/>
      <c r="AW131" s="341"/>
      <c r="AX131" s="341"/>
      <c r="AY131" s="341"/>
      <c r="AZ131" s="341"/>
      <c r="BA131" s="341"/>
      <c r="BB131" s="341"/>
      <c r="BC131" s="341"/>
      <c r="BD131" s="341"/>
      <c r="BE131" s="341"/>
      <c r="BF131" s="341"/>
      <c r="BG131" s="341"/>
      <c r="BH131" s="341"/>
      <c r="BI131" s="341"/>
      <c r="BJ131" s="341"/>
      <c r="BK131" s="341"/>
      <c r="BL131" s="341"/>
      <c r="BM131" s="341"/>
      <c r="BN131" s="341"/>
      <c r="BO131" s="341"/>
      <c r="BP131" s="341"/>
      <c r="BQ131" s="341"/>
      <c r="BR131" s="341"/>
      <c r="BS131" s="341"/>
      <c r="BT131" s="341"/>
      <c r="BU131" s="341"/>
      <c r="BV131" s="341"/>
      <c r="BW131" s="364"/>
      <c r="BX131" s="364"/>
      <c r="BY131" s="364"/>
      <c r="BZ131" s="364"/>
    </row>
    <row r="132" spans="1:78" ht="15.6" hidden="1" x14ac:dyDescent="0.25">
      <c r="A132" s="127"/>
      <c r="B132" s="127"/>
      <c r="C132" s="127"/>
      <c r="D132" s="127"/>
      <c r="E132" s="127"/>
      <c r="F132" s="127"/>
      <c r="G132" s="127"/>
      <c r="H132" s="127"/>
      <c r="I132" s="127"/>
      <c r="J132" s="127"/>
      <c r="K132" s="127"/>
      <c r="L132" s="127"/>
      <c r="M132" s="127"/>
      <c r="N132" s="127"/>
      <c r="O132" s="127"/>
      <c r="P132" s="786" t="s">
        <v>1231</v>
      </c>
      <c r="Q132" s="787"/>
      <c r="R132" s="776" t="s">
        <v>111</v>
      </c>
      <c r="S132" s="777"/>
      <c r="T132" s="777"/>
      <c r="U132" s="777"/>
      <c r="V132" s="777"/>
      <c r="W132" s="777"/>
      <c r="X132" s="777"/>
      <c r="Y132" s="777"/>
      <c r="Z132" s="777"/>
      <c r="AA132" s="777"/>
      <c r="AB132" s="777"/>
      <c r="AC132" s="777"/>
      <c r="AD132" s="778"/>
      <c r="AE132" s="341"/>
      <c r="AF132" s="341"/>
      <c r="AG132" s="341"/>
      <c r="AH132" s="341"/>
      <c r="AI132" s="341"/>
      <c r="AJ132" s="341"/>
      <c r="AK132" s="341"/>
      <c r="AL132" s="341"/>
      <c r="AM132" s="341"/>
      <c r="AN132" s="341" t="s">
        <v>523</v>
      </c>
      <c r="AO132" s="341">
        <f t="array" aca="1" ref="AO132" ca="1">SUM(IF(VCCO18=$AZ17:$AZ126,H17:J126,0))</f>
        <v>0</v>
      </c>
      <c r="AP132" s="341"/>
      <c r="AQ132" s="341"/>
      <c r="AR132" s="341"/>
      <c r="AS132" s="341"/>
      <c r="AT132" s="341"/>
      <c r="AU132" s="341"/>
      <c r="AV132" s="341"/>
      <c r="AW132" s="341"/>
      <c r="AX132" s="341"/>
      <c r="AY132" s="341"/>
      <c r="AZ132" s="341"/>
      <c r="BA132" s="341"/>
      <c r="BB132" s="341"/>
      <c r="BC132" s="341"/>
      <c r="BD132" s="341"/>
      <c r="BE132" s="341"/>
      <c r="BF132" s="341"/>
      <c r="BG132" s="341"/>
      <c r="BH132" s="341"/>
      <c r="BI132" s="341"/>
      <c r="BJ132" s="341"/>
      <c r="BK132" s="341"/>
      <c r="BL132" s="341"/>
      <c r="BM132" s="341"/>
      <c r="BN132" s="341"/>
      <c r="BO132" s="341"/>
      <c r="BP132" s="341"/>
      <c r="BQ132" s="341"/>
      <c r="BR132" s="341"/>
      <c r="BS132" s="341"/>
      <c r="BT132" s="341"/>
      <c r="BU132" s="341"/>
      <c r="BV132" s="341"/>
      <c r="BW132" s="364"/>
      <c r="BX132" s="364"/>
      <c r="BY132" s="364"/>
      <c r="BZ132" s="364"/>
    </row>
    <row r="133" spans="1:78" ht="15.75" hidden="1" customHeight="1" x14ac:dyDescent="0.25">
      <c r="A133" s="127"/>
      <c r="B133" s="127"/>
      <c r="C133" s="127"/>
      <c r="D133" s="127"/>
      <c r="E133" s="127"/>
      <c r="F133" s="127"/>
      <c r="G133" s="127"/>
      <c r="H133" s="457"/>
      <c r="I133" s="457"/>
      <c r="J133" s="457"/>
      <c r="K133" s="457"/>
      <c r="L133" s="457"/>
      <c r="M133" s="457"/>
      <c r="N133" s="457"/>
      <c r="O133" s="457"/>
      <c r="P133" s="786"/>
      <c r="Q133" s="787"/>
      <c r="R133" s="749" t="s">
        <v>1138</v>
      </c>
      <c r="S133" s="750"/>
      <c r="T133" s="750"/>
      <c r="U133" s="750"/>
      <c r="V133" s="750"/>
      <c r="W133" s="751"/>
      <c r="X133" s="749" t="s">
        <v>1139</v>
      </c>
      <c r="Y133" s="750"/>
      <c r="Z133" s="750"/>
      <c r="AA133" s="750"/>
      <c r="AB133" s="750"/>
      <c r="AC133" s="779"/>
      <c r="AD133" s="778"/>
      <c r="AE133" s="341"/>
      <c r="AF133" s="341"/>
      <c r="AG133" s="341"/>
      <c r="AH133" s="341"/>
      <c r="AI133" s="341"/>
      <c r="AJ133" s="341"/>
      <c r="AK133" s="341"/>
      <c r="AL133" s="341"/>
      <c r="AM133" s="341"/>
      <c r="AN133" s="341" t="s">
        <v>524</v>
      </c>
      <c r="AO133" s="341">
        <f t="array" aca="1" ref="AO133" ca="1">SUM(IF(VCCO15=$AZ17:$AZ126,H17:J126,0))</f>
        <v>64</v>
      </c>
      <c r="AP133" s="341"/>
      <c r="AQ133" s="341"/>
      <c r="AR133" s="341"/>
      <c r="AS133" s="341"/>
      <c r="AT133" s="341"/>
      <c r="AU133" s="341"/>
      <c r="AV133" s="341"/>
      <c r="AW133" s="341"/>
      <c r="AX133" s="341"/>
      <c r="AY133" s="341"/>
      <c r="AZ133" s="341"/>
      <c r="BA133" s="341"/>
      <c r="BB133" s="341"/>
      <c r="BC133" s="341"/>
      <c r="BD133" s="341"/>
      <c r="BE133" s="341"/>
      <c r="BF133" s="341"/>
      <c r="BG133" s="341"/>
      <c r="BH133" s="341"/>
      <c r="BI133" s="341"/>
      <c r="BJ133" s="341"/>
      <c r="BK133" s="341"/>
      <c r="BL133" s="341"/>
      <c r="BM133" s="341"/>
      <c r="BN133" s="341"/>
      <c r="BO133" s="341"/>
      <c r="BP133" s="341"/>
      <c r="BQ133" s="341"/>
      <c r="BR133" s="341"/>
      <c r="BS133" s="341"/>
      <c r="BT133" s="341"/>
      <c r="BU133" s="341"/>
      <c r="BV133" s="341"/>
      <c r="BW133" s="364"/>
      <c r="BX133" s="364"/>
      <c r="BY133" s="364"/>
      <c r="BZ133" s="364"/>
    </row>
    <row r="134" spans="1:78" ht="17.399999999999999" hidden="1" x14ac:dyDescent="0.25">
      <c r="A134" s="127"/>
      <c r="B134" s="127"/>
      <c r="C134" s="127"/>
      <c r="D134" s="127"/>
      <c r="E134" s="127"/>
      <c r="F134" s="127"/>
      <c r="G134" s="127"/>
      <c r="H134" s="458"/>
      <c r="I134" s="458"/>
      <c r="J134" s="458"/>
      <c r="K134" s="458"/>
      <c r="L134" s="458"/>
      <c r="M134" s="458"/>
      <c r="N134" s="458"/>
      <c r="O134" s="458"/>
      <c r="P134" s="786"/>
      <c r="Q134" s="787"/>
      <c r="R134" s="761"/>
      <c r="S134" s="762"/>
      <c r="T134" s="762"/>
      <c r="U134" s="762"/>
      <c r="V134" s="762"/>
      <c r="W134" s="763"/>
      <c r="X134" s="480"/>
      <c r="Y134" s="480"/>
      <c r="Z134" s="480"/>
      <c r="AA134" s="480"/>
      <c r="AB134" s="480"/>
      <c r="AC134" s="760"/>
      <c r="AD134" s="734"/>
      <c r="AE134" s="341"/>
      <c r="AF134" s="341"/>
      <c r="AG134" s="341"/>
      <c r="AH134" s="341"/>
      <c r="AI134" s="341"/>
      <c r="AJ134" s="341"/>
      <c r="AK134" s="341"/>
      <c r="AL134" s="341"/>
      <c r="AM134" s="341"/>
      <c r="AN134" s="341" t="s">
        <v>525</v>
      </c>
      <c r="AO134" s="341">
        <f t="array" aca="1" ref="AO134" ca="1">SUM(IF(VCCO12=$AZ17:$AZ126,H17:J126,0))</f>
        <v>0</v>
      </c>
      <c r="AP134" s="341"/>
      <c r="AQ134" s="341"/>
      <c r="AR134" s="341"/>
      <c r="AS134" s="341"/>
      <c r="AT134" s="341"/>
      <c r="AU134" s="341"/>
      <c r="AV134" s="341"/>
      <c r="AW134" s="341"/>
      <c r="AX134" s="341"/>
      <c r="AY134" s="341"/>
      <c r="AZ134" s="341"/>
      <c r="BA134" s="341"/>
      <c r="BB134" s="341"/>
      <c r="BC134" s="341"/>
      <c r="BD134" s="341"/>
      <c r="BE134" s="341"/>
      <c r="BF134" s="341"/>
      <c r="BG134" s="341"/>
      <c r="BH134" s="341"/>
      <c r="BI134" s="341"/>
      <c r="BJ134" s="341"/>
      <c r="BK134" s="341"/>
      <c r="BL134" s="341"/>
      <c r="BM134" s="341"/>
      <c r="BN134" s="341"/>
      <c r="BO134" s="341"/>
      <c r="BP134" s="341"/>
      <c r="BQ134" s="341"/>
      <c r="BR134" s="341"/>
      <c r="BS134" s="341"/>
      <c r="BT134" s="341"/>
      <c r="BU134" s="341"/>
      <c r="BV134" s="341"/>
      <c r="BW134" s="364"/>
      <c r="BX134" s="364"/>
      <c r="BY134" s="364"/>
      <c r="BZ134" s="364"/>
    </row>
    <row r="135" spans="1:78" ht="14.25" hidden="1" customHeight="1" x14ac:dyDescent="0.25">
      <c r="A135" s="127"/>
      <c r="B135" s="127"/>
      <c r="C135" s="127"/>
      <c r="D135" s="127"/>
      <c r="E135" s="127"/>
      <c r="F135" s="127"/>
      <c r="G135" s="127"/>
      <c r="H135" s="459"/>
      <c r="I135" s="459"/>
      <c r="J135" s="460"/>
      <c r="K135" s="461"/>
      <c r="L135" s="462"/>
      <c r="M135" s="462"/>
      <c r="N135" s="463"/>
      <c r="O135" s="461"/>
      <c r="P135" s="786"/>
      <c r="Q135" s="787"/>
      <c r="R135" s="764"/>
      <c r="S135" s="765"/>
      <c r="T135" s="765"/>
      <c r="U135" s="765"/>
      <c r="V135" s="765"/>
      <c r="W135" s="766"/>
      <c r="X135" s="480"/>
      <c r="Y135" s="480"/>
      <c r="Z135" s="480"/>
      <c r="AA135" s="480"/>
      <c r="AB135" s="480"/>
      <c r="AC135" s="760"/>
      <c r="AD135" s="734"/>
      <c r="AE135" s="341"/>
      <c r="AF135" s="341"/>
      <c r="AG135" s="341"/>
      <c r="AH135" s="341"/>
      <c r="AI135" s="341"/>
      <c r="AJ135" s="341"/>
      <c r="AK135" s="341"/>
      <c r="AL135" s="341"/>
      <c r="AM135" s="341"/>
      <c r="AN135" s="341"/>
      <c r="AO135" s="341"/>
      <c r="AP135" s="341"/>
      <c r="AQ135" s="341"/>
      <c r="AR135" s="341"/>
      <c r="AS135" s="341"/>
      <c r="AT135" s="341"/>
      <c r="AU135" s="341"/>
      <c r="AV135" s="341"/>
      <c r="AW135" s="341"/>
      <c r="AX135" s="341"/>
      <c r="AY135" s="341"/>
      <c r="AZ135" s="341"/>
      <c r="BA135" s="341"/>
      <c r="BB135" s="341"/>
      <c r="BC135" s="341"/>
      <c r="BD135" s="341"/>
      <c r="BE135" s="341"/>
      <c r="BF135" s="341"/>
      <c r="BG135" s="341"/>
      <c r="BH135" s="341"/>
      <c r="BI135" s="341"/>
      <c r="BJ135" s="341"/>
      <c r="BK135" s="341"/>
      <c r="BL135" s="341"/>
      <c r="BM135" s="341"/>
      <c r="BN135" s="341"/>
      <c r="BO135" s="341"/>
      <c r="BP135" s="341"/>
      <c r="BQ135" s="341"/>
      <c r="BR135" s="341"/>
      <c r="BS135" s="341"/>
      <c r="BT135" s="341"/>
      <c r="BU135" s="341"/>
      <c r="BV135" s="341"/>
      <c r="BW135" s="364"/>
      <c r="BX135" s="364"/>
      <c r="BY135" s="364"/>
      <c r="BZ135" s="364"/>
    </row>
    <row r="136" spans="1:78" ht="15" hidden="1" customHeight="1" x14ac:dyDescent="0.25">
      <c r="A136" s="127"/>
      <c r="B136" s="127"/>
      <c r="C136" s="127"/>
      <c r="D136" s="127"/>
      <c r="E136" s="127"/>
      <c r="F136" s="127"/>
      <c r="G136" s="127"/>
      <c r="H136" s="464"/>
      <c r="I136" s="464"/>
      <c r="J136" s="465"/>
      <c r="K136" s="466"/>
      <c r="L136" s="466"/>
      <c r="M136" s="466"/>
      <c r="N136" s="467"/>
      <c r="O136" s="468"/>
      <c r="P136" s="786"/>
      <c r="Q136" s="787"/>
      <c r="R136" s="764"/>
      <c r="S136" s="765"/>
      <c r="T136" s="765"/>
      <c r="U136" s="765"/>
      <c r="V136" s="765"/>
      <c r="W136" s="766"/>
      <c r="X136" s="480"/>
      <c r="Y136" s="480"/>
      <c r="Z136" s="480"/>
      <c r="AA136" s="480"/>
      <c r="AB136" s="480"/>
      <c r="AC136" s="760"/>
      <c r="AD136" s="734"/>
      <c r="AE136" s="341"/>
      <c r="AF136" s="341"/>
      <c r="AG136" s="341"/>
      <c r="AH136" s="341"/>
      <c r="AI136" s="341"/>
      <c r="AJ136" s="341"/>
      <c r="AK136" s="341"/>
      <c r="AL136" s="341"/>
      <c r="AM136" s="341"/>
      <c r="AN136" s="341"/>
      <c r="AO136" s="341"/>
      <c r="AP136" s="341"/>
      <c r="AQ136" s="341"/>
      <c r="AR136" s="341"/>
      <c r="AS136" s="341"/>
      <c r="AT136" s="341"/>
      <c r="AU136" s="341"/>
      <c r="AV136" s="341"/>
      <c r="AW136" s="341"/>
      <c r="AX136" s="341"/>
      <c r="AY136" s="341"/>
      <c r="AZ136" s="341"/>
      <c r="BA136" s="341"/>
      <c r="BB136" s="341"/>
      <c r="BC136" s="341"/>
      <c r="BD136" s="341"/>
      <c r="BE136" s="341"/>
      <c r="BF136" s="341"/>
      <c r="BG136" s="341"/>
      <c r="BH136" s="341"/>
      <c r="BI136" s="341"/>
      <c r="BJ136" s="341"/>
      <c r="BK136" s="341"/>
      <c r="BL136" s="341"/>
      <c r="BM136" s="341"/>
      <c r="BN136" s="341"/>
      <c r="BO136" s="341"/>
      <c r="BP136" s="341"/>
      <c r="BQ136" s="341"/>
      <c r="BR136" s="341"/>
      <c r="BS136" s="341"/>
      <c r="BT136" s="341"/>
      <c r="BU136" s="341"/>
      <c r="BV136" s="341"/>
      <c r="BW136" s="364"/>
      <c r="BX136" s="364"/>
      <c r="BY136" s="364"/>
      <c r="BZ136" s="364"/>
    </row>
    <row r="137" spans="1:78" ht="15" hidden="1" customHeight="1" x14ac:dyDescent="0.25">
      <c r="A137" s="127"/>
      <c r="B137" s="127"/>
      <c r="C137" s="127"/>
      <c r="D137" s="127"/>
      <c r="E137" s="127"/>
      <c r="F137" s="127"/>
      <c r="G137" s="127"/>
      <c r="H137" s="469"/>
      <c r="I137" s="469"/>
      <c r="J137" s="470"/>
      <c r="K137" s="471"/>
      <c r="L137" s="471"/>
      <c r="M137" s="471"/>
      <c r="N137" s="472"/>
      <c r="O137" s="473"/>
      <c r="P137" s="786"/>
      <c r="Q137" s="787"/>
      <c r="R137" s="764"/>
      <c r="S137" s="765"/>
      <c r="T137" s="765"/>
      <c r="U137" s="765"/>
      <c r="V137" s="765"/>
      <c r="W137" s="766"/>
      <c r="X137" s="480"/>
      <c r="Y137" s="480"/>
      <c r="Z137" s="480"/>
      <c r="AA137" s="480"/>
      <c r="AB137" s="480"/>
      <c r="AC137" s="760"/>
      <c r="AD137" s="734"/>
      <c r="AE137" s="341"/>
      <c r="AF137" s="341"/>
      <c r="AG137" s="341"/>
      <c r="AH137" s="341"/>
      <c r="AI137" s="341"/>
      <c r="AJ137" s="341"/>
      <c r="AK137" s="341"/>
      <c r="AL137" s="341"/>
      <c r="AM137" s="341"/>
      <c r="AN137" s="341"/>
      <c r="AO137" s="341"/>
      <c r="AP137" s="341"/>
      <c r="AQ137" s="341"/>
      <c r="AR137" s="341"/>
      <c r="AS137" s="341"/>
      <c r="AT137" s="341"/>
      <c r="AU137" s="341"/>
      <c r="AV137" s="341"/>
      <c r="AW137" s="341"/>
      <c r="AX137" s="341"/>
      <c r="AY137" s="341"/>
      <c r="AZ137" s="341"/>
      <c r="BA137" s="341"/>
      <c r="BB137" s="341"/>
      <c r="BC137" s="341"/>
      <c r="BD137" s="341"/>
      <c r="BE137" s="341"/>
      <c r="BF137" s="341"/>
      <c r="BG137" s="341"/>
      <c r="BH137" s="341"/>
      <c r="BI137" s="341"/>
      <c r="BJ137" s="341"/>
      <c r="BK137" s="341"/>
      <c r="BL137" s="341"/>
      <c r="BM137" s="341"/>
      <c r="BN137" s="341"/>
      <c r="BO137" s="341"/>
      <c r="BP137" s="341"/>
      <c r="BQ137" s="341"/>
      <c r="BR137" s="341"/>
      <c r="BS137" s="341"/>
      <c r="BT137" s="341"/>
      <c r="BU137" s="341"/>
      <c r="BV137" s="341"/>
      <c r="BW137" s="364"/>
      <c r="BX137" s="364"/>
      <c r="BY137" s="364"/>
      <c r="BZ137" s="364"/>
    </row>
    <row r="138" spans="1:78" ht="15" hidden="1" customHeight="1" x14ac:dyDescent="0.25">
      <c r="A138" s="127"/>
      <c r="B138" s="127"/>
      <c r="C138" s="127"/>
      <c r="D138" s="127"/>
      <c r="E138" s="127"/>
      <c r="F138" s="127"/>
      <c r="G138" s="127"/>
      <c r="H138" s="469"/>
      <c r="I138" s="469"/>
      <c r="J138" s="470"/>
      <c r="K138" s="471"/>
      <c r="L138" s="471"/>
      <c r="M138" s="471"/>
      <c r="N138" s="472"/>
      <c r="O138" s="473"/>
      <c r="P138" s="786"/>
      <c r="Q138" s="787"/>
      <c r="R138" s="764"/>
      <c r="S138" s="765"/>
      <c r="T138" s="765"/>
      <c r="U138" s="765"/>
      <c r="V138" s="765"/>
      <c r="W138" s="766"/>
      <c r="X138" s="480"/>
      <c r="Y138" s="480"/>
      <c r="Z138" s="480"/>
      <c r="AA138" s="480"/>
      <c r="AB138" s="480"/>
      <c r="AC138" s="760"/>
      <c r="AD138" s="734"/>
      <c r="AE138" s="341"/>
      <c r="AF138" s="341"/>
      <c r="AG138" s="341"/>
      <c r="AH138" s="341"/>
      <c r="AI138" s="341"/>
      <c r="AJ138" s="341"/>
      <c r="AK138" s="341"/>
      <c r="AL138" s="341"/>
      <c r="AM138" s="341"/>
      <c r="AN138" s="341"/>
      <c r="AO138" s="341"/>
      <c r="AP138" s="341"/>
      <c r="AQ138" s="341"/>
      <c r="AR138" s="341"/>
      <c r="AS138" s="341"/>
      <c r="AT138" s="341"/>
      <c r="AU138" s="341"/>
      <c r="AV138" s="341"/>
      <c r="AW138" s="341"/>
      <c r="AX138" s="341"/>
      <c r="AY138" s="341"/>
      <c r="AZ138" s="341"/>
      <c r="BA138" s="341"/>
      <c r="BB138" s="341"/>
      <c r="BC138" s="341"/>
      <c r="BD138" s="341"/>
      <c r="BE138" s="341"/>
      <c r="BF138" s="341"/>
      <c r="BG138" s="341"/>
      <c r="BH138" s="341"/>
      <c r="BI138" s="341"/>
      <c r="BJ138" s="341"/>
      <c r="BK138" s="341"/>
      <c r="BL138" s="341"/>
      <c r="BM138" s="341"/>
      <c r="BN138" s="341"/>
      <c r="BO138" s="341"/>
      <c r="BP138" s="341"/>
      <c r="BQ138" s="341"/>
      <c r="BR138" s="341"/>
      <c r="BS138" s="341"/>
      <c r="BT138" s="341"/>
      <c r="BU138" s="341"/>
      <c r="BV138" s="341"/>
      <c r="BW138" s="364"/>
      <c r="BX138" s="364"/>
      <c r="BY138" s="364"/>
      <c r="BZ138" s="364"/>
    </row>
    <row r="139" spans="1:78" ht="15" hidden="1" customHeight="1" x14ac:dyDescent="0.25">
      <c r="A139" s="127"/>
      <c r="B139" s="127"/>
      <c r="C139" s="127"/>
      <c r="D139" s="127"/>
      <c r="E139" s="127"/>
      <c r="F139" s="127"/>
      <c r="G139" s="127"/>
      <c r="H139" s="469"/>
      <c r="I139" s="469"/>
      <c r="J139" s="470"/>
      <c r="K139" s="471"/>
      <c r="L139" s="471"/>
      <c r="M139" s="471"/>
      <c r="N139" s="472"/>
      <c r="O139" s="473"/>
      <c r="P139" s="786"/>
      <c r="Q139" s="787"/>
      <c r="R139" s="764"/>
      <c r="S139" s="765"/>
      <c r="T139" s="765"/>
      <c r="U139" s="765"/>
      <c r="V139" s="765"/>
      <c r="W139" s="766"/>
      <c r="X139" s="480"/>
      <c r="Y139" s="480"/>
      <c r="Z139" s="480"/>
      <c r="AA139" s="480"/>
      <c r="AB139" s="480"/>
      <c r="AC139" s="760"/>
      <c r="AD139" s="734"/>
      <c r="AE139" s="341"/>
      <c r="AF139" s="341"/>
      <c r="AG139" s="341"/>
      <c r="AH139" s="341"/>
      <c r="AI139" s="341"/>
      <c r="AJ139" s="341"/>
      <c r="AK139" s="341"/>
      <c r="AL139" s="341"/>
      <c r="AM139" s="341"/>
      <c r="AN139" s="341"/>
      <c r="AO139" s="341"/>
      <c r="AP139" s="341"/>
      <c r="AQ139" s="341"/>
      <c r="AR139" s="341"/>
      <c r="AS139" s="341"/>
      <c r="AT139" s="341"/>
      <c r="AU139" s="341"/>
      <c r="AV139" s="341"/>
      <c r="AW139" s="341"/>
      <c r="AX139" s="341"/>
      <c r="AY139" s="341"/>
      <c r="AZ139" s="341"/>
      <c r="BA139" s="341"/>
      <c r="BB139" s="341"/>
      <c r="BC139" s="341"/>
      <c r="BD139" s="341"/>
      <c r="BE139" s="341"/>
      <c r="BF139" s="341"/>
      <c r="BG139" s="341"/>
      <c r="BH139" s="341"/>
      <c r="BI139" s="341"/>
      <c r="BJ139" s="341"/>
      <c r="BK139" s="341"/>
      <c r="BL139" s="341"/>
      <c r="BM139" s="341"/>
      <c r="BN139" s="341"/>
      <c r="BO139" s="341"/>
      <c r="BP139" s="341"/>
      <c r="BQ139" s="341"/>
      <c r="BR139" s="341"/>
      <c r="BS139" s="341"/>
      <c r="BT139" s="341"/>
      <c r="BU139" s="341"/>
      <c r="BV139" s="341"/>
      <c r="BW139" s="364"/>
      <c r="BX139" s="364"/>
      <c r="BY139" s="364"/>
      <c r="BZ139" s="364"/>
    </row>
    <row r="140" spans="1:78" ht="15" hidden="1" customHeight="1" x14ac:dyDescent="0.25">
      <c r="A140" s="127"/>
      <c r="B140" s="127"/>
      <c r="C140" s="127"/>
      <c r="D140" s="127"/>
      <c r="E140" s="127"/>
      <c r="F140" s="127"/>
      <c r="G140" s="127"/>
      <c r="H140" s="469"/>
      <c r="I140" s="469"/>
      <c r="J140" s="470"/>
      <c r="K140" s="471"/>
      <c r="L140" s="471"/>
      <c r="M140" s="471"/>
      <c r="N140" s="472"/>
      <c r="O140" s="473"/>
      <c r="P140" s="786"/>
      <c r="Q140" s="787"/>
      <c r="R140" s="764"/>
      <c r="S140" s="765"/>
      <c r="T140" s="765"/>
      <c r="U140" s="765"/>
      <c r="V140" s="765"/>
      <c r="W140" s="766"/>
      <c r="X140" s="480"/>
      <c r="Y140" s="480"/>
      <c r="Z140" s="480"/>
      <c r="AA140" s="480"/>
      <c r="AB140" s="480"/>
      <c r="AC140" s="760"/>
      <c r="AD140" s="734"/>
      <c r="AE140" s="341"/>
      <c r="AF140" s="341"/>
      <c r="AG140" s="341"/>
      <c r="AH140" s="341"/>
      <c r="AI140" s="341"/>
      <c r="AJ140" s="341"/>
      <c r="AK140" s="341"/>
      <c r="AL140" s="341"/>
      <c r="AM140" s="341"/>
      <c r="AN140" s="341"/>
      <c r="AO140" s="341"/>
      <c r="AP140" s="341"/>
      <c r="AQ140" s="341"/>
      <c r="AR140" s="341"/>
      <c r="AS140" s="341"/>
      <c r="AT140" s="341"/>
      <c r="AU140" s="341"/>
      <c r="AV140" s="341"/>
      <c r="AW140" s="341"/>
      <c r="AX140" s="341"/>
      <c r="AY140" s="341"/>
      <c r="AZ140" s="341"/>
      <c r="BA140" s="341"/>
      <c r="BB140" s="341"/>
      <c r="BC140" s="341"/>
      <c r="BD140" s="341"/>
      <c r="BE140" s="341"/>
      <c r="BF140" s="341"/>
      <c r="BG140" s="341"/>
      <c r="BH140" s="341"/>
      <c r="BI140" s="341"/>
      <c r="BJ140" s="341"/>
      <c r="BK140" s="341"/>
      <c r="BL140" s="341"/>
      <c r="BM140" s="341"/>
      <c r="BN140" s="341"/>
      <c r="BO140" s="341"/>
      <c r="BP140" s="341"/>
      <c r="BQ140" s="341"/>
      <c r="BR140" s="341"/>
      <c r="BS140" s="341"/>
      <c r="BT140" s="341"/>
      <c r="BU140" s="341"/>
      <c r="BV140" s="341"/>
      <c r="BW140" s="364"/>
      <c r="BX140" s="364"/>
      <c r="BY140" s="364"/>
      <c r="BZ140" s="364"/>
    </row>
    <row r="141" spans="1:78" ht="15" hidden="1" customHeight="1" x14ac:dyDescent="0.25">
      <c r="A141" s="127"/>
      <c r="B141" s="127"/>
      <c r="C141" s="127"/>
      <c r="D141" s="127"/>
      <c r="E141" s="127"/>
      <c r="F141" s="127"/>
      <c r="G141" s="127"/>
      <c r="H141" s="469"/>
      <c r="I141" s="469"/>
      <c r="J141" s="470"/>
      <c r="K141" s="471"/>
      <c r="L141" s="471"/>
      <c r="M141" s="471"/>
      <c r="N141" s="472"/>
      <c r="O141" s="473"/>
      <c r="P141" s="786"/>
      <c r="Q141" s="787"/>
      <c r="R141" s="764"/>
      <c r="S141" s="765"/>
      <c r="T141" s="765"/>
      <c r="U141" s="765"/>
      <c r="V141" s="765"/>
      <c r="W141" s="766"/>
      <c r="X141" s="480"/>
      <c r="Y141" s="480"/>
      <c r="Z141" s="480"/>
      <c r="AA141" s="480"/>
      <c r="AB141" s="480"/>
      <c r="AC141" s="760"/>
      <c r="AD141" s="734"/>
      <c r="AE141" s="341"/>
      <c r="AF141" s="341"/>
      <c r="AG141" s="341"/>
      <c r="AH141" s="341"/>
      <c r="AI141" s="341"/>
      <c r="AJ141" s="341"/>
      <c r="AK141" s="341"/>
      <c r="AL141" s="341"/>
      <c r="AM141" s="341"/>
      <c r="AN141" s="341"/>
      <c r="AO141" s="341"/>
      <c r="AP141" s="341"/>
      <c r="AQ141" s="341"/>
      <c r="AR141" s="341"/>
      <c r="AS141" s="341"/>
      <c r="AT141" s="341"/>
      <c r="AU141" s="341"/>
      <c r="AV141" s="341"/>
      <c r="AW141" s="341"/>
      <c r="AX141" s="341"/>
      <c r="AY141" s="341"/>
      <c r="AZ141" s="341"/>
      <c r="BA141" s="341"/>
      <c r="BB141" s="341"/>
      <c r="BC141" s="341"/>
      <c r="BD141" s="341"/>
      <c r="BE141" s="341"/>
      <c r="BF141" s="341"/>
      <c r="BG141" s="341"/>
      <c r="BH141" s="341"/>
      <c r="BI141" s="341"/>
      <c r="BJ141" s="341"/>
      <c r="BK141" s="341"/>
      <c r="BL141" s="341"/>
      <c r="BM141" s="341"/>
      <c r="BN141" s="341"/>
      <c r="BO141" s="341"/>
      <c r="BP141" s="341"/>
      <c r="BQ141" s="341"/>
      <c r="BR141" s="341"/>
      <c r="BS141" s="341"/>
      <c r="BT141" s="341"/>
      <c r="BU141" s="341"/>
      <c r="BV141" s="341"/>
      <c r="BW141" s="364"/>
      <c r="BX141" s="364"/>
      <c r="BY141" s="364"/>
      <c r="BZ141" s="364"/>
    </row>
    <row r="142" spans="1:78" ht="15" hidden="1" customHeight="1" thickBot="1" x14ac:dyDescent="0.3">
      <c r="A142" s="127"/>
      <c r="B142" s="127"/>
      <c r="C142" s="127"/>
      <c r="D142" s="127"/>
      <c r="E142" s="127"/>
      <c r="F142" s="127"/>
      <c r="G142" s="127"/>
      <c r="H142" s="469"/>
      <c r="I142" s="469"/>
      <c r="J142" s="470"/>
      <c r="K142" s="471"/>
      <c r="L142" s="471"/>
      <c r="M142" s="471"/>
      <c r="N142" s="472"/>
      <c r="O142" s="473"/>
      <c r="P142" s="786"/>
      <c r="Q142" s="787"/>
      <c r="R142" s="767"/>
      <c r="S142" s="768"/>
      <c r="T142" s="768"/>
      <c r="U142" s="768"/>
      <c r="V142" s="768"/>
      <c r="W142" s="769"/>
      <c r="X142" s="480"/>
      <c r="Y142" s="480"/>
      <c r="Z142" s="480"/>
      <c r="AA142" s="480"/>
      <c r="AB142" s="480"/>
      <c r="AC142" s="760"/>
      <c r="AD142" s="734"/>
      <c r="AE142" s="341"/>
      <c r="AF142" s="341"/>
      <c r="AG142" s="341"/>
      <c r="AH142" s="341"/>
      <c r="AI142" s="341"/>
      <c r="AJ142" s="341"/>
      <c r="AK142" s="341"/>
      <c r="AL142" s="341"/>
      <c r="AM142" s="341"/>
      <c r="AN142" s="341"/>
      <c r="AO142" s="341"/>
      <c r="AP142" s="341"/>
      <c r="AQ142" s="341"/>
      <c r="AR142" s="341"/>
      <c r="AS142" s="341"/>
      <c r="AT142" s="341"/>
      <c r="AU142" s="341"/>
      <c r="AV142" s="341"/>
      <c r="AW142" s="341"/>
      <c r="AX142" s="341"/>
      <c r="AY142" s="341"/>
      <c r="AZ142" s="341"/>
      <c r="BA142" s="341"/>
      <c r="BB142" s="341"/>
      <c r="BC142" s="341"/>
      <c r="BD142" s="341"/>
      <c r="BE142" s="341"/>
      <c r="BF142" s="341"/>
      <c r="BG142" s="341"/>
      <c r="BH142" s="341"/>
      <c r="BI142" s="341"/>
      <c r="BJ142" s="341"/>
      <c r="BK142" s="341"/>
      <c r="BL142" s="341"/>
      <c r="BM142" s="341"/>
      <c r="BN142" s="341"/>
      <c r="BO142" s="341"/>
      <c r="BP142" s="341"/>
      <c r="BQ142" s="341"/>
      <c r="BR142" s="341"/>
      <c r="BS142" s="341"/>
      <c r="BT142" s="341"/>
      <c r="BU142" s="341"/>
      <c r="BV142" s="341"/>
      <c r="BW142" s="364"/>
      <c r="BX142" s="364"/>
      <c r="BY142" s="364"/>
      <c r="BZ142" s="364"/>
    </row>
    <row r="143" spans="1:78" ht="15" hidden="1" customHeight="1" x14ac:dyDescent="0.25">
      <c r="A143" s="127"/>
      <c r="B143" s="127"/>
      <c r="C143" s="127"/>
      <c r="D143" s="127"/>
      <c r="E143" s="127"/>
      <c r="F143" s="127"/>
      <c r="G143" s="127"/>
      <c r="H143" s="469"/>
      <c r="I143" s="469"/>
      <c r="J143" s="470"/>
      <c r="K143" s="471"/>
      <c r="L143" s="471"/>
      <c r="M143" s="471"/>
      <c r="N143" s="472"/>
      <c r="O143" s="473"/>
      <c r="P143" s="786"/>
      <c r="Q143" s="787"/>
      <c r="R143" s="551"/>
      <c r="S143" s="550"/>
      <c r="T143" s="550"/>
      <c r="U143" s="550"/>
      <c r="V143" s="550"/>
      <c r="W143" s="552"/>
      <c r="X143" s="770" t="s">
        <v>1232</v>
      </c>
      <c r="Y143" s="770"/>
      <c r="Z143" s="770"/>
      <c r="AA143" s="771"/>
      <c r="AB143" s="770"/>
      <c r="AC143" s="770"/>
      <c r="AD143" s="772"/>
      <c r="AE143" s="127"/>
      <c r="AF143" s="127"/>
      <c r="AG143" s="127"/>
      <c r="AH143" s="127"/>
      <c r="AI143" s="127"/>
      <c r="AJ143" s="127"/>
      <c r="AK143" s="127"/>
      <c r="AL143" s="127"/>
      <c r="AM143" s="127"/>
      <c r="AN143" s="127"/>
      <c r="AO143" s="127"/>
      <c r="AP143" s="127"/>
      <c r="AQ143" s="127"/>
      <c r="AR143" s="127"/>
      <c r="AS143" s="127"/>
      <c r="AT143" s="127"/>
      <c r="AU143" s="127"/>
      <c r="AV143" s="127"/>
      <c r="AW143" s="127"/>
      <c r="AX143" s="127"/>
      <c r="AY143" s="127"/>
      <c r="AZ143" s="127"/>
      <c r="BA143" s="127"/>
      <c r="BB143" s="127"/>
      <c r="BC143" s="127"/>
      <c r="BD143" s="127"/>
      <c r="BE143" s="127"/>
      <c r="BF143" s="127"/>
      <c r="BG143" s="127"/>
      <c r="BH143" s="127"/>
      <c r="BI143" s="127"/>
      <c r="BJ143" s="127"/>
      <c r="BK143" s="127"/>
      <c r="BL143" s="127"/>
      <c r="BM143" s="127"/>
      <c r="BN143" s="127"/>
      <c r="BO143" s="125"/>
      <c r="BP143" s="125"/>
      <c r="BQ143" s="125"/>
      <c r="BR143" s="125"/>
      <c r="BS143" s="125"/>
      <c r="BT143" s="125"/>
      <c r="BU143" s="125"/>
      <c r="BV143" s="125"/>
    </row>
    <row r="144" spans="1:78" ht="15" hidden="1" customHeight="1" x14ac:dyDescent="0.25">
      <c r="A144" s="127"/>
      <c r="B144" s="127"/>
      <c r="C144" s="127"/>
      <c r="D144" s="127"/>
      <c r="E144" s="127"/>
      <c r="F144" s="127"/>
      <c r="G144" s="127"/>
      <c r="H144" s="469"/>
      <c r="I144" s="469"/>
      <c r="J144" s="470"/>
      <c r="K144" s="471"/>
      <c r="L144" s="471"/>
      <c r="M144" s="471"/>
      <c r="N144" s="472"/>
      <c r="O144" s="473"/>
      <c r="P144" s="786"/>
      <c r="Q144" s="787"/>
      <c r="R144" s="752" t="s">
        <v>1232</v>
      </c>
      <c r="S144" s="753"/>
      <c r="T144" s="754"/>
      <c r="U144" s="753"/>
      <c r="V144" s="753"/>
      <c r="W144" s="755"/>
      <c r="X144" s="737" t="s">
        <v>1233</v>
      </c>
      <c r="Y144" s="737"/>
      <c r="Z144" s="737"/>
      <c r="AA144" s="738"/>
      <c r="AB144" s="737"/>
      <c r="AC144" s="737"/>
      <c r="AD144" s="739"/>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I144" s="127"/>
      <c r="BJ144" s="127"/>
      <c r="BK144" s="127"/>
      <c r="BL144" s="127"/>
      <c r="BM144" s="127"/>
      <c r="BN144" s="127"/>
      <c r="BO144" s="125"/>
      <c r="BP144" s="125"/>
      <c r="BQ144" s="125"/>
      <c r="BR144" s="125"/>
      <c r="BS144" s="125"/>
      <c r="BT144" s="125"/>
      <c r="BU144" s="125"/>
      <c r="BV144" s="125"/>
    </row>
    <row r="145" spans="1:74" ht="15.75" hidden="1" customHeight="1" thickBot="1" x14ac:dyDescent="0.3">
      <c r="A145" s="127"/>
      <c r="B145" s="127"/>
      <c r="C145" s="127"/>
      <c r="D145" s="127"/>
      <c r="E145" s="127"/>
      <c r="F145" s="127"/>
      <c r="G145" s="127"/>
      <c r="H145" s="474"/>
      <c r="I145" s="474"/>
      <c r="J145" s="475"/>
      <c r="K145" s="476"/>
      <c r="L145" s="476"/>
      <c r="M145" s="476"/>
      <c r="N145" s="477"/>
      <c r="O145" s="478"/>
      <c r="P145" s="786"/>
      <c r="Q145" s="787"/>
      <c r="R145" s="553"/>
      <c r="S145" s="554"/>
      <c r="T145" s="554"/>
      <c r="U145" s="554"/>
      <c r="V145" s="554"/>
      <c r="W145" s="555"/>
      <c r="X145" s="730" t="s">
        <v>1234</v>
      </c>
      <c r="Y145" s="730"/>
      <c r="Z145" s="730"/>
      <c r="AA145" s="731"/>
      <c r="AB145" s="730"/>
      <c r="AC145" s="730"/>
      <c r="AD145" s="732"/>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I145" s="127"/>
      <c r="BJ145" s="127"/>
      <c r="BK145" s="127"/>
      <c r="BL145" s="127"/>
      <c r="BM145" s="127"/>
      <c r="BN145" s="127"/>
      <c r="BO145" s="125"/>
      <c r="BP145" s="125"/>
      <c r="BQ145" s="125"/>
      <c r="BR145" s="125"/>
      <c r="BS145" s="125"/>
      <c r="BT145" s="125"/>
      <c r="BU145" s="125"/>
      <c r="BV145" s="125"/>
    </row>
    <row r="146" spans="1:74" ht="15.75" hidden="1" customHeight="1" x14ac:dyDescent="0.25">
      <c r="A146" s="127"/>
      <c r="B146" s="127"/>
      <c r="C146" s="127"/>
      <c r="D146" s="127"/>
      <c r="E146" s="127"/>
      <c r="F146" s="127"/>
      <c r="G146" s="127"/>
      <c r="H146" s="464"/>
      <c r="I146" s="464"/>
      <c r="J146" s="465"/>
      <c r="K146" s="468"/>
      <c r="L146" s="466"/>
      <c r="M146" s="466"/>
      <c r="N146" s="467"/>
      <c r="O146" s="468"/>
      <c r="P146" s="756" t="s">
        <v>1085</v>
      </c>
      <c r="Q146" s="757"/>
      <c r="R146" s="740" t="s">
        <v>1169</v>
      </c>
      <c r="S146" s="741"/>
      <c r="T146" s="741"/>
      <c r="U146" s="741"/>
      <c r="V146" s="741"/>
      <c r="W146" s="742"/>
      <c r="X146" s="733"/>
      <c r="Y146" s="733"/>
      <c r="Z146" s="733"/>
      <c r="AA146" s="733"/>
      <c r="AB146" s="733"/>
      <c r="AC146" s="733"/>
      <c r="AD146" s="734"/>
      <c r="AE146" s="127"/>
      <c r="AF146" s="127"/>
      <c r="AG146" s="127"/>
      <c r="AH146" s="127"/>
      <c r="AI146" s="127"/>
      <c r="AJ146" s="127"/>
      <c r="AK146" s="127"/>
      <c r="AL146" s="127"/>
      <c r="AM146" s="127"/>
      <c r="AN146" s="127"/>
      <c r="AO146" s="127"/>
      <c r="AP146" s="127"/>
      <c r="AQ146" s="127"/>
      <c r="AR146" s="127"/>
      <c r="AS146" s="127"/>
      <c r="AT146" s="127"/>
      <c r="AU146" s="127"/>
      <c r="AV146" s="127"/>
      <c r="AW146" s="127"/>
      <c r="AX146" s="127"/>
      <c r="AY146" s="127"/>
      <c r="AZ146" s="127"/>
      <c r="BA146" s="127"/>
      <c r="BB146" s="127"/>
      <c r="BC146" s="127"/>
      <c r="BD146" s="127"/>
      <c r="BE146" s="127"/>
      <c r="BF146" s="127"/>
      <c r="BG146" s="127"/>
      <c r="BH146" s="127"/>
      <c r="BI146" s="127"/>
      <c r="BJ146" s="127"/>
      <c r="BK146" s="127"/>
      <c r="BL146" s="127"/>
      <c r="BM146" s="127"/>
      <c r="BN146" s="127"/>
      <c r="BO146" s="125"/>
      <c r="BP146" s="125"/>
      <c r="BQ146" s="125"/>
      <c r="BR146" s="125"/>
      <c r="BS146" s="125"/>
      <c r="BT146" s="125"/>
      <c r="BU146" s="125"/>
      <c r="BV146" s="125"/>
    </row>
    <row r="147" spans="1:74" ht="15" hidden="1" customHeight="1" x14ac:dyDescent="0.25">
      <c r="A147" s="127"/>
      <c r="B147" s="127"/>
      <c r="C147" s="127"/>
      <c r="D147" s="127"/>
      <c r="E147" s="127"/>
      <c r="F147" s="127"/>
      <c r="G147" s="127"/>
      <c r="H147" s="469"/>
      <c r="I147" s="469"/>
      <c r="J147" s="470"/>
      <c r="K147" s="473"/>
      <c r="L147" s="471"/>
      <c r="M147" s="471"/>
      <c r="N147" s="472"/>
      <c r="O147" s="473"/>
      <c r="P147" s="756"/>
      <c r="Q147" s="757"/>
      <c r="R147" s="743"/>
      <c r="S147" s="744"/>
      <c r="T147" s="744"/>
      <c r="U147" s="744"/>
      <c r="V147" s="744"/>
      <c r="W147" s="745"/>
      <c r="X147" s="733"/>
      <c r="Y147" s="733"/>
      <c r="Z147" s="733"/>
      <c r="AA147" s="733"/>
      <c r="AB147" s="733"/>
      <c r="AC147" s="733"/>
      <c r="AD147" s="734"/>
      <c r="AE147" s="127"/>
      <c r="AF147" s="127"/>
      <c r="AG147" s="127"/>
      <c r="AH147" s="127"/>
      <c r="AI147" s="127"/>
      <c r="AJ147" s="127"/>
      <c r="AK147" s="127"/>
      <c r="AL147" s="127"/>
      <c r="AM147" s="127"/>
      <c r="AN147" s="127"/>
      <c r="AO147" s="127"/>
      <c r="AP147" s="127"/>
      <c r="AQ147" s="127"/>
      <c r="AR147" s="127"/>
      <c r="AS147" s="127"/>
      <c r="AT147" s="127"/>
      <c r="AU147" s="127"/>
      <c r="AV147" s="127"/>
      <c r="AW147" s="127"/>
      <c r="AX147" s="127"/>
      <c r="AY147" s="127"/>
      <c r="AZ147" s="127"/>
      <c r="BA147" s="127"/>
      <c r="BB147" s="127"/>
      <c r="BC147" s="127"/>
      <c r="BD147" s="127"/>
      <c r="BE147" s="127"/>
      <c r="BF147" s="127"/>
      <c r="BG147" s="127"/>
      <c r="BH147" s="127"/>
      <c r="BI147" s="127"/>
      <c r="BJ147" s="127"/>
      <c r="BK147" s="127"/>
      <c r="BL147" s="127"/>
      <c r="BM147" s="127"/>
      <c r="BN147" s="127"/>
      <c r="BO147" s="125"/>
      <c r="BP147" s="125"/>
      <c r="BQ147" s="125"/>
      <c r="BR147" s="125"/>
      <c r="BS147" s="125"/>
      <c r="BT147" s="125"/>
      <c r="BU147" s="125"/>
      <c r="BV147" s="125"/>
    </row>
    <row r="148" spans="1:74" ht="15" hidden="1" customHeight="1" x14ac:dyDescent="0.25">
      <c r="A148" s="127"/>
      <c r="B148" s="127"/>
      <c r="C148" s="127"/>
      <c r="D148" s="127"/>
      <c r="E148" s="127"/>
      <c r="F148" s="127"/>
      <c r="G148" s="127"/>
      <c r="H148" s="469"/>
      <c r="I148" s="469"/>
      <c r="J148" s="470"/>
      <c r="K148" s="473"/>
      <c r="L148" s="471"/>
      <c r="M148" s="471"/>
      <c r="N148" s="472"/>
      <c r="O148" s="473"/>
      <c r="P148" s="756"/>
      <c r="Q148" s="757"/>
      <c r="R148" s="743"/>
      <c r="S148" s="744"/>
      <c r="T148" s="744"/>
      <c r="U148" s="744"/>
      <c r="V148" s="744"/>
      <c r="W148" s="745"/>
      <c r="X148" s="733"/>
      <c r="Y148" s="733"/>
      <c r="Z148" s="733"/>
      <c r="AA148" s="733"/>
      <c r="AB148" s="733"/>
      <c r="AC148" s="733"/>
      <c r="AD148" s="734"/>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I148" s="127"/>
      <c r="BJ148" s="127"/>
      <c r="BK148" s="127"/>
      <c r="BL148" s="127"/>
      <c r="BM148" s="127"/>
      <c r="BN148" s="127"/>
      <c r="BO148" s="125"/>
      <c r="BP148" s="125"/>
      <c r="BQ148" s="125"/>
      <c r="BR148" s="125"/>
      <c r="BS148" s="125"/>
      <c r="BT148" s="125"/>
      <c r="BU148" s="125"/>
      <c r="BV148" s="125"/>
    </row>
    <row r="149" spans="1:74" ht="15" hidden="1" customHeight="1" x14ac:dyDescent="0.25">
      <c r="A149" s="127"/>
      <c r="B149" s="127"/>
      <c r="C149" s="127"/>
      <c r="D149" s="127"/>
      <c r="E149" s="127"/>
      <c r="F149" s="127"/>
      <c r="G149" s="127"/>
      <c r="H149" s="469"/>
      <c r="I149" s="469"/>
      <c r="J149" s="470"/>
      <c r="K149" s="473"/>
      <c r="L149" s="471"/>
      <c r="M149" s="471"/>
      <c r="N149" s="472"/>
      <c r="O149" s="473"/>
      <c r="P149" s="756"/>
      <c r="Q149" s="757"/>
      <c r="R149" s="743"/>
      <c r="S149" s="744"/>
      <c r="T149" s="744"/>
      <c r="U149" s="744"/>
      <c r="V149" s="744"/>
      <c r="W149" s="745"/>
      <c r="X149" s="733"/>
      <c r="Y149" s="733"/>
      <c r="Z149" s="733"/>
      <c r="AA149" s="733"/>
      <c r="AB149" s="733"/>
      <c r="AC149" s="733"/>
      <c r="AD149" s="734"/>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I149" s="127"/>
      <c r="BJ149" s="127"/>
      <c r="BK149" s="127"/>
      <c r="BL149" s="127"/>
      <c r="BM149" s="127"/>
      <c r="BN149" s="127"/>
      <c r="BO149" s="125"/>
      <c r="BP149" s="125"/>
      <c r="BQ149" s="125"/>
      <c r="BR149" s="125"/>
      <c r="BS149" s="125"/>
      <c r="BT149" s="125"/>
      <c r="BU149" s="125"/>
      <c r="BV149" s="125"/>
    </row>
    <row r="150" spans="1:74" ht="15" hidden="1" customHeight="1" x14ac:dyDescent="0.25">
      <c r="A150" s="127"/>
      <c r="B150" s="127"/>
      <c r="C150" s="127"/>
      <c r="D150" s="127"/>
      <c r="E150" s="127"/>
      <c r="F150" s="127"/>
      <c r="G150" s="127"/>
      <c r="H150" s="469"/>
      <c r="I150" s="469"/>
      <c r="J150" s="470"/>
      <c r="K150" s="473"/>
      <c r="L150" s="471"/>
      <c r="M150" s="471"/>
      <c r="N150" s="472"/>
      <c r="O150" s="473"/>
      <c r="P150" s="756"/>
      <c r="Q150" s="757"/>
      <c r="R150" s="743"/>
      <c r="S150" s="744"/>
      <c r="T150" s="744"/>
      <c r="U150" s="744"/>
      <c r="V150" s="744"/>
      <c r="W150" s="745"/>
      <c r="X150" s="733"/>
      <c r="Y150" s="733"/>
      <c r="Z150" s="733"/>
      <c r="AA150" s="733"/>
      <c r="AB150" s="733"/>
      <c r="AC150" s="733"/>
      <c r="AD150" s="734"/>
      <c r="AE150" s="127"/>
      <c r="AF150" s="127"/>
      <c r="AG150" s="127"/>
      <c r="AH150" s="127"/>
      <c r="AI150" s="127"/>
      <c r="AJ150" s="127"/>
      <c r="AK150" s="127"/>
      <c r="AL150" s="127"/>
      <c r="AM150" s="127"/>
      <c r="AN150" s="127"/>
      <c r="AO150" s="127"/>
      <c r="AP150" s="127"/>
      <c r="AQ150" s="127"/>
      <c r="AR150" s="127"/>
      <c r="AS150" s="127"/>
      <c r="AT150" s="127"/>
      <c r="AU150" s="127"/>
      <c r="AV150" s="127"/>
      <c r="AW150" s="127"/>
      <c r="AX150" s="127"/>
      <c r="AY150" s="127"/>
      <c r="AZ150" s="127"/>
      <c r="BA150" s="127"/>
      <c r="BB150" s="127"/>
      <c r="BC150" s="127"/>
      <c r="BD150" s="127"/>
      <c r="BE150" s="127"/>
      <c r="BF150" s="127"/>
      <c r="BG150" s="127"/>
      <c r="BH150" s="127"/>
      <c r="BI150" s="127"/>
      <c r="BJ150" s="127"/>
      <c r="BK150" s="127"/>
      <c r="BL150" s="127"/>
      <c r="BM150" s="127"/>
      <c r="BN150" s="127"/>
      <c r="BO150" s="125"/>
      <c r="BP150" s="125"/>
      <c r="BQ150" s="125"/>
      <c r="BR150" s="125"/>
      <c r="BS150" s="125"/>
      <c r="BT150" s="125"/>
      <c r="BU150" s="125"/>
      <c r="BV150" s="125"/>
    </row>
    <row r="151" spans="1:74" ht="15" hidden="1" customHeight="1" x14ac:dyDescent="0.25">
      <c r="A151" s="127"/>
      <c r="B151" s="127"/>
      <c r="C151" s="127"/>
      <c r="D151" s="127"/>
      <c r="E151" s="127"/>
      <c r="F151" s="127"/>
      <c r="G151" s="127"/>
      <c r="H151" s="469"/>
      <c r="I151" s="469"/>
      <c r="J151" s="470"/>
      <c r="K151" s="473"/>
      <c r="L151" s="471"/>
      <c r="M151" s="471"/>
      <c r="N151" s="472"/>
      <c r="O151" s="473"/>
      <c r="P151" s="756"/>
      <c r="Q151" s="757"/>
      <c r="R151" s="743"/>
      <c r="S151" s="744"/>
      <c r="T151" s="744"/>
      <c r="U151" s="744"/>
      <c r="V151" s="744"/>
      <c r="W151" s="745"/>
      <c r="X151" s="733"/>
      <c r="Y151" s="733"/>
      <c r="Z151" s="733"/>
      <c r="AA151" s="733"/>
      <c r="AB151" s="733"/>
      <c r="AC151" s="733"/>
      <c r="AD151" s="734"/>
      <c r="AE151" s="127"/>
      <c r="AF151" s="127"/>
      <c r="AG151" s="127"/>
      <c r="AH151" s="127"/>
      <c r="AI151" s="127"/>
      <c r="AJ151" s="127"/>
      <c r="AK151" s="127"/>
      <c r="AL151" s="127"/>
      <c r="AM151" s="127"/>
      <c r="AN151" s="127"/>
      <c r="AO151" s="127"/>
      <c r="AP151" s="127"/>
      <c r="AQ151" s="127"/>
      <c r="AR151" s="127"/>
      <c r="AS151" s="127"/>
      <c r="AT151" s="127"/>
      <c r="AU151" s="127"/>
      <c r="AV151" s="127"/>
      <c r="AW151" s="127"/>
      <c r="AX151" s="127"/>
      <c r="AY151" s="127"/>
      <c r="AZ151" s="127"/>
      <c r="BA151" s="127"/>
      <c r="BB151" s="127"/>
      <c r="BC151" s="127"/>
      <c r="BD151" s="127"/>
      <c r="BE151" s="127"/>
      <c r="BF151" s="127"/>
      <c r="BG151" s="127"/>
      <c r="BH151" s="127"/>
      <c r="BI151" s="127"/>
      <c r="BJ151" s="127"/>
      <c r="BK151" s="127"/>
      <c r="BL151" s="127"/>
      <c r="BM151" s="127"/>
      <c r="BN151" s="127"/>
      <c r="BO151" s="125"/>
      <c r="BP151" s="125"/>
      <c r="BQ151" s="125"/>
      <c r="BR151" s="125"/>
      <c r="BS151" s="125"/>
      <c r="BT151" s="125"/>
      <c r="BU151" s="125"/>
      <c r="BV151" s="125"/>
    </row>
    <row r="152" spans="1:74" ht="15" hidden="1" customHeight="1" x14ac:dyDescent="0.25">
      <c r="A152" s="127"/>
      <c r="B152" s="127"/>
      <c r="C152" s="127"/>
      <c r="D152" s="127"/>
      <c r="E152" s="127"/>
      <c r="F152" s="127"/>
      <c r="G152" s="127"/>
      <c r="H152" s="469"/>
      <c r="I152" s="469"/>
      <c r="J152" s="470"/>
      <c r="K152" s="473"/>
      <c r="L152" s="471"/>
      <c r="M152" s="471"/>
      <c r="N152" s="472"/>
      <c r="O152" s="473"/>
      <c r="P152" s="756"/>
      <c r="Q152" s="757"/>
      <c r="R152" s="743"/>
      <c r="S152" s="744"/>
      <c r="T152" s="744"/>
      <c r="U152" s="744"/>
      <c r="V152" s="744"/>
      <c r="W152" s="745"/>
      <c r="X152" s="733"/>
      <c r="Y152" s="733"/>
      <c r="Z152" s="733"/>
      <c r="AA152" s="733"/>
      <c r="AB152" s="733"/>
      <c r="AC152" s="733"/>
      <c r="AD152" s="734"/>
      <c r="AE152" s="127"/>
      <c r="AF152" s="127"/>
      <c r="AG152" s="127"/>
      <c r="AH152" s="127"/>
      <c r="AI152" s="127"/>
      <c r="AJ152" s="127"/>
      <c r="AK152" s="127"/>
      <c r="AL152" s="127"/>
      <c r="AM152" s="127"/>
      <c r="AN152" s="127"/>
      <c r="AO152" s="127"/>
      <c r="AP152" s="127"/>
      <c r="AQ152" s="127"/>
      <c r="AR152" s="127"/>
      <c r="AS152" s="127"/>
      <c r="AT152" s="127"/>
      <c r="AU152" s="127"/>
      <c r="AV152" s="127"/>
      <c r="AW152" s="127"/>
      <c r="AX152" s="127"/>
      <c r="AY152" s="127"/>
      <c r="AZ152" s="127"/>
      <c r="BA152" s="127"/>
      <c r="BB152" s="127"/>
      <c r="BC152" s="127"/>
      <c r="BD152" s="127"/>
      <c r="BE152" s="127"/>
      <c r="BF152" s="127"/>
      <c r="BG152" s="127"/>
      <c r="BH152" s="127"/>
      <c r="BI152" s="127"/>
      <c r="BJ152" s="127"/>
      <c r="BK152" s="127"/>
      <c r="BL152" s="127"/>
      <c r="BM152" s="127"/>
      <c r="BN152" s="127"/>
      <c r="BO152" s="125"/>
      <c r="BP152" s="125"/>
      <c r="BQ152" s="125"/>
      <c r="BR152" s="125"/>
      <c r="BS152" s="125"/>
      <c r="BT152" s="125"/>
      <c r="BU152" s="125"/>
      <c r="BV152" s="125"/>
    </row>
    <row r="153" spans="1:74" ht="15" hidden="1" customHeight="1" x14ac:dyDescent="0.25">
      <c r="A153" s="127"/>
      <c r="B153" s="127"/>
      <c r="C153" s="127"/>
      <c r="D153" s="127"/>
      <c r="E153" s="127"/>
      <c r="F153" s="127"/>
      <c r="G153" s="127"/>
      <c r="H153" s="469"/>
      <c r="I153" s="469"/>
      <c r="J153" s="470"/>
      <c r="K153" s="473"/>
      <c r="L153" s="471"/>
      <c r="M153" s="471"/>
      <c r="N153" s="472"/>
      <c r="O153" s="473"/>
      <c r="P153" s="756"/>
      <c r="Q153" s="757"/>
      <c r="R153" s="743"/>
      <c r="S153" s="744"/>
      <c r="T153" s="744"/>
      <c r="U153" s="744"/>
      <c r="V153" s="744"/>
      <c r="W153" s="745"/>
      <c r="X153" s="733"/>
      <c r="Y153" s="733"/>
      <c r="Z153" s="733"/>
      <c r="AA153" s="733"/>
      <c r="AB153" s="733"/>
      <c r="AC153" s="733"/>
      <c r="AD153" s="734"/>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I153" s="127"/>
      <c r="BJ153" s="127"/>
      <c r="BK153" s="127"/>
      <c r="BL153" s="127"/>
      <c r="BM153" s="127"/>
      <c r="BN153" s="127"/>
      <c r="BO153" s="125"/>
      <c r="BP153" s="125"/>
      <c r="BQ153" s="125"/>
      <c r="BR153" s="125"/>
      <c r="BS153" s="125"/>
      <c r="BT153" s="125"/>
      <c r="BU153" s="125"/>
      <c r="BV153" s="125"/>
    </row>
    <row r="154" spans="1:74" ht="12.75" hidden="1" customHeight="1" x14ac:dyDescent="0.25">
      <c r="A154" s="127"/>
      <c r="B154" s="127"/>
      <c r="C154" s="127"/>
      <c r="D154" s="127"/>
      <c r="E154" s="127"/>
      <c r="F154" s="127"/>
      <c r="G154" s="127"/>
      <c r="H154" s="127"/>
      <c r="I154" s="127"/>
      <c r="J154" s="127"/>
      <c r="K154" s="127"/>
      <c r="L154" s="127"/>
      <c r="M154" s="127"/>
      <c r="N154" s="127"/>
      <c r="O154" s="127"/>
      <c r="P154" s="756"/>
      <c r="Q154" s="757"/>
      <c r="R154" s="743"/>
      <c r="S154" s="744"/>
      <c r="T154" s="744"/>
      <c r="U154" s="744"/>
      <c r="V154" s="744"/>
      <c r="W154" s="745"/>
      <c r="X154" s="733"/>
      <c r="Y154" s="733"/>
      <c r="Z154" s="733"/>
      <c r="AA154" s="733"/>
      <c r="AB154" s="733"/>
      <c r="AC154" s="733"/>
      <c r="AD154" s="734"/>
      <c r="AE154" s="127"/>
      <c r="AF154" s="127"/>
      <c r="AG154" s="127"/>
      <c r="AH154" s="127"/>
      <c r="AI154" s="127"/>
      <c r="AJ154" s="127"/>
      <c r="AK154" s="127"/>
      <c r="AL154" s="127"/>
      <c r="AM154" s="127"/>
      <c r="AN154" s="127"/>
      <c r="AO154" s="127"/>
      <c r="AP154" s="127"/>
      <c r="AQ154" s="127"/>
      <c r="AR154" s="127"/>
      <c r="AS154" s="127"/>
      <c r="AT154" s="127"/>
      <c r="AU154" s="127"/>
      <c r="AV154" s="127"/>
      <c r="AW154" s="127"/>
      <c r="AX154" s="127"/>
      <c r="AY154" s="127"/>
      <c r="AZ154" s="127"/>
      <c r="BA154" s="127"/>
      <c r="BB154" s="127"/>
      <c r="BC154" s="127"/>
      <c r="BD154" s="127"/>
      <c r="BE154" s="127"/>
      <c r="BF154" s="127"/>
      <c r="BG154" s="127"/>
      <c r="BH154" s="127"/>
      <c r="BI154" s="127"/>
      <c r="BJ154" s="127"/>
      <c r="BK154" s="127"/>
      <c r="BL154" s="127"/>
      <c r="BM154" s="127"/>
      <c r="BN154" s="127"/>
      <c r="BO154" s="125"/>
      <c r="BP154" s="125"/>
      <c r="BQ154" s="125"/>
      <c r="BR154" s="125"/>
      <c r="BS154" s="125"/>
      <c r="BT154" s="125"/>
      <c r="BU154" s="125"/>
      <c r="BV154" s="125"/>
    </row>
    <row r="155" spans="1:74" ht="13.65" hidden="1" customHeight="1" thickBot="1" x14ac:dyDescent="0.3">
      <c r="A155" s="127"/>
      <c r="B155" s="127"/>
      <c r="C155" s="127"/>
      <c r="D155" s="127"/>
      <c r="E155" s="127"/>
      <c r="F155" s="127"/>
      <c r="G155" s="127"/>
      <c r="H155" s="127"/>
      <c r="I155" s="127"/>
      <c r="J155" s="127"/>
      <c r="K155" s="127"/>
      <c r="L155" s="127"/>
      <c r="M155" s="127"/>
      <c r="N155" s="127"/>
      <c r="O155" s="127"/>
      <c r="P155" s="758"/>
      <c r="Q155" s="759"/>
      <c r="R155" s="746"/>
      <c r="S155" s="747"/>
      <c r="T155" s="747"/>
      <c r="U155" s="747"/>
      <c r="V155" s="747"/>
      <c r="W155" s="748"/>
      <c r="X155" s="735"/>
      <c r="Y155" s="735"/>
      <c r="Z155" s="735"/>
      <c r="AA155" s="735"/>
      <c r="AB155" s="735"/>
      <c r="AC155" s="735"/>
      <c r="AD155" s="736"/>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I155" s="127"/>
      <c r="BJ155" s="127"/>
      <c r="BK155" s="127"/>
      <c r="BL155" s="127"/>
      <c r="BM155" s="127"/>
      <c r="BN155" s="127"/>
      <c r="BO155" s="125"/>
      <c r="BP155" s="125"/>
      <c r="BQ155" s="125"/>
      <c r="BR155" s="125"/>
      <c r="BS155" s="125"/>
      <c r="BT155" s="125"/>
      <c r="BU155" s="125"/>
      <c r="BV155" s="125"/>
    </row>
    <row r="156" spans="1:74" hidden="1" x14ac:dyDescent="0.25">
      <c r="A156" s="127"/>
      <c r="B156" s="127"/>
      <c r="C156" s="127"/>
      <c r="D156" s="127"/>
      <c r="E156" s="127"/>
      <c r="F156" s="127"/>
      <c r="G156" s="127"/>
      <c r="H156" s="127"/>
      <c r="I156" s="127"/>
      <c r="J156" s="127"/>
      <c r="K156" s="127"/>
      <c r="L156" s="127"/>
      <c r="M156" s="127"/>
      <c r="N156" s="127"/>
      <c r="O156" s="127"/>
      <c r="P156" s="136"/>
      <c r="Q156" s="136"/>
      <c r="R156" s="136"/>
      <c r="S156" s="136"/>
      <c r="T156" s="136"/>
      <c r="U156" s="136"/>
      <c r="V156" s="136"/>
      <c r="W156" s="136"/>
      <c r="X156" s="136"/>
      <c r="Y156" s="136"/>
      <c r="Z156" s="136"/>
      <c r="AA156" s="136"/>
      <c r="AB156" s="136"/>
      <c r="AC156" s="136"/>
      <c r="AD156" s="127"/>
      <c r="AE156" s="127"/>
      <c r="AF156" s="127"/>
      <c r="AG156" s="127"/>
      <c r="AH156" s="127"/>
      <c r="AI156" s="127"/>
      <c r="AJ156" s="127"/>
      <c r="AK156" s="127"/>
      <c r="AL156" s="127"/>
      <c r="AM156" s="127"/>
      <c r="AN156" s="127"/>
      <c r="AO156" s="127"/>
      <c r="AP156" s="127"/>
      <c r="AQ156" s="127"/>
      <c r="AR156" s="127"/>
      <c r="AS156" s="127"/>
      <c r="AT156" s="127"/>
      <c r="AU156" s="127"/>
      <c r="AV156" s="127"/>
      <c r="AW156" s="127"/>
      <c r="AX156" s="127"/>
      <c r="AY156" s="127"/>
      <c r="AZ156" s="127"/>
      <c r="BA156" s="127"/>
      <c r="BB156" s="127"/>
      <c r="BC156" s="127"/>
      <c r="BD156" s="127"/>
      <c r="BE156" s="127"/>
      <c r="BF156" s="127"/>
      <c r="BG156" s="127"/>
      <c r="BH156" s="127"/>
      <c r="BI156" s="127"/>
      <c r="BJ156" s="127"/>
      <c r="BK156" s="127"/>
      <c r="BL156" s="127"/>
      <c r="BM156" s="127"/>
      <c r="BN156" s="127"/>
      <c r="BO156" s="125"/>
      <c r="BP156" s="125"/>
      <c r="BQ156" s="125"/>
      <c r="BR156" s="125"/>
      <c r="BS156" s="125"/>
      <c r="BT156" s="125"/>
      <c r="BU156" s="125"/>
      <c r="BV156" s="125"/>
    </row>
    <row r="157" spans="1:74" hidden="1" x14ac:dyDescent="0.25">
      <c r="A157" s="127"/>
      <c r="B157" s="127"/>
      <c r="C157" s="127"/>
      <c r="D157" s="127"/>
      <c r="E157" s="127"/>
      <c r="F157" s="127"/>
      <c r="G157" s="127"/>
      <c r="H157" s="127"/>
      <c r="I157" s="127"/>
      <c r="J157" s="127"/>
      <c r="K157" s="127"/>
      <c r="L157" s="127"/>
      <c r="M157" s="127"/>
      <c r="N157" s="127"/>
      <c r="O157" s="127"/>
      <c r="P157" s="481" t="s">
        <v>1235</v>
      </c>
      <c r="Q157" s="136"/>
      <c r="R157" s="136"/>
      <c r="S157" s="136"/>
      <c r="T157" s="136"/>
      <c r="U157" s="136"/>
      <c r="V157" s="136"/>
      <c r="W157" s="136"/>
      <c r="X157" s="136"/>
      <c r="Y157" s="136"/>
      <c r="Z157" s="136"/>
      <c r="AA157" s="136"/>
      <c r="AB157" s="136"/>
      <c r="AC157" s="136"/>
      <c r="AD157" s="127"/>
      <c r="AE157" s="127"/>
      <c r="AF157" s="127"/>
      <c r="AG157" s="127"/>
      <c r="AH157" s="127"/>
      <c r="AI157" s="127"/>
      <c r="AJ157" s="127"/>
      <c r="AK157" s="127"/>
      <c r="AL157" s="127"/>
      <c r="AM157" s="127"/>
      <c r="AN157" s="127"/>
      <c r="AO157" s="127"/>
      <c r="AP157" s="127"/>
      <c r="AQ157" s="127"/>
      <c r="AR157" s="127"/>
      <c r="AS157" s="127"/>
      <c r="AT157" s="127"/>
      <c r="AU157" s="127"/>
      <c r="AV157" s="127"/>
      <c r="AW157" s="127"/>
      <c r="AX157" s="127"/>
      <c r="AY157" s="127"/>
      <c r="AZ157" s="127"/>
      <c r="BA157" s="127"/>
      <c r="BB157" s="127"/>
      <c r="BC157" s="127"/>
      <c r="BD157" s="127"/>
      <c r="BE157" s="127"/>
      <c r="BF157" s="127"/>
      <c r="BG157" s="127"/>
      <c r="BH157" s="127"/>
      <c r="BI157" s="127"/>
      <c r="BJ157" s="127"/>
      <c r="BK157" s="127"/>
      <c r="BL157" s="127"/>
      <c r="BM157" s="127"/>
      <c r="BN157" s="127"/>
      <c r="BO157" s="125"/>
      <c r="BP157" s="125"/>
      <c r="BQ157" s="125"/>
      <c r="BR157" s="125"/>
      <c r="BS157" s="125"/>
      <c r="BT157" s="125"/>
      <c r="BU157" s="125"/>
      <c r="BV157" s="125"/>
    </row>
    <row r="158" spans="1:74" hidden="1" x14ac:dyDescent="0.25">
      <c r="A158" s="127"/>
      <c r="B158" s="127"/>
      <c r="C158" s="127"/>
      <c r="D158" s="127"/>
      <c r="E158" s="127"/>
      <c r="F158" s="127"/>
      <c r="G158" s="127"/>
      <c r="H158" s="127"/>
      <c r="I158" s="127"/>
      <c r="J158" s="127"/>
      <c r="K158" s="127"/>
      <c r="L158" s="127"/>
      <c r="M158" s="127"/>
      <c r="N158" s="127"/>
      <c r="O158" s="127"/>
      <c r="P158" s="483" t="s">
        <v>1240</v>
      </c>
      <c r="Q158" s="136"/>
      <c r="R158" s="136"/>
      <c r="S158" s="136"/>
      <c r="T158" s="136"/>
      <c r="U158" s="136"/>
      <c r="V158" s="136"/>
      <c r="W158" s="136"/>
      <c r="X158" s="136"/>
      <c r="Y158" s="136"/>
      <c r="Z158" s="136"/>
      <c r="AA158" s="136"/>
      <c r="AB158" s="136"/>
      <c r="AC158" s="136"/>
      <c r="AD158" s="127"/>
      <c r="AE158" s="127"/>
      <c r="AF158" s="127"/>
      <c r="AG158" s="127"/>
      <c r="AH158" s="127"/>
      <c r="AI158" s="127"/>
      <c r="AJ158" s="127"/>
      <c r="AK158" s="127"/>
      <c r="AL158" s="127"/>
      <c r="AM158" s="127"/>
      <c r="AN158" s="127"/>
      <c r="AO158" s="127"/>
      <c r="AP158" s="127"/>
      <c r="AQ158" s="127"/>
      <c r="AR158" s="127"/>
      <c r="AS158" s="127"/>
      <c r="AT158" s="127"/>
      <c r="AU158" s="127"/>
      <c r="AV158" s="127"/>
      <c r="AW158" s="127"/>
      <c r="AX158" s="127"/>
      <c r="AY158" s="127"/>
      <c r="AZ158" s="127"/>
      <c r="BA158" s="127"/>
      <c r="BB158" s="127"/>
      <c r="BC158" s="127"/>
      <c r="BD158" s="127"/>
      <c r="BE158" s="127"/>
      <c r="BF158" s="127"/>
      <c r="BG158" s="127"/>
      <c r="BH158" s="127"/>
      <c r="BI158" s="127"/>
      <c r="BJ158" s="127"/>
      <c r="BK158" s="127"/>
      <c r="BL158" s="127"/>
      <c r="BM158" s="127"/>
      <c r="BN158" s="127"/>
      <c r="BO158" s="125"/>
      <c r="BP158" s="125"/>
      <c r="BQ158" s="125"/>
      <c r="BR158" s="125"/>
      <c r="BS158" s="125"/>
      <c r="BT158" s="125"/>
      <c r="BU158" s="125"/>
      <c r="BV158" s="125"/>
    </row>
    <row r="159" spans="1:74" hidden="1" x14ac:dyDescent="0.25">
      <c r="A159" s="127"/>
      <c r="B159" s="127"/>
      <c r="C159" s="127"/>
      <c r="D159" s="127"/>
      <c r="E159" s="127"/>
      <c r="F159" s="127"/>
      <c r="G159" s="127"/>
      <c r="H159" s="127"/>
      <c r="I159" s="127"/>
      <c r="J159" s="127"/>
      <c r="K159" s="127"/>
      <c r="L159" s="127"/>
      <c r="M159" s="127"/>
      <c r="N159" s="127"/>
      <c r="O159" s="127"/>
      <c r="P159" s="482" t="s">
        <v>1236</v>
      </c>
      <c r="Q159" s="136"/>
      <c r="R159" s="136"/>
      <c r="S159" s="136"/>
      <c r="T159" s="136"/>
      <c r="U159" s="136"/>
      <c r="V159" s="136"/>
      <c r="W159" s="136"/>
      <c r="X159" s="136"/>
      <c r="Y159" s="136"/>
      <c r="Z159" s="136"/>
      <c r="AA159" s="136"/>
      <c r="AB159" s="136"/>
      <c r="AC159" s="136"/>
      <c r="AD159" s="127"/>
      <c r="AE159" s="127"/>
      <c r="AF159" s="127"/>
      <c r="AG159" s="127"/>
      <c r="AH159" s="127"/>
      <c r="AI159" s="127"/>
      <c r="AJ159" s="127"/>
      <c r="AK159" s="127"/>
      <c r="AL159" s="127"/>
      <c r="AM159" s="127"/>
      <c r="AN159" s="127"/>
      <c r="AO159" s="127"/>
      <c r="AP159" s="127"/>
      <c r="AQ159" s="127"/>
      <c r="AR159" s="127"/>
      <c r="AS159" s="127"/>
      <c r="AT159" s="127"/>
      <c r="AU159" s="127"/>
      <c r="AV159" s="127"/>
      <c r="AW159" s="127"/>
      <c r="AX159" s="127"/>
      <c r="AY159" s="127"/>
      <c r="AZ159" s="127"/>
      <c r="BA159" s="127"/>
      <c r="BB159" s="127"/>
      <c r="BC159" s="127"/>
      <c r="BD159" s="127"/>
      <c r="BE159" s="127"/>
      <c r="BF159" s="127"/>
      <c r="BG159" s="127"/>
      <c r="BH159" s="127"/>
      <c r="BI159" s="127"/>
      <c r="BJ159" s="127"/>
      <c r="BK159" s="127"/>
      <c r="BL159" s="127"/>
      <c r="BM159" s="127"/>
      <c r="BN159" s="127"/>
      <c r="BO159" s="125"/>
      <c r="BP159" s="125"/>
      <c r="BQ159" s="125"/>
      <c r="BR159" s="125"/>
      <c r="BS159" s="125"/>
      <c r="BT159" s="125"/>
      <c r="BU159" s="125"/>
      <c r="BV159" s="125"/>
    </row>
    <row r="160" spans="1:74" hidden="1" x14ac:dyDescent="0.25">
      <c r="A160" s="127"/>
      <c r="B160" s="127"/>
      <c r="C160" s="127"/>
      <c r="D160" s="127"/>
      <c r="E160" s="127"/>
      <c r="F160" s="127"/>
      <c r="G160" s="127"/>
      <c r="H160" s="127"/>
      <c r="I160" s="127"/>
      <c r="J160" s="127"/>
      <c r="K160" s="127"/>
      <c r="L160" s="127"/>
      <c r="M160" s="127"/>
      <c r="N160" s="127"/>
      <c r="O160" s="127"/>
      <c r="P160" s="482" t="s">
        <v>1237</v>
      </c>
      <c r="Q160" s="136"/>
      <c r="R160" s="136"/>
      <c r="S160" s="136"/>
      <c r="T160" s="136"/>
      <c r="U160" s="136"/>
      <c r="V160" s="136"/>
      <c r="W160" s="136"/>
      <c r="X160" s="136"/>
      <c r="Y160" s="136"/>
      <c r="Z160" s="136"/>
      <c r="AA160" s="136"/>
      <c r="AB160" s="136"/>
      <c r="AC160" s="136"/>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I160" s="127"/>
      <c r="BJ160" s="127"/>
      <c r="BK160" s="127"/>
      <c r="BL160" s="127"/>
      <c r="BM160" s="127"/>
      <c r="BN160" s="127"/>
      <c r="BO160" s="125"/>
      <c r="BP160" s="125"/>
      <c r="BQ160" s="125"/>
      <c r="BR160" s="125"/>
      <c r="BS160" s="125"/>
      <c r="BT160" s="125"/>
      <c r="BU160" s="125"/>
      <c r="BV160" s="125"/>
    </row>
    <row r="161" spans="1:74" hidden="1" x14ac:dyDescent="0.25">
      <c r="A161" s="127"/>
      <c r="B161" s="127"/>
      <c r="C161" s="127"/>
      <c r="D161" s="127"/>
      <c r="E161" s="127"/>
      <c r="F161" s="127"/>
      <c r="G161" s="127"/>
      <c r="H161" s="127"/>
      <c r="I161" s="127"/>
      <c r="J161" s="127"/>
      <c r="K161" s="127"/>
      <c r="L161" s="127"/>
      <c r="M161" s="127"/>
      <c r="N161" s="127"/>
      <c r="O161" s="127"/>
      <c r="P161" s="136"/>
      <c r="Q161" s="136"/>
      <c r="R161" s="858" t="s">
        <v>1238</v>
      </c>
      <c r="S161" s="765"/>
      <c r="T161" s="765"/>
      <c r="U161" s="136"/>
      <c r="V161" s="136"/>
      <c r="W161" s="858" t="s">
        <v>1239</v>
      </c>
      <c r="X161" s="765"/>
      <c r="Y161" s="765"/>
      <c r="Z161" s="765"/>
      <c r="AA161" s="765"/>
      <c r="AB161" s="136"/>
      <c r="AC161" s="136"/>
      <c r="AD161" s="127"/>
      <c r="AE161" s="127"/>
      <c r="AF161" s="127"/>
      <c r="AG161" s="127"/>
      <c r="AH161" s="127"/>
      <c r="AI161" s="127"/>
      <c r="AJ161" s="127"/>
      <c r="AK161" s="127"/>
      <c r="AL161" s="127"/>
      <c r="AM161" s="127"/>
      <c r="AN161" s="127"/>
      <c r="AO161" s="127"/>
      <c r="AP161" s="127"/>
      <c r="AQ161" s="127"/>
      <c r="AR161" s="127"/>
      <c r="AS161" s="127"/>
      <c r="AT161" s="127"/>
      <c r="AU161" s="127"/>
      <c r="AV161" s="127"/>
      <c r="AW161" s="127"/>
      <c r="AX161" s="127"/>
      <c r="AY161" s="127"/>
      <c r="AZ161" s="127"/>
      <c r="BA161" s="127"/>
      <c r="BB161" s="127"/>
      <c r="BC161" s="127"/>
      <c r="BD161" s="127"/>
      <c r="BE161" s="127"/>
      <c r="BF161" s="127"/>
      <c r="BG161" s="127"/>
      <c r="BH161" s="127"/>
      <c r="BI161" s="127"/>
      <c r="BJ161" s="127"/>
      <c r="BK161" s="127"/>
      <c r="BL161" s="127"/>
      <c r="BM161" s="127"/>
      <c r="BN161" s="127"/>
      <c r="BO161" s="125"/>
      <c r="BP161" s="125"/>
      <c r="BQ161" s="125"/>
      <c r="BR161" s="125"/>
      <c r="BS161" s="125"/>
      <c r="BT161" s="125"/>
      <c r="BU161" s="125"/>
      <c r="BV161" s="125"/>
    </row>
    <row r="162" spans="1:74" hidden="1" x14ac:dyDescent="0.25">
      <c r="A162" s="127"/>
      <c r="B162" s="127"/>
      <c r="C162" s="127"/>
      <c r="D162" s="127"/>
      <c r="E162" s="127"/>
      <c r="F162" s="127"/>
      <c r="G162" s="127"/>
      <c r="H162" s="127"/>
      <c r="I162" s="127"/>
      <c r="J162" s="127"/>
      <c r="K162" s="127"/>
      <c r="L162" s="127"/>
      <c r="M162" s="127"/>
      <c r="N162" s="127"/>
      <c r="O162" s="127"/>
      <c r="P162" s="136"/>
      <c r="Q162" s="136"/>
      <c r="R162" s="136"/>
      <c r="S162" s="136"/>
      <c r="T162" s="136"/>
      <c r="U162" s="136"/>
      <c r="V162" s="136"/>
      <c r="W162" s="136"/>
      <c r="X162" s="136"/>
      <c r="Y162" s="136"/>
      <c r="Z162" s="136"/>
      <c r="AA162" s="136"/>
      <c r="AB162" s="136"/>
      <c r="AC162" s="136"/>
      <c r="AD162" s="127"/>
      <c r="AE162" s="127"/>
      <c r="AF162" s="127"/>
      <c r="AG162" s="127"/>
      <c r="AH162" s="127"/>
      <c r="AI162" s="127"/>
      <c r="AJ162" s="127"/>
      <c r="AK162" s="127"/>
      <c r="AL162" s="127"/>
      <c r="AM162" s="127"/>
      <c r="AN162" s="127"/>
      <c r="AO162" s="127"/>
      <c r="AP162" s="127"/>
      <c r="AQ162" s="127"/>
      <c r="AR162" s="127"/>
      <c r="AS162" s="127"/>
      <c r="AT162" s="127"/>
      <c r="AU162" s="127"/>
      <c r="AV162" s="127"/>
      <c r="AW162" s="127"/>
      <c r="AX162" s="127"/>
      <c r="AY162" s="127"/>
      <c r="AZ162" s="127"/>
      <c r="BA162" s="127"/>
      <c r="BB162" s="127"/>
      <c r="BC162" s="127"/>
      <c r="BD162" s="127"/>
      <c r="BE162" s="127"/>
      <c r="BF162" s="127"/>
      <c r="BG162" s="127"/>
      <c r="BH162" s="127"/>
      <c r="BI162" s="127"/>
      <c r="BJ162" s="127"/>
      <c r="BK162" s="127"/>
      <c r="BL162" s="127"/>
      <c r="BM162" s="127"/>
      <c r="BN162" s="127"/>
      <c r="BO162" s="125"/>
      <c r="BP162" s="125"/>
      <c r="BQ162" s="125"/>
      <c r="BR162" s="125"/>
      <c r="BS162" s="125"/>
      <c r="BT162" s="125"/>
      <c r="BU162" s="125"/>
      <c r="BV162" s="125"/>
    </row>
    <row r="163" spans="1:74" x14ac:dyDescent="0.25">
      <c r="A163" s="127"/>
      <c r="B163" s="127"/>
      <c r="C163" s="127"/>
      <c r="D163" s="127"/>
      <c r="E163" s="127"/>
      <c r="F163" s="127"/>
      <c r="G163" s="127"/>
      <c r="H163" s="127"/>
      <c r="I163" s="127"/>
      <c r="J163" s="127"/>
      <c r="K163" s="127"/>
      <c r="L163" s="127"/>
      <c r="M163" s="127"/>
      <c r="N163" s="127"/>
      <c r="O163" s="127"/>
      <c r="P163" s="136"/>
      <c r="Q163" s="136"/>
      <c r="R163" s="136"/>
      <c r="S163" s="136"/>
      <c r="T163" s="136"/>
      <c r="U163" s="136"/>
      <c r="V163" s="136"/>
      <c r="W163" s="136"/>
      <c r="X163" s="136"/>
      <c r="Y163" s="136"/>
      <c r="Z163" s="136"/>
      <c r="AA163" s="136"/>
      <c r="AB163" s="136"/>
      <c r="AC163" s="136"/>
      <c r="AD163" s="127"/>
      <c r="AE163" s="127"/>
      <c r="AF163" s="127"/>
      <c r="AG163" s="127"/>
      <c r="AH163" s="127"/>
      <c r="AI163" s="127"/>
      <c r="AJ163" s="127"/>
      <c r="AK163" s="127"/>
      <c r="AL163" s="127"/>
      <c r="AM163" s="127"/>
      <c r="AN163" s="127"/>
      <c r="AO163" s="127"/>
      <c r="AP163" s="127"/>
      <c r="AQ163" s="127"/>
      <c r="AR163" s="127"/>
      <c r="AS163" s="127"/>
      <c r="AT163" s="127"/>
      <c r="AU163" s="127"/>
      <c r="AV163" s="127"/>
      <c r="AW163" s="127"/>
      <c r="AX163" s="127"/>
      <c r="AY163" s="127"/>
      <c r="AZ163" s="127"/>
      <c r="BA163" s="127"/>
      <c r="BB163" s="127"/>
      <c r="BC163" s="127"/>
      <c r="BD163" s="127"/>
      <c r="BE163" s="127"/>
      <c r="BF163" s="127"/>
      <c r="BG163" s="127"/>
      <c r="BH163" s="127"/>
      <c r="BI163" s="127"/>
      <c r="BJ163" s="127"/>
      <c r="BK163" s="127"/>
      <c r="BL163" s="127"/>
      <c r="BM163" s="127"/>
      <c r="BN163" s="127"/>
      <c r="BO163" s="125"/>
      <c r="BP163" s="125"/>
      <c r="BQ163" s="125"/>
      <c r="BR163" s="125"/>
      <c r="BS163" s="125"/>
      <c r="BT163" s="125"/>
      <c r="BU163" s="125"/>
      <c r="BV163" s="125"/>
    </row>
    <row r="164" spans="1:74" x14ac:dyDescent="0.25">
      <c r="A164" s="127"/>
      <c r="B164" s="127"/>
      <c r="C164" s="127"/>
      <c r="D164" s="127"/>
      <c r="E164" s="127"/>
      <c r="F164" s="127"/>
      <c r="G164" s="127"/>
      <c r="H164" s="127"/>
      <c r="I164" s="127"/>
      <c r="J164" s="127"/>
      <c r="K164" s="127"/>
      <c r="L164" s="127"/>
      <c r="M164" s="127"/>
      <c r="N164" s="127"/>
      <c r="O164" s="127"/>
      <c r="P164" s="127"/>
      <c r="Q164" s="127"/>
      <c r="R164" s="127"/>
      <c r="S164" s="127"/>
      <c r="T164" s="127"/>
      <c r="U164" s="127"/>
      <c r="V164" s="127"/>
      <c r="W164" s="127"/>
      <c r="X164" s="127"/>
      <c r="Y164" s="127"/>
      <c r="Z164" s="127"/>
      <c r="AA164" s="127"/>
      <c r="AB164" s="127"/>
      <c r="AC164" s="127"/>
      <c r="AD164" s="127"/>
      <c r="AE164" s="127"/>
      <c r="AF164" s="127"/>
      <c r="AG164" s="127"/>
      <c r="AH164" s="127"/>
      <c r="AI164" s="127"/>
      <c r="AJ164" s="127"/>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I164" s="127"/>
      <c r="BJ164" s="127"/>
      <c r="BK164" s="127"/>
      <c r="BL164" s="127"/>
      <c r="BM164" s="127"/>
      <c r="BN164" s="127"/>
      <c r="BO164" s="125"/>
      <c r="BP164" s="125"/>
      <c r="BQ164" s="125"/>
      <c r="BR164" s="125"/>
      <c r="BS164" s="125"/>
      <c r="BT164" s="125"/>
      <c r="BU164" s="125"/>
      <c r="BV164" s="125"/>
    </row>
    <row r="165" spans="1:74" x14ac:dyDescent="0.25">
      <c r="A165" s="127"/>
      <c r="B165" s="127"/>
      <c r="C165" s="127"/>
      <c r="D165" s="127"/>
      <c r="E165" s="127"/>
      <c r="F165" s="127"/>
      <c r="G165" s="127"/>
      <c r="H165" s="127"/>
      <c r="I165" s="127"/>
      <c r="J165" s="127"/>
      <c r="K165" s="127"/>
      <c r="L165" s="127"/>
      <c r="M165" s="127"/>
      <c r="N165" s="127"/>
      <c r="O165" s="127"/>
      <c r="P165" s="127"/>
      <c r="Q165" s="127"/>
      <c r="R165" s="127"/>
      <c r="S165" s="127"/>
      <c r="T165" s="127"/>
      <c r="U165" s="127"/>
      <c r="V165" s="127"/>
      <c r="W165" s="127"/>
      <c r="X165" s="127"/>
      <c r="Y165" s="127"/>
      <c r="Z165" s="127"/>
      <c r="AA165" s="127"/>
      <c r="AB165" s="127"/>
      <c r="AC165" s="127"/>
      <c r="AD165" s="127"/>
      <c r="AE165" s="127"/>
      <c r="AF165" s="127"/>
      <c r="AG165" s="127"/>
      <c r="AH165" s="127"/>
      <c r="AI165" s="127"/>
      <c r="AJ165" s="127"/>
      <c r="AK165" s="127"/>
      <c r="AL165" s="127"/>
      <c r="AM165" s="127"/>
      <c r="AN165" s="127"/>
      <c r="AO165" s="127"/>
      <c r="AP165" s="127"/>
      <c r="AQ165" s="127"/>
      <c r="AR165" s="127"/>
      <c r="AS165" s="127"/>
      <c r="AT165" s="127"/>
      <c r="AU165" s="127"/>
      <c r="AV165" s="127"/>
      <c r="AW165" s="127"/>
      <c r="AX165" s="127"/>
      <c r="AY165" s="127"/>
      <c r="AZ165" s="127"/>
      <c r="BA165" s="127"/>
      <c r="BB165" s="127"/>
      <c r="BC165" s="127"/>
      <c r="BD165" s="127"/>
      <c r="BE165" s="127"/>
      <c r="BF165" s="127"/>
      <c r="BG165" s="127"/>
      <c r="BH165" s="127"/>
      <c r="BI165" s="127"/>
      <c r="BJ165" s="127"/>
      <c r="BK165" s="127"/>
      <c r="BL165" s="127"/>
      <c r="BM165" s="127"/>
      <c r="BN165" s="127"/>
      <c r="BO165" s="125"/>
      <c r="BP165" s="125"/>
      <c r="BQ165" s="125"/>
      <c r="BR165" s="125"/>
      <c r="BS165" s="125"/>
      <c r="BT165" s="125"/>
      <c r="BU165" s="125"/>
      <c r="BV165" s="125"/>
    </row>
    <row r="166" spans="1:74" x14ac:dyDescent="0.25">
      <c r="A166" s="127"/>
      <c r="B166" s="127"/>
      <c r="C166" s="127"/>
      <c r="D166" s="127"/>
      <c r="E166" s="127"/>
      <c r="F166" s="127"/>
      <c r="G166" s="127"/>
      <c r="H166" s="127"/>
      <c r="I166" s="127"/>
      <c r="J166" s="127"/>
      <c r="K166" s="127"/>
      <c r="L166" s="127"/>
      <c r="M166" s="127"/>
      <c r="N166" s="127"/>
      <c r="O166" s="127"/>
      <c r="P166" s="127"/>
      <c r="Q166" s="127"/>
      <c r="R166" s="127"/>
      <c r="S166" s="127"/>
      <c r="T166" s="127"/>
      <c r="U166" s="127"/>
      <c r="V166" s="127"/>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I166" s="127"/>
      <c r="BJ166" s="127"/>
      <c r="BK166" s="127"/>
      <c r="BL166" s="127"/>
      <c r="BM166" s="127"/>
      <c r="BN166" s="127"/>
      <c r="BO166" s="125"/>
      <c r="BP166" s="125"/>
      <c r="BQ166" s="125"/>
      <c r="BR166" s="125"/>
      <c r="BS166" s="125"/>
      <c r="BT166" s="125"/>
      <c r="BU166" s="125"/>
      <c r="BV166" s="125"/>
    </row>
    <row r="167" spans="1:74" x14ac:dyDescent="0.25">
      <c r="A167" s="127"/>
      <c r="B167" s="127"/>
      <c r="C167" s="127"/>
      <c r="D167" s="127"/>
      <c r="E167" s="127"/>
      <c r="F167" s="127"/>
      <c r="G167" s="127"/>
      <c r="H167" s="127"/>
      <c r="I167" s="127"/>
      <c r="J167" s="127"/>
      <c r="K167" s="127"/>
      <c r="L167" s="127"/>
      <c r="M167" s="127"/>
      <c r="N167" s="127"/>
      <c r="O167" s="127"/>
      <c r="P167" s="127"/>
      <c r="Q167" s="127"/>
      <c r="R167" s="127"/>
      <c r="S167" s="127"/>
      <c r="T167" s="127"/>
      <c r="U167" s="127"/>
      <c r="V167" s="127"/>
      <c r="W167" s="127"/>
      <c r="X167" s="127"/>
      <c r="Y167" s="127"/>
      <c r="Z167" s="127"/>
      <c r="AA167" s="127"/>
      <c r="AB167" s="127"/>
      <c r="AC167" s="127"/>
      <c r="AD167" s="127"/>
      <c r="AE167" s="127"/>
      <c r="AF167" s="127"/>
      <c r="AG167" s="127"/>
      <c r="AH167" s="127"/>
      <c r="AI167" s="127"/>
      <c r="AJ167" s="127"/>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I167" s="127"/>
      <c r="BJ167" s="127"/>
      <c r="BK167" s="127"/>
      <c r="BL167" s="127"/>
      <c r="BM167" s="127"/>
      <c r="BN167" s="127"/>
      <c r="BO167" s="125"/>
      <c r="BP167" s="125"/>
      <c r="BQ167" s="125"/>
      <c r="BR167" s="125"/>
      <c r="BS167" s="125"/>
      <c r="BT167" s="125"/>
      <c r="BU167" s="125"/>
      <c r="BV167" s="125"/>
    </row>
    <row r="168" spans="1:74" x14ac:dyDescent="0.25">
      <c r="A168" s="127"/>
      <c r="B168" s="127"/>
      <c r="C168" s="127"/>
      <c r="D168" s="127"/>
      <c r="E168" s="127"/>
      <c r="F168" s="127"/>
      <c r="G168" s="127"/>
      <c r="H168" s="127"/>
      <c r="I168" s="127"/>
      <c r="J168" s="127"/>
      <c r="K168" s="127"/>
      <c r="L168" s="127"/>
      <c r="M168" s="127"/>
      <c r="N168" s="127"/>
      <c r="O168" s="127"/>
      <c r="P168" s="127"/>
      <c r="Q168" s="127"/>
      <c r="R168" s="127"/>
      <c r="S168" s="127"/>
      <c r="T168" s="127"/>
      <c r="U168" s="127"/>
      <c r="V168" s="127"/>
      <c r="W168" s="127"/>
      <c r="X168" s="127"/>
      <c r="Y168" s="127"/>
      <c r="Z168" s="127"/>
      <c r="AA168" s="127"/>
      <c r="AB168" s="127"/>
      <c r="AC168" s="127"/>
      <c r="AD168" s="127"/>
      <c r="AE168" s="127"/>
      <c r="AF168" s="127"/>
      <c r="AG168" s="127"/>
      <c r="AH168" s="127"/>
      <c r="AI168" s="127"/>
      <c r="AJ168" s="127"/>
      <c r="AK168" s="127"/>
      <c r="AL168" s="127"/>
      <c r="AM168" s="127"/>
      <c r="AN168" s="127"/>
      <c r="AO168" s="127"/>
      <c r="AP168" s="127"/>
      <c r="AQ168" s="127"/>
      <c r="AR168" s="127"/>
      <c r="AS168" s="127"/>
      <c r="AT168" s="127"/>
      <c r="AU168" s="127"/>
      <c r="AV168" s="127"/>
      <c r="AW168" s="127"/>
      <c r="AX168" s="127"/>
      <c r="AY168" s="127"/>
      <c r="AZ168" s="127"/>
      <c r="BA168" s="127"/>
      <c r="BB168" s="127"/>
      <c r="BC168" s="127"/>
      <c r="BD168" s="127"/>
      <c r="BE168" s="127"/>
      <c r="BF168" s="127"/>
      <c r="BG168" s="127"/>
      <c r="BH168" s="127"/>
      <c r="BI168" s="127"/>
      <c r="BJ168" s="127"/>
      <c r="BK168" s="127"/>
      <c r="BL168" s="127"/>
      <c r="BM168" s="127"/>
      <c r="BN168" s="127"/>
      <c r="BO168" s="125"/>
      <c r="BP168" s="125"/>
      <c r="BQ168" s="125"/>
      <c r="BR168" s="125"/>
      <c r="BS168" s="125"/>
      <c r="BT168" s="125"/>
      <c r="BU168" s="125"/>
      <c r="BV168" s="125"/>
    </row>
    <row r="169" spans="1:74" x14ac:dyDescent="0.25">
      <c r="A169" s="127"/>
      <c r="B169" s="127"/>
      <c r="C169" s="127"/>
      <c r="D169" s="127"/>
      <c r="E169" s="127"/>
      <c r="F169" s="127"/>
      <c r="G169" s="127"/>
      <c r="H169" s="127"/>
      <c r="I169" s="127"/>
      <c r="J169" s="127"/>
      <c r="K169" s="127"/>
      <c r="L169" s="127"/>
      <c r="M169" s="127"/>
      <c r="N169" s="127"/>
      <c r="O169" s="127"/>
      <c r="P169" s="127"/>
      <c r="Q169" s="127"/>
      <c r="R169" s="127"/>
      <c r="S169" s="127"/>
      <c r="T169" s="127"/>
      <c r="U169" s="127"/>
      <c r="V169" s="127"/>
      <c r="W169" s="127"/>
      <c r="X169" s="127"/>
      <c r="Y169" s="127"/>
      <c r="Z169" s="127"/>
      <c r="AA169" s="127"/>
      <c r="AB169" s="127"/>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I169" s="127"/>
      <c r="BJ169" s="127"/>
      <c r="BK169" s="127"/>
      <c r="BL169" s="127"/>
      <c r="BM169" s="127"/>
      <c r="BN169" s="127"/>
      <c r="BO169" s="125"/>
      <c r="BP169" s="125"/>
      <c r="BQ169" s="125"/>
      <c r="BR169" s="125"/>
      <c r="BS169" s="125"/>
      <c r="BT169" s="125"/>
      <c r="BU169" s="125"/>
      <c r="BV169" s="125"/>
    </row>
    <row r="170" spans="1:74" x14ac:dyDescent="0.25">
      <c r="A170" s="127"/>
      <c r="B170" s="127"/>
      <c r="C170" s="127"/>
      <c r="D170" s="127"/>
      <c r="E170" s="127"/>
      <c r="F170" s="127"/>
      <c r="G170" s="127"/>
      <c r="H170" s="127"/>
      <c r="I170" s="127"/>
      <c r="J170" s="127"/>
      <c r="K170" s="127"/>
      <c r="L170" s="127"/>
      <c r="M170" s="127"/>
      <c r="N170" s="127"/>
      <c r="O170" s="127"/>
      <c r="P170" s="127"/>
      <c r="Q170" s="127"/>
      <c r="R170" s="127"/>
      <c r="S170" s="127"/>
      <c r="T170" s="127"/>
      <c r="U170" s="127"/>
      <c r="V170" s="127"/>
      <c r="W170" s="127"/>
      <c r="X170" s="127"/>
      <c r="Y170" s="127"/>
      <c r="Z170" s="127"/>
      <c r="AA170" s="127"/>
      <c r="AB170" s="127"/>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I170" s="127"/>
      <c r="BJ170" s="127"/>
      <c r="BK170" s="127"/>
      <c r="BL170" s="127"/>
      <c r="BM170" s="127"/>
      <c r="BN170" s="127"/>
      <c r="BO170" s="125"/>
      <c r="BP170" s="125"/>
      <c r="BQ170" s="125"/>
      <c r="BR170" s="125"/>
      <c r="BS170" s="125"/>
      <c r="BT170" s="125"/>
      <c r="BU170" s="125"/>
      <c r="BV170" s="125"/>
    </row>
    <row r="171" spans="1:74" x14ac:dyDescent="0.25">
      <c r="A171" s="127"/>
      <c r="B171" s="127"/>
      <c r="C171" s="127"/>
      <c r="D171" s="127"/>
      <c r="E171" s="127"/>
      <c r="F171" s="127"/>
      <c r="G171" s="127"/>
      <c r="H171" s="127"/>
      <c r="I171" s="127"/>
      <c r="J171" s="127"/>
      <c r="K171" s="127"/>
      <c r="L171" s="127"/>
      <c r="M171" s="127"/>
      <c r="N171" s="127"/>
      <c r="O171" s="127"/>
      <c r="P171" s="127"/>
      <c r="Q171" s="127"/>
      <c r="R171" s="127"/>
      <c r="S171" s="127"/>
      <c r="T171" s="127"/>
      <c r="U171" s="127"/>
      <c r="V171" s="127"/>
      <c r="W171" s="127"/>
      <c r="X171" s="127"/>
      <c r="Y171" s="127"/>
      <c r="Z171" s="127"/>
      <c r="AA171" s="127"/>
      <c r="AB171" s="127"/>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I171" s="127"/>
      <c r="BJ171" s="127"/>
      <c r="BK171" s="127"/>
      <c r="BL171" s="127"/>
      <c r="BM171" s="127"/>
      <c r="BN171" s="127"/>
      <c r="BO171" s="125"/>
      <c r="BP171" s="125"/>
      <c r="BQ171" s="125"/>
      <c r="BR171" s="125"/>
      <c r="BS171" s="125"/>
      <c r="BT171" s="125"/>
      <c r="BU171" s="125"/>
      <c r="BV171" s="125"/>
    </row>
    <row r="172" spans="1:74" x14ac:dyDescent="0.25">
      <c r="A172" s="127"/>
      <c r="B172" s="127"/>
      <c r="C172" s="127"/>
      <c r="D172" s="127"/>
      <c r="E172" s="127"/>
      <c r="F172" s="127"/>
      <c r="G172" s="127"/>
      <c r="H172" s="127"/>
      <c r="I172" s="127"/>
      <c r="J172" s="127"/>
      <c r="K172" s="127"/>
      <c r="L172" s="127"/>
      <c r="M172" s="127"/>
      <c r="N172" s="127"/>
      <c r="O172" s="127"/>
      <c r="P172" s="127"/>
      <c r="Q172" s="127"/>
      <c r="R172" s="127"/>
      <c r="S172" s="127"/>
      <c r="T172" s="127"/>
      <c r="U172" s="127"/>
      <c r="V172" s="127"/>
      <c r="W172" s="127"/>
      <c r="X172" s="127"/>
      <c r="Y172" s="127"/>
      <c r="Z172" s="127"/>
      <c r="AA172" s="127"/>
      <c r="AB172" s="127"/>
      <c r="AC172" s="127"/>
      <c r="AD172" s="127"/>
      <c r="AE172" s="127"/>
      <c r="AF172" s="127"/>
      <c r="AG172" s="127"/>
      <c r="AH172" s="127"/>
      <c r="AI172" s="127"/>
      <c r="AJ172" s="127"/>
      <c r="AK172" s="127"/>
      <c r="AL172" s="127"/>
      <c r="AM172" s="127"/>
      <c r="AN172" s="127"/>
      <c r="AO172" s="127"/>
      <c r="AP172" s="127"/>
      <c r="AQ172" s="127"/>
      <c r="AR172" s="127"/>
      <c r="AS172" s="127"/>
      <c r="AT172" s="127"/>
      <c r="AU172" s="127"/>
      <c r="AV172" s="127"/>
      <c r="AW172" s="127"/>
      <c r="AX172" s="127"/>
      <c r="AY172" s="127"/>
      <c r="AZ172" s="127"/>
      <c r="BA172" s="127"/>
      <c r="BB172" s="127"/>
      <c r="BC172" s="127"/>
      <c r="BD172" s="127"/>
      <c r="BE172" s="127"/>
      <c r="BF172" s="127"/>
      <c r="BG172" s="127"/>
      <c r="BH172" s="127"/>
      <c r="BI172" s="127"/>
      <c r="BJ172" s="127"/>
      <c r="BK172" s="127"/>
      <c r="BL172" s="127"/>
      <c r="BM172" s="127"/>
      <c r="BN172" s="127"/>
      <c r="BO172" s="125"/>
      <c r="BP172" s="125"/>
      <c r="BQ172" s="125"/>
      <c r="BR172" s="125"/>
      <c r="BS172" s="125"/>
      <c r="BT172" s="125"/>
      <c r="BU172" s="125"/>
      <c r="BV172" s="125"/>
    </row>
    <row r="173" spans="1:74" x14ac:dyDescent="0.25">
      <c r="A173" s="127"/>
      <c r="B173" s="127"/>
      <c r="C173" s="127"/>
      <c r="D173" s="127"/>
      <c r="E173" s="127"/>
      <c r="F173" s="127"/>
      <c r="G173" s="127"/>
      <c r="H173" s="127"/>
      <c r="I173" s="127"/>
      <c r="J173" s="127"/>
      <c r="K173" s="127"/>
      <c r="L173" s="127"/>
      <c r="M173" s="127"/>
      <c r="N173" s="127"/>
      <c r="O173" s="127"/>
      <c r="P173" s="127"/>
      <c r="Q173" s="127"/>
      <c r="R173" s="127"/>
      <c r="S173" s="127"/>
      <c r="T173" s="127"/>
      <c r="U173" s="127"/>
      <c r="V173" s="127"/>
      <c r="W173" s="127"/>
      <c r="X173" s="127"/>
      <c r="Y173" s="127"/>
      <c r="Z173" s="127"/>
      <c r="AA173" s="127"/>
      <c r="AB173" s="127"/>
      <c r="AC173" s="127"/>
      <c r="AD173" s="127"/>
      <c r="AE173" s="127"/>
      <c r="AF173" s="127"/>
      <c r="AG173" s="127"/>
      <c r="AH173" s="127"/>
      <c r="AI173" s="127"/>
      <c r="AJ173" s="127"/>
      <c r="AK173" s="127"/>
      <c r="AL173" s="127"/>
      <c r="AM173" s="127"/>
      <c r="AN173" s="127"/>
      <c r="AO173" s="127"/>
      <c r="AP173" s="127"/>
      <c r="AQ173" s="127"/>
      <c r="AR173" s="127"/>
      <c r="AS173" s="127"/>
      <c r="AT173" s="127"/>
      <c r="AU173" s="127"/>
      <c r="AV173" s="127"/>
      <c r="AW173" s="127"/>
      <c r="AX173" s="127"/>
      <c r="AY173" s="127"/>
      <c r="AZ173" s="127"/>
      <c r="BA173" s="127"/>
      <c r="BB173" s="127"/>
      <c r="BC173" s="127"/>
      <c r="BD173" s="127"/>
      <c r="BE173" s="127"/>
      <c r="BF173" s="127"/>
      <c r="BG173" s="127"/>
      <c r="BH173" s="127"/>
      <c r="BI173" s="127"/>
      <c r="BJ173" s="127"/>
      <c r="BK173" s="127"/>
      <c r="BL173" s="127"/>
      <c r="BM173" s="127"/>
      <c r="BN173" s="127"/>
      <c r="BO173" s="125"/>
      <c r="BP173" s="125"/>
      <c r="BQ173" s="125"/>
      <c r="BR173" s="125"/>
      <c r="BS173" s="125"/>
      <c r="BT173" s="125"/>
      <c r="BU173" s="125"/>
      <c r="BV173" s="125"/>
    </row>
    <row r="174" spans="1:74" x14ac:dyDescent="0.25">
      <c r="A174" s="127"/>
      <c r="B174" s="127"/>
      <c r="C174" s="127"/>
      <c r="D174" s="127"/>
      <c r="E174" s="127"/>
      <c r="F174" s="127"/>
      <c r="G174" s="127"/>
      <c r="H174" s="127"/>
      <c r="I174" s="127"/>
      <c r="J174" s="127"/>
      <c r="K174" s="127"/>
      <c r="L174" s="127"/>
      <c r="M174" s="127"/>
      <c r="N174" s="127"/>
      <c r="O174" s="127"/>
      <c r="P174" s="127"/>
      <c r="Q174" s="127"/>
      <c r="R174" s="127"/>
      <c r="S174" s="127"/>
      <c r="T174" s="127"/>
      <c r="U174" s="127"/>
      <c r="V174" s="127"/>
      <c r="W174" s="127"/>
      <c r="X174" s="127"/>
      <c r="Y174" s="127"/>
      <c r="Z174" s="127"/>
      <c r="AA174" s="127"/>
      <c r="AB174" s="127"/>
      <c r="AC174" s="127"/>
      <c r="AD174" s="127"/>
      <c r="AE174" s="127"/>
      <c r="AF174" s="127"/>
      <c r="AG174" s="127"/>
      <c r="AH174" s="127"/>
      <c r="AI174" s="127"/>
      <c r="AJ174" s="127"/>
      <c r="AK174" s="127"/>
      <c r="AL174" s="127"/>
      <c r="AM174" s="127"/>
      <c r="AN174" s="127"/>
      <c r="AO174" s="127"/>
      <c r="AP174" s="127"/>
      <c r="AQ174" s="127"/>
      <c r="AR174" s="127"/>
      <c r="AS174" s="127"/>
      <c r="AT174" s="127"/>
      <c r="AU174" s="127"/>
      <c r="AV174" s="127"/>
      <c r="AW174" s="127"/>
      <c r="AX174" s="127"/>
      <c r="AY174" s="127"/>
      <c r="AZ174" s="127"/>
      <c r="BA174" s="127"/>
      <c r="BB174" s="127"/>
      <c r="BC174" s="127"/>
      <c r="BD174" s="127"/>
      <c r="BE174" s="127"/>
      <c r="BF174" s="127"/>
      <c r="BG174" s="127"/>
      <c r="BH174" s="127"/>
      <c r="BI174" s="127"/>
      <c r="BJ174" s="127"/>
      <c r="BK174" s="127"/>
      <c r="BL174" s="127"/>
      <c r="BM174" s="127"/>
      <c r="BN174" s="127"/>
      <c r="BO174" s="125"/>
      <c r="BP174" s="125"/>
      <c r="BQ174" s="125"/>
      <c r="BR174" s="125"/>
      <c r="BS174" s="125"/>
      <c r="BT174" s="125"/>
      <c r="BU174" s="125"/>
      <c r="BV174" s="125"/>
    </row>
    <row r="175" spans="1:74" x14ac:dyDescent="0.25">
      <c r="A175" s="127"/>
      <c r="B175" s="127"/>
      <c r="C175" s="127"/>
      <c r="D175" s="127"/>
      <c r="E175" s="127"/>
      <c r="F175" s="127"/>
      <c r="G175" s="127"/>
      <c r="H175" s="127"/>
      <c r="I175" s="127"/>
      <c r="J175" s="127"/>
      <c r="K175" s="127"/>
      <c r="L175" s="127"/>
      <c r="M175" s="127"/>
      <c r="N175" s="127"/>
      <c r="O175" s="127"/>
      <c r="P175" s="127"/>
      <c r="Q175" s="127"/>
      <c r="R175" s="127"/>
      <c r="S175" s="127"/>
      <c r="T175" s="127"/>
      <c r="U175" s="127"/>
      <c r="V175" s="127"/>
      <c r="W175" s="127"/>
      <c r="X175" s="127"/>
      <c r="Y175" s="127"/>
      <c r="Z175" s="127"/>
      <c r="AA175" s="127"/>
      <c r="AB175" s="127"/>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I175" s="127"/>
      <c r="BJ175" s="127"/>
      <c r="BK175" s="127"/>
      <c r="BL175" s="127"/>
      <c r="BM175" s="127"/>
      <c r="BN175" s="127"/>
      <c r="BO175" s="125"/>
      <c r="BP175" s="125"/>
      <c r="BQ175" s="125"/>
      <c r="BR175" s="125"/>
      <c r="BS175" s="125"/>
      <c r="BT175" s="125"/>
      <c r="BU175" s="125"/>
      <c r="BV175" s="125"/>
    </row>
    <row r="176" spans="1:74" x14ac:dyDescent="0.25">
      <c r="A176" s="127"/>
      <c r="B176" s="127"/>
      <c r="C176" s="127"/>
      <c r="D176" s="127"/>
      <c r="E176" s="127"/>
      <c r="F176" s="127"/>
      <c r="G176" s="127"/>
      <c r="H176" s="127"/>
      <c r="I176" s="127"/>
      <c r="J176" s="127"/>
      <c r="K176" s="127"/>
      <c r="L176" s="127"/>
      <c r="M176" s="127"/>
      <c r="N176" s="127"/>
      <c r="O176" s="127"/>
      <c r="P176" s="127"/>
      <c r="Q176" s="127"/>
      <c r="R176" s="127"/>
      <c r="S176" s="127"/>
      <c r="T176" s="127"/>
      <c r="U176" s="127"/>
      <c r="V176" s="127"/>
      <c r="W176" s="127"/>
      <c r="X176" s="127"/>
      <c r="Y176" s="127"/>
      <c r="Z176" s="127"/>
      <c r="AA176" s="127"/>
      <c r="AB176" s="127"/>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I176" s="127"/>
      <c r="BJ176" s="127"/>
      <c r="BK176" s="127"/>
      <c r="BL176" s="127"/>
      <c r="BM176" s="127"/>
      <c r="BN176" s="127"/>
      <c r="BO176" s="125"/>
      <c r="BP176" s="125"/>
      <c r="BQ176" s="125"/>
      <c r="BR176" s="125"/>
      <c r="BS176" s="125"/>
      <c r="BT176" s="125"/>
      <c r="BU176" s="125"/>
      <c r="BV176" s="125"/>
    </row>
    <row r="177" spans="1:74" x14ac:dyDescent="0.25">
      <c r="A177" s="127"/>
      <c r="B177" s="127"/>
      <c r="C177" s="127"/>
      <c r="D177" s="127"/>
      <c r="E177" s="127"/>
      <c r="F177" s="127"/>
      <c r="G177" s="127"/>
      <c r="H177" s="127"/>
      <c r="I177" s="127"/>
      <c r="J177" s="127"/>
      <c r="K177" s="127"/>
      <c r="L177" s="127"/>
      <c r="M177" s="127"/>
      <c r="N177" s="127"/>
      <c r="O177" s="127"/>
      <c r="P177" s="127"/>
      <c r="Q177" s="127"/>
      <c r="R177" s="127"/>
      <c r="S177" s="127"/>
      <c r="T177" s="127"/>
      <c r="U177" s="127"/>
      <c r="V177" s="127"/>
      <c r="W177" s="127"/>
      <c r="X177" s="127"/>
      <c r="Y177" s="127"/>
      <c r="Z177" s="127"/>
      <c r="AA177" s="127"/>
      <c r="AB177" s="127"/>
      <c r="AC177" s="127"/>
      <c r="AD177" s="127"/>
      <c r="AE177" s="127"/>
      <c r="AF177" s="127"/>
      <c r="AG177" s="127"/>
      <c r="AH177" s="127"/>
      <c r="AI177" s="127"/>
      <c r="AJ177" s="127"/>
      <c r="AK177" s="127"/>
      <c r="AL177" s="127"/>
      <c r="AM177" s="127"/>
      <c r="AN177" s="127"/>
      <c r="AO177" s="127"/>
      <c r="AP177" s="127"/>
      <c r="AQ177" s="127"/>
      <c r="AR177" s="127"/>
      <c r="AS177" s="127"/>
      <c r="AT177" s="127"/>
      <c r="AU177" s="127"/>
      <c r="AV177" s="127"/>
      <c r="AW177" s="127"/>
      <c r="AX177" s="127"/>
      <c r="AY177" s="127"/>
      <c r="AZ177" s="127"/>
      <c r="BA177" s="127"/>
      <c r="BB177" s="127"/>
      <c r="BC177" s="127"/>
      <c r="BD177" s="127"/>
      <c r="BE177" s="127"/>
      <c r="BF177" s="127"/>
      <c r="BG177" s="127"/>
      <c r="BH177" s="127"/>
      <c r="BI177" s="127"/>
      <c r="BJ177" s="127"/>
      <c r="BK177" s="127"/>
      <c r="BL177" s="127"/>
      <c r="BM177" s="127"/>
      <c r="BN177" s="127"/>
      <c r="BO177" s="125"/>
      <c r="BP177" s="125"/>
      <c r="BQ177" s="125"/>
      <c r="BR177" s="125"/>
      <c r="BS177" s="125"/>
      <c r="BT177" s="125"/>
      <c r="BU177" s="125"/>
      <c r="BV177" s="125"/>
    </row>
    <row r="178" spans="1:74" x14ac:dyDescent="0.25">
      <c r="A178" s="127"/>
      <c r="B178" s="127"/>
      <c r="C178" s="127"/>
      <c r="D178" s="127"/>
      <c r="E178" s="127"/>
      <c r="F178" s="127"/>
      <c r="G178" s="127"/>
      <c r="H178" s="127"/>
      <c r="I178" s="127"/>
      <c r="J178" s="127"/>
      <c r="K178" s="127"/>
      <c r="L178" s="127"/>
      <c r="M178" s="127"/>
      <c r="N178" s="127"/>
      <c r="O178" s="127"/>
      <c r="P178" s="127"/>
      <c r="Q178" s="127"/>
      <c r="R178" s="127"/>
      <c r="S178" s="127"/>
      <c r="T178" s="127"/>
      <c r="U178" s="127"/>
      <c r="V178" s="127"/>
      <c r="W178" s="127"/>
      <c r="X178" s="127"/>
      <c r="Y178" s="127"/>
      <c r="Z178" s="127"/>
      <c r="AA178" s="127"/>
      <c r="AB178" s="127"/>
      <c r="AC178" s="127"/>
      <c r="AD178" s="127"/>
      <c r="AE178" s="127"/>
      <c r="AF178" s="127"/>
      <c r="AG178" s="127"/>
      <c r="AH178" s="127"/>
      <c r="AI178" s="127"/>
      <c r="AJ178" s="127"/>
      <c r="AK178" s="127"/>
      <c r="AL178" s="127"/>
      <c r="AM178" s="127"/>
      <c r="AN178" s="127"/>
      <c r="AO178" s="127"/>
      <c r="AP178" s="127"/>
      <c r="AQ178" s="127"/>
      <c r="AR178" s="127"/>
      <c r="AS178" s="127"/>
      <c r="AT178" s="127"/>
      <c r="AU178" s="127"/>
      <c r="AV178" s="127"/>
      <c r="AW178" s="127"/>
      <c r="AX178" s="127"/>
      <c r="AY178" s="127"/>
      <c r="AZ178" s="127"/>
      <c r="BA178" s="127"/>
      <c r="BB178" s="127"/>
      <c r="BC178" s="127"/>
      <c r="BD178" s="127"/>
      <c r="BE178" s="127"/>
      <c r="BF178" s="127"/>
      <c r="BG178" s="127"/>
      <c r="BH178" s="127"/>
      <c r="BI178" s="127"/>
      <c r="BJ178" s="127"/>
      <c r="BK178" s="127"/>
      <c r="BL178" s="127"/>
      <c r="BM178" s="127"/>
      <c r="BN178" s="127"/>
      <c r="BO178" s="125"/>
      <c r="BP178" s="125"/>
      <c r="BQ178" s="125"/>
      <c r="BR178" s="125"/>
      <c r="BS178" s="125"/>
      <c r="BT178" s="125"/>
      <c r="BU178" s="125"/>
      <c r="BV178" s="125"/>
    </row>
    <row r="179" spans="1:74" x14ac:dyDescent="0.25">
      <c r="A179" s="479"/>
      <c r="B179" s="479"/>
      <c r="C179" s="479"/>
      <c r="D179" s="479"/>
      <c r="E179" s="479"/>
      <c r="F179" s="479"/>
      <c r="G179" s="479"/>
      <c r="H179" s="479"/>
      <c r="I179" s="479"/>
      <c r="J179" s="479"/>
      <c r="K179" s="479"/>
      <c r="L179" s="479"/>
      <c r="M179" s="479"/>
      <c r="N179" s="479"/>
      <c r="O179" s="479"/>
      <c r="P179" s="479"/>
      <c r="Q179" s="479"/>
      <c r="R179" s="479"/>
      <c r="S179" s="479"/>
      <c r="T179" s="479"/>
      <c r="U179" s="479"/>
      <c r="V179" s="479"/>
      <c r="W179" s="479"/>
      <c r="X179" s="479"/>
      <c r="Y179" s="479"/>
      <c r="Z179" s="479"/>
      <c r="AA179" s="479"/>
      <c r="AB179" s="479"/>
      <c r="AC179" s="479"/>
      <c r="AD179" s="479"/>
      <c r="AE179" s="479"/>
      <c r="AF179" s="479"/>
      <c r="AG179" s="479"/>
      <c r="AH179" s="479"/>
      <c r="AI179" s="479"/>
      <c r="AJ179" s="479"/>
      <c r="AK179" s="479"/>
      <c r="AL179" s="479"/>
      <c r="AM179" s="479"/>
      <c r="AN179" s="479"/>
      <c r="AO179" s="479"/>
      <c r="AP179" s="479"/>
      <c r="AQ179" s="479"/>
      <c r="AR179" s="479"/>
      <c r="AS179" s="479"/>
      <c r="AT179" s="479"/>
      <c r="AU179" s="479"/>
      <c r="AV179" s="479"/>
      <c r="AW179" s="479"/>
      <c r="AX179" s="479"/>
      <c r="AY179" s="479"/>
      <c r="AZ179" s="479"/>
      <c r="BA179" s="479"/>
      <c r="BB179" s="479"/>
      <c r="BC179" s="479"/>
      <c r="BD179" s="479"/>
      <c r="BE179" s="479"/>
      <c r="BF179" s="479"/>
      <c r="BG179" s="479"/>
      <c r="BH179" s="479"/>
      <c r="BI179" s="479"/>
      <c r="BJ179" s="479"/>
      <c r="BK179" s="479"/>
      <c r="BL179" s="479"/>
      <c r="BM179" s="479"/>
      <c r="BN179" s="479"/>
      <c r="BO179" s="479"/>
      <c r="BP179" s="479"/>
      <c r="BQ179" s="479"/>
      <c r="BR179" s="479"/>
      <c r="BS179" s="479"/>
      <c r="BT179" s="479"/>
      <c r="BU179" s="479"/>
      <c r="BV179" s="479"/>
    </row>
    <row r="180" spans="1:74" x14ac:dyDescent="0.25">
      <c r="A180" s="479"/>
      <c r="B180" s="479"/>
      <c r="C180" s="479"/>
      <c r="D180" s="479"/>
      <c r="E180" s="479"/>
      <c r="F180" s="479"/>
      <c r="G180" s="479"/>
      <c r="H180" s="479"/>
      <c r="I180" s="479"/>
      <c r="J180" s="479"/>
      <c r="K180" s="479"/>
      <c r="L180" s="479"/>
      <c r="M180" s="479"/>
      <c r="N180" s="479"/>
      <c r="O180" s="479"/>
      <c r="P180" s="479"/>
      <c r="Q180" s="479"/>
      <c r="R180" s="479"/>
      <c r="S180" s="479"/>
      <c r="T180" s="479"/>
      <c r="U180" s="479"/>
      <c r="V180" s="479"/>
      <c r="W180" s="479"/>
      <c r="X180" s="479"/>
      <c r="Y180" s="479"/>
      <c r="Z180" s="479"/>
      <c r="AA180" s="479"/>
      <c r="AB180" s="479"/>
      <c r="AC180" s="479"/>
      <c r="AD180" s="479"/>
      <c r="AE180" s="479"/>
      <c r="AF180" s="479"/>
      <c r="AG180" s="479"/>
      <c r="AH180" s="479"/>
      <c r="AI180" s="479"/>
      <c r="AJ180" s="479"/>
      <c r="AK180" s="479"/>
      <c r="AL180" s="479"/>
      <c r="AM180" s="479"/>
      <c r="AN180" s="479"/>
      <c r="AO180" s="479"/>
      <c r="AP180" s="479"/>
      <c r="AQ180" s="479"/>
      <c r="AR180" s="479"/>
      <c r="AS180" s="479"/>
      <c r="AT180" s="479"/>
      <c r="AU180" s="479"/>
      <c r="AV180" s="479"/>
      <c r="AW180" s="479"/>
      <c r="AX180" s="479"/>
      <c r="AY180" s="479"/>
      <c r="AZ180" s="479"/>
      <c r="BA180" s="479"/>
      <c r="BB180" s="479"/>
      <c r="BC180" s="479"/>
      <c r="BD180" s="479"/>
      <c r="BE180" s="479"/>
      <c r="BF180" s="479"/>
      <c r="BG180" s="479"/>
      <c r="BH180" s="479"/>
      <c r="BI180" s="479"/>
      <c r="BJ180" s="479"/>
      <c r="BK180" s="479"/>
      <c r="BL180" s="479"/>
      <c r="BM180" s="479"/>
      <c r="BN180" s="479"/>
      <c r="BO180" s="479"/>
      <c r="BP180" s="479"/>
      <c r="BQ180" s="479"/>
      <c r="BR180" s="479"/>
      <c r="BS180" s="479"/>
      <c r="BT180" s="479"/>
      <c r="BU180" s="479"/>
      <c r="BV180" s="479"/>
    </row>
    <row r="181" spans="1:74" x14ac:dyDescent="0.25">
      <c r="A181" s="479"/>
      <c r="B181" s="479"/>
      <c r="C181" s="479"/>
      <c r="D181" s="479"/>
      <c r="E181" s="479"/>
      <c r="F181" s="479"/>
      <c r="G181" s="479"/>
      <c r="H181" s="479"/>
      <c r="I181" s="479"/>
      <c r="J181" s="479"/>
      <c r="K181" s="479"/>
      <c r="L181" s="479"/>
      <c r="M181" s="479"/>
      <c r="N181" s="479"/>
      <c r="O181" s="479"/>
      <c r="P181" s="479"/>
      <c r="Q181" s="479"/>
      <c r="R181" s="479"/>
      <c r="S181" s="479"/>
      <c r="T181" s="479"/>
      <c r="U181" s="479"/>
      <c r="V181" s="479"/>
      <c r="W181" s="479"/>
      <c r="X181" s="479"/>
      <c r="Y181" s="479"/>
      <c r="Z181" s="479"/>
      <c r="AA181" s="479"/>
      <c r="AB181" s="479"/>
      <c r="AC181" s="479"/>
      <c r="AD181" s="479"/>
      <c r="AE181" s="479"/>
      <c r="AF181" s="479"/>
      <c r="AG181" s="479"/>
      <c r="AH181" s="479"/>
      <c r="AI181" s="479"/>
      <c r="AJ181" s="479"/>
      <c r="AK181" s="479"/>
      <c r="AL181" s="479"/>
      <c r="AM181" s="479"/>
      <c r="AN181" s="479"/>
      <c r="AO181" s="479"/>
      <c r="AP181" s="479"/>
      <c r="AQ181" s="479"/>
      <c r="AR181" s="479"/>
      <c r="AS181" s="479"/>
      <c r="AT181" s="479"/>
      <c r="AU181" s="479"/>
      <c r="AV181" s="479"/>
      <c r="AW181" s="479"/>
      <c r="AX181" s="479"/>
      <c r="AY181" s="479"/>
      <c r="AZ181" s="479"/>
      <c r="BA181" s="479"/>
      <c r="BB181" s="479"/>
      <c r="BC181" s="479"/>
      <c r="BD181" s="479"/>
      <c r="BE181" s="479"/>
      <c r="BF181" s="479"/>
      <c r="BG181" s="479"/>
      <c r="BH181" s="479"/>
      <c r="BI181" s="479"/>
      <c r="BJ181" s="479"/>
      <c r="BK181" s="479"/>
      <c r="BL181" s="479"/>
      <c r="BM181" s="479"/>
      <c r="BN181" s="479"/>
      <c r="BO181" s="479"/>
      <c r="BP181" s="479"/>
      <c r="BQ181" s="479"/>
      <c r="BR181" s="479"/>
      <c r="BS181" s="479"/>
      <c r="BT181" s="479"/>
      <c r="BU181" s="479"/>
      <c r="BV181" s="479"/>
    </row>
    <row r="182" spans="1:74" x14ac:dyDescent="0.25">
      <c r="A182" s="479"/>
      <c r="B182" s="479"/>
      <c r="C182" s="479"/>
      <c r="D182" s="479"/>
      <c r="E182" s="479"/>
      <c r="F182" s="479"/>
      <c r="G182" s="479"/>
      <c r="H182" s="479"/>
      <c r="I182" s="479"/>
      <c r="J182" s="479"/>
      <c r="K182" s="479"/>
      <c r="L182" s="479"/>
      <c r="M182" s="479"/>
      <c r="N182" s="479"/>
      <c r="O182" s="479"/>
      <c r="P182" s="479"/>
      <c r="Q182" s="479"/>
      <c r="R182" s="479"/>
      <c r="S182" s="479"/>
      <c r="T182" s="479"/>
      <c r="U182" s="479"/>
      <c r="V182" s="479"/>
      <c r="W182" s="479"/>
      <c r="X182" s="479"/>
      <c r="Y182" s="479"/>
      <c r="Z182" s="479"/>
      <c r="AA182" s="479"/>
      <c r="AB182" s="479"/>
      <c r="AC182" s="479"/>
      <c r="AD182" s="479"/>
      <c r="AE182" s="479"/>
      <c r="AF182" s="479"/>
      <c r="AG182" s="479"/>
      <c r="AH182" s="479"/>
      <c r="AI182" s="479"/>
      <c r="AJ182" s="479"/>
      <c r="AK182" s="479"/>
      <c r="AL182" s="479"/>
      <c r="AM182" s="479"/>
      <c r="AN182" s="479"/>
      <c r="AO182" s="479"/>
      <c r="AP182" s="479"/>
      <c r="AQ182" s="479"/>
      <c r="AR182" s="479"/>
      <c r="AS182" s="479"/>
      <c r="AT182" s="479"/>
      <c r="AU182" s="479"/>
      <c r="AV182" s="479"/>
      <c r="AW182" s="479"/>
      <c r="AX182" s="479"/>
      <c r="AY182" s="479"/>
      <c r="AZ182" s="479"/>
      <c r="BA182" s="479"/>
      <c r="BB182" s="479"/>
      <c r="BC182" s="479"/>
      <c r="BD182" s="479"/>
      <c r="BE182" s="479"/>
      <c r="BF182" s="479"/>
      <c r="BG182" s="479"/>
      <c r="BH182" s="479"/>
      <c r="BI182" s="479"/>
      <c r="BJ182" s="479"/>
      <c r="BK182" s="479"/>
      <c r="BL182" s="479"/>
      <c r="BM182" s="479"/>
      <c r="BN182" s="479"/>
      <c r="BO182" s="479"/>
      <c r="BP182" s="479"/>
      <c r="BQ182" s="479"/>
      <c r="BR182" s="479"/>
      <c r="BS182" s="479"/>
      <c r="BT182" s="479"/>
      <c r="BU182" s="479"/>
      <c r="BV182" s="479"/>
    </row>
    <row r="183" spans="1:74" x14ac:dyDescent="0.25">
      <c r="A183" s="479"/>
      <c r="B183" s="479"/>
      <c r="C183" s="479"/>
      <c r="D183" s="479"/>
      <c r="E183" s="479"/>
      <c r="F183" s="479"/>
      <c r="G183" s="479"/>
      <c r="H183" s="479"/>
      <c r="I183" s="479"/>
      <c r="J183" s="479"/>
      <c r="K183" s="479"/>
      <c r="L183" s="479"/>
      <c r="M183" s="479"/>
      <c r="N183" s="479"/>
      <c r="O183" s="479"/>
      <c r="P183" s="479"/>
      <c r="Q183" s="479"/>
      <c r="R183" s="479"/>
      <c r="S183" s="479"/>
      <c r="T183" s="479"/>
      <c r="U183" s="479"/>
      <c r="V183" s="479"/>
      <c r="W183" s="479"/>
      <c r="X183" s="479"/>
      <c r="Y183" s="479"/>
      <c r="Z183" s="479"/>
      <c r="AA183" s="479"/>
      <c r="AB183" s="479"/>
      <c r="AC183" s="479"/>
      <c r="AD183" s="479"/>
      <c r="AE183" s="479"/>
      <c r="AF183" s="479"/>
      <c r="AG183" s="479"/>
      <c r="AH183" s="479"/>
      <c r="AI183" s="479"/>
      <c r="AJ183" s="479"/>
      <c r="AK183" s="479"/>
      <c r="AL183" s="479"/>
      <c r="AM183" s="479"/>
      <c r="AN183" s="479"/>
      <c r="AO183" s="479"/>
      <c r="AP183" s="479"/>
      <c r="AQ183" s="479"/>
      <c r="AR183" s="479"/>
      <c r="AS183" s="479"/>
      <c r="AT183" s="479"/>
      <c r="AU183" s="479"/>
      <c r="AV183" s="479"/>
      <c r="AW183" s="479"/>
      <c r="AX183" s="479"/>
      <c r="AY183" s="479"/>
      <c r="AZ183" s="479"/>
      <c r="BA183" s="479"/>
      <c r="BB183" s="479"/>
      <c r="BC183" s="479"/>
      <c r="BD183" s="479"/>
      <c r="BE183" s="479"/>
      <c r="BF183" s="479"/>
      <c r="BG183" s="479"/>
      <c r="BH183" s="479"/>
      <c r="BI183" s="479"/>
      <c r="BJ183" s="479"/>
      <c r="BK183" s="479"/>
      <c r="BL183" s="479"/>
      <c r="BM183" s="479"/>
      <c r="BN183" s="479"/>
      <c r="BO183" s="479"/>
      <c r="BP183" s="479"/>
      <c r="BQ183" s="479"/>
      <c r="BR183" s="479"/>
      <c r="BS183" s="479"/>
      <c r="BT183" s="479"/>
      <c r="BU183" s="479"/>
      <c r="BV183" s="479"/>
    </row>
    <row r="184" spans="1:74" x14ac:dyDescent="0.25">
      <c r="A184" s="479"/>
      <c r="B184" s="479"/>
      <c r="C184" s="479"/>
      <c r="D184" s="479"/>
      <c r="E184" s="479"/>
      <c r="F184" s="479"/>
      <c r="G184" s="479"/>
      <c r="H184" s="479"/>
      <c r="I184" s="479"/>
      <c r="J184" s="479"/>
      <c r="K184" s="479"/>
      <c r="L184" s="479"/>
      <c r="M184" s="479"/>
      <c r="N184" s="479"/>
      <c r="O184" s="479"/>
      <c r="P184" s="479"/>
      <c r="Q184" s="479"/>
      <c r="R184" s="479"/>
      <c r="S184" s="479"/>
      <c r="T184" s="479"/>
      <c r="U184" s="479"/>
      <c r="V184" s="479"/>
      <c r="W184" s="479"/>
      <c r="X184" s="479"/>
      <c r="Y184" s="479"/>
      <c r="Z184" s="479"/>
      <c r="AA184" s="479"/>
      <c r="AB184" s="479"/>
      <c r="AC184" s="479"/>
      <c r="AD184" s="479"/>
      <c r="AE184" s="479"/>
      <c r="AF184" s="479"/>
      <c r="AG184" s="479"/>
      <c r="AH184" s="479"/>
      <c r="AI184" s="479"/>
      <c r="AJ184" s="479"/>
      <c r="AK184" s="479"/>
      <c r="AL184" s="479"/>
      <c r="AM184" s="479"/>
      <c r="AN184" s="479"/>
      <c r="AO184" s="479"/>
      <c r="AP184" s="479"/>
      <c r="AQ184" s="479"/>
      <c r="AR184" s="479"/>
      <c r="AS184" s="479"/>
      <c r="AT184" s="479"/>
      <c r="AU184" s="479"/>
      <c r="AV184" s="479"/>
      <c r="AW184" s="479"/>
      <c r="AX184" s="479"/>
      <c r="AY184" s="479"/>
      <c r="AZ184" s="479"/>
      <c r="BA184" s="479"/>
      <c r="BB184" s="479"/>
      <c r="BC184" s="479"/>
      <c r="BD184" s="479"/>
      <c r="BE184" s="479"/>
      <c r="BF184" s="479"/>
      <c r="BG184" s="479"/>
      <c r="BH184" s="479"/>
      <c r="BI184" s="479"/>
      <c r="BJ184" s="479"/>
      <c r="BK184" s="479"/>
      <c r="BL184" s="479"/>
      <c r="BM184" s="479"/>
      <c r="BN184" s="479"/>
      <c r="BO184" s="479"/>
      <c r="BP184" s="479"/>
      <c r="BQ184" s="479"/>
      <c r="BR184" s="479"/>
      <c r="BS184" s="479"/>
      <c r="BT184" s="479"/>
      <c r="BU184" s="479"/>
      <c r="BV184" s="479"/>
    </row>
    <row r="185" spans="1:74" x14ac:dyDescent="0.25">
      <c r="A185" s="479"/>
      <c r="B185" s="479"/>
      <c r="C185" s="479"/>
      <c r="D185" s="479"/>
      <c r="E185" s="479"/>
      <c r="F185" s="479"/>
      <c r="G185" s="479"/>
      <c r="H185" s="479"/>
      <c r="I185" s="479"/>
      <c r="J185" s="479"/>
      <c r="K185" s="479"/>
      <c r="L185" s="479"/>
      <c r="M185" s="479"/>
      <c r="N185" s="479"/>
      <c r="O185" s="479"/>
      <c r="P185" s="479"/>
      <c r="Q185" s="479"/>
      <c r="R185" s="479"/>
      <c r="S185" s="479"/>
      <c r="T185" s="479"/>
      <c r="U185" s="479"/>
      <c r="V185" s="479"/>
      <c r="W185" s="479"/>
      <c r="X185" s="479"/>
      <c r="Y185" s="479"/>
      <c r="Z185" s="479"/>
      <c r="AA185" s="479"/>
      <c r="AB185" s="479"/>
      <c r="AC185" s="479"/>
      <c r="AD185" s="479"/>
      <c r="AE185" s="479"/>
      <c r="AF185" s="479"/>
      <c r="AG185" s="479"/>
      <c r="AH185" s="479"/>
      <c r="AI185" s="479"/>
      <c r="AJ185" s="479"/>
      <c r="AK185" s="479"/>
      <c r="AL185" s="479"/>
      <c r="AM185" s="479"/>
      <c r="AN185" s="479"/>
      <c r="AO185" s="479"/>
      <c r="AP185" s="479"/>
      <c r="AQ185" s="479"/>
      <c r="AR185" s="479"/>
      <c r="AS185" s="479"/>
      <c r="AT185" s="479"/>
      <c r="AU185" s="479"/>
      <c r="AV185" s="479"/>
      <c r="AW185" s="479"/>
      <c r="AX185" s="479"/>
      <c r="AY185" s="479"/>
      <c r="AZ185" s="479"/>
      <c r="BA185" s="479"/>
      <c r="BB185" s="479"/>
      <c r="BC185" s="479"/>
      <c r="BD185" s="479"/>
      <c r="BE185" s="479"/>
      <c r="BF185" s="479"/>
      <c r="BG185" s="479"/>
      <c r="BH185" s="479"/>
      <c r="BI185" s="479"/>
      <c r="BJ185" s="479"/>
      <c r="BK185" s="479"/>
      <c r="BL185" s="479"/>
      <c r="BM185" s="479"/>
      <c r="BN185" s="479"/>
      <c r="BO185" s="479"/>
      <c r="BP185" s="479"/>
      <c r="BQ185" s="479"/>
      <c r="BR185" s="479"/>
      <c r="BS185" s="479"/>
      <c r="BT185" s="479"/>
      <c r="BU185" s="479"/>
      <c r="BV185" s="479"/>
    </row>
    <row r="186" spans="1:74" x14ac:dyDescent="0.25">
      <c r="A186" s="479"/>
      <c r="B186" s="479"/>
      <c r="C186" s="479"/>
      <c r="D186" s="479"/>
      <c r="E186" s="479"/>
      <c r="F186" s="479"/>
      <c r="G186" s="479"/>
      <c r="H186" s="479"/>
      <c r="I186" s="479"/>
      <c r="J186" s="479"/>
      <c r="K186" s="479"/>
      <c r="L186" s="479"/>
      <c r="M186" s="479"/>
      <c r="N186" s="479"/>
      <c r="O186" s="479"/>
      <c r="P186" s="479"/>
      <c r="Q186" s="479"/>
      <c r="R186" s="479"/>
      <c r="S186" s="479"/>
      <c r="T186" s="479"/>
      <c r="U186" s="479"/>
      <c r="V186" s="479"/>
      <c r="W186" s="479"/>
      <c r="X186" s="479"/>
      <c r="Y186" s="479"/>
      <c r="Z186" s="479"/>
      <c r="AA186" s="479"/>
      <c r="AB186" s="479"/>
      <c r="AC186" s="479"/>
      <c r="AD186" s="479"/>
      <c r="AE186" s="479"/>
      <c r="AF186" s="479"/>
      <c r="AG186" s="479"/>
      <c r="AH186" s="479"/>
      <c r="AI186" s="479"/>
      <c r="AJ186" s="479"/>
      <c r="AK186" s="479"/>
      <c r="AL186" s="479"/>
      <c r="AM186" s="479"/>
      <c r="AN186" s="479"/>
      <c r="AO186" s="479"/>
      <c r="AP186" s="479"/>
      <c r="AQ186" s="479"/>
      <c r="AR186" s="479"/>
      <c r="AS186" s="479"/>
      <c r="AT186" s="479"/>
      <c r="AU186" s="479"/>
      <c r="AV186" s="479"/>
      <c r="AW186" s="479"/>
      <c r="AX186" s="479"/>
      <c r="AY186" s="479"/>
      <c r="AZ186" s="479"/>
      <c r="BA186" s="479"/>
      <c r="BB186" s="479"/>
      <c r="BC186" s="479"/>
      <c r="BD186" s="479"/>
      <c r="BE186" s="479"/>
      <c r="BF186" s="479"/>
      <c r="BG186" s="479"/>
      <c r="BH186" s="479"/>
      <c r="BI186" s="479"/>
      <c r="BJ186" s="479"/>
      <c r="BK186" s="479"/>
      <c r="BL186" s="479"/>
      <c r="BM186" s="479"/>
      <c r="BN186" s="479"/>
      <c r="BO186" s="479"/>
      <c r="BP186" s="479"/>
      <c r="BQ186" s="479"/>
      <c r="BR186" s="479"/>
      <c r="BS186" s="479"/>
      <c r="BT186" s="479"/>
      <c r="BU186" s="479"/>
      <c r="BV186" s="479"/>
    </row>
    <row r="187" spans="1:74" x14ac:dyDescent="0.25">
      <c r="A187" s="479"/>
      <c r="B187" s="479"/>
      <c r="C187" s="479"/>
      <c r="D187" s="479"/>
      <c r="E187" s="479"/>
      <c r="F187" s="479"/>
      <c r="G187" s="479"/>
      <c r="H187" s="479"/>
      <c r="I187" s="479"/>
      <c r="J187" s="479"/>
      <c r="K187" s="479"/>
      <c r="L187" s="479"/>
      <c r="M187" s="479"/>
      <c r="N187" s="479"/>
      <c r="O187" s="479"/>
      <c r="P187" s="479"/>
      <c r="Q187" s="479"/>
      <c r="R187" s="479"/>
      <c r="S187" s="479"/>
      <c r="T187" s="479"/>
      <c r="U187" s="479"/>
      <c r="V187" s="479"/>
      <c r="W187" s="479"/>
      <c r="X187" s="479"/>
      <c r="Y187" s="479"/>
      <c r="Z187" s="479"/>
      <c r="AA187" s="479"/>
      <c r="AB187" s="479"/>
      <c r="AC187" s="479"/>
      <c r="AD187" s="479"/>
      <c r="AE187" s="479"/>
      <c r="AF187" s="479"/>
      <c r="AG187" s="479"/>
      <c r="AH187" s="479"/>
      <c r="AI187" s="479"/>
      <c r="AJ187" s="479"/>
      <c r="AK187" s="479"/>
      <c r="AL187" s="479"/>
      <c r="AM187" s="479"/>
      <c r="AN187" s="479"/>
      <c r="AO187" s="479"/>
      <c r="AP187" s="479"/>
      <c r="AQ187" s="479"/>
      <c r="AR187" s="479"/>
      <c r="AS187" s="479"/>
      <c r="AT187" s="479"/>
      <c r="AU187" s="479"/>
      <c r="AV187" s="479"/>
      <c r="AW187" s="479"/>
      <c r="AX187" s="479"/>
      <c r="AY187" s="479"/>
      <c r="AZ187" s="479"/>
      <c r="BA187" s="479"/>
      <c r="BB187" s="479"/>
      <c r="BC187" s="479"/>
      <c r="BD187" s="479"/>
      <c r="BE187" s="479"/>
      <c r="BF187" s="479"/>
      <c r="BG187" s="479"/>
      <c r="BH187" s="479"/>
      <c r="BI187" s="479"/>
      <c r="BJ187" s="479"/>
      <c r="BK187" s="479"/>
      <c r="BL187" s="479"/>
      <c r="BM187" s="479"/>
      <c r="BN187" s="479"/>
      <c r="BO187" s="479"/>
      <c r="BP187" s="479"/>
      <c r="BQ187" s="479"/>
      <c r="BR187" s="479"/>
      <c r="BS187" s="479"/>
      <c r="BT187" s="479"/>
      <c r="BU187" s="479"/>
      <c r="BV187" s="479"/>
    </row>
    <row r="188" spans="1:74" x14ac:dyDescent="0.25">
      <c r="A188" s="479"/>
      <c r="B188" s="479"/>
      <c r="C188" s="479"/>
      <c r="D188" s="479"/>
      <c r="E188" s="479"/>
      <c r="F188" s="479"/>
      <c r="G188" s="479"/>
      <c r="H188" s="479"/>
      <c r="I188" s="479"/>
      <c r="J188" s="479"/>
      <c r="K188" s="479"/>
      <c r="L188" s="479"/>
      <c r="M188" s="479"/>
      <c r="N188" s="479"/>
      <c r="O188" s="479"/>
      <c r="P188" s="479"/>
      <c r="Q188" s="479"/>
      <c r="R188" s="479"/>
      <c r="S188" s="479"/>
      <c r="T188" s="479"/>
      <c r="U188" s="479"/>
      <c r="V188" s="479"/>
      <c r="W188" s="479"/>
      <c r="X188" s="479"/>
      <c r="Y188" s="479"/>
      <c r="Z188" s="479"/>
      <c r="AA188" s="479"/>
      <c r="AB188" s="479"/>
      <c r="AC188" s="479"/>
      <c r="AD188" s="479"/>
      <c r="AE188" s="479"/>
      <c r="AF188" s="479"/>
      <c r="AG188" s="479"/>
      <c r="AH188" s="479"/>
      <c r="AI188" s="479"/>
      <c r="AJ188" s="479"/>
      <c r="AK188" s="479"/>
      <c r="AL188" s="479"/>
      <c r="AM188" s="479"/>
      <c r="AN188" s="479"/>
      <c r="AO188" s="479"/>
      <c r="AP188" s="479"/>
      <c r="AQ188" s="479"/>
      <c r="AR188" s="479"/>
      <c r="AS188" s="479"/>
      <c r="AT188" s="479"/>
      <c r="AU188" s="479"/>
      <c r="AV188" s="479"/>
      <c r="AW188" s="479"/>
      <c r="AX188" s="479"/>
      <c r="AY188" s="479"/>
      <c r="AZ188" s="479"/>
      <c r="BA188" s="479"/>
      <c r="BB188" s="479"/>
      <c r="BC188" s="479"/>
      <c r="BD188" s="479"/>
      <c r="BE188" s="479"/>
      <c r="BF188" s="479"/>
      <c r="BG188" s="479"/>
      <c r="BH188" s="479"/>
      <c r="BI188" s="479"/>
      <c r="BJ188" s="479"/>
      <c r="BK188" s="479"/>
      <c r="BL188" s="479"/>
      <c r="BM188" s="479"/>
      <c r="BN188" s="479"/>
      <c r="BO188" s="479"/>
      <c r="BP188" s="479"/>
      <c r="BQ188" s="479"/>
      <c r="BR188" s="479"/>
      <c r="BS188" s="479"/>
      <c r="BT188" s="479"/>
      <c r="BU188" s="479"/>
      <c r="BV188" s="479"/>
    </row>
    <row r="189" spans="1:74" x14ac:dyDescent="0.25">
      <c r="A189" s="479"/>
      <c r="B189" s="479"/>
      <c r="C189" s="479"/>
      <c r="D189" s="479"/>
      <c r="E189" s="479"/>
      <c r="F189" s="479"/>
      <c r="G189" s="479"/>
      <c r="H189" s="479"/>
      <c r="I189" s="479"/>
      <c r="J189" s="479"/>
      <c r="K189" s="479"/>
      <c r="L189" s="479"/>
      <c r="M189" s="479"/>
      <c r="N189" s="479"/>
      <c r="O189" s="479"/>
      <c r="P189" s="479"/>
      <c r="Q189" s="479"/>
      <c r="R189" s="479"/>
      <c r="S189" s="479"/>
      <c r="T189" s="479"/>
      <c r="U189" s="479"/>
      <c r="V189" s="479"/>
      <c r="W189" s="479"/>
      <c r="X189" s="479"/>
      <c r="Y189" s="479"/>
      <c r="Z189" s="479"/>
      <c r="AA189" s="479"/>
      <c r="AB189" s="479"/>
      <c r="AC189" s="479"/>
      <c r="AD189" s="479"/>
      <c r="AE189" s="479"/>
      <c r="AF189" s="479"/>
      <c r="AG189" s="479"/>
      <c r="AH189" s="479"/>
      <c r="AI189" s="479"/>
      <c r="AJ189" s="479"/>
      <c r="AK189" s="479"/>
      <c r="AL189" s="479"/>
      <c r="AM189" s="479"/>
      <c r="AN189" s="479"/>
      <c r="AO189" s="479"/>
      <c r="AP189" s="479"/>
      <c r="AQ189" s="479"/>
      <c r="AR189" s="479"/>
      <c r="AS189" s="479"/>
      <c r="AT189" s="479"/>
      <c r="AU189" s="479"/>
      <c r="AV189" s="479"/>
      <c r="AW189" s="479"/>
      <c r="AX189" s="479"/>
      <c r="AY189" s="479"/>
      <c r="AZ189" s="479"/>
      <c r="BA189" s="479"/>
      <c r="BB189" s="479"/>
      <c r="BC189" s="479"/>
      <c r="BD189" s="479"/>
      <c r="BE189" s="479"/>
      <c r="BF189" s="479"/>
      <c r="BG189" s="479"/>
      <c r="BH189" s="479"/>
      <c r="BI189" s="479"/>
      <c r="BJ189" s="479"/>
      <c r="BK189" s="479"/>
      <c r="BL189" s="479"/>
      <c r="BM189" s="479"/>
      <c r="BN189" s="479"/>
      <c r="BO189" s="479"/>
      <c r="BP189" s="479"/>
      <c r="BQ189" s="479"/>
      <c r="BR189" s="479"/>
      <c r="BS189" s="479"/>
      <c r="BT189" s="479"/>
      <c r="BU189" s="479"/>
      <c r="BV189" s="479"/>
    </row>
    <row r="190" spans="1:74" x14ac:dyDescent="0.25">
      <c r="A190" s="479"/>
      <c r="B190" s="479"/>
      <c r="C190" s="479"/>
      <c r="D190" s="479"/>
      <c r="E190" s="479"/>
      <c r="F190" s="479"/>
      <c r="G190" s="479"/>
      <c r="H190" s="479"/>
      <c r="I190" s="479"/>
      <c r="J190" s="479"/>
      <c r="K190" s="479"/>
      <c r="L190" s="479"/>
      <c r="M190" s="479"/>
      <c r="N190" s="479"/>
      <c r="O190" s="479"/>
      <c r="P190" s="479"/>
      <c r="Q190" s="479"/>
      <c r="R190" s="479"/>
      <c r="S190" s="479"/>
      <c r="T190" s="479"/>
      <c r="U190" s="479"/>
      <c r="V190" s="479"/>
      <c r="W190" s="479"/>
      <c r="X190" s="479"/>
      <c r="Y190" s="479"/>
      <c r="Z190" s="479"/>
      <c r="AA190" s="479"/>
      <c r="AB190" s="479"/>
      <c r="AC190" s="479"/>
      <c r="AD190" s="479"/>
      <c r="AE190" s="479"/>
      <c r="AF190" s="479"/>
      <c r="AG190" s="479"/>
      <c r="AH190" s="479"/>
      <c r="AI190" s="479"/>
      <c r="AJ190" s="479"/>
      <c r="AK190" s="479"/>
      <c r="AL190" s="479"/>
      <c r="AM190" s="479"/>
      <c r="AN190" s="479"/>
      <c r="AO190" s="479"/>
      <c r="AP190" s="479"/>
      <c r="AQ190" s="479"/>
      <c r="AR190" s="479"/>
      <c r="AS190" s="479"/>
      <c r="AT190" s="479"/>
      <c r="AU190" s="479"/>
      <c r="AV190" s="479"/>
      <c r="AW190" s="479"/>
      <c r="AX190" s="479"/>
      <c r="AY190" s="479"/>
      <c r="AZ190" s="479"/>
      <c r="BA190" s="479"/>
      <c r="BB190" s="479"/>
      <c r="BC190" s="479"/>
      <c r="BD190" s="479"/>
      <c r="BE190" s="479"/>
      <c r="BF190" s="479"/>
      <c r="BG190" s="479"/>
      <c r="BH190" s="479"/>
      <c r="BI190" s="479"/>
      <c r="BJ190" s="479"/>
      <c r="BK190" s="479"/>
      <c r="BL190" s="479"/>
      <c r="BM190" s="479"/>
      <c r="BN190" s="479"/>
      <c r="BO190" s="479"/>
      <c r="BP190" s="479"/>
      <c r="BQ190" s="479"/>
      <c r="BR190" s="479"/>
      <c r="BS190" s="479"/>
      <c r="BT190" s="479"/>
      <c r="BU190" s="479"/>
      <c r="BV190" s="479"/>
    </row>
    <row r="191" spans="1:74" x14ac:dyDescent="0.25">
      <c r="A191" s="479"/>
      <c r="B191" s="479"/>
      <c r="C191" s="479"/>
      <c r="D191" s="479"/>
      <c r="E191" s="479"/>
      <c r="F191" s="479"/>
      <c r="G191" s="479"/>
      <c r="H191" s="479"/>
      <c r="I191" s="479"/>
      <c r="J191" s="479"/>
      <c r="K191" s="479"/>
      <c r="L191" s="479"/>
      <c r="M191" s="479"/>
      <c r="N191" s="479"/>
      <c r="O191" s="479"/>
      <c r="P191" s="479"/>
      <c r="Q191" s="479"/>
      <c r="R191" s="479"/>
      <c r="S191" s="479"/>
      <c r="T191" s="479"/>
      <c r="U191" s="479"/>
      <c r="V191" s="479"/>
      <c r="W191" s="479"/>
      <c r="X191" s="479"/>
      <c r="Y191" s="479"/>
      <c r="Z191" s="479"/>
      <c r="AA191" s="479"/>
      <c r="AB191" s="479"/>
      <c r="AC191" s="479"/>
      <c r="AD191" s="479"/>
      <c r="AE191" s="479"/>
      <c r="AF191" s="479"/>
      <c r="AG191" s="479"/>
      <c r="AH191" s="479"/>
      <c r="AI191" s="479"/>
      <c r="AJ191" s="479"/>
      <c r="AK191" s="479"/>
      <c r="AL191" s="479"/>
      <c r="AM191" s="479"/>
      <c r="AN191" s="479"/>
      <c r="AO191" s="479"/>
      <c r="AP191" s="479"/>
      <c r="AQ191" s="479"/>
      <c r="AR191" s="479"/>
      <c r="AS191" s="479"/>
      <c r="AT191" s="479"/>
      <c r="AU191" s="479"/>
      <c r="AV191" s="479"/>
      <c r="AW191" s="479"/>
      <c r="AX191" s="479"/>
      <c r="AY191" s="479"/>
      <c r="AZ191" s="479"/>
      <c r="BA191" s="479"/>
      <c r="BB191" s="479"/>
      <c r="BC191" s="479"/>
      <c r="BD191" s="479"/>
      <c r="BE191" s="479"/>
      <c r="BF191" s="479"/>
      <c r="BG191" s="479"/>
      <c r="BH191" s="479"/>
      <c r="BI191" s="479"/>
      <c r="BJ191" s="479"/>
      <c r="BK191" s="479"/>
      <c r="BL191" s="479"/>
      <c r="BM191" s="479"/>
      <c r="BN191" s="479"/>
      <c r="BO191" s="479"/>
      <c r="BP191" s="479"/>
      <c r="BQ191" s="479"/>
      <c r="BR191" s="479"/>
      <c r="BS191" s="479"/>
      <c r="BT191" s="479"/>
      <c r="BU191" s="479"/>
      <c r="BV191" s="479"/>
    </row>
    <row r="192" spans="1:74" x14ac:dyDescent="0.25">
      <c r="A192" s="479"/>
      <c r="B192" s="479"/>
      <c r="C192" s="479"/>
      <c r="D192" s="479"/>
      <c r="E192" s="479"/>
      <c r="F192" s="479"/>
      <c r="G192" s="479"/>
      <c r="H192" s="479"/>
      <c r="I192" s="479"/>
      <c r="J192" s="479"/>
      <c r="K192" s="479"/>
      <c r="L192" s="479"/>
      <c r="M192" s="479"/>
      <c r="N192" s="479"/>
      <c r="O192" s="479"/>
      <c r="P192" s="479"/>
      <c r="Q192" s="479"/>
      <c r="R192" s="479"/>
      <c r="S192" s="479"/>
      <c r="T192" s="479"/>
      <c r="U192" s="479"/>
      <c r="V192" s="479"/>
      <c r="W192" s="479"/>
      <c r="X192" s="479"/>
      <c r="Y192" s="479"/>
      <c r="Z192" s="479"/>
      <c r="AA192" s="479"/>
      <c r="AB192" s="479"/>
      <c r="AC192" s="479"/>
      <c r="AD192" s="479"/>
      <c r="AE192" s="479"/>
      <c r="AF192" s="479"/>
      <c r="AG192" s="479"/>
      <c r="AH192" s="479"/>
      <c r="AI192" s="479"/>
      <c r="AJ192" s="479"/>
      <c r="AK192" s="479"/>
      <c r="AL192" s="479"/>
      <c r="AM192" s="479"/>
      <c r="AN192" s="479"/>
      <c r="AO192" s="479"/>
      <c r="AP192" s="479"/>
      <c r="AQ192" s="479"/>
      <c r="AR192" s="479"/>
      <c r="AS192" s="479"/>
      <c r="AT192" s="479"/>
      <c r="AU192" s="479"/>
      <c r="AV192" s="479"/>
      <c r="AW192" s="479"/>
      <c r="AX192" s="479"/>
      <c r="AY192" s="479"/>
      <c r="AZ192" s="479"/>
      <c r="BA192" s="479"/>
      <c r="BB192" s="479"/>
      <c r="BC192" s="479"/>
      <c r="BD192" s="479"/>
      <c r="BE192" s="479"/>
      <c r="BF192" s="479"/>
      <c r="BG192" s="479"/>
      <c r="BH192" s="479"/>
      <c r="BI192" s="479"/>
      <c r="BJ192" s="479"/>
      <c r="BK192" s="479"/>
      <c r="BL192" s="479"/>
      <c r="BM192" s="479"/>
      <c r="BN192" s="479"/>
      <c r="BO192" s="479"/>
      <c r="BP192" s="479"/>
      <c r="BQ192" s="479"/>
      <c r="BR192" s="479"/>
      <c r="BS192" s="479"/>
      <c r="BT192" s="479"/>
      <c r="BU192" s="479"/>
      <c r="BV192" s="479"/>
    </row>
    <row r="193" spans="1:74" x14ac:dyDescent="0.25">
      <c r="A193" s="479"/>
      <c r="B193" s="479"/>
      <c r="C193" s="479"/>
      <c r="D193" s="479"/>
      <c r="E193" s="479"/>
      <c r="F193" s="479"/>
      <c r="G193" s="479"/>
      <c r="H193" s="479"/>
      <c r="I193" s="479"/>
      <c r="J193" s="479"/>
      <c r="K193" s="479"/>
      <c r="L193" s="479"/>
      <c r="M193" s="479"/>
      <c r="N193" s="479"/>
      <c r="O193" s="479"/>
      <c r="P193" s="479"/>
      <c r="Q193" s="479"/>
      <c r="R193" s="479"/>
      <c r="S193" s="479"/>
      <c r="T193" s="479"/>
      <c r="U193" s="479"/>
      <c r="V193" s="479"/>
      <c r="W193" s="479"/>
      <c r="X193" s="479"/>
      <c r="Y193" s="479"/>
      <c r="Z193" s="479"/>
      <c r="AA193" s="479"/>
      <c r="AB193" s="479"/>
      <c r="AC193" s="479"/>
      <c r="AD193" s="479"/>
      <c r="AE193" s="479"/>
      <c r="AF193" s="479"/>
      <c r="AG193" s="479"/>
      <c r="AH193" s="479"/>
      <c r="AI193" s="479"/>
      <c r="AJ193" s="479"/>
      <c r="AK193" s="479"/>
      <c r="AL193" s="479"/>
      <c r="AM193" s="479"/>
      <c r="AN193" s="479"/>
      <c r="AO193" s="479"/>
      <c r="AP193" s="479"/>
      <c r="AQ193" s="479"/>
      <c r="AR193" s="479"/>
      <c r="AS193" s="479"/>
      <c r="AT193" s="479"/>
      <c r="AU193" s="479"/>
      <c r="AV193" s="479"/>
      <c r="AW193" s="479"/>
      <c r="AX193" s="479"/>
      <c r="AY193" s="479"/>
      <c r="AZ193" s="479"/>
      <c r="BA193" s="479"/>
      <c r="BB193" s="479"/>
      <c r="BC193" s="479"/>
      <c r="BD193" s="479"/>
      <c r="BE193" s="479"/>
      <c r="BF193" s="479"/>
      <c r="BG193" s="479"/>
      <c r="BH193" s="479"/>
      <c r="BI193" s="479"/>
      <c r="BJ193" s="479"/>
      <c r="BK193" s="479"/>
      <c r="BL193" s="479"/>
      <c r="BM193" s="479"/>
      <c r="BN193" s="479"/>
      <c r="BO193" s="479"/>
      <c r="BP193" s="479"/>
      <c r="BQ193" s="479"/>
      <c r="BR193" s="479"/>
      <c r="BS193" s="479"/>
      <c r="BT193" s="479"/>
      <c r="BU193" s="479"/>
      <c r="BV193" s="479"/>
    </row>
    <row r="194" spans="1:74" x14ac:dyDescent="0.25">
      <c r="A194" s="479"/>
      <c r="B194" s="479"/>
      <c r="C194" s="479"/>
      <c r="D194" s="479"/>
      <c r="E194" s="479"/>
      <c r="F194" s="479"/>
      <c r="G194" s="479"/>
      <c r="H194" s="479"/>
      <c r="I194" s="479"/>
      <c r="J194" s="479"/>
      <c r="K194" s="479"/>
      <c r="L194" s="479"/>
      <c r="M194" s="479"/>
      <c r="N194" s="479"/>
      <c r="O194" s="479"/>
      <c r="P194" s="479"/>
      <c r="Q194" s="479"/>
      <c r="R194" s="479"/>
      <c r="S194" s="479"/>
      <c r="T194" s="479"/>
      <c r="U194" s="479"/>
      <c r="V194" s="479"/>
      <c r="W194" s="479"/>
      <c r="X194" s="479"/>
      <c r="Y194" s="479"/>
      <c r="Z194" s="479"/>
      <c r="AA194" s="479"/>
      <c r="AB194" s="479"/>
      <c r="AC194" s="479"/>
      <c r="AD194" s="479"/>
      <c r="AE194" s="479"/>
      <c r="AF194" s="479"/>
      <c r="AG194" s="479"/>
      <c r="AH194" s="479"/>
      <c r="AI194" s="479"/>
      <c r="AJ194" s="479"/>
      <c r="AK194" s="479"/>
      <c r="AL194" s="479"/>
      <c r="AM194" s="479"/>
      <c r="AN194" s="479"/>
      <c r="AO194" s="479"/>
      <c r="AP194" s="479"/>
      <c r="AQ194" s="479"/>
      <c r="AR194" s="479"/>
      <c r="AS194" s="479"/>
      <c r="AT194" s="479"/>
      <c r="AU194" s="479"/>
      <c r="AV194" s="479"/>
      <c r="AW194" s="479"/>
      <c r="AX194" s="479"/>
      <c r="AY194" s="479"/>
      <c r="AZ194" s="479"/>
      <c r="BA194" s="479"/>
      <c r="BB194" s="479"/>
      <c r="BC194" s="479"/>
      <c r="BD194" s="479"/>
      <c r="BE194" s="479"/>
      <c r="BF194" s="479"/>
      <c r="BG194" s="479"/>
      <c r="BH194" s="479"/>
      <c r="BI194" s="479"/>
      <c r="BJ194" s="479"/>
      <c r="BK194" s="479"/>
      <c r="BL194" s="479"/>
      <c r="BM194" s="479"/>
      <c r="BN194" s="479"/>
      <c r="BO194" s="479"/>
      <c r="BP194" s="479"/>
      <c r="BQ194" s="479"/>
      <c r="BR194" s="479"/>
      <c r="BS194" s="479"/>
      <c r="BT194" s="479"/>
      <c r="BU194" s="479"/>
      <c r="BV194" s="479"/>
    </row>
    <row r="195" spans="1:74" x14ac:dyDescent="0.25">
      <c r="A195" s="479"/>
      <c r="B195" s="479"/>
      <c r="C195" s="479"/>
      <c r="D195" s="479"/>
      <c r="E195" s="479"/>
      <c r="F195" s="479"/>
      <c r="G195" s="479"/>
      <c r="H195" s="479"/>
      <c r="I195" s="479"/>
      <c r="J195" s="479"/>
      <c r="K195" s="479"/>
      <c r="L195" s="479"/>
      <c r="M195" s="479"/>
      <c r="N195" s="479"/>
      <c r="O195" s="479"/>
      <c r="P195" s="479"/>
      <c r="Q195" s="479"/>
      <c r="R195" s="479"/>
      <c r="S195" s="479"/>
      <c r="T195" s="479"/>
      <c r="U195" s="479"/>
      <c r="V195" s="479"/>
      <c r="W195" s="479"/>
      <c r="X195" s="479"/>
      <c r="Y195" s="479"/>
      <c r="Z195" s="479"/>
      <c r="AA195" s="479"/>
      <c r="AB195" s="479"/>
      <c r="AC195" s="479"/>
      <c r="AD195" s="479"/>
      <c r="AE195" s="479"/>
      <c r="AF195" s="479"/>
      <c r="AG195" s="479"/>
      <c r="AH195" s="479"/>
      <c r="AI195" s="479"/>
      <c r="AJ195" s="479"/>
      <c r="AK195" s="479"/>
      <c r="AL195" s="479"/>
      <c r="AM195" s="479"/>
      <c r="AN195" s="479"/>
      <c r="AO195" s="479"/>
      <c r="AP195" s="479"/>
      <c r="AQ195" s="479"/>
      <c r="AR195" s="479"/>
      <c r="AS195" s="479"/>
      <c r="AT195" s="479"/>
      <c r="AU195" s="479"/>
      <c r="AV195" s="479"/>
      <c r="AW195" s="479"/>
      <c r="AX195" s="479"/>
      <c r="AY195" s="479"/>
      <c r="AZ195" s="479"/>
      <c r="BA195" s="479"/>
      <c r="BB195" s="479"/>
      <c r="BC195" s="479"/>
      <c r="BD195" s="479"/>
      <c r="BE195" s="479"/>
      <c r="BF195" s="479"/>
      <c r="BG195" s="479"/>
      <c r="BH195" s="479"/>
      <c r="BI195" s="479"/>
      <c r="BJ195" s="479"/>
      <c r="BK195" s="479"/>
      <c r="BL195" s="479"/>
      <c r="BM195" s="479"/>
      <c r="BN195" s="479"/>
      <c r="BO195" s="479"/>
      <c r="BP195" s="479"/>
      <c r="BQ195" s="479"/>
      <c r="BR195" s="479"/>
      <c r="BS195" s="479"/>
      <c r="BT195" s="479"/>
      <c r="BU195" s="479"/>
      <c r="BV195" s="479"/>
    </row>
    <row r="196" spans="1:74" x14ac:dyDescent="0.25">
      <c r="A196" s="479"/>
      <c r="B196" s="479"/>
      <c r="C196" s="479"/>
      <c r="D196" s="479"/>
      <c r="E196" s="479"/>
      <c r="F196" s="479"/>
      <c r="G196" s="479"/>
      <c r="H196" s="479"/>
      <c r="I196" s="479"/>
      <c r="J196" s="479"/>
      <c r="K196" s="479"/>
      <c r="L196" s="479"/>
      <c r="M196" s="479"/>
      <c r="N196" s="479"/>
      <c r="O196" s="479"/>
      <c r="P196" s="479"/>
      <c r="Q196" s="479"/>
      <c r="R196" s="479"/>
      <c r="S196" s="479"/>
      <c r="T196" s="479"/>
      <c r="U196" s="479"/>
      <c r="V196" s="479"/>
      <c r="W196" s="479"/>
      <c r="X196" s="479"/>
      <c r="Y196" s="479"/>
      <c r="Z196" s="479"/>
      <c r="AA196" s="479"/>
      <c r="AB196" s="479"/>
      <c r="AC196" s="479"/>
      <c r="AD196" s="479"/>
      <c r="AE196" s="479"/>
      <c r="AF196" s="479"/>
      <c r="AG196" s="479"/>
      <c r="AH196" s="479"/>
      <c r="AI196" s="479"/>
      <c r="AJ196" s="479"/>
      <c r="AK196" s="479"/>
      <c r="AL196" s="479"/>
      <c r="AM196" s="479"/>
      <c r="AN196" s="479"/>
      <c r="AO196" s="479"/>
      <c r="AP196" s="479"/>
      <c r="AQ196" s="479"/>
      <c r="AR196" s="479"/>
      <c r="AS196" s="479"/>
      <c r="AT196" s="479"/>
      <c r="AU196" s="479"/>
      <c r="AV196" s="479"/>
      <c r="AW196" s="479"/>
      <c r="AX196" s="479"/>
      <c r="AY196" s="479"/>
      <c r="AZ196" s="479"/>
      <c r="BA196" s="479"/>
      <c r="BB196" s="479"/>
      <c r="BC196" s="479"/>
      <c r="BD196" s="479"/>
      <c r="BE196" s="479"/>
      <c r="BF196" s="479"/>
      <c r="BG196" s="479"/>
      <c r="BH196" s="479"/>
      <c r="BI196" s="479"/>
      <c r="BJ196" s="479"/>
      <c r="BK196" s="479"/>
      <c r="BL196" s="479"/>
      <c r="BM196" s="479"/>
      <c r="BN196" s="479"/>
      <c r="BO196" s="479"/>
      <c r="BP196" s="479"/>
      <c r="BQ196" s="479"/>
      <c r="BR196" s="479"/>
      <c r="BS196" s="479"/>
      <c r="BT196" s="479"/>
      <c r="BU196" s="479"/>
      <c r="BV196" s="479"/>
    </row>
    <row r="197" spans="1:74" x14ac:dyDescent="0.25">
      <c r="A197" s="479"/>
      <c r="B197" s="479"/>
      <c r="C197" s="479"/>
      <c r="D197" s="479"/>
      <c r="E197" s="479"/>
      <c r="F197" s="479"/>
      <c r="G197" s="479"/>
      <c r="H197" s="479"/>
      <c r="I197" s="479"/>
      <c r="J197" s="479"/>
      <c r="K197" s="479"/>
      <c r="L197" s="479"/>
      <c r="M197" s="479"/>
      <c r="N197" s="479"/>
      <c r="O197" s="479"/>
      <c r="P197" s="479"/>
      <c r="Q197" s="479"/>
      <c r="R197" s="479"/>
      <c r="S197" s="479"/>
      <c r="T197" s="479"/>
      <c r="U197" s="479"/>
      <c r="V197" s="479"/>
      <c r="W197" s="479"/>
      <c r="X197" s="479"/>
      <c r="Y197" s="479"/>
      <c r="Z197" s="479"/>
      <c r="AA197" s="479"/>
      <c r="AB197" s="479"/>
      <c r="AC197" s="479"/>
      <c r="AD197" s="479"/>
      <c r="AE197" s="479"/>
      <c r="AF197" s="479"/>
      <c r="AG197" s="479"/>
      <c r="AH197" s="479"/>
      <c r="AI197" s="479"/>
      <c r="AJ197" s="479"/>
      <c r="AK197" s="479"/>
      <c r="AL197" s="479"/>
      <c r="AM197" s="479"/>
      <c r="AN197" s="479"/>
      <c r="AO197" s="479"/>
      <c r="AP197" s="479"/>
      <c r="AQ197" s="479"/>
      <c r="AR197" s="479"/>
      <c r="AS197" s="479"/>
      <c r="AT197" s="479"/>
      <c r="AU197" s="479"/>
      <c r="AV197" s="479"/>
      <c r="AW197" s="479"/>
      <c r="AX197" s="479"/>
      <c r="AY197" s="479"/>
      <c r="AZ197" s="479"/>
      <c r="BA197" s="479"/>
      <c r="BB197" s="479"/>
      <c r="BC197" s="479"/>
      <c r="BD197" s="479"/>
      <c r="BE197" s="479"/>
      <c r="BF197" s="479"/>
      <c r="BG197" s="479"/>
      <c r="BH197" s="479"/>
      <c r="BI197" s="479"/>
      <c r="BJ197" s="479"/>
      <c r="BK197" s="479"/>
      <c r="BL197" s="479"/>
      <c r="BM197" s="479"/>
      <c r="BN197" s="479"/>
      <c r="BO197" s="479"/>
      <c r="BP197" s="479"/>
      <c r="BQ197" s="479"/>
      <c r="BR197" s="479"/>
      <c r="BS197" s="479"/>
      <c r="BT197" s="479"/>
      <c r="BU197" s="479"/>
      <c r="BV197" s="479"/>
    </row>
    <row r="198" spans="1:74" x14ac:dyDescent="0.25">
      <c r="A198" s="479"/>
      <c r="B198" s="479"/>
      <c r="C198" s="479"/>
      <c r="D198" s="479"/>
      <c r="E198" s="479"/>
      <c r="F198" s="479"/>
      <c r="G198" s="479"/>
      <c r="H198" s="479"/>
      <c r="I198" s="479"/>
      <c r="J198" s="479"/>
      <c r="K198" s="479"/>
      <c r="L198" s="479"/>
      <c r="M198" s="479"/>
      <c r="N198" s="479"/>
      <c r="O198" s="479"/>
      <c r="P198" s="479"/>
      <c r="Q198" s="479"/>
      <c r="R198" s="479"/>
      <c r="S198" s="479"/>
      <c r="T198" s="479"/>
      <c r="U198" s="479"/>
      <c r="V198" s="479"/>
      <c r="W198" s="479"/>
      <c r="X198" s="479"/>
      <c r="Y198" s="479"/>
      <c r="Z198" s="479"/>
      <c r="AA198" s="479"/>
      <c r="AB198" s="479"/>
      <c r="AC198" s="479"/>
      <c r="AD198" s="479"/>
      <c r="AE198" s="479"/>
      <c r="AF198" s="479"/>
      <c r="AG198" s="479"/>
      <c r="AH198" s="479"/>
      <c r="AI198" s="479"/>
      <c r="AJ198" s="479"/>
      <c r="AK198" s="479"/>
      <c r="AL198" s="479"/>
      <c r="AM198" s="479"/>
      <c r="AN198" s="479"/>
      <c r="AO198" s="479"/>
      <c r="AP198" s="479"/>
      <c r="AQ198" s="479"/>
      <c r="AR198" s="479"/>
      <c r="AS198" s="479"/>
      <c r="AT198" s="479"/>
      <c r="AU198" s="479"/>
      <c r="AV198" s="479"/>
      <c r="AW198" s="479"/>
      <c r="AX198" s="479"/>
      <c r="AY198" s="479"/>
      <c r="AZ198" s="479"/>
      <c r="BA198" s="479"/>
      <c r="BB198" s="479"/>
      <c r="BC198" s="479"/>
      <c r="BD198" s="479"/>
      <c r="BE198" s="479"/>
      <c r="BF198" s="479"/>
      <c r="BG198" s="479"/>
      <c r="BH198" s="479"/>
      <c r="BI198" s="479"/>
      <c r="BJ198" s="479"/>
      <c r="BK198" s="479"/>
      <c r="BL198" s="479"/>
      <c r="BM198" s="479"/>
      <c r="BN198" s="479"/>
      <c r="BO198" s="479"/>
      <c r="BP198" s="479"/>
      <c r="BQ198" s="479"/>
      <c r="BR198" s="479"/>
      <c r="BS198" s="479"/>
      <c r="BT198" s="479"/>
      <c r="BU198" s="479"/>
      <c r="BV198" s="479"/>
    </row>
    <row r="199" spans="1:74" x14ac:dyDescent="0.25">
      <c r="A199" s="479"/>
      <c r="B199" s="479"/>
      <c r="C199" s="479"/>
      <c r="D199" s="479"/>
      <c r="E199" s="479"/>
      <c r="F199" s="479"/>
      <c r="G199" s="479"/>
      <c r="H199" s="479"/>
      <c r="I199" s="479"/>
      <c r="J199" s="479"/>
      <c r="K199" s="479"/>
      <c r="L199" s="479"/>
      <c r="M199" s="479"/>
      <c r="N199" s="479"/>
      <c r="O199" s="479"/>
      <c r="P199" s="479"/>
      <c r="Q199" s="479"/>
      <c r="R199" s="479"/>
      <c r="S199" s="479"/>
      <c r="T199" s="479"/>
      <c r="U199" s="479"/>
      <c r="V199" s="479"/>
      <c r="W199" s="479"/>
      <c r="X199" s="479"/>
      <c r="Y199" s="479"/>
      <c r="Z199" s="479"/>
      <c r="AA199" s="479"/>
      <c r="AB199" s="479"/>
      <c r="AC199" s="479"/>
      <c r="AD199" s="479"/>
      <c r="AE199" s="479"/>
      <c r="AF199" s="479"/>
      <c r="AG199" s="479"/>
      <c r="AH199" s="479"/>
      <c r="AI199" s="479"/>
      <c r="AJ199" s="479"/>
      <c r="AK199" s="479"/>
      <c r="AL199" s="479"/>
      <c r="AM199" s="479"/>
      <c r="AN199" s="479"/>
      <c r="AO199" s="479"/>
      <c r="AP199" s="479"/>
      <c r="AQ199" s="479"/>
      <c r="AR199" s="479"/>
      <c r="AS199" s="479"/>
      <c r="AT199" s="479"/>
      <c r="AU199" s="479"/>
      <c r="AV199" s="479"/>
      <c r="AW199" s="479"/>
      <c r="AX199" s="479"/>
      <c r="AY199" s="479"/>
      <c r="AZ199" s="479"/>
      <c r="BA199" s="479"/>
      <c r="BB199" s="479"/>
      <c r="BC199" s="479"/>
      <c r="BD199" s="479"/>
      <c r="BE199" s="479"/>
      <c r="BF199" s="479"/>
      <c r="BG199" s="479"/>
      <c r="BH199" s="479"/>
      <c r="BI199" s="479"/>
      <c r="BJ199" s="479"/>
      <c r="BK199" s="479"/>
      <c r="BL199" s="479"/>
      <c r="BM199" s="479"/>
      <c r="BN199" s="479"/>
      <c r="BO199" s="479"/>
      <c r="BP199" s="479"/>
      <c r="BQ199" s="479"/>
      <c r="BR199" s="479"/>
      <c r="BS199" s="479"/>
      <c r="BT199" s="479"/>
      <c r="BU199" s="479"/>
      <c r="BV199" s="479"/>
    </row>
    <row r="200" spans="1:74" x14ac:dyDescent="0.25">
      <c r="A200" s="479"/>
      <c r="B200" s="479"/>
      <c r="C200" s="479"/>
      <c r="D200" s="479"/>
      <c r="E200" s="479"/>
      <c r="F200" s="479"/>
      <c r="G200" s="479"/>
      <c r="H200" s="479"/>
      <c r="I200" s="479"/>
      <c r="J200" s="479"/>
      <c r="K200" s="479"/>
      <c r="L200" s="479"/>
      <c r="M200" s="479"/>
      <c r="N200" s="479"/>
      <c r="O200" s="479"/>
      <c r="P200" s="479"/>
      <c r="Q200" s="479"/>
      <c r="R200" s="479"/>
      <c r="S200" s="479"/>
      <c r="T200" s="479"/>
      <c r="U200" s="479"/>
      <c r="V200" s="479"/>
      <c r="W200" s="479"/>
      <c r="X200" s="479"/>
      <c r="Y200" s="479"/>
      <c r="Z200" s="479"/>
      <c r="AA200" s="479"/>
      <c r="AB200" s="479"/>
      <c r="AC200" s="479"/>
      <c r="AD200" s="479"/>
      <c r="AE200" s="479"/>
      <c r="AF200" s="479"/>
      <c r="AG200" s="479"/>
      <c r="AH200" s="479"/>
      <c r="AI200" s="479"/>
      <c r="AJ200" s="479"/>
      <c r="AK200" s="479"/>
      <c r="AL200" s="479"/>
      <c r="AM200" s="479"/>
      <c r="AN200" s="479"/>
      <c r="AO200" s="479"/>
      <c r="AP200" s="479"/>
      <c r="AQ200" s="479"/>
      <c r="AR200" s="479"/>
      <c r="AS200" s="479"/>
      <c r="AT200" s="479"/>
      <c r="AU200" s="479"/>
      <c r="AV200" s="479"/>
      <c r="AW200" s="479"/>
      <c r="AX200" s="479"/>
      <c r="AY200" s="479"/>
      <c r="AZ200" s="479"/>
      <c r="BA200" s="479"/>
      <c r="BB200" s="479"/>
      <c r="BC200" s="479"/>
      <c r="BD200" s="479"/>
      <c r="BE200" s="479"/>
      <c r="BF200" s="479"/>
      <c r="BG200" s="479"/>
      <c r="BH200" s="479"/>
      <c r="BI200" s="479"/>
      <c r="BJ200" s="479"/>
      <c r="BK200" s="479"/>
      <c r="BL200" s="479"/>
      <c r="BM200" s="479"/>
      <c r="BN200" s="479"/>
      <c r="BO200" s="479"/>
      <c r="BP200" s="479"/>
      <c r="BQ200" s="479"/>
      <c r="BR200" s="479"/>
      <c r="BS200" s="479"/>
      <c r="BT200" s="479"/>
      <c r="BU200" s="479"/>
      <c r="BV200" s="479"/>
    </row>
    <row r="201" spans="1:74" x14ac:dyDescent="0.25">
      <c r="A201" s="479"/>
      <c r="B201" s="479"/>
      <c r="C201" s="479"/>
      <c r="D201" s="479"/>
      <c r="E201" s="479"/>
      <c r="F201" s="479"/>
      <c r="G201" s="479"/>
      <c r="H201" s="479"/>
      <c r="I201" s="479"/>
      <c r="J201" s="479"/>
      <c r="K201" s="479"/>
      <c r="L201" s="479"/>
      <c r="M201" s="479"/>
      <c r="N201" s="479"/>
      <c r="O201" s="479"/>
      <c r="P201" s="479"/>
      <c r="Q201" s="479"/>
      <c r="R201" s="479"/>
      <c r="S201" s="479"/>
      <c r="T201" s="479"/>
      <c r="U201" s="479"/>
      <c r="V201" s="479"/>
      <c r="W201" s="479"/>
      <c r="X201" s="479"/>
      <c r="Y201" s="479"/>
      <c r="Z201" s="479"/>
      <c r="AA201" s="479"/>
      <c r="AB201" s="479"/>
      <c r="AC201" s="479"/>
      <c r="AD201" s="479"/>
      <c r="AE201" s="479"/>
      <c r="AF201" s="479"/>
      <c r="AG201" s="479"/>
      <c r="AH201" s="479"/>
      <c r="AI201" s="479"/>
      <c r="AJ201" s="479"/>
      <c r="AK201" s="479"/>
      <c r="AL201" s="479"/>
      <c r="AM201" s="479"/>
      <c r="AN201" s="479"/>
      <c r="AO201" s="479"/>
      <c r="AP201" s="479"/>
      <c r="AQ201" s="479"/>
      <c r="AR201" s="479"/>
      <c r="AS201" s="479"/>
      <c r="AT201" s="479"/>
      <c r="AU201" s="479"/>
      <c r="AV201" s="479"/>
      <c r="AW201" s="479"/>
      <c r="AX201" s="479"/>
      <c r="AY201" s="479"/>
      <c r="AZ201" s="479"/>
      <c r="BA201" s="479"/>
      <c r="BB201" s="479"/>
      <c r="BC201" s="479"/>
      <c r="BD201" s="479"/>
      <c r="BE201" s="479"/>
      <c r="BF201" s="479"/>
      <c r="BG201" s="479"/>
      <c r="BH201" s="479"/>
      <c r="BI201" s="479"/>
      <c r="BJ201" s="479"/>
      <c r="BK201" s="479"/>
      <c r="BL201" s="479"/>
      <c r="BM201" s="479"/>
      <c r="BN201" s="479"/>
      <c r="BO201" s="479"/>
      <c r="BP201" s="479"/>
      <c r="BQ201" s="479"/>
      <c r="BR201" s="479"/>
      <c r="BS201" s="479"/>
      <c r="BT201" s="479"/>
      <c r="BU201" s="479"/>
      <c r="BV201" s="479"/>
    </row>
    <row r="202" spans="1:74" x14ac:dyDescent="0.25">
      <c r="A202" s="479"/>
      <c r="B202" s="479"/>
      <c r="C202" s="479"/>
      <c r="D202" s="479"/>
      <c r="E202" s="479"/>
      <c r="F202" s="479"/>
      <c r="G202" s="479"/>
      <c r="H202" s="479"/>
      <c r="I202" s="479"/>
      <c r="J202" s="479"/>
      <c r="K202" s="479"/>
      <c r="L202" s="479"/>
      <c r="M202" s="479"/>
      <c r="N202" s="479"/>
      <c r="O202" s="479"/>
      <c r="P202" s="479"/>
      <c r="Q202" s="479"/>
      <c r="R202" s="479"/>
      <c r="S202" s="479"/>
      <c r="T202" s="479"/>
      <c r="U202" s="479"/>
      <c r="V202" s="479"/>
      <c r="W202" s="479"/>
      <c r="X202" s="479"/>
      <c r="Y202" s="479"/>
      <c r="Z202" s="479"/>
      <c r="AA202" s="479"/>
      <c r="AB202" s="479"/>
      <c r="AC202" s="479"/>
      <c r="AD202" s="479"/>
      <c r="AE202" s="479"/>
      <c r="AF202" s="479"/>
      <c r="AG202" s="479"/>
      <c r="AH202" s="479"/>
      <c r="AI202" s="479"/>
      <c r="AJ202" s="479"/>
      <c r="AK202" s="479"/>
      <c r="AL202" s="479"/>
      <c r="AM202" s="479"/>
      <c r="AN202" s="479"/>
      <c r="AO202" s="479"/>
      <c r="AP202" s="479"/>
      <c r="AQ202" s="479"/>
      <c r="AR202" s="479"/>
      <c r="AS202" s="479"/>
      <c r="AT202" s="479"/>
      <c r="AU202" s="479"/>
      <c r="AV202" s="479"/>
      <c r="AW202" s="479"/>
      <c r="AX202" s="479"/>
      <c r="AY202" s="479"/>
      <c r="AZ202" s="479"/>
      <c r="BA202" s="479"/>
      <c r="BB202" s="479"/>
      <c r="BC202" s="479"/>
      <c r="BD202" s="479"/>
      <c r="BE202" s="479"/>
      <c r="BF202" s="479"/>
      <c r="BG202" s="479"/>
      <c r="BH202" s="479"/>
      <c r="BI202" s="479"/>
      <c r="BJ202" s="479"/>
      <c r="BK202" s="479"/>
      <c r="BL202" s="479"/>
      <c r="BM202" s="479"/>
      <c r="BN202" s="479"/>
      <c r="BO202" s="479"/>
      <c r="BP202" s="479"/>
      <c r="BQ202" s="479"/>
      <c r="BR202" s="479"/>
      <c r="BS202" s="479"/>
      <c r="BT202" s="479"/>
      <c r="BU202" s="479"/>
      <c r="BV202" s="479"/>
    </row>
    <row r="203" spans="1:74" x14ac:dyDescent="0.25">
      <c r="A203" s="479"/>
      <c r="B203" s="479"/>
      <c r="C203" s="479"/>
      <c r="D203" s="479"/>
      <c r="E203" s="479"/>
      <c r="F203" s="479"/>
      <c r="G203" s="479"/>
      <c r="H203" s="479"/>
      <c r="I203" s="479"/>
      <c r="J203" s="479"/>
      <c r="K203" s="479"/>
      <c r="L203" s="479"/>
      <c r="M203" s="479"/>
      <c r="N203" s="479"/>
      <c r="O203" s="479"/>
      <c r="P203" s="479"/>
      <c r="Q203" s="479"/>
      <c r="R203" s="479"/>
      <c r="S203" s="479"/>
      <c r="T203" s="479"/>
      <c r="U203" s="479"/>
      <c r="V203" s="479"/>
      <c r="W203" s="479"/>
      <c r="X203" s="479"/>
      <c r="Y203" s="479"/>
      <c r="Z203" s="479"/>
      <c r="AA203" s="479"/>
      <c r="AB203" s="479"/>
      <c r="AC203" s="479"/>
      <c r="AD203" s="479"/>
      <c r="AE203" s="479"/>
      <c r="AF203" s="479"/>
      <c r="AG203" s="479"/>
      <c r="AH203" s="479"/>
      <c r="AI203" s="479"/>
      <c r="AJ203" s="479"/>
      <c r="AK203" s="479"/>
      <c r="AL203" s="479"/>
      <c r="AM203" s="479"/>
      <c r="AN203" s="479"/>
      <c r="AO203" s="479"/>
      <c r="AP203" s="479"/>
      <c r="AQ203" s="479"/>
      <c r="AR203" s="479"/>
      <c r="AS203" s="479"/>
      <c r="AT203" s="479"/>
      <c r="AU203" s="479"/>
      <c r="AV203" s="479"/>
      <c r="AW203" s="479"/>
      <c r="AX203" s="479"/>
      <c r="AY203" s="479"/>
      <c r="AZ203" s="479"/>
      <c r="BA203" s="479"/>
      <c r="BB203" s="479"/>
      <c r="BC203" s="479"/>
      <c r="BD203" s="479"/>
      <c r="BE203" s="479"/>
      <c r="BF203" s="479"/>
      <c r="BG203" s="479"/>
      <c r="BH203" s="479"/>
      <c r="BI203" s="479"/>
      <c r="BJ203" s="479"/>
      <c r="BK203" s="479"/>
      <c r="BL203" s="479"/>
      <c r="BM203" s="479"/>
      <c r="BN203" s="479"/>
      <c r="BO203" s="479"/>
      <c r="BP203" s="479"/>
      <c r="BQ203" s="479"/>
      <c r="BR203" s="479"/>
      <c r="BS203" s="479"/>
      <c r="BT203" s="479"/>
      <c r="BU203" s="479"/>
      <c r="BV203" s="479"/>
    </row>
    <row r="204" spans="1:74" x14ac:dyDescent="0.25">
      <c r="A204" s="479"/>
      <c r="B204" s="479"/>
      <c r="C204" s="479"/>
      <c r="D204" s="479"/>
      <c r="E204" s="479"/>
      <c r="F204" s="479"/>
      <c r="G204" s="479"/>
      <c r="H204" s="479"/>
      <c r="I204" s="479"/>
      <c r="J204" s="479"/>
      <c r="K204" s="479"/>
      <c r="L204" s="479"/>
      <c r="M204" s="479"/>
      <c r="N204" s="479"/>
      <c r="O204" s="479"/>
      <c r="P204" s="479"/>
      <c r="Q204" s="479"/>
      <c r="R204" s="479"/>
      <c r="S204" s="479"/>
      <c r="T204" s="479"/>
      <c r="U204" s="479"/>
      <c r="V204" s="479"/>
      <c r="W204" s="479"/>
      <c r="X204" s="479"/>
      <c r="Y204" s="479"/>
      <c r="Z204" s="479"/>
      <c r="AA204" s="479"/>
      <c r="AB204" s="479"/>
      <c r="AC204" s="479"/>
      <c r="AD204" s="479"/>
      <c r="AE204" s="479"/>
      <c r="AF204" s="479"/>
      <c r="AG204" s="479"/>
      <c r="AH204" s="479"/>
      <c r="AI204" s="479"/>
      <c r="AJ204" s="479"/>
      <c r="AK204" s="479"/>
      <c r="AL204" s="479"/>
      <c r="AM204" s="479"/>
      <c r="AN204" s="479"/>
      <c r="AO204" s="479"/>
      <c r="AP204" s="479"/>
      <c r="AQ204" s="479"/>
      <c r="AR204" s="479"/>
      <c r="AS204" s="479"/>
      <c r="AT204" s="479"/>
      <c r="AU204" s="479"/>
      <c r="AV204" s="479"/>
      <c r="AW204" s="479"/>
      <c r="AX204" s="479"/>
      <c r="AY204" s="479"/>
      <c r="AZ204" s="479"/>
      <c r="BA204" s="479"/>
      <c r="BB204" s="479"/>
      <c r="BC204" s="479"/>
      <c r="BD204" s="479"/>
      <c r="BE204" s="479"/>
      <c r="BF204" s="479"/>
      <c r="BG204" s="479"/>
      <c r="BH204" s="479"/>
      <c r="BI204" s="479"/>
      <c r="BJ204" s="479"/>
      <c r="BK204" s="479"/>
      <c r="BL204" s="479"/>
      <c r="BM204" s="479"/>
      <c r="BN204" s="479"/>
      <c r="BO204" s="479"/>
      <c r="BP204" s="479"/>
      <c r="BQ204" s="479"/>
      <c r="BR204" s="479"/>
      <c r="BS204" s="479"/>
      <c r="BT204" s="479"/>
      <c r="BU204" s="479"/>
      <c r="BV204" s="479"/>
    </row>
  </sheetData>
  <sheetProtection password="CF7D" sheet="1" objects="1" scenarios="1"/>
  <mergeCells count="289">
    <mergeCell ref="W161:AA161"/>
    <mergeCell ref="E27:G27"/>
    <mergeCell ref="B40:D40"/>
    <mergeCell ref="E40:G40"/>
    <mergeCell ref="B34:D34"/>
    <mergeCell ref="B31:D31"/>
    <mergeCell ref="E31:G31"/>
    <mergeCell ref="B30:D30"/>
    <mergeCell ref="E48:G48"/>
    <mergeCell ref="E54:G54"/>
    <mergeCell ref="E49:G49"/>
    <mergeCell ref="B52:D52"/>
    <mergeCell ref="E52:G52"/>
    <mergeCell ref="B55:D55"/>
    <mergeCell ref="B27:D27"/>
    <mergeCell ref="E44:G44"/>
    <mergeCell ref="E45:G45"/>
    <mergeCell ref="B47:D47"/>
    <mergeCell ref="B61:D61"/>
    <mergeCell ref="E61:G61"/>
    <mergeCell ref="B58:D58"/>
    <mergeCell ref="E58:G58"/>
    <mergeCell ref="B59:D59"/>
    <mergeCell ref="B48:D48"/>
    <mergeCell ref="R161:T161"/>
    <mergeCell ref="E21:G21"/>
    <mergeCell ref="B39:D39"/>
    <mergeCell ref="E39:G39"/>
    <mergeCell ref="E23:G23"/>
    <mergeCell ref="B24:D24"/>
    <mergeCell ref="E24:G24"/>
    <mergeCell ref="B28:D28"/>
    <mergeCell ref="B29:D29"/>
    <mergeCell ref="E25:G25"/>
    <mergeCell ref="B25:D25"/>
    <mergeCell ref="B26:D26"/>
    <mergeCell ref="B49:D49"/>
    <mergeCell ref="E51:G51"/>
    <mergeCell ref="B57:D57"/>
    <mergeCell ref="B54:D54"/>
    <mergeCell ref="B62:D62"/>
    <mergeCell ref="B64:D64"/>
    <mergeCell ref="E64:G64"/>
    <mergeCell ref="B66:D66"/>
    <mergeCell ref="E66:G66"/>
    <mergeCell ref="B65:D65"/>
    <mergeCell ref="E65:G65"/>
    <mergeCell ref="B69:D69"/>
    <mergeCell ref="B1:AD1"/>
    <mergeCell ref="B17:D17"/>
    <mergeCell ref="N15:N16"/>
    <mergeCell ref="I4:K4"/>
    <mergeCell ref="I8:L8"/>
    <mergeCell ref="I9:K9"/>
    <mergeCell ref="I11:K11"/>
    <mergeCell ref="E14:O14"/>
    <mergeCell ref="H15:H16"/>
    <mergeCell ref="I3:L3"/>
    <mergeCell ref="B3:G3"/>
    <mergeCell ref="B4:D4"/>
    <mergeCell ref="E17:G17"/>
    <mergeCell ref="B5:C5"/>
    <mergeCell ref="B6:C6"/>
    <mergeCell ref="B7:C7"/>
    <mergeCell ref="B10:C10"/>
    <mergeCell ref="O15:O16"/>
    <mergeCell ref="B9:C9"/>
    <mergeCell ref="Q15:Q16"/>
    <mergeCell ref="M15:M16"/>
    <mergeCell ref="I15:I16"/>
    <mergeCell ref="K15:K16"/>
    <mergeCell ref="B14:D16"/>
    <mergeCell ref="B38:D38"/>
    <mergeCell ref="B41:D41"/>
    <mergeCell ref="B8:C8"/>
    <mergeCell ref="B18:D18"/>
    <mergeCell ref="B19:D19"/>
    <mergeCell ref="B11:C11"/>
    <mergeCell ref="B35:D35"/>
    <mergeCell ref="B20:D20"/>
    <mergeCell ref="BM14:BQ14"/>
    <mergeCell ref="R15:R16"/>
    <mergeCell ref="BC14:BG14"/>
    <mergeCell ref="T14:T16"/>
    <mergeCell ref="AA15:AC15"/>
    <mergeCell ref="P14:S14"/>
    <mergeCell ref="S15:S16"/>
    <mergeCell ref="P15:P16"/>
    <mergeCell ref="BH14:BL14"/>
    <mergeCell ref="U14:U16"/>
    <mergeCell ref="B22:D22"/>
    <mergeCell ref="E22:G22"/>
    <mergeCell ref="I10:K10"/>
    <mergeCell ref="L15:L16"/>
    <mergeCell ref="E41:G41"/>
    <mergeCell ref="E38:G38"/>
    <mergeCell ref="Y14:AC14"/>
    <mergeCell ref="E37:G37"/>
    <mergeCell ref="B32:D32"/>
    <mergeCell ref="E36:G36"/>
    <mergeCell ref="B36:D36"/>
    <mergeCell ref="J15:J16"/>
    <mergeCell ref="E18:G18"/>
    <mergeCell ref="Y15:Z15"/>
    <mergeCell ref="V14:X14"/>
    <mergeCell ref="B37:D37"/>
    <mergeCell ref="E20:G20"/>
    <mergeCell ref="E19:G19"/>
    <mergeCell ref="E15:G16"/>
    <mergeCell ref="E26:G26"/>
    <mergeCell ref="E35:G35"/>
    <mergeCell ref="B21:D21"/>
    <mergeCell ref="B33:D33"/>
    <mergeCell ref="E29:G29"/>
    <mergeCell ref="E28:G28"/>
    <mergeCell ref="E34:G34"/>
    <mergeCell ref="E33:G33"/>
    <mergeCell ref="E30:G30"/>
    <mergeCell ref="E32:G32"/>
    <mergeCell ref="B23:D23"/>
    <mergeCell ref="B44:D44"/>
    <mergeCell ref="P132:Q145"/>
    <mergeCell ref="B126:D126"/>
    <mergeCell ref="E42:G42"/>
    <mergeCell ref="B43:D43"/>
    <mergeCell ref="E43:G43"/>
    <mergeCell ref="B50:D50"/>
    <mergeCell ref="E50:G50"/>
    <mergeCell ref="B42:D42"/>
    <mergeCell ref="B46:D46"/>
    <mergeCell ref="B45:D45"/>
    <mergeCell ref="E69:G69"/>
    <mergeCell ref="B67:D67"/>
    <mergeCell ref="E67:G67"/>
    <mergeCell ref="B68:D68"/>
    <mergeCell ref="E68:G68"/>
    <mergeCell ref="B72:D72"/>
    <mergeCell ref="E72:G72"/>
    <mergeCell ref="B73:D73"/>
    <mergeCell ref="E73:G73"/>
    <mergeCell ref="B70:D70"/>
    <mergeCell ref="E70:G70"/>
    <mergeCell ref="B71:D71"/>
    <mergeCell ref="E71:G71"/>
    <mergeCell ref="E46:G46"/>
    <mergeCell ref="M129:O129"/>
    <mergeCell ref="H129:I129"/>
    <mergeCell ref="B56:D56"/>
    <mergeCell ref="E62:G62"/>
    <mergeCell ref="E59:G59"/>
    <mergeCell ref="B63:D63"/>
    <mergeCell ref="E63:G63"/>
    <mergeCell ref="B60:D60"/>
    <mergeCell ref="E126:G126"/>
    <mergeCell ref="B76:D76"/>
    <mergeCell ref="E76:G76"/>
    <mergeCell ref="B77:D77"/>
    <mergeCell ref="E77:G77"/>
    <mergeCell ref="B74:D74"/>
    <mergeCell ref="E74:G74"/>
    <mergeCell ref="B75:D75"/>
    <mergeCell ref="E75:G75"/>
    <mergeCell ref="E47:G47"/>
    <mergeCell ref="B84:D84"/>
    <mergeCell ref="E84:G84"/>
    <mergeCell ref="B85:D85"/>
    <mergeCell ref="E85:G85"/>
    <mergeCell ref="B86:D86"/>
    <mergeCell ref="P131:AD131"/>
    <mergeCell ref="R132:AD132"/>
    <mergeCell ref="X133:AD133"/>
    <mergeCell ref="F127:G127"/>
    <mergeCell ref="D131:H131"/>
    <mergeCell ref="E55:G55"/>
    <mergeCell ref="B51:D51"/>
    <mergeCell ref="B53:D53"/>
    <mergeCell ref="E53:G53"/>
    <mergeCell ref="B81:D81"/>
    <mergeCell ref="B82:D82"/>
    <mergeCell ref="B83:D83"/>
    <mergeCell ref="B78:D78"/>
    <mergeCell ref="E78:G78"/>
    <mergeCell ref="B79:D79"/>
    <mergeCell ref="E79:G79"/>
    <mergeCell ref="B80:D80"/>
    <mergeCell ref="E80:G80"/>
    <mergeCell ref="B87:D87"/>
    <mergeCell ref="E87:G87"/>
    <mergeCell ref="B88:D88"/>
    <mergeCell ref="E88:G88"/>
    <mergeCell ref="B89:D89"/>
    <mergeCell ref="E89:G89"/>
    <mergeCell ref="X145:AD145"/>
    <mergeCell ref="X146:AD155"/>
    <mergeCell ref="X144:AD144"/>
    <mergeCell ref="E56:G56"/>
    <mergeCell ref="R146:W155"/>
    <mergeCell ref="R133:W133"/>
    <mergeCell ref="R144:W144"/>
    <mergeCell ref="P146:Q155"/>
    <mergeCell ref="E57:G57"/>
    <mergeCell ref="E60:G60"/>
    <mergeCell ref="AC138:AD138"/>
    <mergeCell ref="R134:W142"/>
    <mergeCell ref="AC142:AD142"/>
    <mergeCell ref="AC141:AD141"/>
    <mergeCell ref="X143:AD143"/>
    <mergeCell ref="AC134:AD134"/>
    <mergeCell ref="AC140:AD140"/>
    <mergeCell ref="AC135:AD135"/>
    <mergeCell ref="AC136:AD136"/>
    <mergeCell ref="AC137:AD137"/>
    <mergeCell ref="AC139:AD139"/>
    <mergeCell ref="E81:G81"/>
    <mergeCell ref="E82:G82"/>
    <mergeCell ref="E83:G83"/>
    <mergeCell ref="E86:G86"/>
    <mergeCell ref="B93:D93"/>
    <mergeCell ref="E93:G93"/>
    <mergeCell ref="B94:D94"/>
    <mergeCell ref="E94:G94"/>
    <mergeCell ref="B95:D95"/>
    <mergeCell ref="E95:G95"/>
    <mergeCell ref="B90:D90"/>
    <mergeCell ref="E90:G90"/>
    <mergeCell ref="B91:D91"/>
    <mergeCell ref="E91:G91"/>
    <mergeCell ref="B92:D92"/>
    <mergeCell ref="E92:G92"/>
    <mergeCell ref="B99:D99"/>
    <mergeCell ref="E99:G99"/>
    <mergeCell ref="B100:D100"/>
    <mergeCell ref="E100:G100"/>
    <mergeCell ref="B101:D101"/>
    <mergeCell ref="E101:G101"/>
    <mergeCell ref="B96:D96"/>
    <mergeCell ref="E96:G96"/>
    <mergeCell ref="B97:D97"/>
    <mergeCell ref="E97:G97"/>
    <mergeCell ref="B98:D98"/>
    <mergeCell ref="E98:G98"/>
    <mergeCell ref="B105:D105"/>
    <mergeCell ref="E105:G105"/>
    <mergeCell ref="B106:D106"/>
    <mergeCell ref="E106:G106"/>
    <mergeCell ref="B107:D107"/>
    <mergeCell ref="E107:G107"/>
    <mergeCell ref="B102:D102"/>
    <mergeCell ref="E102:G102"/>
    <mergeCell ref="B103:D103"/>
    <mergeCell ref="E103:G103"/>
    <mergeCell ref="B104:D104"/>
    <mergeCell ref="E104:G104"/>
    <mergeCell ref="B111:D111"/>
    <mergeCell ref="E111:G111"/>
    <mergeCell ref="B112:D112"/>
    <mergeCell ref="E112:G112"/>
    <mergeCell ref="B113:D113"/>
    <mergeCell ref="E113:G113"/>
    <mergeCell ref="B108:D108"/>
    <mergeCell ref="E108:G108"/>
    <mergeCell ref="B109:D109"/>
    <mergeCell ref="E109:G109"/>
    <mergeCell ref="B110:D110"/>
    <mergeCell ref="E110:G110"/>
    <mergeCell ref="B117:D117"/>
    <mergeCell ref="E117:G117"/>
    <mergeCell ref="B118:D118"/>
    <mergeCell ref="E118:G118"/>
    <mergeCell ref="B119:D119"/>
    <mergeCell ref="E119:G119"/>
    <mergeCell ref="B114:D114"/>
    <mergeCell ref="E114:G114"/>
    <mergeCell ref="B115:D115"/>
    <mergeCell ref="E115:G115"/>
    <mergeCell ref="B116:D116"/>
    <mergeCell ref="E116:G116"/>
    <mergeCell ref="B123:D123"/>
    <mergeCell ref="E123:G123"/>
    <mergeCell ref="B124:D124"/>
    <mergeCell ref="E124:G124"/>
    <mergeCell ref="B125:D125"/>
    <mergeCell ref="E125:G125"/>
    <mergeCell ref="B120:D120"/>
    <mergeCell ref="E120:G120"/>
    <mergeCell ref="B121:D121"/>
    <mergeCell ref="E121:G121"/>
    <mergeCell ref="B122:D122"/>
    <mergeCell ref="E122:G122"/>
  </mergeCells>
  <phoneticPr fontId="2" type="noConversion"/>
  <conditionalFormatting sqref="E17:E126">
    <cfRule type="expression" dxfId="43" priority="16" stopIfTrue="1">
      <formula>ISERROR(MATCH($E17,IF(ISSTA=1,S6IOSTD_LIST,IOSTD_LIST),FALSE))</formula>
    </cfRule>
  </conditionalFormatting>
  <conditionalFormatting sqref="L11">
    <cfRule type="cellIs" dxfId="42" priority="5" stopIfTrue="1" operator="greaterThan">
      <formula>1</formula>
    </cfRule>
  </conditionalFormatting>
  <conditionalFormatting sqref="O12:T12">
    <cfRule type="expression" dxfId="41" priority="13" stopIfTrue="1">
      <formula>ISERROR(IO_POWER)</formula>
    </cfRule>
  </conditionalFormatting>
  <conditionalFormatting sqref="P17:P126">
    <cfRule type="cellIs" dxfId="40" priority="41" stopIfTrue="1" operator="greaterThan">
      <formula>1080</formula>
    </cfRule>
  </conditionalFormatting>
  <conditionalFormatting sqref="U17:X126 AD17:AD126">
    <cfRule type="cellIs" dxfId="39" priority="1" stopIfTrue="1" operator="lessThanOrEqual">
      <formula>0</formula>
    </cfRule>
  </conditionalFormatting>
  <conditionalFormatting sqref="Y17:AC126">
    <cfRule type="expression" dxfId="38" priority="2" stopIfTrue="1">
      <formula>AND(ISSTA=1,OR(NOT(LEFT($M17,4)="None"),NOT(LEFT($N17,4)="None")))</formula>
    </cfRule>
  </conditionalFormatting>
  <conditionalFormatting sqref="Z17:Z126">
    <cfRule type="expression" dxfId="37" priority="24" stopIfTrue="1">
      <formula>Y17="None"</formula>
    </cfRule>
    <cfRule type="expression" dxfId="36" priority="25" stopIfTrue="1">
      <formula>AND(Y17&lt;&gt;"None",Z17&lt;=0)</formula>
    </cfRule>
  </conditionalFormatting>
  <conditionalFormatting sqref="AB17:AB126">
    <cfRule type="expression" dxfId="35" priority="28" stopIfTrue="1">
      <formula>OR(AA17="None",AA17="Series")</formula>
    </cfRule>
    <cfRule type="expression" dxfId="34" priority="29" stopIfTrue="1">
      <formula>AND(OR(LEFT(AA17,3)="Par",RIGHT(AA17,2)="el"),AB17&lt;=0)</formula>
    </cfRule>
  </conditionalFormatting>
  <conditionalFormatting sqref="AC17:AC126">
    <cfRule type="expression" dxfId="33" priority="26" stopIfTrue="1">
      <formula>OR(AA17="None",LEFT(AA17,3)="Par")</formula>
    </cfRule>
    <cfRule type="expression" dxfId="32" priority="27" stopIfTrue="1">
      <formula>AND(LEFT(AA17,3)="Ser",AC17&lt;=0)</formula>
    </cfRule>
  </conditionalFormatting>
  <dataValidations count="17">
    <dataValidation type="list" allowBlank="1" showInputMessage="1" showErrorMessage="1" errorTitle="Invalid Output Termination" error="Use the drop down or enter a valid termination." sqref="AA17:AA126" xr:uid="{00000000-0002-0000-0300-000000000000}">
      <formula1>INDIRECT($BS17)</formula1>
    </dataValidation>
    <dataValidation type="list" allowBlank="1" showInputMessage="1" showErrorMessage="1" errorTitle="Invalid Input Termination" error="Use the drop down or enter a valid termination." sqref="Y17:Y126" xr:uid="{00000000-0002-0000-0300-000001000000}">
      <formula1>INDIRECT($BR17)</formula1>
    </dataValidation>
    <dataValidation type="list" allowBlank="1" showInputMessage="1" showErrorMessage="1" errorTitle="Invalid Input Termination" error="Use the drop-down list to select a valid input termination for the selected I/O standard." sqref="M17:M126" xr:uid="{00000000-0002-0000-0300-000002000000}">
      <formula1>IF(ISSTA=0,$AM$1,IF(OFFSET(IO_STANDARDS,$AE17,32)=1,$AM$1:$AM$4,IF(OFFSET(IO_STANDARDS,$AE17,32)=2,$AM$5:$AM$6,$AM$1)))</formula1>
    </dataValidation>
    <dataValidation type="list" showInputMessage="1" showErrorMessage="1" errorTitle="Invalid Output Termination" error="Use the drop-down list to select a valid output termination for the selected I/O standard." sqref="N17:N126" xr:uid="{00000000-0002-0000-0300-000003000000}">
      <formula1>IF(AND(ISSTA=1,OFFSET(IO_STANDARDS,$AE17,32)=1),$AN$1:$AN$4,$AN$1)</formula1>
    </dataValidation>
    <dataValidation type="decimal" allowBlank="1" showInputMessage="1" showErrorMessage="1" errorTitle="Invalid Rate Setting" error="Rate must be between 0% and 100%." sqref="S126 Q17:Q126" xr:uid="{00000000-0002-0000-0300-000004000000}">
      <formula1>0</formula1>
      <formula2>1</formula2>
    </dataValidation>
    <dataValidation type="whole" operator="greaterThanOrEqual" allowBlank="1" showInputMessage="1" showErrorMessage="1" errorTitle="Invalid Number of Bidir Pins" error="The number of Bidir Pins must be an integer greater than 0." sqref="L127 J17:J127" xr:uid="{00000000-0002-0000-0300-000005000000}">
      <formula1>0</formula1>
    </dataValidation>
    <dataValidation type="list" allowBlank="1" showInputMessage="1" showErrorMessage="1" errorTitle="Invalid Data Rate" error="Use the drop down list or enter a valid data rate. Allowed values are: SDR, DDR" sqref="R17:R126" xr:uid="{00000000-0002-0000-0300-000006000000}">
      <formula1>"SDR,DDR"</formula1>
    </dataValidation>
    <dataValidation type="decimal" operator="greaterThanOrEqual" allowBlank="1" showInputMessage="1" showErrorMessage="1" errorTitle="Invalid Clock Frequency" error="The clock frequency must be a decimal number greater than 0.0." sqref="P17:P126" xr:uid="{00000000-0002-0000-0300-000007000000}">
      <formula1>0</formula1>
    </dataValidation>
    <dataValidation type="whole" operator="greaterThanOrEqual" allowBlank="1" showInputMessage="1" showErrorMessage="1" errorTitle="Invalid Output Load" error="Output load must be an integer greater than or equal to 0." sqref="T17:T126" xr:uid="{00000000-0002-0000-0300-000008000000}">
      <formula1>0</formula1>
    </dataValidation>
    <dataValidation type="decimal" allowBlank="1" showInputMessage="1" showErrorMessage="1" errorTitle="Invalid Output Enable" error="Output enable must be between 0% and 100%." sqref="S17:S125" xr:uid="{00000000-0002-0000-0300-000009000000}">
      <formula1>0</formula1>
      <formula2>1</formula2>
    </dataValidation>
    <dataValidation type="list" operator="greaterThanOrEqual" allowBlank="1" showInputMessage="1" showErrorMessage="1" errorTitle="Invalid Suspend Mode" error="Use the drop down list to select a valid suspend mode setting for the selected I/O." sqref="O17:O126" xr:uid="{00000000-0002-0000-0300-00000A000000}">
      <formula1>IF(ISSTA=1,$AO$1:$AO$6,$AO$1:$AO$5)</formula1>
    </dataValidation>
    <dataValidation type="decimal" allowBlank="1" showInputMessage="1" showErrorMessage="1" errorTitle="Invalid Resistor Value" error="Resistor value must be between 5 and 200 ohms." sqref="AB17:AC126 Z17:Z126" xr:uid="{00000000-0002-0000-0300-00000B000000}">
      <formula1>5</formula1>
      <formula2>200</formula2>
    </dataValidation>
    <dataValidation type="list" allowBlank="1" showInputMessage="1" showErrorMessage="1" errorTitle="Invalid I/O LOGIC/SERDES" error="Use the drop down list or enter a valid I/O LOGIC/SERDES value." sqref="K17:K126" xr:uid="{00000000-0002-0000-0300-00000C000000}">
      <formula1>"No,Yes,DDR3"</formula1>
    </dataValidation>
    <dataValidation type="list" showInputMessage="1" showErrorMessage="1" errorTitle="Invalid I/O Delay" error="Use the drop down list or enter a valid value for I/O DELAY." sqref="L17:L126" xr:uid="{00000000-0002-0000-0300-00000D000000}">
      <formula1>"Off,On"</formula1>
    </dataValidation>
    <dataValidation type="whole" operator="greaterThanOrEqual" allowBlank="1" showInputMessage="1" showErrorMessage="1" errorTitle="Invalid Number of Input Pins" error="The number of Input Pins must be an integer greater than 0." sqref="H17:H127" xr:uid="{00000000-0002-0000-0300-00000E000000}">
      <formula1>0</formula1>
    </dataValidation>
    <dataValidation type="whole" operator="greaterThanOrEqual" allowBlank="1" showInputMessage="1" showErrorMessage="1" errorTitle="Invalid Number of Output Pins" error="The number of Output Pins must be an integer greater than 0." sqref="I17:I127" xr:uid="{00000000-0002-0000-0300-00000F000000}">
      <formula1>0</formula1>
    </dataValidation>
    <dataValidation type="list" allowBlank="1" showInputMessage="1" showErrorMessage="1" sqref="E17:F126" xr:uid="{00000000-0002-0000-0300-000010000000}">
      <formula1>IF(ISSTA=1,S6IOSTD_LIST,IOSTD_LIST)</formula1>
    </dataValidation>
  </dataValidations>
  <hyperlinks>
    <hyperlink ref="R161" r:id="rId1" xr:uid="{00000000-0004-0000-0300-000000000000}"/>
    <hyperlink ref="W161" r:id="rId2" xr:uid="{00000000-0004-0000-0300-000001000000}"/>
  </hyperlinks>
  <pageMargins left="0.75" right="0.75" top="1" bottom="1" header="0.5" footer="0.5"/>
  <pageSetup orientation="portrait" horizontalDpi="300" verticalDpi="300" r:id="rId3"/>
  <headerFooter alignWithMargins="0"/>
  <drawing r:id="rId4"/>
  <legacyDrawing r:id="rId5"/>
  <controls>
    <mc:AlternateContent xmlns:mc="http://schemas.openxmlformats.org/markup-compatibility/2006">
      <mc:Choice Requires="x14">
        <control shapeId="34817" r:id="rId6" name="Summary">
          <controlPr defaultSize="0" autoLine="0" r:id="rId7">
            <anchor moveWithCells="1">
              <from>
                <xdr:col>1</xdr:col>
                <xdr:colOff>38100</xdr:colOff>
                <xdr:row>0</xdr:row>
                <xdr:rowOff>53340</xdr:rowOff>
              </from>
              <to>
                <xdr:col>2</xdr:col>
                <xdr:colOff>556260</xdr:colOff>
                <xdr:row>0</xdr:row>
                <xdr:rowOff>327660</xdr:rowOff>
              </to>
            </anchor>
          </controlPr>
        </control>
      </mc:Choice>
      <mc:Fallback>
        <control shapeId="34817" r:id="rId6" name="Summary"/>
      </mc:Fallback>
    </mc:AlternateContent>
    <mc:AlternateContent xmlns:mc="http://schemas.openxmlformats.org/markup-compatibility/2006">
      <mc:Choice Requires="x14">
        <control shapeId="35178" r:id="rId8" name="TerminationCheckBox">
          <controlPr defaultSize="0" autoLine="0" r:id="rId9">
            <anchor moveWithCells="1">
              <from>
                <xdr:col>0</xdr:col>
                <xdr:colOff>175260</xdr:colOff>
                <xdr:row>11</xdr:row>
                <xdr:rowOff>175260</xdr:rowOff>
              </from>
              <to>
                <xdr:col>4</xdr:col>
                <xdr:colOff>586740</xdr:colOff>
                <xdr:row>12</xdr:row>
                <xdr:rowOff>198120</xdr:rowOff>
              </to>
            </anchor>
          </controlPr>
        </control>
      </mc:Choice>
      <mc:Fallback>
        <control shapeId="35178" r:id="rId8" name="TerminationCheckBox"/>
      </mc:Fallback>
    </mc:AlternateContent>
    <mc:AlternateContent xmlns:mc="http://schemas.openxmlformats.org/markup-compatibility/2006">
      <mc:Choice Requires="x14">
        <control shapeId="35205" r:id="rId10" name="Add">
          <controlPr defaultSize="0" autoLine="0" r:id="rId11">
            <anchor moveWithCells="1">
              <from>
                <xdr:col>1</xdr:col>
                <xdr:colOff>68580</xdr:colOff>
                <xdr:row>126</xdr:row>
                <xdr:rowOff>76200</xdr:rowOff>
              </from>
              <to>
                <xdr:col>2</xdr:col>
                <xdr:colOff>327660</xdr:colOff>
                <xdr:row>127</xdr:row>
                <xdr:rowOff>129540</xdr:rowOff>
              </to>
            </anchor>
          </controlPr>
        </control>
      </mc:Choice>
      <mc:Fallback>
        <control shapeId="35205" r:id="rId10" name="Add"/>
      </mc:Fallback>
    </mc:AlternateContent>
    <mc:AlternateContent xmlns:mc="http://schemas.openxmlformats.org/markup-compatibility/2006">
      <mc:Choice Requires="x14">
        <control shapeId="35206" r:id="rId12" name="Del">
          <controlPr defaultSize="0" autoLine="0" r:id="rId13">
            <anchor moveWithCells="1">
              <from>
                <xdr:col>2</xdr:col>
                <xdr:colOff>350520</xdr:colOff>
                <xdr:row>126</xdr:row>
                <xdr:rowOff>76200</xdr:rowOff>
              </from>
              <to>
                <xdr:col>3</xdr:col>
                <xdr:colOff>586740</xdr:colOff>
                <xdr:row>127</xdr:row>
                <xdr:rowOff>129540</xdr:rowOff>
              </to>
            </anchor>
          </controlPr>
        </control>
      </mc:Choice>
      <mc:Fallback>
        <control shapeId="35206" r:id="rId12" name="Del"/>
      </mc:Fallback>
    </mc:AlternateContent>
  </control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
  <dimension ref="A1:AF123"/>
  <sheetViews>
    <sheetView workbookViewId="0">
      <selection activeCell="B9" sqref="B9:D9"/>
    </sheetView>
  </sheetViews>
  <sheetFormatPr baseColWidth="10" defaultColWidth="9" defaultRowHeight="13.2" x14ac:dyDescent="0.25"/>
  <cols>
    <col min="1" max="1" width="2.77734375" customWidth="1"/>
    <col min="2" max="4" width="10" customWidth="1"/>
    <col min="5" max="5" width="8.77734375" customWidth="1"/>
    <col min="6" max="6" width="13.33203125" customWidth="1"/>
    <col min="7" max="10" width="8.77734375" customWidth="1"/>
    <col min="11" max="11" width="13.109375" customWidth="1"/>
    <col min="12" max="12" width="8.109375" customWidth="1"/>
    <col min="13" max="15" width="8.77734375" customWidth="1"/>
    <col min="16" max="16" width="12.77734375" customWidth="1"/>
    <col min="17" max="17" width="8.109375" customWidth="1"/>
    <col min="18" max="19" width="8.77734375" customWidth="1"/>
    <col min="20" max="20" width="6.21875" customWidth="1"/>
    <col min="21" max="24" width="8.77734375" customWidth="1"/>
    <col min="25" max="25" width="9.88671875" customWidth="1"/>
  </cols>
  <sheetData>
    <row r="1" spans="1:32" ht="27.9" customHeight="1" x14ac:dyDescent="0.25">
      <c r="A1" s="162"/>
      <c r="B1" s="687" t="s">
        <v>42</v>
      </c>
      <c r="C1" s="687"/>
      <c r="D1" s="687"/>
      <c r="E1" s="687"/>
      <c r="F1" s="687"/>
      <c r="G1" s="687"/>
      <c r="H1" s="687"/>
      <c r="I1" s="687"/>
      <c r="J1" s="687"/>
      <c r="K1" s="687"/>
      <c r="L1" s="687"/>
      <c r="M1" s="687"/>
      <c r="N1" s="687"/>
      <c r="O1" s="687"/>
      <c r="P1" s="687"/>
      <c r="Q1" s="687"/>
      <c r="R1" s="687"/>
      <c r="S1" s="687"/>
      <c r="T1" s="136"/>
      <c r="U1" s="136"/>
      <c r="V1" s="136"/>
      <c r="W1" s="136"/>
      <c r="X1" s="136"/>
      <c r="Y1" s="136"/>
      <c r="Z1" s="136"/>
      <c r="AA1" s="136"/>
      <c r="AB1" s="136"/>
      <c r="AC1" s="136"/>
      <c r="AD1" s="127"/>
      <c r="AE1" s="127"/>
      <c r="AF1" s="127"/>
    </row>
    <row r="2" spans="1:32" ht="12.75" customHeight="1" thickBot="1" x14ac:dyDescent="0.3">
      <c r="A2" s="125"/>
      <c r="B2" s="125"/>
      <c r="C2" s="125"/>
      <c r="D2" s="125"/>
      <c r="E2" s="125"/>
      <c r="F2" s="125"/>
      <c r="G2" s="125"/>
      <c r="H2" s="125"/>
      <c r="I2" s="125"/>
      <c r="J2" s="125"/>
      <c r="K2" s="125"/>
      <c r="L2" s="125"/>
      <c r="M2" s="125"/>
      <c r="N2" s="125"/>
      <c r="O2" s="125"/>
      <c r="P2" s="125"/>
      <c r="Q2" s="125"/>
      <c r="R2" s="125"/>
      <c r="S2" s="125"/>
      <c r="T2" s="127"/>
      <c r="U2" s="127"/>
      <c r="V2" s="127"/>
      <c r="W2" s="127"/>
      <c r="X2" s="127"/>
      <c r="Y2" s="127"/>
      <c r="Z2" s="127"/>
      <c r="AA2" s="127"/>
      <c r="AB2" s="127"/>
      <c r="AC2" s="127"/>
      <c r="AD2" s="127"/>
      <c r="AE2" s="127"/>
      <c r="AF2" s="127"/>
    </row>
    <row r="3" spans="1:32" ht="18" customHeight="1" x14ac:dyDescent="0.25">
      <c r="A3" s="125"/>
      <c r="B3" s="715" t="s">
        <v>1115</v>
      </c>
      <c r="C3" s="716"/>
      <c r="D3" s="717"/>
      <c r="E3" s="127"/>
      <c r="F3" s="127"/>
      <c r="G3" s="863" t="s">
        <v>140</v>
      </c>
      <c r="H3" s="864"/>
      <c r="I3" s="864"/>
      <c r="J3" s="865"/>
      <c r="K3" s="127"/>
      <c r="L3" s="127"/>
      <c r="M3" s="127"/>
      <c r="N3" s="127"/>
      <c r="O3" s="127"/>
      <c r="P3" s="127"/>
      <c r="Q3" s="125"/>
      <c r="R3" s="125"/>
      <c r="S3" s="125"/>
      <c r="T3" s="127"/>
      <c r="U3" s="127"/>
      <c r="V3" s="127"/>
      <c r="W3" s="127"/>
      <c r="X3" s="127"/>
      <c r="Y3" s="127"/>
      <c r="Z3" s="127"/>
      <c r="AA3" s="127"/>
      <c r="AB3" s="127"/>
      <c r="AC3" s="127"/>
      <c r="AD3" s="127"/>
      <c r="AE3" s="127"/>
      <c r="AF3" s="127"/>
    </row>
    <row r="4" spans="1:32" ht="18" customHeight="1" thickBot="1" x14ac:dyDescent="0.3">
      <c r="A4" s="125"/>
      <c r="B4" s="407" t="s">
        <v>1217</v>
      </c>
      <c r="C4" s="523">
        <f>VCCINT</f>
        <v>1.2</v>
      </c>
      <c r="D4" s="117">
        <f ca="1">SUM(S9:S50)</f>
        <v>0</v>
      </c>
      <c r="E4" s="127"/>
      <c r="F4" s="127"/>
      <c r="G4" s="859" t="str">
        <f>IF(ISSTA=1,"  RAMB9","  BRAM")</f>
        <v xml:space="preserve">  RAMB9</v>
      </c>
      <c r="H4" s="860"/>
      <c r="I4" s="118">
        <f t="array" ref="I4">SUM(IF((ISSTA=0)+((ISSTA=1)*(LEFT($F9:$F50,5)="RAMB9")),$E9:$E50))</f>
        <v>0</v>
      </c>
      <c r="J4" s="393">
        <f>I4/(IF(ISSTA=1,NUM_BRAMS * 2,NUM_BRAMS))</f>
        <v>0</v>
      </c>
      <c r="K4" s="136">
        <f>IF(ISSTA=1,I5+(I4+IF(ISODD(I4),1,0))/2,I4)</f>
        <v>0</v>
      </c>
      <c r="L4" s="127"/>
      <c r="M4" s="127"/>
      <c r="N4" s="127"/>
      <c r="O4" s="127"/>
      <c r="P4" s="127"/>
      <c r="Q4" s="125"/>
      <c r="R4" s="125"/>
      <c r="S4" s="125"/>
      <c r="T4" s="127"/>
      <c r="U4" s="127"/>
      <c r="V4" s="127"/>
      <c r="W4" s="127"/>
      <c r="X4" s="127"/>
      <c r="Y4" s="127"/>
      <c r="Z4" s="127"/>
      <c r="AA4" s="127"/>
      <c r="AB4" s="127"/>
      <c r="AC4" s="127"/>
      <c r="AD4" s="127"/>
      <c r="AE4" s="127"/>
      <c r="AF4" s="127"/>
    </row>
    <row r="5" spans="1:32" ht="18" customHeight="1" thickBot="1" x14ac:dyDescent="0.3">
      <c r="A5" s="125"/>
      <c r="B5" s="718" t="str">
        <f ca="1">TEXT(IF(TOTAL_POWER&gt;0,BRAM_POWER/TOTAL_POWER,0),"0%")&amp;" of total on-chip power "&amp;TEXT(TOTAL_POWER,"#.###")&amp;"W"</f>
        <v>0% of total on-chip power .488W</v>
      </c>
      <c r="C5" s="719"/>
      <c r="D5" s="720"/>
      <c r="E5" s="127"/>
      <c r="F5" s="127"/>
      <c r="G5" s="861" t="s">
        <v>1125</v>
      </c>
      <c r="H5" s="862"/>
      <c r="I5" s="198">
        <f t="array" ref="I5">SUM(IF((ISSTA=1)*(LEFT($F9:$F50,6)="RAMB18"),$E9:$E50))</f>
        <v>0</v>
      </c>
      <c r="J5" s="403">
        <f>I5/NUM_BRAMS</f>
        <v>0</v>
      </c>
      <c r="K5" s="136"/>
      <c r="L5" s="127"/>
      <c r="M5" s="127"/>
      <c r="N5" s="127"/>
      <c r="O5" s="127"/>
      <c r="P5" s="127"/>
      <c r="Q5" s="125"/>
      <c r="R5" s="125"/>
      <c r="S5" s="125"/>
      <c r="T5" s="127"/>
      <c r="U5" s="127"/>
      <c r="V5" s="127"/>
      <c r="W5" s="127"/>
      <c r="X5" s="127"/>
      <c r="Y5" s="127"/>
      <c r="Z5" s="127"/>
      <c r="AA5" s="127"/>
      <c r="AB5" s="127"/>
      <c r="AC5" s="127"/>
      <c r="AD5" s="127"/>
      <c r="AE5" s="127"/>
      <c r="AF5" s="127"/>
    </row>
    <row r="6" spans="1:32" ht="15" customHeight="1" thickBot="1" x14ac:dyDescent="0.3">
      <c r="A6" s="125"/>
      <c r="B6" s="125"/>
      <c r="C6" s="125"/>
      <c r="D6" s="152" t="str">
        <f>POWERMODE</f>
        <v>Active</v>
      </c>
      <c r="E6" s="125"/>
      <c r="F6" s="125"/>
      <c r="G6" s="125"/>
      <c r="H6" s="125"/>
      <c r="I6" s="125"/>
      <c r="J6" s="125"/>
      <c r="K6" s="125"/>
      <c r="L6" s="125"/>
      <c r="M6" s="125"/>
      <c r="N6" s="125"/>
      <c r="O6" s="125"/>
      <c r="P6" s="125"/>
      <c r="Q6" s="125"/>
      <c r="R6" s="125"/>
      <c r="S6" s="125"/>
      <c r="T6" s="127"/>
      <c r="U6" s="127"/>
      <c r="V6" s="127"/>
      <c r="W6" s="127"/>
      <c r="X6" s="127"/>
      <c r="Y6" s="127"/>
      <c r="Z6" s="127"/>
      <c r="AA6" s="127"/>
      <c r="AB6" s="127"/>
      <c r="AC6" s="127"/>
      <c r="AD6" s="127"/>
      <c r="AE6" s="127"/>
      <c r="AF6" s="127"/>
    </row>
    <row r="7" spans="1:32" ht="15" customHeight="1" x14ac:dyDescent="0.25">
      <c r="A7" s="131"/>
      <c r="B7" s="131"/>
      <c r="C7" s="131"/>
      <c r="D7" s="131"/>
      <c r="E7" s="133"/>
      <c r="F7" s="133"/>
      <c r="G7" s="133"/>
      <c r="H7" s="869" t="s">
        <v>316</v>
      </c>
      <c r="I7" s="867"/>
      <c r="J7" s="867"/>
      <c r="K7" s="867"/>
      <c r="L7" s="870"/>
      <c r="M7" s="866" t="s">
        <v>315</v>
      </c>
      <c r="N7" s="867"/>
      <c r="O7" s="867"/>
      <c r="P7" s="867"/>
      <c r="Q7" s="868"/>
      <c r="R7" s="136"/>
      <c r="S7" s="136"/>
      <c r="T7" s="136"/>
      <c r="U7" s="136"/>
      <c r="V7" s="127"/>
      <c r="W7" s="136"/>
      <c r="X7" s="127"/>
      <c r="Y7" s="127"/>
      <c r="Z7" s="127"/>
      <c r="AA7" s="127"/>
      <c r="AB7" s="127"/>
      <c r="AC7" s="136"/>
      <c r="AD7" s="136"/>
      <c r="AE7" s="127"/>
      <c r="AF7" s="127"/>
    </row>
    <row r="8" spans="1:32" ht="43.5" customHeight="1" thickBot="1" x14ac:dyDescent="0.3">
      <c r="A8" s="131"/>
      <c r="B8" s="871" t="s">
        <v>41</v>
      </c>
      <c r="C8" s="872"/>
      <c r="D8" s="872"/>
      <c r="E8" s="416" t="s">
        <v>35</v>
      </c>
      <c r="F8" s="416" t="s">
        <v>105</v>
      </c>
      <c r="G8" s="416" t="s">
        <v>20</v>
      </c>
      <c r="H8" s="417" t="s">
        <v>19</v>
      </c>
      <c r="I8" s="417" t="s">
        <v>45</v>
      </c>
      <c r="J8" s="417" t="s">
        <v>73</v>
      </c>
      <c r="K8" s="417" t="s">
        <v>540</v>
      </c>
      <c r="L8" s="419" t="s">
        <v>15</v>
      </c>
      <c r="M8" s="420" t="s">
        <v>19</v>
      </c>
      <c r="N8" s="417" t="s">
        <v>45</v>
      </c>
      <c r="O8" s="417" t="s">
        <v>73</v>
      </c>
      <c r="P8" s="417" t="s">
        <v>540</v>
      </c>
      <c r="Q8" s="417" t="s">
        <v>15</v>
      </c>
      <c r="R8" s="545" t="s">
        <v>1307</v>
      </c>
      <c r="S8" s="418" t="s">
        <v>17</v>
      </c>
      <c r="T8" s="136"/>
      <c r="U8" s="136" t="s">
        <v>139</v>
      </c>
      <c r="V8" s="136" t="s">
        <v>538</v>
      </c>
      <c r="W8" s="136" t="s">
        <v>539</v>
      </c>
      <c r="X8" s="136" t="s">
        <v>422</v>
      </c>
      <c r="Y8" s="136" t="s">
        <v>423</v>
      </c>
      <c r="Z8" s="136" t="s">
        <v>424</v>
      </c>
      <c r="AA8" s="312"/>
      <c r="AB8" s="127"/>
      <c r="AC8" s="127"/>
      <c r="AD8" s="127" t="s">
        <v>1064</v>
      </c>
      <c r="AE8" s="136"/>
      <c r="AF8" s="136"/>
    </row>
    <row r="9" spans="1:32" ht="12.75" customHeight="1" x14ac:dyDescent="0.25">
      <c r="A9" s="131"/>
      <c r="B9" s="873"/>
      <c r="C9" s="874"/>
      <c r="D9" s="874"/>
      <c r="E9" s="10">
        <v>0</v>
      </c>
      <c r="F9" s="10" t="s">
        <v>537</v>
      </c>
      <c r="G9" s="13">
        <v>0.5</v>
      </c>
      <c r="H9" s="11">
        <v>0</v>
      </c>
      <c r="I9" s="13">
        <v>0.25</v>
      </c>
      <c r="J9" s="10">
        <v>1</v>
      </c>
      <c r="K9" s="10" t="s">
        <v>541</v>
      </c>
      <c r="L9" s="353">
        <v>0.5</v>
      </c>
      <c r="M9" s="11">
        <v>0</v>
      </c>
      <c r="N9" s="13">
        <v>0.25</v>
      </c>
      <c r="O9" s="10">
        <v>1</v>
      </c>
      <c r="P9" s="10" t="s">
        <v>541</v>
      </c>
      <c r="Q9" s="13">
        <v>0.5</v>
      </c>
      <c r="R9" s="546">
        <f ca="1">IF(S9&lt;=0,0,(IF($Y9&gt;0,$O9+8,0)*$M9*$N9+IF($X9&gt;0,$J9+8,0)*$H9*$I9)*$G9/(IF($Y9&gt;0,$O9+8,0)+IF($X9&gt;0,$J9+8,0)))</f>
        <v>0</v>
      </c>
      <c r="S9" s="149">
        <f t="shared" ref="S9:S50" ca="1" si="0">($X9+$Y9+$Z9)*IF(ISSTA=1,OFFSET(OPTIMIZATION,0,3),1)</f>
        <v>0</v>
      </c>
      <c r="T9" s="173"/>
      <c r="U9" s="136">
        <f t="shared" ref="U9:U50" si="1">IF(AND(ISSTA=1,$F9="RAMB9"),INT(($E9+1)/2),$E9)</f>
        <v>0</v>
      </c>
      <c r="V9" s="136">
        <f t="shared" ref="V9:V50" si="2">MATCH(IF(ISSTA=1,$F9,"RAMB16") &amp; $K9,BRAM_MODE_LIST,FALSE)</f>
        <v>9</v>
      </c>
      <c r="W9" s="136">
        <f t="shared" ref="W9:W50" si="3">MATCH(IF(ISSTA=1,$F9,"RAMB16") &amp; $P9,BRAM_MODE_LIST,FALSE)</f>
        <v>9</v>
      </c>
      <c r="X9" s="136">
        <f t="shared" ref="X9:X50" ca="1" si="4">IF($J9=0,0,$AD9*(VCCINT/1000)*VCCINT_N*$E9*(($H9*$I9*((1-$L9)*OFFSET(BRAM_TABLE,MATCH($J9,BRAM_WIDTH_LIST,FALSE),$V9) + $L9*OFFSET(BRAM_TABLE,MATCH($J9,BRAM_WIDTH_LIST,FALSE),$V9+1)))))</f>
        <v>0</v>
      </c>
      <c r="Y9" s="136">
        <f t="shared" ref="Y9:Y50" ca="1" si="5">IF(O9=0,0,$AD9*(VCCINT/1000)*VCCINT_N*$E9*(($M9*$N9*((1-$Q9)*OFFSET(BRAM_TABLE,MATCH($O9,BRAM_WIDTH_LIST,FALSE),$V9) + $Q9*OFFSET(BRAM_TABLE,MATCH($O9,BRAM_WIDTH_LIST,FALSE),$V9+1)))))</f>
        <v>0</v>
      </c>
      <c r="Z9" s="136">
        <f t="shared" ref="Z9:Z50" si="6">(VCCINT/1000)*VCCINT_N*(((IF($J9&gt;0,$J9+8,0))*$H9*$I9+(IF($O9&gt;0,$O9+8,0))*$M9*$N9)*$E9*$G9*(0.000305) + $E9*(IF(AND($H9&gt;0,$J9&gt;0),MIN(12.5/($H9+1),0.125),0) + IF(AND($M9&gt;0,$O9&gt;0),MIN(12.5/($M9+1),0.125),0)))</f>
        <v>0</v>
      </c>
      <c r="AA9" s="127"/>
      <c r="AB9" s="127"/>
      <c r="AC9" s="127"/>
      <c r="AD9" s="127">
        <f t="shared" ref="AD9:AD50" si="7">IF(ISSTA,($G9*0.825 + 0.54),MIN((0.33*LN($G9+1) + 0.88),0.95))</f>
        <v>0.95250000000000001</v>
      </c>
      <c r="AE9" s="136"/>
      <c r="AF9" s="136"/>
    </row>
    <row r="10" spans="1:32" s="1" customFormat="1" ht="12.75" customHeight="1" x14ac:dyDescent="0.25">
      <c r="A10" s="131"/>
      <c r="B10" s="677"/>
      <c r="C10" s="678"/>
      <c r="D10" s="678"/>
      <c r="E10" s="10">
        <v>0</v>
      </c>
      <c r="F10" s="10" t="s">
        <v>537</v>
      </c>
      <c r="G10" s="13">
        <v>0.5</v>
      </c>
      <c r="H10" s="11">
        <v>0</v>
      </c>
      <c r="I10" s="13">
        <v>0.25</v>
      </c>
      <c r="J10" s="10">
        <v>1</v>
      </c>
      <c r="K10" s="10" t="s">
        <v>541</v>
      </c>
      <c r="L10" s="354">
        <v>0.5</v>
      </c>
      <c r="M10" s="11">
        <v>0</v>
      </c>
      <c r="N10" s="13">
        <v>0.25</v>
      </c>
      <c r="O10" s="10">
        <v>1</v>
      </c>
      <c r="P10" s="10" t="s">
        <v>541</v>
      </c>
      <c r="Q10" s="13">
        <v>0.5</v>
      </c>
      <c r="R10" s="546">
        <f t="shared" ref="R10:R50" ca="1" si="8">IF(S10&lt;=0,0,(IF($Y10&gt;0,$O10+8,0)*$M10*$N10+IF($X10&gt;0,$J10+8,0)*$H10*$I10)*$G10/(IF($Y10&gt;0,$O10+8,0)+IF($X10&gt;0,$J10+8,0)))</f>
        <v>0</v>
      </c>
      <c r="S10" s="147">
        <f t="shared" ca="1" si="0"/>
        <v>0</v>
      </c>
      <c r="T10" s="173"/>
      <c r="U10" s="136">
        <f t="shared" si="1"/>
        <v>0</v>
      </c>
      <c r="V10" s="136">
        <f t="shared" si="2"/>
        <v>9</v>
      </c>
      <c r="W10" s="136">
        <f t="shared" si="3"/>
        <v>9</v>
      </c>
      <c r="X10" s="136">
        <f t="shared" ca="1" si="4"/>
        <v>0</v>
      </c>
      <c r="Y10" s="136">
        <f t="shared" ca="1" si="5"/>
        <v>0</v>
      </c>
      <c r="Z10" s="136">
        <f t="shared" si="6"/>
        <v>0</v>
      </c>
      <c r="AA10" s="127"/>
      <c r="AB10" s="127"/>
      <c r="AC10" s="127"/>
      <c r="AD10" s="127">
        <f t="shared" si="7"/>
        <v>0.95250000000000001</v>
      </c>
      <c r="AE10" s="136"/>
      <c r="AF10" s="136"/>
    </row>
    <row r="11" spans="1:32" x14ac:dyDescent="0.25">
      <c r="A11" s="131"/>
      <c r="B11" s="677"/>
      <c r="C11" s="678"/>
      <c r="D11" s="678"/>
      <c r="E11" s="10">
        <v>0</v>
      </c>
      <c r="F11" s="10" t="s">
        <v>537</v>
      </c>
      <c r="G11" s="13">
        <v>0.5</v>
      </c>
      <c r="H11" s="11">
        <v>0</v>
      </c>
      <c r="I11" s="13">
        <v>0.25</v>
      </c>
      <c r="J11" s="10">
        <v>1</v>
      </c>
      <c r="K11" s="10" t="s">
        <v>541</v>
      </c>
      <c r="L11" s="354">
        <v>0.5</v>
      </c>
      <c r="M11" s="11">
        <v>0</v>
      </c>
      <c r="N11" s="13">
        <v>0.25</v>
      </c>
      <c r="O11" s="10">
        <v>1</v>
      </c>
      <c r="P11" s="10" t="s">
        <v>541</v>
      </c>
      <c r="Q11" s="13">
        <v>0.5</v>
      </c>
      <c r="R11" s="546">
        <f t="shared" ca="1" si="8"/>
        <v>0</v>
      </c>
      <c r="S11" s="147">
        <f t="shared" ca="1" si="0"/>
        <v>0</v>
      </c>
      <c r="T11" s="173"/>
      <c r="U11" s="136">
        <f t="shared" si="1"/>
        <v>0</v>
      </c>
      <c r="V11" s="136">
        <f t="shared" si="2"/>
        <v>9</v>
      </c>
      <c r="W11" s="136">
        <f t="shared" si="3"/>
        <v>9</v>
      </c>
      <c r="X11" s="136">
        <f t="shared" ca="1" si="4"/>
        <v>0</v>
      </c>
      <c r="Y11" s="136">
        <f t="shared" ca="1" si="5"/>
        <v>0</v>
      </c>
      <c r="Z11" s="136">
        <f t="shared" si="6"/>
        <v>0</v>
      </c>
      <c r="AA11" s="127"/>
      <c r="AB11" s="127"/>
      <c r="AC11" s="127"/>
      <c r="AD11" s="127">
        <f t="shared" si="7"/>
        <v>0.95250000000000001</v>
      </c>
      <c r="AE11" s="136"/>
      <c r="AF11" s="136"/>
    </row>
    <row r="12" spans="1:32" x14ac:dyDescent="0.25">
      <c r="A12" s="131"/>
      <c r="B12" s="677"/>
      <c r="C12" s="678"/>
      <c r="D12" s="678"/>
      <c r="E12" s="10">
        <v>0</v>
      </c>
      <c r="F12" s="10" t="s">
        <v>537</v>
      </c>
      <c r="G12" s="13">
        <v>0.5</v>
      </c>
      <c r="H12" s="11">
        <v>0</v>
      </c>
      <c r="I12" s="13">
        <v>0.25</v>
      </c>
      <c r="J12" s="10">
        <v>1</v>
      </c>
      <c r="K12" s="10" t="s">
        <v>541</v>
      </c>
      <c r="L12" s="354">
        <v>0.5</v>
      </c>
      <c r="M12" s="11">
        <v>0</v>
      </c>
      <c r="N12" s="13">
        <v>0.25</v>
      </c>
      <c r="O12" s="10">
        <v>1</v>
      </c>
      <c r="P12" s="10" t="s">
        <v>541</v>
      </c>
      <c r="Q12" s="13">
        <v>0.5</v>
      </c>
      <c r="R12" s="546">
        <f t="shared" ca="1" si="8"/>
        <v>0</v>
      </c>
      <c r="S12" s="147">
        <f t="shared" ca="1" si="0"/>
        <v>0</v>
      </c>
      <c r="T12" s="173"/>
      <c r="U12" s="136">
        <f t="shared" si="1"/>
        <v>0</v>
      </c>
      <c r="V12" s="136">
        <f t="shared" si="2"/>
        <v>9</v>
      </c>
      <c r="W12" s="136">
        <f t="shared" si="3"/>
        <v>9</v>
      </c>
      <c r="X12" s="136">
        <f t="shared" ca="1" si="4"/>
        <v>0</v>
      </c>
      <c r="Y12" s="136">
        <f t="shared" ca="1" si="5"/>
        <v>0</v>
      </c>
      <c r="Z12" s="136">
        <f t="shared" si="6"/>
        <v>0</v>
      </c>
      <c r="AA12" s="127"/>
      <c r="AB12" s="127"/>
      <c r="AC12" s="127"/>
      <c r="AD12" s="127">
        <f t="shared" si="7"/>
        <v>0.95250000000000001</v>
      </c>
      <c r="AE12" s="136"/>
      <c r="AF12" s="136"/>
    </row>
    <row r="13" spans="1:32" x14ac:dyDescent="0.25">
      <c r="A13" s="131"/>
      <c r="B13" s="677"/>
      <c r="C13" s="678"/>
      <c r="D13" s="678"/>
      <c r="E13" s="10">
        <v>0</v>
      </c>
      <c r="F13" s="10" t="s">
        <v>537</v>
      </c>
      <c r="G13" s="13">
        <v>0.5</v>
      </c>
      <c r="H13" s="11">
        <v>0</v>
      </c>
      <c r="I13" s="13">
        <v>0.25</v>
      </c>
      <c r="J13" s="10">
        <v>1</v>
      </c>
      <c r="K13" s="10" t="s">
        <v>541</v>
      </c>
      <c r="L13" s="354">
        <v>0.5</v>
      </c>
      <c r="M13" s="11">
        <v>0</v>
      </c>
      <c r="N13" s="13">
        <v>0.25</v>
      </c>
      <c r="O13" s="10">
        <v>1</v>
      </c>
      <c r="P13" s="10" t="s">
        <v>541</v>
      </c>
      <c r="Q13" s="13">
        <v>0.5</v>
      </c>
      <c r="R13" s="546">
        <f t="shared" ca="1" si="8"/>
        <v>0</v>
      </c>
      <c r="S13" s="147">
        <f t="shared" ca="1" si="0"/>
        <v>0</v>
      </c>
      <c r="T13" s="173"/>
      <c r="U13" s="136">
        <f t="shared" si="1"/>
        <v>0</v>
      </c>
      <c r="V13" s="136">
        <f t="shared" si="2"/>
        <v>9</v>
      </c>
      <c r="W13" s="136">
        <f t="shared" si="3"/>
        <v>9</v>
      </c>
      <c r="X13" s="136">
        <f t="shared" ca="1" si="4"/>
        <v>0</v>
      </c>
      <c r="Y13" s="136">
        <f t="shared" ca="1" si="5"/>
        <v>0</v>
      </c>
      <c r="Z13" s="136">
        <f t="shared" si="6"/>
        <v>0</v>
      </c>
      <c r="AA13" s="127"/>
      <c r="AB13" s="127"/>
      <c r="AC13" s="127"/>
      <c r="AD13" s="127">
        <f t="shared" si="7"/>
        <v>0.95250000000000001</v>
      </c>
      <c r="AE13" s="136"/>
      <c r="AF13" s="136"/>
    </row>
    <row r="14" spans="1:32" x14ac:dyDescent="0.25">
      <c r="A14" s="131"/>
      <c r="B14" s="677"/>
      <c r="C14" s="678"/>
      <c r="D14" s="678"/>
      <c r="E14" s="10">
        <v>0</v>
      </c>
      <c r="F14" s="10" t="s">
        <v>537</v>
      </c>
      <c r="G14" s="13">
        <v>0.5</v>
      </c>
      <c r="H14" s="11">
        <v>0</v>
      </c>
      <c r="I14" s="13">
        <v>0.25</v>
      </c>
      <c r="J14" s="10">
        <v>1</v>
      </c>
      <c r="K14" s="10" t="s">
        <v>541</v>
      </c>
      <c r="L14" s="354">
        <v>0.5</v>
      </c>
      <c r="M14" s="11">
        <v>0</v>
      </c>
      <c r="N14" s="13">
        <v>0.25</v>
      </c>
      <c r="O14" s="10">
        <v>1</v>
      </c>
      <c r="P14" s="10" t="s">
        <v>541</v>
      </c>
      <c r="Q14" s="13">
        <v>0.5</v>
      </c>
      <c r="R14" s="546">
        <f t="shared" ca="1" si="8"/>
        <v>0</v>
      </c>
      <c r="S14" s="147">
        <f t="shared" ca="1" si="0"/>
        <v>0</v>
      </c>
      <c r="T14" s="173"/>
      <c r="U14" s="136">
        <f t="shared" si="1"/>
        <v>0</v>
      </c>
      <c r="V14" s="136">
        <f t="shared" si="2"/>
        <v>9</v>
      </c>
      <c r="W14" s="136">
        <f t="shared" si="3"/>
        <v>9</v>
      </c>
      <c r="X14" s="136">
        <f t="shared" ca="1" si="4"/>
        <v>0</v>
      </c>
      <c r="Y14" s="136">
        <f t="shared" ca="1" si="5"/>
        <v>0</v>
      </c>
      <c r="Z14" s="136">
        <f t="shared" si="6"/>
        <v>0</v>
      </c>
      <c r="AA14" s="127"/>
      <c r="AB14" s="127"/>
      <c r="AC14" s="127"/>
      <c r="AD14" s="127">
        <f t="shared" si="7"/>
        <v>0.95250000000000001</v>
      </c>
      <c r="AE14" s="136"/>
      <c r="AF14" s="136"/>
    </row>
    <row r="15" spans="1:32" x14ac:dyDescent="0.25">
      <c r="A15" s="131"/>
      <c r="B15" s="677"/>
      <c r="C15" s="678"/>
      <c r="D15" s="678"/>
      <c r="E15" s="10">
        <v>0</v>
      </c>
      <c r="F15" s="10" t="s">
        <v>537</v>
      </c>
      <c r="G15" s="13">
        <v>0.5</v>
      </c>
      <c r="H15" s="11">
        <v>0</v>
      </c>
      <c r="I15" s="13">
        <v>0.25</v>
      </c>
      <c r="J15" s="10">
        <v>1</v>
      </c>
      <c r="K15" s="10" t="s">
        <v>541</v>
      </c>
      <c r="L15" s="354">
        <v>0.5</v>
      </c>
      <c r="M15" s="11">
        <v>0</v>
      </c>
      <c r="N15" s="13">
        <v>0.25</v>
      </c>
      <c r="O15" s="10">
        <v>1</v>
      </c>
      <c r="P15" s="10" t="s">
        <v>541</v>
      </c>
      <c r="Q15" s="13">
        <v>0.5</v>
      </c>
      <c r="R15" s="546">
        <f t="shared" ca="1" si="8"/>
        <v>0</v>
      </c>
      <c r="S15" s="147">
        <f t="shared" ca="1" si="0"/>
        <v>0</v>
      </c>
      <c r="T15" s="173"/>
      <c r="U15" s="136">
        <f t="shared" si="1"/>
        <v>0</v>
      </c>
      <c r="V15" s="136">
        <f t="shared" si="2"/>
        <v>9</v>
      </c>
      <c r="W15" s="136">
        <f t="shared" si="3"/>
        <v>9</v>
      </c>
      <c r="X15" s="136">
        <f t="shared" ca="1" si="4"/>
        <v>0</v>
      </c>
      <c r="Y15" s="136">
        <f t="shared" ca="1" si="5"/>
        <v>0</v>
      </c>
      <c r="Z15" s="136">
        <f t="shared" si="6"/>
        <v>0</v>
      </c>
      <c r="AA15" s="127"/>
      <c r="AB15" s="127"/>
      <c r="AC15" s="127"/>
      <c r="AD15" s="127">
        <f t="shared" si="7"/>
        <v>0.95250000000000001</v>
      </c>
      <c r="AE15" s="136"/>
      <c r="AF15" s="136"/>
    </row>
    <row r="16" spans="1:32" x14ac:dyDescent="0.25">
      <c r="A16" s="131"/>
      <c r="B16" s="677"/>
      <c r="C16" s="678"/>
      <c r="D16" s="678"/>
      <c r="E16" s="10">
        <v>0</v>
      </c>
      <c r="F16" s="10" t="s">
        <v>537</v>
      </c>
      <c r="G16" s="13">
        <v>0.5</v>
      </c>
      <c r="H16" s="11">
        <v>0</v>
      </c>
      <c r="I16" s="13">
        <v>0.25</v>
      </c>
      <c r="J16" s="10">
        <v>1</v>
      </c>
      <c r="K16" s="10" t="s">
        <v>541</v>
      </c>
      <c r="L16" s="354">
        <v>0.5</v>
      </c>
      <c r="M16" s="11">
        <v>0</v>
      </c>
      <c r="N16" s="13">
        <v>0.25</v>
      </c>
      <c r="O16" s="10">
        <v>1</v>
      </c>
      <c r="P16" s="10" t="s">
        <v>541</v>
      </c>
      <c r="Q16" s="13">
        <v>0.5</v>
      </c>
      <c r="R16" s="546">
        <f t="shared" ca="1" si="8"/>
        <v>0</v>
      </c>
      <c r="S16" s="147">
        <f t="shared" ca="1" si="0"/>
        <v>0</v>
      </c>
      <c r="T16" s="173"/>
      <c r="U16" s="136">
        <f t="shared" si="1"/>
        <v>0</v>
      </c>
      <c r="V16" s="136">
        <f t="shared" si="2"/>
        <v>9</v>
      </c>
      <c r="W16" s="136">
        <f t="shared" si="3"/>
        <v>9</v>
      </c>
      <c r="X16" s="136">
        <f t="shared" ca="1" si="4"/>
        <v>0</v>
      </c>
      <c r="Y16" s="136">
        <f t="shared" ca="1" si="5"/>
        <v>0</v>
      </c>
      <c r="Z16" s="136">
        <f t="shared" si="6"/>
        <v>0</v>
      </c>
      <c r="AA16" s="127"/>
      <c r="AB16" s="127"/>
      <c r="AC16" s="127"/>
      <c r="AD16" s="127">
        <f t="shared" si="7"/>
        <v>0.95250000000000001</v>
      </c>
      <c r="AE16" s="136"/>
      <c r="AF16" s="136"/>
    </row>
    <row r="17" spans="1:32" x14ac:dyDescent="0.25">
      <c r="A17" s="131"/>
      <c r="B17" s="677"/>
      <c r="C17" s="678"/>
      <c r="D17" s="678"/>
      <c r="E17" s="10">
        <v>0</v>
      </c>
      <c r="F17" s="10" t="s">
        <v>537</v>
      </c>
      <c r="G17" s="13">
        <v>0.5</v>
      </c>
      <c r="H17" s="11">
        <v>0</v>
      </c>
      <c r="I17" s="13">
        <v>0.25</v>
      </c>
      <c r="J17" s="10">
        <v>1</v>
      </c>
      <c r="K17" s="10" t="s">
        <v>541</v>
      </c>
      <c r="L17" s="354">
        <v>0.5</v>
      </c>
      <c r="M17" s="11">
        <v>0</v>
      </c>
      <c r="N17" s="13">
        <v>0.25</v>
      </c>
      <c r="O17" s="10">
        <v>1</v>
      </c>
      <c r="P17" s="10" t="s">
        <v>541</v>
      </c>
      <c r="Q17" s="13">
        <v>0.5</v>
      </c>
      <c r="R17" s="546">
        <f t="shared" ca="1" si="8"/>
        <v>0</v>
      </c>
      <c r="S17" s="147">
        <f t="shared" ca="1" si="0"/>
        <v>0</v>
      </c>
      <c r="T17" s="173"/>
      <c r="U17" s="136">
        <f t="shared" si="1"/>
        <v>0</v>
      </c>
      <c r="V17" s="136">
        <f t="shared" si="2"/>
        <v>9</v>
      </c>
      <c r="W17" s="136">
        <f t="shared" si="3"/>
        <v>9</v>
      </c>
      <c r="X17" s="136">
        <f t="shared" ca="1" si="4"/>
        <v>0</v>
      </c>
      <c r="Y17" s="136">
        <f t="shared" ca="1" si="5"/>
        <v>0</v>
      </c>
      <c r="Z17" s="136">
        <f t="shared" si="6"/>
        <v>0</v>
      </c>
      <c r="AA17" s="127"/>
      <c r="AB17" s="127"/>
      <c r="AC17" s="127"/>
      <c r="AD17" s="127">
        <f t="shared" si="7"/>
        <v>0.95250000000000001</v>
      </c>
      <c r="AE17" s="136"/>
      <c r="AF17" s="136"/>
    </row>
    <row r="18" spans="1:32" x14ac:dyDescent="0.25">
      <c r="A18" s="131"/>
      <c r="B18" s="677"/>
      <c r="C18" s="678"/>
      <c r="D18" s="678"/>
      <c r="E18" s="10">
        <v>0</v>
      </c>
      <c r="F18" s="10" t="s">
        <v>537</v>
      </c>
      <c r="G18" s="13">
        <v>0.5</v>
      </c>
      <c r="H18" s="11">
        <v>0</v>
      </c>
      <c r="I18" s="13">
        <v>0.25</v>
      </c>
      <c r="J18" s="10">
        <v>1</v>
      </c>
      <c r="K18" s="10" t="s">
        <v>541</v>
      </c>
      <c r="L18" s="354">
        <v>0.5</v>
      </c>
      <c r="M18" s="11">
        <v>0</v>
      </c>
      <c r="N18" s="13">
        <v>0.25</v>
      </c>
      <c r="O18" s="10">
        <v>1</v>
      </c>
      <c r="P18" s="10" t="s">
        <v>541</v>
      </c>
      <c r="Q18" s="13">
        <v>0.5</v>
      </c>
      <c r="R18" s="546">
        <f t="shared" ca="1" si="8"/>
        <v>0</v>
      </c>
      <c r="S18" s="147">
        <f t="shared" ca="1" si="0"/>
        <v>0</v>
      </c>
      <c r="T18" s="173"/>
      <c r="U18" s="136">
        <f t="shared" si="1"/>
        <v>0</v>
      </c>
      <c r="V18" s="136">
        <f t="shared" si="2"/>
        <v>9</v>
      </c>
      <c r="W18" s="136">
        <f t="shared" si="3"/>
        <v>9</v>
      </c>
      <c r="X18" s="136">
        <f t="shared" ca="1" si="4"/>
        <v>0</v>
      </c>
      <c r="Y18" s="136">
        <f t="shared" ca="1" si="5"/>
        <v>0</v>
      </c>
      <c r="Z18" s="136">
        <f t="shared" si="6"/>
        <v>0</v>
      </c>
      <c r="AA18" s="127"/>
      <c r="AB18" s="127"/>
      <c r="AC18" s="127"/>
      <c r="AD18" s="127">
        <f t="shared" si="7"/>
        <v>0.95250000000000001</v>
      </c>
      <c r="AE18" s="136"/>
      <c r="AF18" s="136"/>
    </row>
    <row r="19" spans="1:32" x14ac:dyDescent="0.25">
      <c r="A19" s="131"/>
      <c r="B19" s="677"/>
      <c r="C19" s="678"/>
      <c r="D19" s="678"/>
      <c r="E19" s="10">
        <v>0</v>
      </c>
      <c r="F19" s="10" t="s">
        <v>537</v>
      </c>
      <c r="G19" s="13">
        <v>0.5</v>
      </c>
      <c r="H19" s="11">
        <v>0</v>
      </c>
      <c r="I19" s="13">
        <v>0.25</v>
      </c>
      <c r="J19" s="10">
        <v>1</v>
      </c>
      <c r="K19" s="10" t="s">
        <v>541</v>
      </c>
      <c r="L19" s="354">
        <v>0.5</v>
      </c>
      <c r="M19" s="11">
        <v>0</v>
      </c>
      <c r="N19" s="13">
        <v>0.25</v>
      </c>
      <c r="O19" s="10">
        <v>1</v>
      </c>
      <c r="P19" s="10" t="s">
        <v>541</v>
      </c>
      <c r="Q19" s="13">
        <v>0.5</v>
      </c>
      <c r="R19" s="546">
        <f t="shared" ca="1" si="8"/>
        <v>0</v>
      </c>
      <c r="S19" s="147">
        <f t="shared" ca="1" si="0"/>
        <v>0</v>
      </c>
      <c r="T19" s="173"/>
      <c r="U19" s="136">
        <f t="shared" si="1"/>
        <v>0</v>
      </c>
      <c r="V19" s="136">
        <f t="shared" si="2"/>
        <v>9</v>
      </c>
      <c r="W19" s="136">
        <f t="shared" si="3"/>
        <v>9</v>
      </c>
      <c r="X19" s="136">
        <f t="shared" ca="1" si="4"/>
        <v>0</v>
      </c>
      <c r="Y19" s="136">
        <f t="shared" ca="1" si="5"/>
        <v>0</v>
      </c>
      <c r="Z19" s="136">
        <f t="shared" si="6"/>
        <v>0</v>
      </c>
      <c r="AA19" s="127"/>
      <c r="AB19" s="127"/>
      <c r="AC19" s="127"/>
      <c r="AD19" s="127">
        <f t="shared" si="7"/>
        <v>0.95250000000000001</v>
      </c>
      <c r="AE19" s="136"/>
      <c r="AF19" s="136"/>
    </row>
    <row r="20" spans="1:32" x14ac:dyDescent="0.25">
      <c r="A20" s="131"/>
      <c r="B20" s="677"/>
      <c r="C20" s="678"/>
      <c r="D20" s="678"/>
      <c r="E20" s="10">
        <v>0</v>
      </c>
      <c r="F20" s="10" t="s">
        <v>537</v>
      </c>
      <c r="G20" s="13">
        <v>0.5</v>
      </c>
      <c r="H20" s="11">
        <v>0</v>
      </c>
      <c r="I20" s="13">
        <v>0.25</v>
      </c>
      <c r="J20" s="10">
        <v>1</v>
      </c>
      <c r="K20" s="10" t="s">
        <v>541</v>
      </c>
      <c r="L20" s="354">
        <v>0.5</v>
      </c>
      <c r="M20" s="11">
        <v>0</v>
      </c>
      <c r="N20" s="13">
        <v>0.25</v>
      </c>
      <c r="O20" s="10">
        <v>1</v>
      </c>
      <c r="P20" s="10" t="s">
        <v>541</v>
      </c>
      <c r="Q20" s="13">
        <v>0.5</v>
      </c>
      <c r="R20" s="546">
        <f t="shared" ca="1" si="8"/>
        <v>0</v>
      </c>
      <c r="S20" s="147">
        <f t="shared" ca="1" si="0"/>
        <v>0</v>
      </c>
      <c r="T20" s="173"/>
      <c r="U20" s="136">
        <f t="shared" si="1"/>
        <v>0</v>
      </c>
      <c r="V20" s="136">
        <f t="shared" si="2"/>
        <v>9</v>
      </c>
      <c r="W20" s="136">
        <f t="shared" si="3"/>
        <v>9</v>
      </c>
      <c r="X20" s="136">
        <f t="shared" ca="1" si="4"/>
        <v>0</v>
      </c>
      <c r="Y20" s="136">
        <f t="shared" ca="1" si="5"/>
        <v>0</v>
      </c>
      <c r="Z20" s="136">
        <f t="shared" si="6"/>
        <v>0</v>
      </c>
      <c r="AA20" s="127"/>
      <c r="AB20" s="127"/>
      <c r="AC20" s="127"/>
      <c r="AD20" s="127">
        <f t="shared" si="7"/>
        <v>0.95250000000000001</v>
      </c>
      <c r="AE20" s="136"/>
      <c r="AF20" s="136"/>
    </row>
    <row r="21" spans="1:32" x14ac:dyDescent="0.25">
      <c r="A21" s="131"/>
      <c r="B21" s="677"/>
      <c r="C21" s="678"/>
      <c r="D21" s="678"/>
      <c r="E21" s="10">
        <v>0</v>
      </c>
      <c r="F21" s="10" t="s">
        <v>537</v>
      </c>
      <c r="G21" s="13">
        <v>0.5</v>
      </c>
      <c r="H21" s="11">
        <v>0</v>
      </c>
      <c r="I21" s="13">
        <v>0.25</v>
      </c>
      <c r="J21" s="10">
        <v>1</v>
      </c>
      <c r="K21" s="10" t="s">
        <v>541</v>
      </c>
      <c r="L21" s="354">
        <v>0.5</v>
      </c>
      <c r="M21" s="11">
        <v>0</v>
      </c>
      <c r="N21" s="13">
        <v>0.25</v>
      </c>
      <c r="O21" s="10">
        <v>1</v>
      </c>
      <c r="P21" s="10" t="s">
        <v>541</v>
      </c>
      <c r="Q21" s="13">
        <v>0.5</v>
      </c>
      <c r="R21" s="546">
        <f t="shared" ca="1" si="8"/>
        <v>0</v>
      </c>
      <c r="S21" s="147">
        <f t="shared" ca="1" si="0"/>
        <v>0</v>
      </c>
      <c r="T21" s="173"/>
      <c r="U21" s="136">
        <f t="shared" si="1"/>
        <v>0</v>
      </c>
      <c r="V21" s="136">
        <f t="shared" si="2"/>
        <v>9</v>
      </c>
      <c r="W21" s="136">
        <f t="shared" si="3"/>
        <v>9</v>
      </c>
      <c r="X21" s="136">
        <f t="shared" ca="1" si="4"/>
        <v>0</v>
      </c>
      <c r="Y21" s="136">
        <f t="shared" ca="1" si="5"/>
        <v>0</v>
      </c>
      <c r="Z21" s="136">
        <f t="shared" si="6"/>
        <v>0</v>
      </c>
      <c r="AA21" s="127"/>
      <c r="AB21" s="127"/>
      <c r="AC21" s="127"/>
      <c r="AD21" s="127">
        <f t="shared" si="7"/>
        <v>0.95250000000000001</v>
      </c>
      <c r="AE21" s="136"/>
      <c r="AF21" s="136"/>
    </row>
    <row r="22" spans="1:32" x14ac:dyDescent="0.25">
      <c r="A22" s="131"/>
      <c r="B22" s="677"/>
      <c r="C22" s="678"/>
      <c r="D22" s="678"/>
      <c r="E22" s="10">
        <v>0</v>
      </c>
      <c r="F22" s="10" t="s">
        <v>537</v>
      </c>
      <c r="G22" s="13">
        <v>0.5</v>
      </c>
      <c r="H22" s="11">
        <v>0</v>
      </c>
      <c r="I22" s="13">
        <v>0.25</v>
      </c>
      <c r="J22" s="10">
        <v>1</v>
      </c>
      <c r="K22" s="10" t="s">
        <v>541</v>
      </c>
      <c r="L22" s="354">
        <v>0.5</v>
      </c>
      <c r="M22" s="11">
        <v>0</v>
      </c>
      <c r="N22" s="13">
        <v>0.25</v>
      </c>
      <c r="O22" s="10">
        <v>1</v>
      </c>
      <c r="P22" s="10" t="s">
        <v>541</v>
      </c>
      <c r="Q22" s="13">
        <v>0.5</v>
      </c>
      <c r="R22" s="546">
        <f t="shared" ca="1" si="8"/>
        <v>0</v>
      </c>
      <c r="S22" s="147">
        <f t="shared" ca="1" si="0"/>
        <v>0</v>
      </c>
      <c r="T22" s="173"/>
      <c r="U22" s="136">
        <f t="shared" si="1"/>
        <v>0</v>
      </c>
      <c r="V22" s="136">
        <f t="shared" si="2"/>
        <v>9</v>
      </c>
      <c r="W22" s="136">
        <f t="shared" si="3"/>
        <v>9</v>
      </c>
      <c r="X22" s="136">
        <f t="shared" ca="1" si="4"/>
        <v>0</v>
      </c>
      <c r="Y22" s="136">
        <f t="shared" ca="1" si="5"/>
        <v>0</v>
      </c>
      <c r="Z22" s="136">
        <f t="shared" si="6"/>
        <v>0</v>
      </c>
      <c r="AA22" s="127"/>
      <c r="AB22" s="127"/>
      <c r="AC22" s="127"/>
      <c r="AD22" s="127">
        <f t="shared" si="7"/>
        <v>0.95250000000000001</v>
      </c>
      <c r="AE22" s="136"/>
      <c r="AF22" s="136"/>
    </row>
    <row r="23" spans="1:32" x14ac:dyDescent="0.25">
      <c r="A23" s="131"/>
      <c r="B23" s="677"/>
      <c r="C23" s="678"/>
      <c r="D23" s="678"/>
      <c r="E23" s="10">
        <v>0</v>
      </c>
      <c r="F23" s="10" t="s">
        <v>537</v>
      </c>
      <c r="G23" s="13">
        <v>0.5</v>
      </c>
      <c r="H23" s="11">
        <v>0</v>
      </c>
      <c r="I23" s="13">
        <v>0.25</v>
      </c>
      <c r="J23" s="10">
        <v>1</v>
      </c>
      <c r="K23" s="10" t="s">
        <v>541</v>
      </c>
      <c r="L23" s="354">
        <v>0.5</v>
      </c>
      <c r="M23" s="11">
        <v>0</v>
      </c>
      <c r="N23" s="13">
        <v>0.25</v>
      </c>
      <c r="O23" s="10">
        <v>1</v>
      </c>
      <c r="P23" s="10" t="s">
        <v>541</v>
      </c>
      <c r="Q23" s="13">
        <v>0.5</v>
      </c>
      <c r="R23" s="546">
        <f t="shared" ca="1" si="8"/>
        <v>0</v>
      </c>
      <c r="S23" s="147">
        <f t="shared" ca="1" si="0"/>
        <v>0</v>
      </c>
      <c r="T23" s="173"/>
      <c r="U23" s="136">
        <f t="shared" si="1"/>
        <v>0</v>
      </c>
      <c r="V23" s="136">
        <f t="shared" si="2"/>
        <v>9</v>
      </c>
      <c r="W23" s="136">
        <f t="shared" si="3"/>
        <v>9</v>
      </c>
      <c r="X23" s="136">
        <f t="shared" ca="1" si="4"/>
        <v>0</v>
      </c>
      <c r="Y23" s="136">
        <f t="shared" ca="1" si="5"/>
        <v>0</v>
      </c>
      <c r="Z23" s="136">
        <f t="shared" si="6"/>
        <v>0</v>
      </c>
      <c r="AA23" s="127"/>
      <c r="AB23" s="127"/>
      <c r="AC23" s="127"/>
      <c r="AD23" s="127">
        <f t="shared" si="7"/>
        <v>0.95250000000000001</v>
      </c>
      <c r="AE23" s="136"/>
      <c r="AF23" s="136"/>
    </row>
    <row r="24" spans="1:32" x14ac:dyDescent="0.25">
      <c r="A24" s="131"/>
      <c r="B24" s="677"/>
      <c r="C24" s="678"/>
      <c r="D24" s="678"/>
      <c r="E24" s="10">
        <v>0</v>
      </c>
      <c r="F24" s="10" t="s">
        <v>537</v>
      </c>
      <c r="G24" s="13">
        <v>0.5</v>
      </c>
      <c r="H24" s="11">
        <v>0</v>
      </c>
      <c r="I24" s="13">
        <v>0.25</v>
      </c>
      <c r="J24" s="10">
        <v>1</v>
      </c>
      <c r="K24" s="10" t="s">
        <v>541</v>
      </c>
      <c r="L24" s="354">
        <v>0.5</v>
      </c>
      <c r="M24" s="11">
        <v>0</v>
      </c>
      <c r="N24" s="13">
        <v>0.25</v>
      </c>
      <c r="O24" s="10">
        <v>1</v>
      </c>
      <c r="P24" s="10" t="s">
        <v>541</v>
      </c>
      <c r="Q24" s="13">
        <v>0.5</v>
      </c>
      <c r="R24" s="546">
        <f t="shared" ca="1" si="8"/>
        <v>0</v>
      </c>
      <c r="S24" s="147">
        <f t="shared" ca="1" si="0"/>
        <v>0</v>
      </c>
      <c r="T24" s="173"/>
      <c r="U24" s="136">
        <f t="shared" si="1"/>
        <v>0</v>
      </c>
      <c r="V24" s="136">
        <f t="shared" si="2"/>
        <v>9</v>
      </c>
      <c r="W24" s="136">
        <f t="shared" si="3"/>
        <v>9</v>
      </c>
      <c r="X24" s="136">
        <f t="shared" ca="1" si="4"/>
        <v>0</v>
      </c>
      <c r="Y24" s="136">
        <f t="shared" ca="1" si="5"/>
        <v>0</v>
      </c>
      <c r="Z24" s="136">
        <f t="shared" si="6"/>
        <v>0</v>
      </c>
      <c r="AA24" s="127"/>
      <c r="AB24" s="127"/>
      <c r="AC24" s="127"/>
      <c r="AD24" s="127">
        <f t="shared" si="7"/>
        <v>0.95250000000000001</v>
      </c>
      <c r="AE24" s="136"/>
      <c r="AF24" s="136"/>
    </row>
    <row r="25" spans="1:32" x14ac:dyDescent="0.25">
      <c r="A25" s="131"/>
      <c r="B25" s="677"/>
      <c r="C25" s="678"/>
      <c r="D25" s="678"/>
      <c r="E25" s="10">
        <v>0</v>
      </c>
      <c r="F25" s="10" t="s">
        <v>537</v>
      </c>
      <c r="G25" s="13">
        <v>0.5</v>
      </c>
      <c r="H25" s="11">
        <v>0</v>
      </c>
      <c r="I25" s="13">
        <v>0.25</v>
      </c>
      <c r="J25" s="10">
        <v>1</v>
      </c>
      <c r="K25" s="10" t="s">
        <v>541</v>
      </c>
      <c r="L25" s="354">
        <v>0.5</v>
      </c>
      <c r="M25" s="11">
        <v>0</v>
      </c>
      <c r="N25" s="13">
        <v>0.25</v>
      </c>
      <c r="O25" s="10">
        <v>1</v>
      </c>
      <c r="P25" s="10" t="s">
        <v>541</v>
      </c>
      <c r="Q25" s="13">
        <v>0.5</v>
      </c>
      <c r="R25" s="546">
        <f t="shared" ca="1" si="8"/>
        <v>0</v>
      </c>
      <c r="S25" s="147">
        <f t="shared" ca="1" si="0"/>
        <v>0</v>
      </c>
      <c r="T25" s="173"/>
      <c r="U25" s="136">
        <f t="shared" si="1"/>
        <v>0</v>
      </c>
      <c r="V25" s="136">
        <f t="shared" si="2"/>
        <v>9</v>
      </c>
      <c r="W25" s="136">
        <f t="shared" si="3"/>
        <v>9</v>
      </c>
      <c r="X25" s="136">
        <f t="shared" ca="1" si="4"/>
        <v>0</v>
      </c>
      <c r="Y25" s="136">
        <f t="shared" ca="1" si="5"/>
        <v>0</v>
      </c>
      <c r="Z25" s="136">
        <f t="shared" si="6"/>
        <v>0</v>
      </c>
      <c r="AA25" s="127"/>
      <c r="AB25" s="127"/>
      <c r="AC25" s="127"/>
      <c r="AD25" s="127">
        <f t="shared" si="7"/>
        <v>0.95250000000000001</v>
      </c>
      <c r="AE25" s="136"/>
      <c r="AF25" s="136"/>
    </row>
    <row r="26" spans="1:32" x14ac:dyDescent="0.25">
      <c r="A26" s="131"/>
      <c r="B26" s="677"/>
      <c r="C26" s="678"/>
      <c r="D26" s="678"/>
      <c r="E26" s="10">
        <v>0</v>
      </c>
      <c r="F26" s="10" t="s">
        <v>537</v>
      </c>
      <c r="G26" s="13">
        <v>0.5</v>
      </c>
      <c r="H26" s="11">
        <v>0</v>
      </c>
      <c r="I26" s="13">
        <v>0.25</v>
      </c>
      <c r="J26" s="10">
        <v>1</v>
      </c>
      <c r="K26" s="10" t="s">
        <v>541</v>
      </c>
      <c r="L26" s="354">
        <v>0.5</v>
      </c>
      <c r="M26" s="11">
        <v>0</v>
      </c>
      <c r="N26" s="13">
        <v>0.25</v>
      </c>
      <c r="O26" s="10">
        <v>1</v>
      </c>
      <c r="P26" s="10" t="s">
        <v>541</v>
      </c>
      <c r="Q26" s="13">
        <v>0.5</v>
      </c>
      <c r="R26" s="546">
        <f t="shared" ca="1" si="8"/>
        <v>0</v>
      </c>
      <c r="S26" s="147">
        <f t="shared" ca="1" si="0"/>
        <v>0</v>
      </c>
      <c r="T26" s="173"/>
      <c r="U26" s="136">
        <f t="shared" si="1"/>
        <v>0</v>
      </c>
      <c r="V26" s="136">
        <f t="shared" si="2"/>
        <v>9</v>
      </c>
      <c r="W26" s="136">
        <f t="shared" si="3"/>
        <v>9</v>
      </c>
      <c r="X26" s="136">
        <f t="shared" ca="1" si="4"/>
        <v>0</v>
      </c>
      <c r="Y26" s="136">
        <f t="shared" ca="1" si="5"/>
        <v>0</v>
      </c>
      <c r="Z26" s="136">
        <f t="shared" si="6"/>
        <v>0</v>
      </c>
      <c r="AA26" s="127"/>
      <c r="AB26" s="127"/>
      <c r="AC26" s="127"/>
      <c r="AD26" s="127">
        <f t="shared" si="7"/>
        <v>0.95250000000000001</v>
      </c>
      <c r="AE26" s="136"/>
      <c r="AF26" s="136"/>
    </row>
    <row r="27" spans="1:32" x14ac:dyDescent="0.25">
      <c r="A27" s="131"/>
      <c r="B27" s="677"/>
      <c r="C27" s="678"/>
      <c r="D27" s="678"/>
      <c r="E27" s="10">
        <v>0</v>
      </c>
      <c r="F27" s="10" t="s">
        <v>537</v>
      </c>
      <c r="G27" s="13">
        <v>0.5</v>
      </c>
      <c r="H27" s="11">
        <v>0</v>
      </c>
      <c r="I27" s="13">
        <v>0.25</v>
      </c>
      <c r="J27" s="10">
        <v>1</v>
      </c>
      <c r="K27" s="10" t="s">
        <v>541</v>
      </c>
      <c r="L27" s="354">
        <v>0.5</v>
      </c>
      <c r="M27" s="11">
        <v>0</v>
      </c>
      <c r="N27" s="13">
        <v>0.25</v>
      </c>
      <c r="O27" s="10">
        <v>1</v>
      </c>
      <c r="P27" s="10" t="s">
        <v>541</v>
      </c>
      <c r="Q27" s="13">
        <v>0.5</v>
      </c>
      <c r="R27" s="546">
        <f t="shared" ca="1" si="8"/>
        <v>0</v>
      </c>
      <c r="S27" s="147">
        <f t="shared" ca="1" si="0"/>
        <v>0</v>
      </c>
      <c r="T27" s="173"/>
      <c r="U27" s="136">
        <f t="shared" si="1"/>
        <v>0</v>
      </c>
      <c r="V27" s="136">
        <f t="shared" si="2"/>
        <v>9</v>
      </c>
      <c r="W27" s="136">
        <f t="shared" si="3"/>
        <v>9</v>
      </c>
      <c r="X27" s="136">
        <f t="shared" ca="1" si="4"/>
        <v>0</v>
      </c>
      <c r="Y27" s="136">
        <f t="shared" ca="1" si="5"/>
        <v>0</v>
      </c>
      <c r="Z27" s="136">
        <f t="shared" si="6"/>
        <v>0</v>
      </c>
      <c r="AA27" s="127"/>
      <c r="AB27" s="127"/>
      <c r="AC27" s="127"/>
      <c r="AD27" s="127">
        <f t="shared" si="7"/>
        <v>0.95250000000000001</v>
      </c>
      <c r="AE27" s="136"/>
      <c r="AF27" s="136"/>
    </row>
    <row r="28" spans="1:32" x14ac:dyDescent="0.25">
      <c r="A28" s="131"/>
      <c r="B28" s="677"/>
      <c r="C28" s="678"/>
      <c r="D28" s="678"/>
      <c r="E28" s="10">
        <v>0</v>
      </c>
      <c r="F28" s="10" t="s">
        <v>537</v>
      </c>
      <c r="G28" s="13">
        <v>0.5</v>
      </c>
      <c r="H28" s="11">
        <v>0</v>
      </c>
      <c r="I28" s="13">
        <v>0.25</v>
      </c>
      <c r="J28" s="10">
        <v>1</v>
      </c>
      <c r="K28" s="10" t="s">
        <v>541</v>
      </c>
      <c r="L28" s="354">
        <v>0.5</v>
      </c>
      <c r="M28" s="11">
        <v>0</v>
      </c>
      <c r="N28" s="13">
        <v>0.25</v>
      </c>
      <c r="O28" s="10">
        <v>1</v>
      </c>
      <c r="P28" s="10" t="s">
        <v>541</v>
      </c>
      <c r="Q28" s="13">
        <v>0.5</v>
      </c>
      <c r="R28" s="546">
        <f t="shared" ca="1" si="8"/>
        <v>0</v>
      </c>
      <c r="S28" s="147">
        <f t="shared" ca="1" si="0"/>
        <v>0</v>
      </c>
      <c r="T28" s="173"/>
      <c r="U28" s="136">
        <f t="shared" si="1"/>
        <v>0</v>
      </c>
      <c r="V28" s="136">
        <f t="shared" si="2"/>
        <v>9</v>
      </c>
      <c r="W28" s="136">
        <f t="shared" si="3"/>
        <v>9</v>
      </c>
      <c r="X28" s="136">
        <f t="shared" ca="1" si="4"/>
        <v>0</v>
      </c>
      <c r="Y28" s="136">
        <f t="shared" ca="1" si="5"/>
        <v>0</v>
      </c>
      <c r="Z28" s="136">
        <f t="shared" si="6"/>
        <v>0</v>
      </c>
      <c r="AA28" s="127"/>
      <c r="AB28" s="127"/>
      <c r="AC28" s="127"/>
      <c r="AD28" s="127">
        <f t="shared" si="7"/>
        <v>0.95250000000000001</v>
      </c>
      <c r="AE28" s="136"/>
      <c r="AF28" s="136"/>
    </row>
    <row r="29" spans="1:32" x14ac:dyDescent="0.25">
      <c r="A29" s="131"/>
      <c r="B29" s="677"/>
      <c r="C29" s="678"/>
      <c r="D29" s="678"/>
      <c r="E29" s="10">
        <v>0</v>
      </c>
      <c r="F29" s="10" t="s">
        <v>537</v>
      </c>
      <c r="G29" s="13">
        <v>0.5</v>
      </c>
      <c r="H29" s="11">
        <v>0</v>
      </c>
      <c r="I29" s="13">
        <v>0.25</v>
      </c>
      <c r="J29" s="10">
        <v>1</v>
      </c>
      <c r="K29" s="10" t="s">
        <v>541</v>
      </c>
      <c r="L29" s="354">
        <v>0.5</v>
      </c>
      <c r="M29" s="11">
        <v>0</v>
      </c>
      <c r="N29" s="13">
        <v>0.25</v>
      </c>
      <c r="O29" s="10">
        <v>1</v>
      </c>
      <c r="P29" s="10" t="s">
        <v>541</v>
      </c>
      <c r="Q29" s="13">
        <v>0.5</v>
      </c>
      <c r="R29" s="546">
        <f t="shared" ca="1" si="8"/>
        <v>0</v>
      </c>
      <c r="S29" s="147">
        <f t="shared" ca="1" si="0"/>
        <v>0</v>
      </c>
      <c r="T29" s="173"/>
      <c r="U29" s="136">
        <f t="shared" si="1"/>
        <v>0</v>
      </c>
      <c r="V29" s="136">
        <f t="shared" si="2"/>
        <v>9</v>
      </c>
      <c r="W29" s="136">
        <f t="shared" si="3"/>
        <v>9</v>
      </c>
      <c r="X29" s="136">
        <f t="shared" ca="1" si="4"/>
        <v>0</v>
      </c>
      <c r="Y29" s="136">
        <f t="shared" ca="1" si="5"/>
        <v>0</v>
      </c>
      <c r="Z29" s="136">
        <f t="shared" si="6"/>
        <v>0</v>
      </c>
      <c r="AA29" s="127"/>
      <c r="AB29" s="127"/>
      <c r="AC29" s="127"/>
      <c r="AD29" s="127">
        <f t="shared" si="7"/>
        <v>0.95250000000000001</v>
      </c>
      <c r="AE29" s="136"/>
      <c r="AF29" s="136"/>
    </row>
    <row r="30" spans="1:32" x14ac:dyDescent="0.25">
      <c r="A30" s="131"/>
      <c r="B30" s="677"/>
      <c r="C30" s="678"/>
      <c r="D30" s="678"/>
      <c r="E30" s="10">
        <v>0</v>
      </c>
      <c r="F30" s="10" t="s">
        <v>537</v>
      </c>
      <c r="G30" s="13">
        <v>0.5</v>
      </c>
      <c r="H30" s="11">
        <v>0</v>
      </c>
      <c r="I30" s="13">
        <v>0.25</v>
      </c>
      <c r="J30" s="10">
        <v>1</v>
      </c>
      <c r="K30" s="10" t="s">
        <v>541</v>
      </c>
      <c r="L30" s="354">
        <v>0.5</v>
      </c>
      <c r="M30" s="11">
        <v>0</v>
      </c>
      <c r="N30" s="13">
        <v>0.25</v>
      </c>
      <c r="O30" s="10">
        <v>1</v>
      </c>
      <c r="P30" s="10" t="s">
        <v>541</v>
      </c>
      <c r="Q30" s="13">
        <v>0.5</v>
      </c>
      <c r="R30" s="546">
        <f t="shared" ca="1" si="8"/>
        <v>0</v>
      </c>
      <c r="S30" s="147">
        <f t="shared" ca="1" si="0"/>
        <v>0</v>
      </c>
      <c r="T30" s="173"/>
      <c r="U30" s="136">
        <f t="shared" si="1"/>
        <v>0</v>
      </c>
      <c r="V30" s="136">
        <f t="shared" si="2"/>
        <v>9</v>
      </c>
      <c r="W30" s="136">
        <f t="shared" si="3"/>
        <v>9</v>
      </c>
      <c r="X30" s="136">
        <f t="shared" ca="1" si="4"/>
        <v>0</v>
      </c>
      <c r="Y30" s="136">
        <f t="shared" ca="1" si="5"/>
        <v>0</v>
      </c>
      <c r="Z30" s="136">
        <f t="shared" si="6"/>
        <v>0</v>
      </c>
      <c r="AA30" s="127"/>
      <c r="AB30" s="127"/>
      <c r="AC30" s="127"/>
      <c r="AD30" s="127">
        <f t="shared" si="7"/>
        <v>0.95250000000000001</v>
      </c>
      <c r="AE30" s="136"/>
      <c r="AF30" s="136"/>
    </row>
    <row r="31" spans="1:32" x14ac:dyDescent="0.25">
      <c r="A31" s="131"/>
      <c r="B31" s="677"/>
      <c r="C31" s="678"/>
      <c r="D31" s="678"/>
      <c r="E31" s="10">
        <v>0</v>
      </c>
      <c r="F31" s="10" t="s">
        <v>537</v>
      </c>
      <c r="G31" s="13">
        <v>0.5</v>
      </c>
      <c r="H31" s="11">
        <v>0</v>
      </c>
      <c r="I31" s="13">
        <v>0.25</v>
      </c>
      <c r="J31" s="10">
        <v>1</v>
      </c>
      <c r="K31" s="10" t="s">
        <v>541</v>
      </c>
      <c r="L31" s="354">
        <v>0.5</v>
      </c>
      <c r="M31" s="11">
        <v>0</v>
      </c>
      <c r="N31" s="13">
        <v>0.25</v>
      </c>
      <c r="O31" s="10">
        <v>1</v>
      </c>
      <c r="P31" s="10" t="s">
        <v>541</v>
      </c>
      <c r="Q31" s="13">
        <v>0.5</v>
      </c>
      <c r="R31" s="546">
        <f t="shared" ca="1" si="8"/>
        <v>0</v>
      </c>
      <c r="S31" s="147">
        <f t="shared" ca="1" si="0"/>
        <v>0</v>
      </c>
      <c r="T31" s="173"/>
      <c r="U31" s="136">
        <f t="shared" si="1"/>
        <v>0</v>
      </c>
      <c r="V31" s="136">
        <f t="shared" si="2"/>
        <v>9</v>
      </c>
      <c r="W31" s="136">
        <f t="shared" si="3"/>
        <v>9</v>
      </c>
      <c r="X31" s="136">
        <f t="shared" ca="1" si="4"/>
        <v>0</v>
      </c>
      <c r="Y31" s="136">
        <f t="shared" ca="1" si="5"/>
        <v>0</v>
      </c>
      <c r="Z31" s="136">
        <f t="shared" si="6"/>
        <v>0</v>
      </c>
      <c r="AA31" s="127"/>
      <c r="AB31" s="127"/>
      <c r="AC31" s="127"/>
      <c r="AD31" s="127">
        <f t="shared" si="7"/>
        <v>0.95250000000000001</v>
      </c>
      <c r="AE31" s="136"/>
      <c r="AF31" s="136"/>
    </row>
    <row r="32" spans="1:32" x14ac:dyDescent="0.25">
      <c r="A32" s="131"/>
      <c r="B32" s="677"/>
      <c r="C32" s="678"/>
      <c r="D32" s="678"/>
      <c r="E32" s="10">
        <v>0</v>
      </c>
      <c r="F32" s="10" t="s">
        <v>537</v>
      </c>
      <c r="G32" s="13">
        <v>0.5</v>
      </c>
      <c r="H32" s="11">
        <v>0</v>
      </c>
      <c r="I32" s="13">
        <v>0.25</v>
      </c>
      <c r="J32" s="10">
        <v>1</v>
      </c>
      <c r="K32" s="10" t="s">
        <v>541</v>
      </c>
      <c r="L32" s="354">
        <v>0.5</v>
      </c>
      <c r="M32" s="11">
        <v>0</v>
      </c>
      <c r="N32" s="13">
        <v>0.25</v>
      </c>
      <c r="O32" s="10">
        <v>1</v>
      </c>
      <c r="P32" s="10" t="s">
        <v>541</v>
      </c>
      <c r="Q32" s="13">
        <v>0.5</v>
      </c>
      <c r="R32" s="546">
        <f t="shared" ca="1" si="8"/>
        <v>0</v>
      </c>
      <c r="S32" s="147">
        <f t="shared" ca="1" si="0"/>
        <v>0</v>
      </c>
      <c r="T32" s="173"/>
      <c r="U32" s="136">
        <f t="shared" si="1"/>
        <v>0</v>
      </c>
      <c r="V32" s="136">
        <f t="shared" si="2"/>
        <v>9</v>
      </c>
      <c r="W32" s="136">
        <f t="shared" si="3"/>
        <v>9</v>
      </c>
      <c r="X32" s="136">
        <f t="shared" ca="1" si="4"/>
        <v>0</v>
      </c>
      <c r="Y32" s="136">
        <f t="shared" ca="1" si="5"/>
        <v>0</v>
      </c>
      <c r="Z32" s="136">
        <f t="shared" si="6"/>
        <v>0</v>
      </c>
      <c r="AA32" s="127"/>
      <c r="AB32" s="127"/>
      <c r="AC32" s="127"/>
      <c r="AD32" s="127">
        <f t="shared" si="7"/>
        <v>0.95250000000000001</v>
      </c>
      <c r="AE32" s="136"/>
      <c r="AF32" s="136"/>
    </row>
    <row r="33" spans="1:32" x14ac:dyDescent="0.25">
      <c r="A33" s="131"/>
      <c r="B33" s="677"/>
      <c r="C33" s="678"/>
      <c r="D33" s="678"/>
      <c r="E33" s="10">
        <v>0</v>
      </c>
      <c r="F33" s="10" t="s">
        <v>537</v>
      </c>
      <c r="G33" s="13">
        <v>0.5</v>
      </c>
      <c r="H33" s="11">
        <v>0</v>
      </c>
      <c r="I33" s="13">
        <v>0.25</v>
      </c>
      <c r="J33" s="10">
        <v>1</v>
      </c>
      <c r="K33" s="10" t="s">
        <v>541</v>
      </c>
      <c r="L33" s="354">
        <v>0.5</v>
      </c>
      <c r="M33" s="11">
        <v>0</v>
      </c>
      <c r="N33" s="13">
        <v>0.25</v>
      </c>
      <c r="O33" s="10">
        <v>1</v>
      </c>
      <c r="P33" s="10" t="s">
        <v>541</v>
      </c>
      <c r="Q33" s="13">
        <v>0.5</v>
      </c>
      <c r="R33" s="546">
        <f t="shared" ca="1" si="8"/>
        <v>0</v>
      </c>
      <c r="S33" s="147">
        <f t="shared" ca="1" si="0"/>
        <v>0</v>
      </c>
      <c r="T33" s="173"/>
      <c r="U33" s="136">
        <f t="shared" si="1"/>
        <v>0</v>
      </c>
      <c r="V33" s="136">
        <f t="shared" si="2"/>
        <v>9</v>
      </c>
      <c r="W33" s="136">
        <f t="shared" si="3"/>
        <v>9</v>
      </c>
      <c r="X33" s="136">
        <f t="shared" ca="1" si="4"/>
        <v>0</v>
      </c>
      <c r="Y33" s="136">
        <f t="shared" ca="1" si="5"/>
        <v>0</v>
      </c>
      <c r="Z33" s="136">
        <f t="shared" si="6"/>
        <v>0</v>
      </c>
      <c r="AA33" s="127"/>
      <c r="AB33" s="127"/>
      <c r="AC33" s="127"/>
      <c r="AD33" s="127">
        <f t="shared" si="7"/>
        <v>0.95250000000000001</v>
      </c>
      <c r="AE33" s="136"/>
      <c r="AF33" s="136"/>
    </row>
    <row r="34" spans="1:32" x14ac:dyDescent="0.25">
      <c r="A34" s="131"/>
      <c r="B34" s="677"/>
      <c r="C34" s="678"/>
      <c r="D34" s="678"/>
      <c r="E34" s="10">
        <v>0</v>
      </c>
      <c r="F34" s="10" t="s">
        <v>537</v>
      </c>
      <c r="G34" s="13">
        <v>0.5</v>
      </c>
      <c r="H34" s="11">
        <v>0</v>
      </c>
      <c r="I34" s="13">
        <v>0.25</v>
      </c>
      <c r="J34" s="10">
        <v>1</v>
      </c>
      <c r="K34" s="10" t="s">
        <v>541</v>
      </c>
      <c r="L34" s="354">
        <v>0.5</v>
      </c>
      <c r="M34" s="11">
        <v>0</v>
      </c>
      <c r="N34" s="13">
        <v>0.25</v>
      </c>
      <c r="O34" s="10">
        <v>1</v>
      </c>
      <c r="P34" s="10" t="s">
        <v>541</v>
      </c>
      <c r="Q34" s="13">
        <v>0.5</v>
      </c>
      <c r="R34" s="546">
        <f t="shared" ca="1" si="8"/>
        <v>0</v>
      </c>
      <c r="S34" s="147">
        <f t="shared" ca="1" si="0"/>
        <v>0</v>
      </c>
      <c r="T34" s="173"/>
      <c r="U34" s="136">
        <f t="shared" si="1"/>
        <v>0</v>
      </c>
      <c r="V34" s="136">
        <f t="shared" si="2"/>
        <v>9</v>
      </c>
      <c r="W34" s="136">
        <f t="shared" si="3"/>
        <v>9</v>
      </c>
      <c r="X34" s="136">
        <f t="shared" ca="1" si="4"/>
        <v>0</v>
      </c>
      <c r="Y34" s="136">
        <f t="shared" ca="1" si="5"/>
        <v>0</v>
      </c>
      <c r="Z34" s="136">
        <f t="shared" si="6"/>
        <v>0</v>
      </c>
      <c r="AA34" s="127"/>
      <c r="AB34" s="127"/>
      <c r="AC34" s="127"/>
      <c r="AD34" s="127">
        <f t="shared" si="7"/>
        <v>0.95250000000000001</v>
      </c>
      <c r="AE34" s="136"/>
      <c r="AF34" s="136"/>
    </row>
    <row r="35" spans="1:32" x14ac:dyDescent="0.25">
      <c r="A35" s="131"/>
      <c r="B35" s="677"/>
      <c r="C35" s="678"/>
      <c r="D35" s="678"/>
      <c r="E35" s="10">
        <v>0</v>
      </c>
      <c r="F35" s="10" t="s">
        <v>537</v>
      </c>
      <c r="G35" s="13">
        <v>0.5</v>
      </c>
      <c r="H35" s="11">
        <v>0</v>
      </c>
      <c r="I35" s="13">
        <v>0.25</v>
      </c>
      <c r="J35" s="10">
        <v>1</v>
      </c>
      <c r="K35" s="10" t="s">
        <v>541</v>
      </c>
      <c r="L35" s="354">
        <v>0.5</v>
      </c>
      <c r="M35" s="11">
        <v>0</v>
      </c>
      <c r="N35" s="13">
        <v>0.25</v>
      </c>
      <c r="O35" s="10">
        <v>1</v>
      </c>
      <c r="P35" s="10" t="s">
        <v>541</v>
      </c>
      <c r="Q35" s="13">
        <v>0.5</v>
      </c>
      <c r="R35" s="546">
        <f t="shared" ca="1" si="8"/>
        <v>0</v>
      </c>
      <c r="S35" s="147">
        <f t="shared" ca="1" si="0"/>
        <v>0</v>
      </c>
      <c r="T35" s="173"/>
      <c r="U35" s="136">
        <f t="shared" si="1"/>
        <v>0</v>
      </c>
      <c r="V35" s="136">
        <f t="shared" si="2"/>
        <v>9</v>
      </c>
      <c r="W35" s="136">
        <f t="shared" si="3"/>
        <v>9</v>
      </c>
      <c r="X35" s="136">
        <f t="shared" ca="1" si="4"/>
        <v>0</v>
      </c>
      <c r="Y35" s="136">
        <f t="shared" ca="1" si="5"/>
        <v>0</v>
      </c>
      <c r="Z35" s="136">
        <f t="shared" si="6"/>
        <v>0</v>
      </c>
      <c r="AA35" s="127"/>
      <c r="AB35" s="127"/>
      <c r="AC35" s="127"/>
      <c r="AD35" s="127">
        <f t="shared" si="7"/>
        <v>0.95250000000000001</v>
      </c>
      <c r="AE35" s="136"/>
      <c r="AF35" s="136"/>
    </row>
    <row r="36" spans="1:32" x14ac:dyDescent="0.25">
      <c r="A36" s="131"/>
      <c r="B36" s="677"/>
      <c r="C36" s="678"/>
      <c r="D36" s="678"/>
      <c r="E36" s="10">
        <v>0</v>
      </c>
      <c r="F36" s="10" t="s">
        <v>537</v>
      </c>
      <c r="G36" s="13">
        <v>0.5</v>
      </c>
      <c r="H36" s="11">
        <v>0</v>
      </c>
      <c r="I36" s="13">
        <v>0.25</v>
      </c>
      <c r="J36" s="10">
        <v>1</v>
      </c>
      <c r="K36" s="10" t="s">
        <v>541</v>
      </c>
      <c r="L36" s="354">
        <v>0.5</v>
      </c>
      <c r="M36" s="11">
        <v>0</v>
      </c>
      <c r="N36" s="13">
        <v>0.25</v>
      </c>
      <c r="O36" s="10">
        <v>1</v>
      </c>
      <c r="P36" s="10" t="s">
        <v>541</v>
      </c>
      <c r="Q36" s="13">
        <v>0.5</v>
      </c>
      <c r="R36" s="546">
        <f t="shared" ca="1" si="8"/>
        <v>0</v>
      </c>
      <c r="S36" s="147">
        <f t="shared" ca="1" si="0"/>
        <v>0</v>
      </c>
      <c r="T36" s="173"/>
      <c r="U36" s="136">
        <f t="shared" si="1"/>
        <v>0</v>
      </c>
      <c r="V36" s="136">
        <f t="shared" si="2"/>
        <v>9</v>
      </c>
      <c r="W36" s="136">
        <f t="shared" si="3"/>
        <v>9</v>
      </c>
      <c r="X36" s="136">
        <f t="shared" ca="1" si="4"/>
        <v>0</v>
      </c>
      <c r="Y36" s="136">
        <f t="shared" ca="1" si="5"/>
        <v>0</v>
      </c>
      <c r="Z36" s="136">
        <f t="shared" si="6"/>
        <v>0</v>
      </c>
      <c r="AA36" s="127"/>
      <c r="AB36" s="127"/>
      <c r="AC36" s="127"/>
      <c r="AD36" s="127">
        <f t="shared" si="7"/>
        <v>0.95250000000000001</v>
      </c>
      <c r="AE36" s="136"/>
      <c r="AF36" s="136"/>
    </row>
    <row r="37" spans="1:32" x14ac:dyDescent="0.25">
      <c r="A37" s="131"/>
      <c r="B37" s="677"/>
      <c r="C37" s="678"/>
      <c r="D37" s="678"/>
      <c r="E37" s="10">
        <v>0</v>
      </c>
      <c r="F37" s="10" t="s">
        <v>537</v>
      </c>
      <c r="G37" s="13">
        <v>0.5</v>
      </c>
      <c r="H37" s="11">
        <v>0</v>
      </c>
      <c r="I37" s="13">
        <v>0.25</v>
      </c>
      <c r="J37" s="10">
        <v>1</v>
      </c>
      <c r="K37" s="10" t="s">
        <v>541</v>
      </c>
      <c r="L37" s="354">
        <v>0.5</v>
      </c>
      <c r="M37" s="11">
        <v>0</v>
      </c>
      <c r="N37" s="13">
        <v>0.25</v>
      </c>
      <c r="O37" s="10">
        <v>1</v>
      </c>
      <c r="P37" s="10" t="s">
        <v>541</v>
      </c>
      <c r="Q37" s="13">
        <v>0.5</v>
      </c>
      <c r="R37" s="546">
        <f t="shared" ca="1" si="8"/>
        <v>0</v>
      </c>
      <c r="S37" s="147">
        <f t="shared" ca="1" si="0"/>
        <v>0</v>
      </c>
      <c r="T37" s="173"/>
      <c r="U37" s="136">
        <f t="shared" si="1"/>
        <v>0</v>
      </c>
      <c r="V37" s="136">
        <f t="shared" si="2"/>
        <v>9</v>
      </c>
      <c r="W37" s="136">
        <f t="shared" si="3"/>
        <v>9</v>
      </c>
      <c r="X37" s="136">
        <f t="shared" ca="1" si="4"/>
        <v>0</v>
      </c>
      <c r="Y37" s="136">
        <f t="shared" ca="1" si="5"/>
        <v>0</v>
      </c>
      <c r="Z37" s="136">
        <f t="shared" si="6"/>
        <v>0</v>
      </c>
      <c r="AA37" s="127"/>
      <c r="AB37" s="127"/>
      <c r="AC37" s="127"/>
      <c r="AD37" s="127">
        <f t="shared" si="7"/>
        <v>0.95250000000000001</v>
      </c>
      <c r="AE37" s="136"/>
      <c r="AF37" s="136"/>
    </row>
    <row r="38" spans="1:32" x14ac:dyDescent="0.25">
      <c r="A38" s="131"/>
      <c r="B38" s="677"/>
      <c r="C38" s="678"/>
      <c r="D38" s="678"/>
      <c r="E38" s="10">
        <v>0</v>
      </c>
      <c r="F38" s="10" t="s">
        <v>537</v>
      </c>
      <c r="G38" s="13">
        <v>0.5</v>
      </c>
      <c r="H38" s="11">
        <v>0</v>
      </c>
      <c r="I38" s="13">
        <v>0.25</v>
      </c>
      <c r="J38" s="10">
        <v>1</v>
      </c>
      <c r="K38" s="10" t="s">
        <v>541</v>
      </c>
      <c r="L38" s="354">
        <v>0.5</v>
      </c>
      <c r="M38" s="11">
        <v>0</v>
      </c>
      <c r="N38" s="13">
        <v>0.25</v>
      </c>
      <c r="O38" s="10">
        <v>1</v>
      </c>
      <c r="P38" s="10" t="s">
        <v>541</v>
      </c>
      <c r="Q38" s="13">
        <v>0.5</v>
      </c>
      <c r="R38" s="546">
        <f t="shared" ca="1" si="8"/>
        <v>0</v>
      </c>
      <c r="S38" s="147">
        <f t="shared" ca="1" si="0"/>
        <v>0</v>
      </c>
      <c r="T38" s="173"/>
      <c r="U38" s="136">
        <f t="shared" si="1"/>
        <v>0</v>
      </c>
      <c r="V38" s="136">
        <f t="shared" si="2"/>
        <v>9</v>
      </c>
      <c r="W38" s="136">
        <f t="shared" si="3"/>
        <v>9</v>
      </c>
      <c r="X38" s="136">
        <f t="shared" ca="1" si="4"/>
        <v>0</v>
      </c>
      <c r="Y38" s="136">
        <f t="shared" ca="1" si="5"/>
        <v>0</v>
      </c>
      <c r="Z38" s="136">
        <f t="shared" si="6"/>
        <v>0</v>
      </c>
      <c r="AA38" s="127"/>
      <c r="AB38" s="127"/>
      <c r="AC38" s="127"/>
      <c r="AD38" s="127">
        <f t="shared" si="7"/>
        <v>0.95250000000000001</v>
      </c>
      <c r="AE38" s="136"/>
      <c r="AF38" s="136"/>
    </row>
    <row r="39" spans="1:32" x14ac:dyDescent="0.25">
      <c r="A39" s="131"/>
      <c r="B39" s="677"/>
      <c r="C39" s="678"/>
      <c r="D39" s="678"/>
      <c r="E39" s="10">
        <v>0</v>
      </c>
      <c r="F39" s="10" t="s">
        <v>537</v>
      </c>
      <c r="G39" s="13">
        <v>0.5</v>
      </c>
      <c r="H39" s="11">
        <v>0</v>
      </c>
      <c r="I39" s="13">
        <v>0.25</v>
      </c>
      <c r="J39" s="10">
        <v>1</v>
      </c>
      <c r="K39" s="10" t="s">
        <v>541</v>
      </c>
      <c r="L39" s="354">
        <v>0.5</v>
      </c>
      <c r="M39" s="11">
        <v>0</v>
      </c>
      <c r="N39" s="13">
        <v>0.25</v>
      </c>
      <c r="O39" s="10">
        <v>1</v>
      </c>
      <c r="P39" s="10" t="s">
        <v>541</v>
      </c>
      <c r="Q39" s="13">
        <v>0.5</v>
      </c>
      <c r="R39" s="546">
        <f t="shared" ca="1" si="8"/>
        <v>0</v>
      </c>
      <c r="S39" s="147">
        <f t="shared" ca="1" si="0"/>
        <v>0</v>
      </c>
      <c r="T39" s="173"/>
      <c r="U39" s="136">
        <f t="shared" si="1"/>
        <v>0</v>
      </c>
      <c r="V39" s="136">
        <f t="shared" si="2"/>
        <v>9</v>
      </c>
      <c r="W39" s="136">
        <f t="shared" si="3"/>
        <v>9</v>
      </c>
      <c r="X39" s="136">
        <f t="shared" ca="1" si="4"/>
        <v>0</v>
      </c>
      <c r="Y39" s="136">
        <f t="shared" ca="1" si="5"/>
        <v>0</v>
      </c>
      <c r="Z39" s="136">
        <f t="shared" si="6"/>
        <v>0</v>
      </c>
      <c r="AA39" s="127"/>
      <c r="AB39" s="127"/>
      <c r="AC39" s="127"/>
      <c r="AD39" s="127">
        <f t="shared" si="7"/>
        <v>0.95250000000000001</v>
      </c>
      <c r="AE39" s="136"/>
      <c r="AF39" s="136"/>
    </row>
    <row r="40" spans="1:32" x14ac:dyDescent="0.25">
      <c r="A40" s="131"/>
      <c r="B40" s="677"/>
      <c r="C40" s="678"/>
      <c r="D40" s="678"/>
      <c r="E40" s="10">
        <v>0</v>
      </c>
      <c r="F40" s="10" t="s">
        <v>537</v>
      </c>
      <c r="G40" s="13">
        <v>0.5</v>
      </c>
      <c r="H40" s="11">
        <v>0</v>
      </c>
      <c r="I40" s="13">
        <v>0.25</v>
      </c>
      <c r="J40" s="10">
        <v>1</v>
      </c>
      <c r="K40" s="10" t="s">
        <v>541</v>
      </c>
      <c r="L40" s="354">
        <v>0.5</v>
      </c>
      <c r="M40" s="11">
        <v>0</v>
      </c>
      <c r="N40" s="13">
        <v>0.25</v>
      </c>
      <c r="O40" s="10">
        <v>1</v>
      </c>
      <c r="P40" s="10" t="s">
        <v>541</v>
      </c>
      <c r="Q40" s="13">
        <v>0.5</v>
      </c>
      <c r="R40" s="546">
        <f t="shared" ca="1" si="8"/>
        <v>0</v>
      </c>
      <c r="S40" s="147">
        <f t="shared" ca="1" si="0"/>
        <v>0</v>
      </c>
      <c r="T40" s="173"/>
      <c r="U40" s="136">
        <f t="shared" si="1"/>
        <v>0</v>
      </c>
      <c r="V40" s="136">
        <f t="shared" si="2"/>
        <v>9</v>
      </c>
      <c r="W40" s="136">
        <f t="shared" si="3"/>
        <v>9</v>
      </c>
      <c r="X40" s="136">
        <f t="shared" ca="1" si="4"/>
        <v>0</v>
      </c>
      <c r="Y40" s="136">
        <f t="shared" ca="1" si="5"/>
        <v>0</v>
      </c>
      <c r="Z40" s="136">
        <f t="shared" si="6"/>
        <v>0</v>
      </c>
      <c r="AA40" s="127"/>
      <c r="AB40" s="127"/>
      <c r="AC40" s="127"/>
      <c r="AD40" s="127">
        <f t="shared" si="7"/>
        <v>0.95250000000000001</v>
      </c>
      <c r="AE40" s="136"/>
      <c r="AF40" s="136"/>
    </row>
    <row r="41" spans="1:32" x14ac:dyDescent="0.25">
      <c r="A41" s="131"/>
      <c r="B41" s="677"/>
      <c r="C41" s="678"/>
      <c r="D41" s="678"/>
      <c r="E41" s="10">
        <v>0</v>
      </c>
      <c r="F41" s="10" t="s">
        <v>537</v>
      </c>
      <c r="G41" s="13">
        <v>0.5</v>
      </c>
      <c r="H41" s="11">
        <v>0</v>
      </c>
      <c r="I41" s="13">
        <v>0.25</v>
      </c>
      <c r="J41" s="10">
        <v>1</v>
      </c>
      <c r="K41" s="10" t="s">
        <v>541</v>
      </c>
      <c r="L41" s="354">
        <v>0.5</v>
      </c>
      <c r="M41" s="11">
        <v>0</v>
      </c>
      <c r="N41" s="13">
        <v>0.25</v>
      </c>
      <c r="O41" s="10">
        <v>1</v>
      </c>
      <c r="P41" s="10" t="s">
        <v>541</v>
      </c>
      <c r="Q41" s="13">
        <v>0.5</v>
      </c>
      <c r="R41" s="546">
        <f t="shared" ca="1" si="8"/>
        <v>0</v>
      </c>
      <c r="S41" s="147">
        <f t="shared" ca="1" si="0"/>
        <v>0</v>
      </c>
      <c r="T41" s="173"/>
      <c r="U41" s="136">
        <f t="shared" si="1"/>
        <v>0</v>
      </c>
      <c r="V41" s="136">
        <f t="shared" si="2"/>
        <v>9</v>
      </c>
      <c r="W41" s="136">
        <f t="shared" si="3"/>
        <v>9</v>
      </c>
      <c r="X41" s="136">
        <f t="shared" ca="1" si="4"/>
        <v>0</v>
      </c>
      <c r="Y41" s="136">
        <f t="shared" ca="1" si="5"/>
        <v>0</v>
      </c>
      <c r="Z41" s="136">
        <f t="shared" si="6"/>
        <v>0</v>
      </c>
      <c r="AA41" s="127"/>
      <c r="AB41" s="127"/>
      <c r="AC41" s="127"/>
      <c r="AD41" s="127">
        <f t="shared" si="7"/>
        <v>0.95250000000000001</v>
      </c>
      <c r="AE41" s="136"/>
      <c r="AF41" s="136"/>
    </row>
    <row r="42" spans="1:32" x14ac:dyDescent="0.25">
      <c r="A42" s="131"/>
      <c r="B42" s="677"/>
      <c r="C42" s="678"/>
      <c r="D42" s="678"/>
      <c r="E42" s="10">
        <v>0</v>
      </c>
      <c r="F42" s="10" t="s">
        <v>537</v>
      </c>
      <c r="G42" s="13">
        <v>0.5</v>
      </c>
      <c r="H42" s="11">
        <v>0</v>
      </c>
      <c r="I42" s="13">
        <v>0.25</v>
      </c>
      <c r="J42" s="10">
        <v>1</v>
      </c>
      <c r="K42" s="10" t="s">
        <v>541</v>
      </c>
      <c r="L42" s="354">
        <v>0.5</v>
      </c>
      <c r="M42" s="11">
        <v>0</v>
      </c>
      <c r="N42" s="13">
        <v>0.25</v>
      </c>
      <c r="O42" s="10">
        <v>1</v>
      </c>
      <c r="P42" s="10" t="s">
        <v>541</v>
      </c>
      <c r="Q42" s="13">
        <v>0.5</v>
      </c>
      <c r="R42" s="546">
        <f t="shared" ca="1" si="8"/>
        <v>0</v>
      </c>
      <c r="S42" s="147">
        <f t="shared" ca="1" si="0"/>
        <v>0</v>
      </c>
      <c r="T42" s="173"/>
      <c r="U42" s="136">
        <f t="shared" si="1"/>
        <v>0</v>
      </c>
      <c r="V42" s="136">
        <f t="shared" si="2"/>
        <v>9</v>
      </c>
      <c r="W42" s="136">
        <f t="shared" si="3"/>
        <v>9</v>
      </c>
      <c r="X42" s="136">
        <f t="shared" ca="1" si="4"/>
        <v>0</v>
      </c>
      <c r="Y42" s="136">
        <f t="shared" ca="1" si="5"/>
        <v>0</v>
      </c>
      <c r="Z42" s="136">
        <f t="shared" si="6"/>
        <v>0</v>
      </c>
      <c r="AA42" s="127"/>
      <c r="AB42" s="127"/>
      <c r="AC42" s="127"/>
      <c r="AD42" s="127">
        <f t="shared" si="7"/>
        <v>0.95250000000000001</v>
      </c>
      <c r="AE42" s="136"/>
      <c r="AF42" s="136"/>
    </row>
    <row r="43" spans="1:32" x14ac:dyDescent="0.25">
      <c r="A43" s="131"/>
      <c r="B43" s="677"/>
      <c r="C43" s="678"/>
      <c r="D43" s="678"/>
      <c r="E43" s="10">
        <v>0</v>
      </c>
      <c r="F43" s="10" t="s">
        <v>537</v>
      </c>
      <c r="G43" s="13">
        <v>0.5</v>
      </c>
      <c r="H43" s="11">
        <v>0</v>
      </c>
      <c r="I43" s="13">
        <v>0.25</v>
      </c>
      <c r="J43" s="10">
        <v>1</v>
      </c>
      <c r="K43" s="10" t="s">
        <v>541</v>
      </c>
      <c r="L43" s="354">
        <v>0.5</v>
      </c>
      <c r="M43" s="11">
        <v>0</v>
      </c>
      <c r="N43" s="13">
        <v>0.25</v>
      </c>
      <c r="O43" s="10">
        <v>1</v>
      </c>
      <c r="P43" s="10" t="s">
        <v>541</v>
      </c>
      <c r="Q43" s="13">
        <v>0.5</v>
      </c>
      <c r="R43" s="546">
        <f t="shared" ca="1" si="8"/>
        <v>0</v>
      </c>
      <c r="S43" s="147">
        <f t="shared" ca="1" si="0"/>
        <v>0</v>
      </c>
      <c r="T43" s="173"/>
      <c r="U43" s="136">
        <f t="shared" si="1"/>
        <v>0</v>
      </c>
      <c r="V43" s="136">
        <f t="shared" si="2"/>
        <v>9</v>
      </c>
      <c r="W43" s="136">
        <f t="shared" si="3"/>
        <v>9</v>
      </c>
      <c r="X43" s="136">
        <f t="shared" ca="1" si="4"/>
        <v>0</v>
      </c>
      <c r="Y43" s="136">
        <f t="shared" ca="1" si="5"/>
        <v>0</v>
      </c>
      <c r="Z43" s="136">
        <f t="shared" si="6"/>
        <v>0</v>
      </c>
      <c r="AA43" s="127"/>
      <c r="AB43" s="127"/>
      <c r="AC43" s="127"/>
      <c r="AD43" s="127">
        <f t="shared" si="7"/>
        <v>0.95250000000000001</v>
      </c>
      <c r="AE43" s="136"/>
      <c r="AF43" s="136"/>
    </row>
    <row r="44" spans="1:32" x14ac:dyDescent="0.25">
      <c r="A44" s="131"/>
      <c r="B44" s="677"/>
      <c r="C44" s="678"/>
      <c r="D44" s="678"/>
      <c r="E44" s="10">
        <v>0</v>
      </c>
      <c r="F44" s="10" t="s">
        <v>537</v>
      </c>
      <c r="G44" s="13">
        <v>0.5</v>
      </c>
      <c r="H44" s="11">
        <v>0</v>
      </c>
      <c r="I44" s="13">
        <v>0.25</v>
      </c>
      <c r="J44" s="10">
        <v>1</v>
      </c>
      <c r="K44" s="10" t="s">
        <v>541</v>
      </c>
      <c r="L44" s="354">
        <v>0.5</v>
      </c>
      <c r="M44" s="11">
        <v>0</v>
      </c>
      <c r="N44" s="13">
        <v>0.25</v>
      </c>
      <c r="O44" s="10">
        <v>1</v>
      </c>
      <c r="P44" s="10" t="s">
        <v>541</v>
      </c>
      <c r="Q44" s="13">
        <v>0.5</v>
      </c>
      <c r="R44" s="546">
        <f t="shared" ca="1" si="8"/>
        <v>0</v>
      </c>
      <c r="S44" s="147">
        <f t="shared" ca="1" si="0"/>
        <v>0</v>
      </c>
      <c r="T44" s="173"/>
      <c r="U44" s="136">
        <f t="shared" si="1"/>
        <v>0</v>
      </c>
      <c r="V44" s="136">
        <f t="shared" si="2"/>
        <v>9</v>
      </c>
      <c r="W44" s="136">
        <f t="shared" si="3"/>
        <v>9</v>
      </c>
      <c r="X44" s="136">
        <f t="shared" ca="1" si="4"/>
        <v>0</v>
      </c>
      <c r="Y44" s="136">
        <f t="shared" ca="1" si="5"/>
        <v>0</v>
      </c>
      <c r="Z44" s="136">
        <f t="shared" si="6"/>
        <v>0</v>
      </c>
      <c r="AA44" s="127"/>
      <c r="AB44" s="127"/>
      <c r="AC44" s="127"/>
      <c r="AD44" s="127">
        <f t="shared" si="7"/>
        <v>0.95250000000000001</v>
      </c>
      <c r="AE44" s="136"/>
      <c r="AF44" s="136"/>
    </row>
    <row r="45" spans="1:32" x14ac:dyDescent="0.25">
      <c r="A45" s="131"/>
      <c r="B45" s="677"/>
      <c r="C45" s="678"/>
      <c r="D45" s="678"/>
      <c r="E45" s="10">
        <v>0</v>
      </c>
      <c r="F45" s="10" t="s">
        <v>537</v>
      </c>
      <c r="G45" s="13">
        <v>0.5</v>
      </c>
      <c r="H45" s="11">
        <v>0</v>
      </c>
      <c r="I45" s="13">
        <v>0.25</v>
      </c>
      <c r="J45" s="10">
        <v>1</v>
      </c>
      <c r="K45" s="10" t="s">
        <v>541</v>
      </c>
      <c r="L45" s="354">
        <v>0.5</v>
      </c>
      <c r="M45" s="11">
        <v>0</v>
      </c>
      <c r="N45" s="13">
        <v>0.25</v>
      </c>
      <c r="O45" s="10">
        <v>1</v>
      </c>
      <c r="P45" s="10" t="s">
        <v>541</v>
      </c>
      <c r="Q45" s="13">
        <v>0.5</v>
      </c>
      <c r="R45" s="546">
        <f t="shared" ca="1" si="8"/>
        <v>0</v>
      </c>
      <c r="S45" s="147">
        <f t="shared" ca="1" si="0"/>
        <v>0</v>
      </c>
      <c r="T45" s="173"/>
      <c r="U45" s="136">
        <f t="shared" si="1"/>
        <v>0</v>
      </c>
      <c r="V45" s="136">
        <f t="shared" si="2"/>
        <v>9</v>
      </c>
      <c r="W45" s="136">
        <f t="shared" si="3"/>
        <v>9</v>
      </c>
      <c r="X45" s="136">
        <f t="shared" ca="1" si="4"/>
        <v>0</v>
      </c>
      <c r="Y45" s="136">
        <f t="shared" ca="1" si="5"/>
        <v>0</v>
      </c>
      <c r="Z45" s="136">
        <f t="shared" si="6"/>
        <v>0</v>
      </c>
      <c r="AA45" s="127"/>
      <c r="AB45" s="127"/>
      <c r="AC45" s="127"/>
      <c r="AD45" s="127">
        <f t="shared" si="7"/>
        <v>0.95250000000000001</v>
      </c>
      <c r="AE45" s="136"/>
      <c r="AF45" s="136"/>
    </row>
    <row r="46" spans="1:32" x14ac:dyDescent="0.25">
      <c r="A46" s="131"/>
      <c r="B46" s="677"/>
      <c r="C46" s="678"/>
      <c r="D46" s="678"/>
      <c r="E46" s="10">
        <v>0</v>
      </c>
      <c r="F46" s="10" t="s">
        <v>537</v>
      </c>
      <c r="G46" s="13">
        <v>0.5</v>
      </c>
      <c r="H46" s="11">
        <v>0</v>
      </c>
      <c r="I46" s="13">
        <v>0.25</v>
      </c>
      <c r="J46" s="10">
        <v>1</v>
      </c>
      <c r="K46" s="10" t="s">
        <v>541</v>
      </c>
      <c r="L46" s="354">
        <v>0.5</v>
      </c>
      <c r="M46" s="11">
        <v>0</v>
      </c>
      <c r="N46" s="13">
        <v>0.25</v>
      </c>
      <c r="O46" s="10">
        <v>1</v>
      </c>
      <c r="P46" s="10" t="s">
        <v>541</v>
      </c>
      <c r="Q46" s="13">
        <v>0.5</v>
      </c>
      <c r="R46" s="546">
        <f t="shared" ca="1" si="8"/>
        <v>0</v>
      </c>
      <c r="S46" s="147">
        <f t="shared" ca="1" si="0"/>
        <v>0</v>
      </c>
      <c r="T46" s="173"/>
      <c r="U46" s="136">
        <f t="shared" si="1"/>
        <v>0</v>
      </c>
      <c r="V46" s="136">
        <f t="shared" si="2"/>
        <v>9</v>
      </c>
      <c r="W46" s="136">
        <f t="shared" si="3"/>
        <v>9</v>
      </c>
      <c r="X46" s="136">
        <f t="shared" ca="1" si="4"/>
        <v>0</v>
      </c>
      <c r="Y46" s="136">
        <f t="shared" ca="1" si="5"/>
        <v>0</v>
      </c>
      <c r="Z46" s="136">
        <f t="shared" si="6"/>
        <v>0</v>
      </c>
      <c r="AA46" s="127"/>
      <c r="AB46" s="127"/>
      <c r="AC46" s="127"/>
      <c r="AD46" s="127">
        <f t="shared" si="7"/>
        <v>0.95250000000000001</v>
      </c>
      <c r="AE46" s="136"/>
      <c r="AF46" s="136"/>
    </row>
    <row r="47" spans="1:32" x14ac:dyDescent="0.25">
      <c r="A47" s="131"/>
      <c r="B47" s="677"/>
      <c r="C47" s="678"/>
      <c r="D47" s="678"/>
      <c r="E47" s="10">
        <v>0</v>
      </c>
      <c r="F47" s="10" t="s">
        <v>537</v>
      </c>
      <c r="G47" s="13">
        <v>0.5</v>
      </c>
      <c r="H47" s="11">
        <v>0</v>
      </c>
      <c r="I47" s="13">
        <v>0.25</v>
      </c>
      <c r="J47" s="10">
        <v>1</v>
      </c>
      <c r="K47" s="10" t="s">
        <v>541</v>
      </c>
      <c r="L47" s="354">
        <v>0.5</v>
      </c>
      <c r="M47" s="11">
        <v>0</v>
      </c>
      <c r="N47" s="13">
        <v>0.25</v>
      </c>
      <c r="O47" s="10">
        <v>1</v>
      </c>
      <c r="P47" s="10" t="s">
        <v>541</v>
      </c>
      <c r="Q47" s="13">
        <v>0.5</v>
      </c>
      <c r="R47" s="546">
        <f t="shared" ca="1" si="8"/>
        <v>0</v>
      </c>
      <c r="S47" s="147">
        <f t="shared" ca="1" si="0"/>
        <v>0</v>
      </c>
      <c r="T47" s="173"/>
      <c r="U47" s="136">
        <f t="shared" si="1"/>
        <v>0</v>
      </c>
      <c r="V47" s="136">
        <f t="shared" si="2"/>
        <v>9</v>
      </c>
      <c r="W47" s="136">
        <f t="shared" si="3"/>
        <v>9</v>
      </c>
      <c r="X47" s="136">
        <f t="shared" ca="1" si="4"/>
        <v>0</v>
      </c>
      <c r="Y47" s="136">
        <f t="shared" ca="1" si="5"/>
        <v>0</v>
      </c>
      <c r="Z47" s="136">
        <f t="shared" si="6"/>
        <v>0</v>
      </c>
      <c r="AA47" s="127"/>
      <c r="AB47" s="127"/>
      <c r="AC47" s="127"/>
      <c r="AD47" s="127">
        <f t="shared" si="7"/>
        <v>0.95250000000000001</v>
      </c>
      <c r="AE47" s="136"/>
      <c r="AF47" s="136"/>
    </row>
    <row r="48" spans="1:32" x14ac:dyDescent="0.25">
      <c r="A48" s="131"/>
      <c r="B48" s="677"/>
      <c r="C48" s="678"/>
      <c r="D48" s="678"/>
      <c r="E48" s="10">
        <v>0</v>
      </c>
      <c r="F48" s="10" t="s">
        <v>537</v>
      </c>
      <c r="G48" s="13">
        <v>0.5</v>
      </c>
      <c r="H48" s="11">
        <v>0</v>
      </c>
      <c r="I48" s="13">
        <v>0.25</v>
      </c>
      <c r="J48" s="10">
        <v>1</v>
      </c>
      <c r="K48" s="10" t="s">
        <v>541</v>
      </c>
      <c r="L48" s="354">
        <v>0.5</v>
      </c>
      <c r="M48" s="11">
        <v>0</v>
      </c>
      <c r="N48" s="13">
        <v>0.25</v>
      </c>
      <c r="O48" s="10">
        <v>1</v>
      </c>
      <c r="P48" s="10" t="s">
        <v>541</v>
      </c>
      <c r="Q48" s="13">
        <v>0.5</v>
      </c>
      <c r="R48" s="546">
        <f t="shared" ca="1" si="8"/>
        <v>0</v>
      </c>
      <c r="S48" s="147">
        <f t="shared" ca="1" si="0"/>
        <v>0</v>
      </c>
      <c r="T48" s="173"/>
      <c r="U48" s="136">
        <f t="shared" si="1"/>
        <v>0</v>
      </c>
      <c r="V48" s="136">
        <f t="shared" si="2"/>
        <v>9</v>
      </c>
      <c r="W48" s="136">
        <f t="shared" si="3"/>
        <v>9</v>
      </c>
      <c r="X48" s="136">
        <f t="shared" ca="1" si="4"/>
        <v>0</v>
      </c>
      <c r="Y48" s="136">
        <f t="shared" ca="1" si="5"/>
        <v>0</v>
      </c>
      <c r="Z48" s="136">
        <f t="shared" si="6"/>
        <v>0</v>
      </c>
      <c r="AA48" s="127"/>
      <c r="AB48" s="127"/>
      <c r="AC48" s="127"/>
      <c r="AD48" s="127">
        <f t="shared" si="7"/>
        <v>0.95250000000000001</v>
      </c>
      <c r="AE48" s="136"/>
      <c r="AF48" s="136"/>
    </row>
    <row r="49" spans="1:32" x14ac:dyDescent="0.25">
      <c r="A49" s="131"/>
      <c r="B49" s="677"/>
      <c r="C49" s="678"/>
      <c r="D49" s="678"/>
      <c r="E49" s="10">
        <v>0</v>
      </c>
      <c r="F49" s="10" t="s">
        <v>537</v>
      </c>
      <c r="G49" s="13">
        <v>0.5</v>
      </c>
      <c r="H49" s="11">
        <v>0</v>
      </c>
      <c r="I49" s="13">
        <v>0.25</v>
      </c>
      <c r="J49" s="10">
        <v>1</v>
      </c>
      <c r="K49" s="10" t="s">
        <v>541</v>
      </c>
      <c r="L49" s="354">
        <v>0.5</v>
      </c>
      <c r="M49" s="11">
        <v>0</v>
      </c>
      <c r="N49" s="13">
        <v>0.25</v>
      </c>
      <c r="O49" s="10">
        <v>1</v>
      </c>
      <c r="P49" s="10" t="s">
        <v>541</v>
      </c>
      <c r="Q49" s="13">
        <v>0.5</v>
      </c>
      <c r="R49" s="546">
        <f t="shared" ca="1" si="8"/>
        <v>0</v>
      </c>
      <c r="S49" s="147">
        <f t="shared" ca="1" si="0"/>
        <v>0</v>
      </c>
      <c r="T49" s="173"/>
      <c r="U49" s="136">
        <f t="shared" si="1"/>
        <v>0</v>
      </c>
      <c r="V49" s="136">
        <f t="shared" si="2"/>
        <v>9</v>
      </c>
      <c r="W49" s="136">
        <f t="shared" si="3"/>
        <v>9</v>
      </c>
      <c r="X49" s="136">
        <f t="shared" ca="1" si="4"/>
        <v>0</v>
      </c>
      <c r="Y49" s="136">
        <f t="shared" ca="1" si="5"/>
        <v>0</v>
      </c>
      <c r="Z49" s="136">
        <f t="shared" si="6"/>
        <v>0</v>
      </c>
      <c r="AA49" s="127"/>
      <c r="AB49" s="127"/>
      <c r="AC49" s="127"/>
      <c r="AD49" s="127">
        <f t="shared" si="7"/>
        <v>0.95250000000000001</v>
      </c>
      <c r="AE49" s="136"/>
      <c r="AF49" s="136"/>
    </row>
    <row r="50" spans="1:32" ht="13.8" thickBot="1" x14ac:dyDescent="0.3">
      <c r="A50" s="131"/>
      <c r="B50" s="682"/>
      <c r="C50" s="683"/>
      <c r="D50" s="683"/>
      <c r="E50" s="121">
        <v>0</v>
      </c>
      <c r="F50" s="121" t="s">
        <v>537</v>
      </c>
      <c r="G50" s="139">
        <v>0.5</v>
      </c>
      <c r="H50" s="120">
        <v>0</v>
      </c>
      <c r="I50" s="139">
        <v>0.25</v>
      </c>
      <c r="J50" s="121">
        <v>1</v>
      </c>
      <c r="K50" s="121" t="s">
        <v>541</v>
      </c>
      <c r="L50" s="355">
        <v>0.5</v>
      </c>
      <c r="M50" s="120">
        <v>0</v>
      </c>
      <c r="N50" s="139">
        <v>0.25</v>
      </c>
      <c r="O50" s="121">
        <v>1</v>
      </c>
      <c r="P50" s="121" t="s">
        <v>541</v>
      </c>
      <c r="Q50" s="139">
        <v>0.5</v>
      </c>
      <c r="R50" s="547">
        <f t="shared" ca="1" si="8"/>
        <v>0</v>
      </c>
      <c r="S50" s="189">
        <f t="shared" ca="1" si="0"/>
        <v>0</v>
      </c>
      <c r="T50" s="173"/>
      <c r="U50" s="136">
        <f t="shared" si="1"/>
        <v>0</v>
      </c>
      <c r="V50" s="136">
        <f t="shared" si="2"/>
        <v>9</v>
      </c>
      <c r="W50" s="136">
        <f t="shared" si="3"/>
        <v>9</v>
      </c>
      <c r="X50" s="136">
        <f t="shared" ca="1" si="4"/>
        <v>0</v>
      </c>
      <c r="Y50" s="136">
        <f t="shared" ca="1" si="5"/>
        <v>0</v>
      </c>
      <c r="Z50" s="136">
        <f t="shared" si="6"/>
        <v>0</v>
      </c>
      <c r="AA50" s="127"/>
      <c r="AB50" s="127"/>
      <c r="AC50" s="127"/>
      <c r="AD50" s="127">
        <f t="shared" si="7"/>
        <v>0.95250000000000001</v>
      </c>
      <c r="AE50" s="136"/>
      <c r="AF50" s="136"/>
    </row>
    <row r="51" spans="1:32" ht="15" x14ac:dyDescent="0.25">
      <c r="A51" s="136"/>
      <c r="B51" s="150"/>
      <c r="C51" s="150"/>
      <c r="D51" s="150"/>
      <c r="E51" s="151"/>
      <c r="F51" s="151"/>
      <c r="G51" s="151"/>
      <c r="H51" s="136"/>
      <c r="I51" s="136"/>
      <c r="J51" s="136"/>
      <c r="K51" s="136"/>
      <c r="L51" s="136"/>
      <c r="M51" s="136"/>
      <c r="N51" s="136"/>
      <c r="O51" s="136"/>
      <c r="P51" s="127"/>
      <c r="Q51" s="136"/>
      <c r="R51" s="269"/>
      <c r="S51" s="269"/>
      <c r="T51" s="136"/>
      <c r="U51" s="127"/>
      <c r="V51" s="127"/>
      <c r="W51" s="136"/>
      <c r="X51" s="127"/>
      <c r="Y51" s="127"/>
      <c r="Z51" s="127"/>
      <c r="AA51" s="127"/>
      <c r="AB51" s="127"/>
      <c r="AC51" s="136"/>
      <c r="AD51" s="136"/>
      <c r="AE51" s="127"/>
      <c r="AF51" s="127"/>
    </row>
    <row r="52" spans="1:32" x14ac:dyDescent="0.25">
      <c r="A52" s="136"/>
      <c r="B52" s="136"/>
      <c r="C52" s="136"/>
      <c r="D52" s="136"/>
      <c r="E52" s="136"/>
      <c r="F52" s="136"/>
      <c r="G52" s="136"/>
      <c r="H52" s="136"/>
      <c r="I52" s="136"/>
      <c r="J52" s="136"/>
      <c r="K52" s="136"/>
      <c r="L52" s="136"/>
      <c r="M52" s="136"/>
      <c r="N52" s="136"/>
      <c r="O52" s="136"/>
      <c r="P52" s="136"/>
      <c r="Q52" s="136"/>
      <c r="R52" s="136"/>
      <c r="S52" s="136"/>
      <c r="T52" s="136"/>
      <c r="U52" s="127"/>
      <c r="V52" s="127"/>
      <c r="W52" s="136"/>
      <c r="X52" s="127"/>
      <c r="Y52" s="127"/>
      <c r="Z52" s="127"/>
      <c r="AA52" s="127"/>
      <c r="AB52" s="127"/>
      <c r="AC52" s="136"/>
      <c r="AD52" s="136"/>
      <c r="AE52" s="127"/>
      <c r="AF52" s="127"/>
    </row>
    <row r="53" spans="1:32" ht="15" x14ac:dyDescent="0.25">
      <c r="A53" s="136"/>
      <c r="B53" s="150"/>
      <c r="C53" s="150"/>
      <c r="D53" s="150"/>
      <c r="E53" s="153"/>
      <c r="F53" s="153"/>
      <c r="G53" s="153"/>
      <c r="H53" s="136"/>
      <c r="I53" s="136"/>
      <c r="J53" s="136"/>
      <c r="K53" s="136"/>
      <c r="L53" s="136"/>
      <c r="M53" s="136"/>
      <c r="N53" s="136"/>
      <c r="O53" s="136"/>
      <c r="P53" s="136"/>
      <c r="Q53" s="150"/>
      <c r="R53" s="154"/>
      <c r="S53" s="154"/>
      <c r="T53" s="136"/>
      <c r="U53" s="136"/>
      <c r="V53" s="136"/>
      <c r="W53" s="127"/>
      <c r="X53" s="313"/>
      <c r="Y53" s="136"/>
      <c r="Z53" s="127"/>
      <c r="AA53" s="127"/>
      <c r="AB53" s="127"/>
      <c r="AC53" s="127"/>
      <c r="AD53" s="127"/>
      <c r="AE53" s="136"/>
      <c r="AF53" s="136"/>
    </row>
    <row r="54" spans="1:32" x14ac:dyDescent="0.25">
      <c r="A54" s="136"/>
      <c r="B54" s="136"/>
      <c r="C54" s="136"/>
      <c r="D54" s="136"/>
      <c r="E54" s="136"/>
      <c r="F54" s="136"/>
      <c r="G54" s="136"/>
      <c r="H54" s="136"/>
      <c r="I54" s="136"/>
      <c r="J54" s="136"/>
      <c r="K54" s="136"/>
      <c r="L54" s="136"/>
      <c r="M54" s="136"/>
      <c r="N54" s="136"/>
      <c r="O54" s="136"/>
      <c r="P54" s="136"/>
      <c r="Q54" s="136"/>
      <c r="R54" s="136"/>
      <c r="S54" s="136"/>
      <c r="T54" s="136"/>
      <c r="U54" s="136"/>
      <c r="V54" s="136"/>
      <c r="W54" s="136"/>
      <c r="X54" s="127"/>
      <c r="Y54" s="127"/>
      <c r="Z54" s="127"/>
      <c r="AA54" s="127"/>
      <c r="AB54" s="127"/>
      <c r="AC54" s="136"/>
      <c r="AD54" s="136"/>
      <c r="AE54" s="127"/>
      <c r="AF54" s="127"/>
    </row>
    <row r="55" spans="1:32" x14ac:dyDescent="0.25">
      <c r="A55" s="127"/>
      <c r="B55" s="127"/>
      <c r="C55" s="127"/>
      <c r="D55" s="127"/>
      <c r="E55" s="127"/>
      <c r="F55" s="127"/>
      <c r="G55" s="127"/>
      <c r="H55" s="127"/>
      <c r="I55" s="127"/>
      <c r="J55" s="127"/>
      <c r="K55" s="127"/>
      <c r="L55" s="127"/>
      <c r="M55" s="127"/>
      <c r="N55" s="127"/>
      <c r="O55" s="127"/>
      <c r="P55" s="127"/>
      <c r="Q55" s="127" t="s">
        <v>535</v>
      </c>
      <c r="R55" s="127"/>
      <c r="S55" s="127"/>
      <c r="T55" s="127"/>
      <c r="U55" s="127"/>
      <c r="V55" s="127"/>
      <c r="W55" s="127"/>
      <c r="X55" s="127"/>
      <c r="Y55" s="127"/>
      <c r="Z55" s="127"/>
      <c r="AA55" s="127"/>
      <c r="AB55" s="127"/>
      <c r="AC55" s="127"/>
      <c r="AD55" s="127"/>
      <c r="AE55" s="127"/>
      <c r="AF55" s="127"/>
    </row>
    <row r="56" spans="1:32" x14ac:dyDescent="0.25">
      <c r="A56" s="127"/>
      <c r="B56" s="127"/>
      <c r="C56" s="127"/>
      <c r="D56" s="127"/>
      <c r="E56" s="127"/>
      <c r="F56" s="127"/>
      <c r="G56" s="127"/>
      <c r="H56" s="127"/>
      <c r="I56" s="127"/>
      <c r="J56" s="127"/>
      <c r="K56" s="127"/>
      <c r="L56" s="127"/>
      <c r="M56" s="127"/>
      <c r="N56" s="127"/>
      <c r="O56" s="127"/>
      <c r="P56" s="127"/>
      <c r="Q56" s="173" t="s">
        <v>536</v>
      </c>
      <c r="R56" s="173"/>
      <c r="S56" s="173"/>
      <c r="T56" s="127"/>
      <c r="U56" s="127"/>
      <c r="V56" s="127"/>
      <c r="W56" s="127"/>
      <c r="X56" s="127"/>
      <c r="Y56" s="127"/>
      <c r="Z56" s="127"/>
      <c r="AA56" s="127"/>
      <c r="AB56" s="127"/>
      <c r="AC56" s="127"/>
      <c r="AD56" s="127"/>
      <c r="AE56" s="127"/>
      <c r="AF56" s="127"/>
    </row>
    <row r="57" spans="1:32" x14ac:dyDescent="0.25">
      <c r="A57" s="127"/>
      <c r="B57" s="127"/>
      <c r="C57" s="127"/>
      <c r="D57" s="127"/>
      <c r="E57" s="127"/>
      <c r="F57" s="127"/>
      <c r="G57" s="127"/>
      <c r="H57" s="127"/>
      <c r="I57" s="127"/>
      <c r="J57" s="127"/>
      <c r="K57" s="127"/>
      <c r="L57" s="127"/>
      <c r="M57" s="127"/>
      <c r="N57" s="127"/>
      <c r="O57" s="127"/>
      <c r="P57" s="127"/>
      <c r="Q57" s="173" t="s">
        <v>537</v>
      </c>
      <c r="R57" s="173"/>
      <c r="S57" s="173"/>
      <c r="T57" s="127"/>
      <c r="U57" s="127"/>
      <c r="V57" s="127"/>
      <c r="W57" s="127"/>
      <c r="X57" s="127"/>
      <c r="Y57" s="127"/>
      <c r="Z57" s="127"/>
      <c r="AA57" s="127"/>
      <c r="AB57" s="127"/>
      <c r="AC57" s="127"/>
      <c r="AD57" s="127"/>
      <c r="AE57" s="127"/>
      <c r="AF57" s="127"/>
    </row>
    <row r="58" spans="1:32" x14ac:dyDescent="0.25">
      <c r="A58" s="127"/>
      <c r="B58" s="127"/>
      <c r="C58" s="127"/>
      <c r="D58" s="127"/>
      <c r="E58" s="127"/>
      <c r="F58" s="127"/>
      <c r="G58" s="127"/>
      <c r="H58" s="127"/>
      <c r="I58" s="127"/>
      <c r="J58" s="127"/>
      <c r="K58" s="127"/>
      <c r="L58" s="127"/>
      <c r="M58" s="127"/>
      <c r="N58" s="127"/>
      <c r="O58" s="127"/>
      <c r="P58" s="127"/>
      <c r="Q58" s="173" t="s">
        <v>534</v>
      </c>
      <c r="R58" s="173"/>
      <c r="S58" s="173"/>
      <c r="T58" s="127"/>
      <c r="U58" s="127"/>
      <c r="V58" s="127"/>
      <c r="W58" s="127"/>
      <c r="X58" s="127"/>
      <c r="Y58" s="127"/>
      <c r="Z58" s="127"/>
      <c r="AA58" s="127"/>
      <c r="AB58" s="127"/>
      <c r="AC58" s="127"/>
      <c r="AD58" s="127"/>
      <c r="AE58" s="127"/>
      <c r="AF58" s="127"/>
    </row>
    <row r="59" spans="1:32"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row>
    <row r="60" spans="1:32"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row>
    <row r="61" spans="1:32"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row>
    <row r="62" spans="1:32"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row>
    <row r="63" spans="1:32"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row>
    <row r="64" spans="1:32"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row>
    <row r="65" spans="1:32"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row>
    <row r="66" spans="1:32"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row>
    <row r="67" spans="1:32"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row>
    <row r="68" spans="1:32"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row>
    <row r="69" spans="1:32"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row>
    <row r="70" spans="1:32"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row>
    <row r="71" spans="1:32"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row>
    <row r="72" spans="1:32"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row>
    <row r="73" spans="1:32"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row>
    <row r="74" spans="1:32"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row>
    <row r="75" spans="1:32"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row>
    <row r="76" spans="1:32"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row>
    <row r="77" spans="1:32"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row>
    <row r="78" spans="1:32"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row>
    <row r="79" spans="1:32"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row>
    <row r="80" spans="1:32"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row>
    <row r="81" spans="1:32"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row>
    <row r="82" spans="1:32"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row>
    <row r="83" spans="1:32"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row>
    <row r="84" spans="1:32"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row>
    <row r="85" spans="1:32"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row>
    <row r="86" spans="1:32"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row>
    <row r="87" spans="1:32"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row>
    <row r="88" spans="1:32"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row>
    <row r="89" spans="1:32"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row>
    <row r="90" spans="1:32"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row>
    <row r="91" spans="1:32"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row>
    <row r="92" spans="1:32"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row>
    <row r="93" spans="1:32"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row>
    <row r="94" spans="1:32"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row>
    <row r="95" spans="1:32"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row>
    <row r="96" spans="1:32"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row>
    <row r="97" spans="1:32"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row>
    <row r="98" spans="1:32"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row>
    <row r="99" spans="1:32"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row>
    <row r="100" spans="1:32"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row>
    <row r="101" spans="1:32"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row>
    <row r="102" spans="1:32"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row>
    <row r="103" spans="1:32"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row>
    <row r="104" spans="1:32"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row>
    <row r="105" spans="1:32"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row>
    <row r="106" spans="1:32"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row>
    <row r="107" spans="1:32"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row>
    <row r="108" spans="1:32"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row>
    <row r="109" spans="1:32"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row>
    <row r="110" spans="1:32"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row>
    <row r="111" spans="1:32"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row>
    <row r="112" spans="1:32"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row>
    <row r="113" spans="1:32"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row>
    <row r="114" spans="1:32"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row>
    <row r="115" spans="1:32"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row>
    <row r="116" spans="1:32"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row>
    <row r="117" spans="1:32"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row>
    <row r="118" spans="1:32"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row>
    <row r="119" spans="1:32"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row>
    <row r="120" spans="1:32"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row>
    <row r="121" spans="1:32"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row>
    <row r="122" spans="1:32"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row>
    <row r="123" spans="1:32"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row>
  </sheetData>
  <sheetProtection password="CF7D" sheet="1" objects="1" scenarios="1"/>
  <mergeCells count="51">
    <mergeCell ref="B44:D44"/>
    <mergeCell ref="B1:S1"/>
    <mergeCell ref="B41:D41"/>
    <mergeCell ref="B42:D42"/>
    <mergeCell ref="B43:D43"/>
    <mergeCell ref="B31:D31"/>
    <mergeCell ref="B32:D32"/>
    <mergeCell ref="B28:D28"/>
    <mergeCell ref="B30:D30"/>
    <mergeCell ref="B23:D23"/>
    <mergeCell ref="B26:D26"/>
    <mergeCell ref="B40:D40"/>
    <mergeCell ref="B22:D22"/>
    <mergeCell ref="B24:D24"/>
    <mergeCell ref="B25:D25"/>
    <mergeCell ref="B36:D36"/>
    <mergeCell ref="B45:D45"/>
    <mergeCell ref="B50:D50"/>
    <mergeCell ref="B46:D46"/>
    <mergeCell ref="B49:D49"/>
    <mergeCell ref="B47:D47"/>
    <mergeCell ref="B48:D48"/>
    <mergeCell ref="B37:D37"/>
    <mergeCell ref="B38:D38"/>
    <mergeCell ref="B39:D39"/>
    <mergeCell ref="B14:D14"/>
    <mergeCell ref="B19:D19"/>
    <mergeCell ref="B20:D20"/>
    <mergeCell ref="B21:D21"/>
    <mergeCell ref="B17:D17"/>
    <mergeCell ref="B15:D15"/>
    <mergeCell ref="B16:D16"/>
    <mergeCell ref="B18:D18"/>
    <mergeCell ref="B33:D33"/>
    <mergeCell ref="B34:D34"/>
    <mergeCell ref="B29:D29"/>
    <mergeCell ref="B27:D27"/>
    <mergeCell ref="B35:D35"/>
    <mergeCell ref="B13:D13"/>
    <mergeCell ref="B12:D12"/>
    <mergeCell ref="M7:Q7"/>
    <mergeCell ref="H7:L7"/>
    <mergeCell ref="B8:D8"/>
    <mergeCell ref="B9:D9"/>
    <mergeCell ref="B10:D10"/>
    <mergeCell ref="B11:D11"/>
    <mergeCell ref="B3:D3"/>
    <mergeCell ref="B5:D5"/>
    <mergeCell ref="G4:H4"/>
    <mergeCell ref="G5:H5"/>
    <mergeCell ref="G3:J3"/>
  </mergeCells>
  <phoneticPr fontId="2" type="noConversion"/>
  <conditionalFormatting sqref="G5:J5">
    <cfRule type="expression" dxfId="31" priority="3" stopIfTrue="1">
      <formula>ISSTA=0</formula>
    </cfRule>
  </conditionalFormatting>
  <conditionalFormatting sqref="H9:H50 M9:M50">
    <cfRule type="cellIs" dxfId="30" priority="9" stopIfTrue="1" operator="greaterThan">
      <formula>1000</formula>
    </cfRule>
  </conditionalFormatting>
  <conditionalFormatting sqref="H9:I50 K9:L50">
    <cfRule type="expression" dxfId="29" priority="2" stopIfTrue="1">
      <formula>$J9=0</formula>
    </cfRule>
  </conditionalFormatting>
  <conditionalFormatting sqref="J4:J5">
    <cfRule type="expression" dxfId="28" priority="5" stopIfTrue="1">
      <formula>$K$4/NUM_BRAMS&gt;1</formula>
    </cfRule>
  </conditionalFormatting>
  <conditionalFormatting sqref="M9:N50 P9:Q50">
    <cfRule type="expression" dxfId="27" priority="1" stopIfTrue="1">
      <formula>$O9=0</formula>
    </cfRule>
  </conditionalFormatting>
  <conditionalFormatting sqref="R9:S50">
    <cfRule type="cellIs" dxfId="26" priority="4" stopIfTrue="1" operator="lessThanOrEqual">
      <formula>0</formula>
    </cfRule>
  </conditionalFormatting>
  <dataValidations count="7">
    <dataValidation type="decimal" operator="greaterThanOrEqual" allowBlank="1" showInputMessage="1" showErrorMessage="1" errorTitle="Invalid Clock Frequency" error="The clock frequency must be a decimal number greater than 0.0." sqref="H9:H50 M9:M50" xr:uid="{00000000-0002-0000-0400-000000000000}">
      <formula1>0</formula1>
    </dataValidation>
    <dataValidation type="decimal" allowBlank="1" showInputMessage="1" showErrorMessage="1" errorTitle="Invalid Rate Setting" error="Rate must be between 0% and 100%." sqref="G9:G50 I9:I50 Q9:Q50 L9:L50 N9:N50" xr:uid="{00000000-0002-0000-0400-000001000000}">
      <formula1>0</formula1>
      <formula2>1</formula2>
    </dataValidation>
    <dataValidation type="list" allowBlank="1" showInputMessage="1" showErrorMessage="1" errorTitle="Invalid BRAM write mode" error="Use the drop down or enter a valid write mode. Allowed values are: WRITE_FIRST, READ_FIRST, NO_CHANGE" sqref="P9:P50 K9:K50" xr:uid="{00000000-0002-0000-0400-000002000000}">
      <formula1>"WRITE_FIRST,READ_FIRST,NO_CHANGE"</formula1>
    </dataValidation>
    <dataValidation type="list" allowBlank="1" showInputMessage="1" showErrorMessage="1" errorTitle="Invalid RAMB configuration mode" error="Use the drop down or enter a valid configuration mode." sqref="F9:F50" xr:uid="{00000000-0002-0000-0400-000003000000}">
      <formula1>"RAMB9,RAMB18"</formula1>
    </dataValidation>
    <dataValidation type="whole" operator="greaterThanOrEqual" allowBlank="1" showInputMessage="1" showErrorMessage="1" errorTitle="Invalid Number of BRAM" error="The number of BRAMs must be an integer greater than 0." sqref="E9:E50" xr:uid="{00000000-0002-0000-0400-000004000000}">
      <formula1>0</formula1>
    </dataValidation>
    <dataValidation type="list" allowBlank="1" showInputMessage="1" showErrorMessage="1" errorTitle="Invalid BRAM Data Width" error="Use the drop down or enter a valid data width for PortA of BRAM. Allowed values are: 0, 1, 2, 4, 9, 18, 36" sqref="J9:J50" xr:uid="{00000000-0002-0000-0400-000005000000}">
      <formula1>"0,1,2,4,9,18,36"</formula1>
    </dataValidation>
    <dataValidation type="list" allowBlank="1" showInputMessage="1" showErrorMessage="1" errorTitle="Invalid BRAM Data Width" error="Use the drop down or enter a valid data width for PortB of BRAM. Allowed values are: 0, 1, 2, 4, 9, 18, 36" sqref="O9:O50" xr:uid="{00000000-0002-0000-0400-000006000000}">
      <formula1>"0,1,2,4,9,18,36"</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158" r:id="rId4" name="Summary">
          <controlPr defaultSize="0" autoLine="0" r:id="rId5">
            <anchor moveWithCells="1">
              <from>
                <xdr:col>1</xdr:col>
                <xdr:colOff>38100</xdr:colOff>
                <xdr:row>0</xdr:row>
                <xdr:rowOff>38100</xdr:rowOff>
              </from>
              <to>
                <xdr:col>2</xdr:col>
                <xdr:colOff>464820</xdr:colOff>
                <xdr:row>0</xdr:row>
                <xdr:rowOff>312420</xdr:rowOff>
              </to>
            </anchor>
          </controlPr>
        </control>
      </mc:Choice>
      <mc:Fallback>
        <control shapeId="1158" r:id="rId4" name="Summary"/>
      </mc:Fallback>
    </mc:AlternateContent>
  </control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4"/>
  <dimension ref="A1:AJ124"/>
  <sheetViews>
    <sheetView topLeftCell="A2" workbookViewId="0">
      <selection activeCell="B8" sqref="B8:D8"/>
    </sheetView>
  </sheetViews>
  <sheetFormatPr baseColWidth="10" defaultColWidth="9" defaultRowHeight="13.2" x14ac:dyDescent="0.25"/>
  <cols>
    <col min="1" max="1" width="2.77734375" customWidth="1"/>
    <col min="2" max="4" width="11.6640625" customWidth="1"/>
    <col min="5" max="6" width="10.77734375" customWidth="1"/>
    <col min="7" max="8" width="10.77734375" hidden="1" customWidth="1"/>
    <col min="9" max="18" width="10.77734375" customWidth="1"/>
  </cols>
  <sheetData>
    <row r="1" spans="1:36" ht="27.9" customHeight="1" x14ac:dyDescent="0.4">
      <c r="A1" s="269"/>
      <c r="B1" s="687" t="str">
        <f>IF(ISSTA=1,"DSP48A1 Power","DSP48A Power")</f>
        <v>DSP48A1 Power</v>
      </c>
      <c r="C1" s="876"/>
      <c r="D1" s="876"/>
      <c r="E1" s="876"/>
      <c r="F1" s="876"/>
      <c r="G1" s="876"/>
      <c r="H1" s="876"/>
      <c r="I1" s="876"/>
      <c r="J1" s="876"/>
      <c r="K1" s="876"/>
      <c r="L1" s="876"/>
      <c r="M1" s="876"/>
      <c r="N1" s="876"/>
      <c r="O1" s="876"/>
      <c r="P1" s="127"/>
      <c r="Q1" s="127"/>
      <c r="R1" s="127">
        <f>IF(ISSTA=1,3,1)</f>
        <v>3</v>
      </c>
      <c r="S1" s="127" t="s">
        <v>554</v>
      </c>
      <c r="T1" s="127"/>
      <c r="U1" s="127"/>
      <c r="V1" s="127"/>
      <c r="W1" s="127"/>
      <c r="X1" s="127"/>
      <c r="Y1" s="127"/>
      <c r="Z1" s="127"/>
      <c r="AA1" s="127"/>
      <c r="AB1" s="127"/>
      <c r="AC1" s="127"/>
      <c r="AD1" s="127"/>
      <c r="AE1" s="127"/>
      <c r="AF1" s="127"/>
      <c r="AG1" s="127"/>
      <c r="AH1" s="127"/>
      <c r="AI1" s="127"/>
      <c r="AJ1" s="127"/>
    </row>
    <row r="2" spans="1:36" ht="15.75" customHeight="1" thickBot="1" x14ac:dyDescent="0.3">
      <c r="A2" s="269"/>
      <c r="B2" s="126"/>
      <c r="C2" s="126"/>
      <c r="D2" s="126"/>
      <c r="E2" s="127"/>
      <c r="F2" s="127"/>
      <c r="G2" s="127"/>
      <c r="H2" s="127"/>
      <c r="I2" s="127"/>
      <c r="J2" s="127"/>
      <c r="K2" s="127"/>
      <c r="L2" s="127"/>
      <c r="M2" s="127"/>
      <c r="N2" s="127"/>
      <c r="O2" s="127"/>
      <c r="P2" s="127"/>
      <c r="Q2" s="127"/>
      <c r="R2" s="127"/>
      <c r="S2" s="127"/>
      <c r="T2" s="127"/>
      <c r="U2" s="127"/>
      <c r="V2" s="127"/>
      <c r="W2" s="127"/>
      <c r="X2" s="127"/>
      <c r="Y2" s="127"/>
      <c r="Z2" s="127"/>
      <c r="AA2" s="127"/>
      <c r="AB2" s="127"/>
      <c r="AC2" s="127"/>
      <c r="AD2" s="127"/>
      <c r="AE2" s="127"/>
      <c r="AF2" s="127"/>
      <c r="AG2" s="127"/>
      <c r="AH2" s="127"/>
      <c r="AI2" s="127"/>
      <c r="AJ2" s="127"/>
    </row>
    <row r="3" spans="1:36" ht="18" customHeight="1" x14ac:dyDescent="0.25">
      <c r="A3" s="269"/>
      <c r="B3" s="715" t="s">
        <v>1115</v>
      </c>
      <c r="C3" s="716"/>
      <c r="D3" s="717"/>
      <c r="E3" s="127"/>
      <c r="F3" s="863" t="s">
        <v>140</v>
      </c>
      <c r="G3" s="864"/>
      <c r="H3" s="864"/>
      <c r="I3" s="864"/>
      <c r="J3" s="865"/>
      <c r="K3" s="352"/>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row>
    <row r="4" spans="1:36" ht="18" customHeight="1" thickBot="1" x14ac:dyDescent="0.3">
      <c r="A4" s="269"/>
      <c r="B4" s="407" t="s">
        <v>1217</v>
      </c>
      <c r="C4" s="523">
        <f>VCCINT</f>
        <v>1.2</v>
      </c>
      <c r="D4" s="117">
        <f ca="1">SUM(O8:O50)</f>
        <v>0</v>
      </c>
      <c r="E4" s="127"/>
      <c r="F4" s="116" t="s">
        <v>1126</v>
      </c>
      <c r="G4" s="141">
        <f>SUM(E8:E50)</f>
        <v>0</v>
      </c>
      <c r="H4" s="404">
        <f>G4/NUM_DSPS</f>
        <v>0</v>
      </c>
      <c r="I4" s="141">
        <f>SUM(E8:E50)</f>
        <v>0</v>
      </c>
      <c r="J4" s="404">
        <f>I4/NUM_DSPS</f>
        <v>0</v>
      </c>
      <c r="K4" s="351"/>
      <c r="L4" s="127"/>
      <c r="M4" s="127"/>
      <c r="N4" s="127"/>
      <c r="O4" s="127"/>
      <c r="P4" s="127"/>
      <c r="Q4" s="127"/>
      <c r="R4" s="127"/>
      <c r="S4" s="127"/>
      <c r="T4" s="127"/>
      <c r="U4" s="127"/>
      <c r="V4" s="127"/>
      <c r="W4" s="127"/>
      <c r="X4" s="127"/>
      <c r="Y4" s="127"/>
      <c r="Z4" s="127"/>
      <c r="AA4" s="127"/>
      <c r="AB4" s="127"/>
      <c r="AC4" s="127"/>
      <c r="AD4" s="127"/>
      <c r="AE4" s="127"/>
      <c r="AF4" s="127"/>
      <c r="AG4" s="127"/>
      <c r="AH4" s="127"/>
      <c r="AI4" s="127"/>
      <c r="AJ4" s="127"/>
    </row>
    <row r="5" spans="1:36" ht="18" customHeight="1" thickBot="1" x14ac:dyDescent="0.3">
      <c r="A5" s="269"/>
      <c r="B5" s="718" t="str">
        <f ca="1">TEXT(IF(TOTAL_POWER&gt;0,DSP_POWER/TOTAL_POWER,0),"0%")&amp;" of total on-chip power "&amp;TEXT(TOTAL_POWER,"#.###")&amp;"W"</f>
        <v>0% of total on-chip power .488W</v>
      </c>
      <c r="C5" s="719"/>
      <c r="D5" s="720"/>
      <c r="E5" s="127"/>
      <c r="F5" s="127"/>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c r="AH5" s="127"/>
      <c r="AI5" s="127"/>
      <c r="AJ5" s="127"/>
    </row>
    <row r="6" spans="1:36" ht="15.75" customHeight="1" thickBot="1" x14ac:dyDescent="0.3">
      <c r="A6" s="314"/>
      <c r="B6" s="269"/>
      <c r="C6" s="269"/>
      <c r="D6" s="269"/>
      <c r="E6" s="127"/>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c r="AF6" s="127"/>
      <c r="AG6" s="127"/>
      <c r="AH6" s="127"/>
      <c r="AI6" s="127"/>
      <c r="AJ6" s="127"/>
    </row>
    <row r="7" spans="1:36" ht="45.6" thickBot="1" x14ac:dyDescent="0.3">
      <c r="A7" s="304"/>
      <c r="B7" s="877" t="s">
        <v>41</v>
      </c>
      <c r="C7" s="878"/>
      <c r="D7" s="878"/>
      <c r="E7" s="421" t="s">
        <v>510</v>
      </c>
      <c r="F7" s="421" t="s">
        <v>19</v>
      </c>
      <c r="G7" s="421" t="s">
        <v>20</v>
      </c>
      <c r="H7" s="421" t="s">
        <v>511</v>
      </c>
      <c r="I7" s="421" t="s">
        <v>20</v>
      </c>
      <c r="J7" s="421" t="s">
        <v>975</v>
      </c>
      <c r="K7" s="421" t="s">
        <v>976</v>
      </c>
      <c r="L7" s="421" t="s">
        <v>977</v>
      </c>
      <c r="M7" s="421" t="s">
        <v>974</v>
      </c>
      <c r="N7" s="541" t="s">
        <v>1307</v>
      </c>
      <c r="O7" s="422" t="s">
        <v>17</v>
      </c>
      <c r="P7" s="136"/>
      <c r="Q7" s="137" t="s">
        <v>983</v>
      </c>
      <c r="R7" s="137" t="s">
        <v>984</v>
      </c>
      <c r="S7" s="137"/>
      <c r="T7" s="137"/>
      <c r="U7" s="137"/>
      <c r="V7" s="137"/>
      <c r="W7" s="127"/>
      <c r="X7" s="127"/>
      <c r="Y7" s="127"/>
      <c r="Z7" s="127"/>
      <c r="AA7" s="127"/>
      <c r="AB7" s="127"/>
      <c r="AC7" s="127"/>
      <c r="AD7" s="127"/>
      <c r="AE7" s="127"/>
      <c r="AF7" s="127"/>
      <c r="AG7" s="127"/>
      <c r="AH7" s="127"/>
      <c r="AI7" s="127"/>
      <c r="AJ7" s="127"/>
    </row>
    <row r="8" spans="1:36" x14ac:dyDescent="0.25">
      <c r="A8" s="136"/>
      <c r="B8" s="726"/>
      <c r="C8" s="727"/>
      <c r="D8" s="727"/>
      <c r="E8" s="12">
        <v>0</v>
      </c>
      <c r="F8" s="11">
        <v>0</v>
      </c>
      <c r="G8" s="13">
        <v>0.125</v>
      </c>
      <c r="H8" s="10" t="s">
        <v>512</v>
      </c>
      <c r="I8" s="13">
        <v>0.125</v>
      </c>
      <c r="J8" s="10" t="s">
        <v>774</v>
      </c>
      <c r="K8" s="10" t="s">
        <v>774</v>
      </c>
      <c r="L8" s="10" t="s">
        <v>512</v>
      </c>
      <c r="M8" s="10" t="s">
        <v>774</v>
      </c>
      <c r="N8" s="542">
        <f>F8*I8*IF(OR(K8="No",J8="Yes"),1,1.15)</f>
        <v>0</v>
      </c>
      <c r="O8" s="365">
        <f t="shared" ref="O8:O50" ca="1" si="0">(VCCINT/1000)*VCCINT_N*IF(ISSTA=1,$R8,$Q8)</f>
        <v>0</v>
      </c>
      <c r="P8" s="136"/>
      <c r="Q8" s="136">
        <f t="shared" ref="Q8:Q50" ca="1" si="1">IF(ISSTA=0,$E8*($F8*$G8)*(OFFSET(DSP_DATA,1,$R$1)+IF(EXACT($H8,"Yes"),OFFSET(DSP_DATA,2,$R$1),0)),0)</f>
        <v>0</v>
      </c>
      <c r="R8" s="136">
        <f t="shared" ref="R8:R50" ca="1" si="2">IF(ISSTA=1,$E8*($F8*$I8)*(OFFSET(DSP_DATA,1,$R$1)+IF(EXACT($L8,"Yes"),OFFSET(DSP_DATA,2,$R$1),0)+IF(AND(EXACT($M8,"Yes"),EXACT($K8,"No")),OFFSET(DSP_DATA,3,$R$1),0)+IF(AND(EXACT($K8,"Yes"),EXACT($M8,"No")),OFFSET(DSP_DATA,4,$R$1),0)*IF(EXACT($J8,"No"),1.15,1)+IF(AND(EXACT($K8,"Yes"),EXACT($M8,"Yes")),OFFSET(DSP_DATA,5,$R$1)*IF(EXACT($J8,"No"),1.15,1),0)),0)</f>
        <v>0</v>
      </c>
      <c r="S8" s="127"/>
      <c r="T8" s="127"/>
      <c r="U8" s="127"/>
      <c r="V8" s="127"/>
      <c r="W8" s="127"/>
      <c r="X8" s="127"/>
      <c r="Y8" s="127"/>
      <c r="Z8" s="127"/>
      <c r="AA8" s="127"/>
      <c r="AB8" s="127"/>
      <c r="AC8" s="127"/>
      <c r="AD8" s="127"/>
      <c r="AE8" s="127"/>
      <c r="AF8" s="127"/>
      <c r="AG8" s="127"/>
      <c r="AH8" s="127"/>
      <c r="AI8" s="127"/>
      <c r="AJ8" s="127"/>
    </row>
    <row r="9" spans="1:36" x14ac:dyDescent="0.25">
      <c r="A9" s="136"/>
      <c r="B9" s="875"/>
      <c r="C9" s="678"/>
      <c r="D9" s="678"/>
      <c r="E9" s="12">
        <v>0</v>
      </c>
      <c r="F9" s="11">
        <v>0</v>
      </c>
      <c r="G9" s="13">
        <v>0.125</v>
      </c>
      <c r="H9" s="10" t="s">
        <v>512</v>
      </c>
      <c r="I9" s="13">
        <v>0.125</v>
      </c>
      <c r="J9" s="10" t="s">
        <v>774</v>
      </c>
      <c r="K9" s="10" t="s">
        <v>774</v>
      </c>
      <c r="L9" s="10" t="s">
        <v>512</v>
      </c>
      <c r="M9" s="10" t="s">
        <v>774</v>
      </c>
      <c r="N9" s="542">
        <f t="shared" ref="N9:N49" si="3">F9*I9*IF(OR(K9="No",J9="Yes"),1,1.15)</f>
        <v>0</v>
      </c>
      <c r="O9" s="366">
        <f t="shared" ca="1" si="0"/>
        <v>0</v>
      </c>
      <c r="P9" s="136"/>
      <c r="Q9" s="136">
        <f t="shared" ca="1" si="1"/>
        <v>0</v>
      </c>
      <c r="R9" s="136">
        <f t="shared" ca="1" si="2"/>
        <v>0</v>
      </c>
      <c r="S9" s="127"/>
      <c r="T9" s="127"/>
      <c r="U9" s="127"/>
      <c r="V9" s="127"/>
      <c r="W9" s="127"/>
      <c r="X9" s="127"/>
      <c r="Y9" s="127"/>
      <c r="Z9" s="127"/>
      <c r="AA9" s="127"/>
      <c r="AB9" s="127"/>
      <c r="AC9" s="127"/>
      <c r="AD9" s="127"/>
      <c r="AE9" s="127"/>
      <c r="AF9" s="127"/>
      <c r="AG9" s="127"/>
      <c r="AH9" s="127"/>
      <c r="AI9" s="127"/>
      <c r="AJ9" s="127"/>
    </row>
    <row r="10" spans="1:36" x14ac:dyDescent="0.25">
      <c r="A10" s="136"/>
      <c r="B10" s="875"/>
      <c r="C10" s="678"/>
      <c r="D10" s="678"/>
      <c r="E10" s="12">
        <v>0</v>
      </c>
      <c r="F10" s="11">
        <v>0</v>
      </c>
      <c r="G10" s="13">
        <v>0.125</v>
      </c>
      <c r="H10" s="10" t="s">
        <v>512</v>
      </c>
      <c r="I10" s="13">
        <v>0.125</v>
      </c>
      <c r="J10" s="10" t="s">
        <v>774</v>
      </c>
      <c r="K10" s="10" t="s">
        <v>774</v>
      </c>
      <c r="L10" s="10" t="s">
        <v>512</v>
      </c>
      <c r="M10" s="10" t="s">
        <v>774</v>
      </c>
      <c r="N10" s="542">
        <f t="shared" si="3"/>
        <v>0</v>
      </c>
      <c r="O10" s="366">
        <f t="shared" ca="1" si="0"/>
        <v>0</v>
      </c>
      <c r="P10" s="136"/>
      <c r="Q10" s="136">
        <f t="shared" ca="1" si="1"/>
        <v>0</v>
      </c>
      <c r="R10" s="136">
        <f t="shared" ca="1" si="2"/>
        <v>0</v>
      </c>
      <c r="S10" s="127"/>
      <c r="T10" s="127"/>
      <c r="U10" s="127"/>
      <c r="V10" s="127"/>
      <c r="W10" s="127"/>
      <c r="X10" s="127"/>
      <c r="Y10" s="127"/>
      <c r="Z10" s="127"/>
      <c r="AA10" s="127"/>
      <c r="AB10" s="127"/>
      <c r="AC10" s="127"/>
      <c r="AD10" s="127"/>
      <c r="AE10" s="127"/>
      <c r="AF10" s="127"/>
      <c r="AG10" s="127"/>
      <c r="AH10" s="127"/>
      <c r="AI10" s="127"/>
      <c r="AJ10" s="127"/>
    </row>
    <row r="11" spans="1:36" x14ac:dyDescent="0.25">
      <c r="A11" s="136"/>
      <c r="B11" s="875"/>
      <c r="C11" s="678"/>
      <c r="D11" s="678"/>
      <c r="E11" s="12">
        <v>0</v>
      </c>
      <c r="F11" s="11">
        <v>0</v>
      </c>
      <c r="G11" s="13">
        <v>0.125</v>
      </c>
      <c r="H11" s="10" t="s">
        <v>512</v>
      </c>
      <c r="I11" s="13">
        <v>0.125</v>
      </c>
      <c r="J11" s="10" t="s">
        <v>774</v>
      </c>
      <c r="K11" s="10" t="s">
        <v>774</v>
      </c>
      <c r="L11" s="10" t="s">
        <v>512</v>
      </c>
      <c r="M11" s="10" t="s">
        <v>774</v>
      </c>
      <c r="N11" s="542">
        <f t="shared" si="3"/>
        <v>0</v>
      </c>
      <c r="O11" s="366">
        <f t="shared" ca="1" si="0"/>
        <v>0</v>
      </c>
      <c r="P11" s="136"/>
      <c r="Q11" s="136">
        <f t="shared" ca="1" si="1"/>
        <v>0</v>
      </c>
      <c r="R11" s="136">
        <f t="shared" ca="1" si="2"/>
        <v>0</v>
      </c>
      <c r="S11" s="127"/>
      <c r="T11" s="127"/>
      <c r="U11" s="127"/>
      <c r="V11" s="127"/>
      <c r="W11" s="127"/>
      <c r="X11" s="127"/>
      <c r="Y11" s="127"/>
      <c r="Z11" s="127"/>
      <c r="AA11" s="127"/>
      <c r="AB11" s="127"/>
      <c r="AC11" s="127"/>
      <c r="AD11" s="127"/>
      <c r="AE11" s="127"/>
      <c r="AF11" s="127"/>
      <c r="AG11" s="127"/>
      <c r="AH11" s="127"/>
      <c r="AI11" s="127"/>
      <c r="AJ11" s="127"/>
    </row>
    <row r="12" spans="1:36" x14ac:dyDescent="0.25">
      <c r="A12" s="136"/>
      <c r="B12" s="875"/>
      <c r="C12" s="678"/>
      <c r="D12" s="678"/>
      <c r="E12" s="12">
        <v>0</v>
      </c>
      <c r="F12" s="11">
        <v>0</v>
      </c>
      <c r="G12" s="13">
        <v>0.125</v>
      </c>
      <c r="H12" s="10" t="s">
        <v>512</v>
      </c>
      <c r="I12" s="13">
        <v>0.125</v>
      </c>
      <c r="J12" s="10" t="s">
        <v>774</v>
      </c>
      <c r="K12" s="10" t="s">
        <v>774</v>
      </c>
      <c r="L12" s="10" t="s">
        <v>512</v>
      </c>
      <c r="M12" s="10" t="s">
        <v>774</v>
      </c>
      <c r="N12" s="542">
        <f t="shared" si="3"/>
        <v>0</v>
      </c>
      <c r="O12" s="366">
        <f t="shared" ca="1" si="0"/>
        <v>0</v>
      </c>
      <c r="P12" s="136"/>
      <c r="Q12" s="136">
        <f t="shared" ca="1" si="1"/>
        <v>0</v>
      </c>
      <c r="R12" s="136">
        <f t="shared" ca="1" si="2"/>
        <v>0</v>
      </c>
      <c r="S12" s="127"/>
      <c r="T12" s="127"/>
      <c r="U12" s="127"/>
      <c r="V12" s="127"/>
      <c r="W12" s="127"/>
      <c r="X12" s="127"/>
      <c r="Y12" s="127"/>
      <c r="Z12" s="127"/>
      <c r="AA12" s="127"/>
      <c r="AB12" s="127"/>
      <c r="AC12" s="127"/>
      <c r="AD12" s="127"/>
      <c r="AE12" s="127"/>
      <c r="AF12" s="127"/>
      <c r="AG12" s="127"/>
      <c r="AH12" s="127"/>
      <c r="AI12" s="127"/>
      <c r="AJ12" s="127"/>
    </row>
    <row r="13" spans="1:36" x14ac:dyDescent="0.25">
      <c r="A13" s="136"/>
      <c r="B13" s="875"/>
      <c r="C13" s="678"/>
      <c r="D13" s="678"/>
      <c r="E13" s="12">
        <v>0</v>
      </c>
      <c r="F13" s="11">
        <v>0</v>
      </c>
      <c r="G13" s="13">
        <v>0.125</v>
      </c>
      <c r="H13" s="10" t="s">
        <v>512</v>
      </c>
      <c r="I13" s="13">
        <v>0.125</v>
      </c>
      <c r="J13" s="10" t="s">
        <v>774</v>
      </c>
      <c r="K13" s="10" t="s">
        <v>774</v>
      </c>
      <c r="L13" s="10" t="s">
        <v>512</v>
      </c>
      <c r="M13" s="10" t="s">
        <v>774</v>
      </c>
      <c r="N13" s="542">
        <f t="shared" si="3"/>
        <v>0</v>
      </c>
      <c r="O13" s="366">
        <f t="shared" ca="1" si="0"/>
        <v>0</v>
      </c>
      <c r="P13" s="136"/>
      <c r="Q13" s="136">
        <f t="shared" ca="1" si="1"/>
        <v>0</v>
      </c>
      <c r="R13" s="136">
        <f t="shared" ca="1" si="2"/>
        <v>0</v>
      </c>
      <c r="S13" s="127"/>
      <c r="T13" s="127"/>
      <c r="U13" s="127"/>
      <c r="V13" s="127"/>
      <c r="W13" s="127"/>
      <c r="X13" s="127"/>
      <c r="Y13" s="127"/>
      <c r="Z13" s="127"/>
      <c r="AA13" s="127"/>
      <c r="AB13" s="127"/>
      <c r="AC13" s="127"/>
      <c r="AD13" s="127"/>
      <c r="AE13" s="127"/>
      <c r="AF13" s="127"/>
      <c r="AG13" s="127"/>
      <c r="AH13" s="127"/>
      <c r="AI13" s="127"/>
      <c r="AJ13" s="127"/>
    </row>
    <row r="14" spans="1:36" x14ac:dyDescent="0.25">
      <c r="A14" s="136"/>
      <c r="B14" s="875"/>
      <c r="C14" s="678"/>
      <c r="D14" s="678"/>
      <c r="E14" s="12">
        <v>0</v>
      </c>
      <c r="F14" s="11">
        <v>0</v>
      </c>
      <c r="G14" s="13">
        <v>0.125</v>
      </c>
      <c r="H14" s="10" t="s">
        <v>512</v>
      </c>
      <c r="I14" s="13">
        <v>0.125</v>
      </c>
      <c r="J14" s="10" t="s">
        <v>774</v>
      </c>
      <c r="K14" s="10" t="s">
        <v>774</v>
      </c>
      <c r="L14" s="10" t="s">
        <v>512</v>
      </c>
      <c r="M14" s="10" t="s">
        <v>774</v>
      </c>
      <c r="N14" s="542">
        <f t="shared" si="3"/>
        <v>0</v>
      </c>
      <c r="O14" s="366">
        <f t="shared" ca="1" si="0"/>
        <v>0</v>
      </c>
      <c r="P14" s="136"/>
      <c r="Q14" s="136">
        <f t="shared" ca="1" si="1"/>
        <v>0</v>
      </c>
      <c r="R14" s="136">
        <f t="shared" ca="1" si="2"/>
        <v>0</v>
      </c>
      <c r="S14" s="127"/>
      <c r="T14" s="127"/>
      <c r="U14" s="127"/>
      <c r="V14" s="127"/>
      <c r="W14" s="127"/>
      <c r="X14" s="127"/>
      <c r="Y14" s="127"/>
      <c r="Z14" s="127"/>
      <c r="AA14" s="127"/>
      <c r="AB14" s="127"/>
      <c r="AC14" s="127"/>
      <c r="AD14" s="127"/>
      <c r="AE14" s="127"/>
      <c r="AF14" s="127"/>
      <c r="AG14" s="127"/>
      <c r="AH14" s="127"/>
      <c r="AI14" s="127"/>
      <c r="AJ14" s="127"/>
    </row>
    <row r="15" spans="1:36" x14ac:dyDescent="0.25">
      <c r="A15" s="136"/>
      <c r="B15" s="875"/>
      <c r="C15" s="678"/>
      <c r="D15" s="678"/>
      <c r="E15" s="12">
        <v>0</v>
      </c>
      <c r="F15" s="11">
        <v>0</v>
      </c>
      <c r="G15" s="13">
        <v>0.125</v>
      </c>
      <c r="H15" s="10" t="s">
        <v>512</v>
      </c>
      <c r="I15" s="13">
        <v>0.125</v>
      </c>
      <c r="J15" s="10" t="s">
        <v>774</v>
      </c>
      <c r="K15" s="10" t="s">
        <v>774</v>
      </c>
      <c r="L15" s="10" t="s">
        <v>512</v>
      </c>
      <c r="M15" s="10" t="s">
        <v>774</v>
      </c>
      <c r="N15" s="542">
        <f t="shared" si="3"/>
        <v>0</v>
      </c>
      <c r="O15" s="366">
        <f t="shared" ca="1" si="0"/>
        <v>0</v>
      </c>
      <c r="P15" s="136"/>
      <c r="Q15" s="136">
        <f t="shared" ca="1" si="1"/>
        <v>0</v>
      </c>
      <c r="R15" s="136">
        <f t="shared" ca="1" si="2"/>
        <v>0</v>
      </c>
      <c r="S15" s="127"/>
      <c r="T15" s="127"/>
      <c r="U15" s="127"/>
      <c r="V15" s="127"/>
      <c r="W15" s="127"/>
      <c r="X15" s="127"/>
      <c r="Y15" s="127"/>
      <c r="Z15" s="127"/>
      <c r="AA15" s="127"/>
      <c r="AB15" s="127"/>
      <c r="AC15" s="127"/>
      <c r="AD15" s="127"/>
      <c r="AE15" s="127"/>
      <c r="AF15" s="127"/>
      <c r="AG15" s="127"/>
      <c r="AH15" s="127"/>
      <c r="AI15" s="127"/>
      <c r="AJ15" s="127"/>
    </row>
    <row r="16" spans="1:36" x14ac:dyDescent="0.25">
      <c r="A16" s="136"/>
      <c r="B16" s="875"/>
      <c r="C16" s="678"/>
      <c r="D16" s="678"/>
      <c r="E16" s="12">
        <v>0</v>
      </c>
      <c r="F16" s="11">
        <v>0</v>
      </c>
      <c r="G16" s="13">
        <v>0.125</v>
      </c>
      <c r="H16" s="10" t="s">
        <v>512</v>
      </c>
      <c r="I16" s="13">
        <v>0.125</v>
      </c>
      <c r="J16" s="10" t="s">
        <v>774</v>
      </c>
      <c r="K16" s="10" t="s">
        <v>774</v>
      </c>
      <c r="L16" s="10" t="s">
        <v>512</v>
      </c>
      <c r="M16" s="10" t="s">
        <v>774</v>
      </c>
      <c r="N16" s="542">
        <f t="shared" si="3"/>
        <v>0</v>
      </c>
      <c r="O16" s="366">
        <f t="shared" ca="1" si="0"/>
        <v>0</v>
      </c>
      <c r="P16" s="136"/>
      <c r="Q16" s="136">
        <f t="shared" ca="1" si="1"/>
        <v>0</v>
      </c>
      <c r="R16" s="136">
        <f t="shared" ca="1" si="2"/>
        <v>0</v>
      </c>
      <c r="S16" s="127"/>
      <c r="T16" s="127"/>
      <c r="U16" s="127"/>
      <c r="V16" s="127"/>
      <c r="W16" s="127"/>
      <c r="X16" s="127"/>
      <c r="Y16" s="127"/>
      <c r="Z16" s="127"/>
      <c r="AA16" s="127"/>
      <c r="AB16" s="127"/>
      <c r="AC16" s="127"/>
      <c r="AD16" s="127"/>
      <c r="AE16" s="127"/>
      <c r="AF16" s="127"/>
      <c r="AG16" s="127"/>
      <c r="AH16" s="127"/>
      <c r="AI16" s="127"/>
      <c r="AJ16" s="127"/>
    </row>
    <row r="17" spans="1:36" x14ac:dyDescent="0.25">
      <c r="A17" s="136"/>
      <c r="B17" s="875"/>
      <c r="C17" s="678"/>
      <c r="D17" s="678"/>
      <c r="E17" s="12">
        <v>0</v>
      </c>
      <c r="F17" s="11">
        <v>0</v>
      </c>
      <c r="G17" s="13">
        <v>0.125</v>
      </c>
      <c r="H17" s="10" t="s">
        <v>512</v>
      </c>
      <c r="I17" s="13">
        <v>0.125</v>
      </c>
      <c r="J17" s="10" t="s">
        <v>774</v>
      </c>
      <c r="K17" s="10" t="s">
        <v>774</v>
      </c>
      <c r="L17" s="10" t="s">
        <v>512</v>
      </c>
      <c r="M17" s="10" t="s">
        <v>774</v>
      </c>
      <c r="N17" s="542">
        <f t="shared" si="3"/>
        <v>0</v>
      </c>
      <c r="O17" s="366">
        <f t="shared" ca="1" si="0"/>
        <v>0</v>
      </c>
      <c r="P17" s="136"/>
      <c r="Q17" s="136">
        <f t="shared" ca="1" si="1"/>
        <v>0</v>
      </c>
      <c r="R17" s="136">
        <f t="shared" ca="1" si="2"/>
        <v>0</v>
      </c>
      <c r="S17" s="127"/>
      <c r="T17" s="127"/>
      <c r="U17" s="127"/>
      <c r="V17" s="127"/>
      <c r="W17" s="127"/>
      <c r="X17" s="127"/>
      <c r="Y17" s="127"/>
      <c r="Z17" s="127"/>
      <c r="AA17" s="127"/>
      <c r="AB17" s="127"/>
      <c r="AC17" s="127"/>
      <c r="AD17" s="127"/>
      <c r="AE17" s="127"/>
      <c r="AF17" s="127"/>
      <c r="AG17" s="127"/>
      <c r="AH17" s="127"/>
      <c r="AI17" s="127"/>
      <c r="AJ17" s="127"/>
    </row>
    <row r="18" spans="1:36" x14ac:dyDescent="0.25">
      <c r="A18" s="136"/>
      <c r="B18" s="677"/>
      <c r="C18" s="678"/>
      <c r="D18" s="678"/>
      <c r="E18" s="12">
        <v>0</v>
      </c>
      <c r="F18" s="11">
        <v>0</v>
      </c>
      <c r="G18" s="13">
        <v>0.125</v>
      </c>
      <c r="H18" s="10" t="s">
        <v>512</v>
      </c>
      <c r="I18" s="13">
        <v>0.125</v>
      </c>
      <c r="J18" s="10" t="s">
        <v>774</v>
      </c>
      <c r="K18" s="10" t="s">
        <v>774</v>
      </c>
      <c r="L18" s="10" t="s">
        <v>512</v>
      </c>
      <c r="M18" s="10" t="s">
        <v>774</v>
      </c>
      <c r="N18" s="542">
        <f t="shared" si="3"/>
        <v>0</v>
      </c>
      <c r="O18" s="366">
        <f t="shared" ca="1" si="0"/>
        <v>0</v>
      </c>
      <c r="P18" s="136"/>
      <c r="Q18" s="136">
        <f t="shared" ca="1" si="1"/>
        <v>0</v>
      </c>
      <c r="R18" s="136">
        <f t="shared" ca="1" si="2"/>
        <v>0</v>
      </c>
      <c r="S18" s="127"/>
      <c r="T18" s="127"/>
      <c r="U18" s="127"/>
      <c r="V18" s="127"/>
      <c r="W18" s="127"/>
      <c r="X18" s="127"/>
      <c r="Y18" s="127"/>
      <c r="Z18" s="127"/>
      <c r="AA18" s="127"/>
      <c r="AB18" s="127"/>
      <c r="AC18" s="127"/>
      <c r="AD18" s="127"/>
      <c r="AE18" s="127"/>
      <c r="AF18" s="127"/>
      <c r="AG18" s="127"/>
      <c r="AH18" s="127"/>
      <c r="AI18" s="127"/>
      <c r="AJ18" s="127"/>
    </row>
    <row r="19" spans="1:36" x14ac:dyDescent="0.25">
      <c r="A19" s="136"/>
      <c r="B19" s="677"/>
      <c r="C19" s="678"/>
      <c r="D19" s="678"/>
      <c r="E19" s="12">
        <v>0</v>
      </c>
      <c r="F19" s="11">
        <v>0</v>
      </c>
      <c r="G19" s="13">
        <v>0.125</v>
      </c>
      <c r="H19" s="10" t="s">
        <v>512</v>
      </c>
      <c r="I19" s="13">
        <v>0.125</v>
      </c>
      <c r="J19" s="10" t="s">
        <v>774</v>
      </c>
      <c r="K19" s="10" t="s">
        <v>774</v>
      </c>
      <c r="L19" s="10" t="s">
        <v>512</v>
      </c>
      <c r="M19" s="10" t="s">
        <v>774</v>
      </c>
      <c r="N19" s="542">
        <f t="shared" si="3"/>
        <v>0</v>
      </c>
      <c r="O19" s="366">
        <f t="shared" ca="1" si="0"/>
        <v>0</v>
      </c>
      <c r="P19" s="136"/>
      <c r="Q19" s="136">
        <f t="shared" ca="1" si="1"/>
        <v>0</v>
      </c>
      <c r="R19" s="136">
        <f t="shared" ca="1" si="2"/>
        <v>0</v>
      </c>
      <c r="S19" s="127"/>
      <c r="T19" s="127"/>
      <c r="U19" s="127"/>
      <c r="V19" s="127"/>
      <c r="W19" s="127"/>
      <c r="X19" s="127"/>
      <c r="Y19" s="127"/>
      <c r="Z19" s="127"/>
      <c r="AA19" s="127"/>
      <c r="AB19" s="127"/>
      <c r="AC19" s="127"/>
      <c r="AD19" s="127"/>
      <c r="AE19" s="127"/>
      <c r="AF19" s="127"/>
      <c r="AG19" s="127"/>
      <c r="AH19" s="127"/>
      <c r="AI19" s="127"/>
      <c r="AJ19" s="127"/>
    </row>
    <row r="20" spans="1:36" x14ac:dyDescent="0.25">
      <c r="A20" s="136"/>
      <c r="B20" s="677"/>
      <c r="C20" s="678"/>
      <c r="D20" s="678"/>
      <c r="E20" s="12">
        <v>0</v>
      </c>
      <c r="F20" s="11">
        <v>0</v>
      </c>
      <c r="G20" s="13">
        <v>0.125</v>
      </c>
      <c r="H20" s="10" t="s">
        <v>512</v>
      </c>
      <c r="I20" s="13">
        <v>0.125</v>
      </c>
      <c r="J20" s="10" t="s">
        <v>774</v>
      </c>
      <c r="K20" s="10" t="s">
        <v>774</v>
      </c>
      <c r="L20" s="10" t="s">
        <v>512</v>
      </c>
      <c r="M20" s="10" t="s">
        <v>774</v>
      </c>
      <c r="N20" s="542">
        <f t="shared" si="3"/>
        <v>0</v>
      </c>
      <c r="O20" s="366">
        <f t="shared" ca="1" si="0"/>
        <v>0</v>
      </c>
      <c r="P20" s="136"/>
      <c r="Q20" s="136">
        <f t="shared" ca="1" si="1"/>
        <v>0</v>
      </c>
      <c r="R20" s="136">
        <f t="shared" ca="1" si="2"/>
        <v>0</v>
      </c>
      <c r="S20" s="127"/>
      <c r="T20" s="127"/>
      <c r="U20" s="127"/>
      <c r="V20" s="127"/>
      <c r="W20" s="127"/>
      <c r="X20" s="127"/>
      <c r="Y20" s="127"/>
      <c r="Z20" s="127"/>
      <c r="AA20" s="127"/>
      <c r="AB20" s="127"/>
      <c r="AC20" s="127"/>
      <c r="AD20" s="127"/>
      <c r="AE20" s="127"/>
      <c r="AF20" s="127"/>
      <c r="AG20" s="127"/>
      <c r="AH20" s="127"/>
      <c r="AI20" s="127"/>
      <c r="AJ20" s="127"/>
    </row>
    <row r="21" spans="1:36" x14ac:dyDescent="0.25">
      <c r="A21" s="136"/>
      <c r="B21" s="677"/>
      <c r="C21" s="678"/>
      <c r="D21" s="678"/>
      <c r="E21" s="12">
        <v>0</v>
      </c>
      <c r="F21" s="11">
        <v>0</v>
      </c>
      <c r="G21" s="13">
        <v>0.125</v>
      </c>
      <c r="H21" s="10" t="s">
        <v>512</v>
      </c>
      <c r="I21" s="13">
        <v>0.125</v>
      </c>
      <c r="J21" s="10" t="s">
        <v>774</v>
      </c>
      <c r="K21" s="10" t="s">
        <v>774</v>
      </c>
      <c r="L21" s="10" t="s">
        <v>512</v>
      </c>
      <c r="M21" s="10" t="s">
        <v>774</v>
      </c>
      <c r="N21" s="542">
        <f t="shared" si="3"/>
        <v>0</v>
      </c>
      <c r="O21" s="366">
        <f t="shared" ca="1" si="0"/>
        <v>0</v>
      </c>
      <c r="P21" s="136"/>
      <c r="Q21" s="136">
        <f t="shared" ca="1" si="1"/>
        <v>0</v>
      </c>
      <c r="R21" s="136">
        <f t="shared" ca="1" si="2"/>
        <v>0</v>
      </c>
      <c r="S21" s="127"/>
      <c r="T21" s="127"/>
      <c r="U21" s="127"/>
      <c r="V21" s="127"/>
      <c r="W21" s="127"/>
      <c r="X21" s="127"/>
      <c r="Y21" s="127"/>
      <c r="Z21" s="127"/>
      <c r="AA21" s="127"/>
      <c r="AB21" s="127"/>
      <c r="AC21" s="127"/>
      <c r="AD21" s="127"/>
      <c r="AE21" s="127"/>
      <c r="AF21" s="127"/>
      <c r="AG21" s="127"/>
      <c r="AH21" s="127"/>
      <c r="AI21" s="127"/>
      <c r="AJ21" s="127"/>
    </row>
    <row r="22" spans="1:36" x14ac:dyDescent="0.25">
      <c r="A22" s="136"/>
      <c r="B22" s="677"/>
      <c r="C22" s="678"/>
      <c r="D22" s="678"/>
      <c r="E22" s="12">
        <v>0</v>
      </c>
      <c r="F22" s="11">
        <v>0</v>
      </c>
      <c r="G22" s="13">
        <v>0.125</v>
      </c>
      <c r="H22" s="10" t="s">
        <v>512</v>
      </c>
      <c r="I22" s="13">
        <v>0.125</v>
      </c>
      <c r="J22" s="10" t="s">
        <v>774</v>
      </c>
      <c r="K22" s="10" t="s">
        <v>774</v>
      </c>
      <c r="L22" s="10" t="s">
        <v>512</v>
      </c>
      <c r="M22" s="10" t="s">
        <v>774</v>
      </c>
      <c r="N22" s="542">
        <f t="shared" si="3"/>
        <v>0</v>
      </c>
      <c r="O22" s="366">
        <f t="shared" ca="1" si="0"/>
        <v>0</v>
      </c>
      <c r="P22" s="136"/>
      <c r="Q22" s="136">
        <f t="shared" ca="1" si="1"/>
        <v>0</v>
      </c>
      <c r="R22" s="136">
        <f t="shared" ca="1" si="2"/>
        <v>0</v>
      </c>
      <c r="S22" s="127"/>
      <c r="T22" s="127"/>
      <c r="U22" s="127"/>
      <c r="V22" s="127"/>
      <c r="W22" s="127"/>
      <c r="X22" s="127"/>
      <c r="Y22" s="127"/>
      <c r="Z22" s="127"/>
      <c r="AA22" s="127"/>
      <c r="AB22" s="127"/>
      <c r="AC22" s="127"/>
      <c r="AD22" s="127"/>
      <c r="AE22" s="127"/>
      <c r="AF22" s="127"/>
      <c r="AG22" s="127"/>
      <c r="AH22" s="127"/>
      <c r="AI22" s="127"/>
      <c r="AJ22" s="127"/>
    </row>
    <row r="23" spans="1:36" x14ac:dyDescent="0.25">
      <c r="A23" s="136"/>
      <c r="B23" s="677"/>
      <c r="C23" s="678"/>
      <c r="D23" s="678"/>
      <c r="E23" s="12">
        <v>0</v>
      </c>
      <c r="F23" s="11">
        <v>0</v>
      </c>
      <c r="G23" s="13">
        <v>0.125</v>
      </c>
      <c r="H23" s="10" t="s">
        <v>512</v>
      </c>
      <c r="I23" s="13">
        <v>0.125</v>
      </c>
      <c r="J23" s="10" t="s">
        <v>774</v>
      </c>
      <c r="K23" s="10" t="s">
        <v>774</v>
      </c>
      <c r="L23" s="10" t="s">
        <v>512</v>
      </c>
      <c r="M23" s="10" t="s">
        <v>774</v>
      </c>
      <c r="N23" s="542">
        <f t="shared" si="3"/>
        <v>0</v>
      </c>
      <c r="O23" s="366">
        <f t="shared" ca="1" si="0"/>
        <v>0</v>
      </c>
      <c r="P23" s="136"/>
      <c r="Q23" s="136">
        <f t="shared" ca="1" si="1"/>
        <v>0</v>
      </c>
      <c r="R23" s="136">
        <f t="shared" ca="1" si="2"/>
        <v>0</v>
      </c>
      <c r="S23" s="127"/>
      <c r="T23" s="127"/>
      <c r="U23" s="127"/>
      <c r="V23" s="127"/>
      <c r="W23" s="127"/>
      <c r="X23" s="127"/>
      <c r="Y23" s="127"/>
      <c r="Z23" s="127"/>
      <c r="AA23" s="127"/>
      <c r="AB23" s="127"/>
      <c r="AC23" s="127"/>
      <c r="AD23" s="127"/>
      <c r="AE23" s="127"/>
      <c r="AF23" s="127"/>
      <c r="AG23" s="127"/>
      <c r="AH23" s="127"/>
      <c r="AI23" s="127"/>
      <c r="AJ23" s="127"/>
    </row>
    <row r="24" spans="1:36" x14ac:dyDescent="0.25">
      <c r="A24" s="136"/>
      <c r="B24" s="677"/>
      <c r="C24" s="678"/>
      <c r="D24" s="678"/>
      <c r="E24" s="12">
        <v>0</v>
      </c>
      <c r="F24" s="11">
        <v>0</v>
      </c>
      <c r="G24" s="13">
        <v>0.125</v>
      </c>
      <c r="H24" s="10" t="s">
        <v>512</v>
      </c>
      <c r="I24" s="13">
        <v>0.125</v>
      </c>
      <c r="J24" s="10" t="s">
        <v>774</v>
      </c>
      <c r="K24" s="10" t="s">
        <v>774</v>
      </c>
      <c r="L24" s="10" t="s">
        <v>512</v>
      </c>
      <c r="M24" s="10" t="s">
        <v>774</v>
      </c>
      <c r="N24" s="542">
        <f t="shared" si="3"/>
        <v>0</v>
      </c>
      <c r="O24" s="366">
        <f t="shared" ca="1" si="0"/>
        <v>0</v>
      </c>
      <c r="P24" s="136"/>
      <c r="Q24" s="136">
        <f t="shared" ca="1" si="1"/>
        <v>0</v>
      </c>
      <c r="R24" s="136">
        <f t="shared" ca="1" si="2"/>
        <v>0</v>
      </c>
      <c r="S24" s="127"/>
      <c r="T24" s="127"/>
      <c r="U24" s="127"/>
      <c r="V24" s="127"/>
      <c r="W24" s="127"/>
      <c r="X24" s="127"/>
      <c r="Y24" s="127"/>
      <c r="Z24" s="127"/>
      <c r="AA24" s="127"/>
      <c r="AB24" s="127"/>
      <c r="AC24" s="127"/>
      <c r="AD24" s="127"/>
      <c r="AE24" s="127"/>
      <c r="AF24" s="127"/>
      <c r="AG24" s="127"/>
      <c r="AH24" s="127"/>
      <c r="AI24" s="127"/>
      <c r="AJ24" s="127"/>
    </row>
    <row r="25" spans="1:36" x14ac:dyDescent="0.25">
      <c r="A25" s="136"/>
      <c r="B25" s="677"/>
      <c r="C25" s="678"/>
      <c r="D25" s="678"/>
      <c r="E25" s="12">
        <v>0</v>
      </c>
      <c r="F25" s="11">
        <v>0</v>
      </c>
      <c r="G25" s="13">
        <v>0.125</v>
      </c>
      <c r="H25" s="10" t="s">
        <v>512</v>
      </c>
      <c r="I25" s="13">
        <v>0.125</v>
      </c>
      <c r="J25" s="10" t="s">
        <v>774</v>
      </c>
      <c r="K25" s="10" t="s">
        <v>774</v>
      </c>
      <c r="L25" s="10" t="s">
        <v>512</v>
      </c>
      <c r="M25" s="10" t="s">
        <v>774</v>
      </c>
      <c r="N25" s="542">
        <f t="shared" si="3"/>
        <v>0</v>
      </c>
      <c r="O25" s="366">
        <f t="shared" ca="1" si="0"/>
        <v>0</v>
      </c>
      <c r="P25" s="136"/>
      <c r="Q25" s="136">
        <f t="shared" ca="1" si="1"/>
        <v>0</v>
      </c>
      <c r="R25" s="136">
        <f t="shared" ca="1" si="2"/>
        <v>0</v>
      </c>
      <c r="S25" s="127"/>
      <c r="T25" s="127"/>
      <c r="U25" s="127"/>
      <c r="V25" s="127"/>
      <c r="W25" s="127"/>
      <c r="X25" s="127"/>
      <c r="Y25" s="127"/>
      <c r="Z25" s="127"/>
      <c r="AA25" s="127"/>
      <c r="AB25" s="127"/>
      <c r="AC25" s="127"/>
      <c r="AD25" s="127"/>
      <c r="AE25" s="127"/>
      <c r="AF25" s="127"/>
      <c r="AG25" s="127"/>
      <c r="AH25" s="127"/>
      <c r="AI25" s="127"/>
      <c r="AJ25" s="127"/>
    </row>
    <row r="26" spans="1:36" x14ac:dyDescent="0.25">
      <c r="A26" s="136"/>
      <c r="B26" s="677"/>
      <c r="C26" s="678"/>
      <c r="D26" s="678"/>
      <c r="E26" s="12">
        <v>0</v>
      </c>
      <c r="F26" s="11">
        <v>0</v>
      </c>
      <c r="G26" s="13">
        <v>0.125</v>
      </c>
      <c r="H26" s="10" t="s">
        <v>512</v>
      </c>
      <c r="I26" s="13">
        <v>0.125</v>
      </c>
      <c r="J26" s="10" t="s">
        <v>774</v>
      </c>
      <c r="K26" s="10" t="s">
        <v>774</v>
      </c>
      <c r="L26" s="10" t="s">
        <v>512</v>
      </c>
      <c r="M26" s="10" t="s">
        <v>774</v>
      </c>
      <c r="N26" s="542">
        <f t="shared" si="3"/>
        <v>0</v>
      </c>
      <c r="O26" s="366">
        <f t="shared" ca="1" si="0"/>
        <v>0</v>
      </c>
      <c r="P26" s="136"/>
      <c r="Q26" s="136">
        <f t="shared" ca="1" si="1"/>
        <v>0</v>
      </c>
      <c r="R26" s="136">
        <f t="shared" ca="1" si="2"/>
        <v>0</v>
      </c>
      <c r="S26" s="127"/>
      <c r="T26" s="127"/>
      <c r="U26" s="127"/>
      <c r="V26" s="127"/>
      <c r="W26" s="127"/>
      <c r="X26" s="127"/>
      <c r="Y26" s="127"/>
      <c r="Z26" s="127"/>
      <c r="AA26" s="127"/>
      <c r="AB26" s="127"/>
      <c r="AC26" s="127"/>
      <c r="AD26" s="127"/>
      <c r="AE26" s="127"/>
      <c r="AF26" s="127"/>
      <c r="AG26" s="127"/>
      <c r="AH26" s="127"/>
      <c r="AI26" s="127"/>
      <c r="AJ26" s="127"/>
    </row>
    <row r="27" spans="1:36" x14ac:dyDescent="0.25">
      <c r="A27" s="136"/>
      <c r="B27" s="677"/>
      <c r="C27" s="678"/>
      <c r="D27" s="678"/>
      <c r="E27" s="12">
        <v>0</v>
      </c>
      <c r="F27" s="11">
        <v>0</v>
      </c>
      <c r="G27" s="13">
        <v>0.125</v>
      </c>
      <c r="H27" s="10" t="s">
        <v>512</v>
      </c>
      <c r="I27" s="13">
        <v>0.125</v>
      </c>
      <c r="J27" s="10" t="s">
        <v>774</v>
      </c>
      <c r="K27" s="10" t="s">
        <v>774</v>
      </c>
      <c r="L27" s="10" t="s">
        <v>512</v>
      </c>
      <c r="M27" s="10" t="s">
        <v>774</v>
      </c>
      <c r="N27" s="542">
        <f t="shared" si="3"/>
        <v>0</v>
      </c>
      <c r="O27" s="366">
        <f t="shared" ca="1" si="0"/>
        <v>0</v>
      </c>
      <c r="P27" s="136"/>
      <c r="Q27" s="136">
        <f t="shared" ca="1" si="1"/>
        <v>0</v>
      </c>
      <c r="R27" s="136">
        <f t="shared" ca="1" si="2"/>
        <v>0</v>
      </c>
      <c r="S27" s="127"/>
      <c r="T27" s="127"/>
      <c r="U27" s="127"/>
      <c r="V27" s="127"/>
      <c r="W27" s="127"/>
      <c r="X27" s="127"/>
      <c r="Y27" s="127"/>
      <c r="Z27" s="127"/>
      <c r="AA27" s="127"/>
      <c r="AB27" s="127"/>
      <c r="AC27" s="127"/>
      <c r="AD27" s="127"/>
      <c r="AE27" s="127"/>
      <c r="AF27" s="127"/>
      <c r="AG27" s="127"/>
      <c r="AH27" s="127"/>
      <c r="AI27" s="127"/>
      <c r="AJ27" s="127"/>
    </row>
    <row r="28" spans="1:36" x14ac:dyDescent="0.25">
      <c r="A28" s="136"/>
      <c r="B28" s="677"/>
      <c r="C28" s="678"/>
      <c r="D28" s="678"/>
      <c r="E28" s="12">
        <v>0</v>
      </c>
      <c r="F28" s="11">
        <v>0</v>
      </c>
      <c r="G28" s="13">
        <v>0.125</v>
      </c>
      <c r="H28" s="10" t="s">
        <v>512</v>
      </c>
      <c r="I28" s="13">
        <v>0.125</v>
      </c>
      <c r="J28" s="10" t="s">
        <v>774</v>
      </c>
      <c r="K28" s="10" t="s">
        <v>774</v>
      </c>
      <c r="L28" s="10" t="s">
        <v>512</v>
      </c>
      <c r="M28" s="10" t="s">
        <v>774</v>
      </c>
      <c r="N28" s="542">
        <f t="shared" si="3"/>
        <v>0</v>
      </c>
      <c r="O28" s="366">
        <f t="shared" ca="1" si="0"/>
        <v>0</v>
      </c>
      <c r="P28" s="136"/>
      <c r="Q28" s="136">
        <f t="shared" ca="1" si="1"/>
        <v>0</v>
      </c>
      <c r="R28" s="136">
        <f t="shared" ca="1" si="2"/>
        <v>0</v>
      </c>
      <c r="S28" s="127"/>
      <c r="T28" s="127"/>
      <c r="U28" s="127"/>
      <c r="V28" s="127"/>
      <c r="W28" s="127"/>
      <c r="X28" s="127"/>
      <c r="Y28" s="127"/>
      <c r="Z28" s="127"/>
      <c r="AA28" s="127"/>
      <c r="AB28" s="127"/>
      <c r="AC28" s="127"/>
      <c r="AD28" s="127"/>
      <c r="AE28" s="127"/>
      <c r="AF28" s="127"/>
      <c r="AG28" s="127"/>
      <c r="AH28" s="127"/>
      <c r="AI28" s="127"/>
      <c r="AJ28" s="127"/>
    </row>
    <row r="29" spans="1:36" x14ac:dyDescent="0.25">
      <c r="A29" s="136"/>
      <c r="B29" s="677"/>
      <c r="C29" s="678"/>
      <c r="D29" s="678"/>
      <c r="E29" s="12">
        <v>0</v>
      </c>
      <c r="F29" s="11">
        <v>0</v>
      </c>
      <c r="G29" s="13">
        <v>0.125</v>
      </c>
      <c r="H29" s="10" t="s">
        <v>512</v>
      </c>
      <c r="I29" s="13">
        <v>0.125</v>
      </c>
      <c r="J29" s="10" t="s">
        <v>774</v>
      </c>
      <c r="K29" s="10" t="s">
        <v>774</v>
      </c>
      <c r="L29" s="10" t="s">
        <v>512</v>
      </c>
      <c r="M29" s="10" t="s">
        <v>774</v>
      </c>
      <c r="N29" s="542">
        <f t="shared" si="3"/>
        <v>0</v>
      </c>
      <c r="O29" s="366">
        <f t="shared" ca="1" si="0"/>
        <v>0</v>
      </c>
      <c r="P29" s="136"/>
      <c r="Q29" s="136">
        <f t="shared" ca="1" si="1"/>
        <v>0</v>
      </c>
      <c r="R29" s="136">
        <f t="shared" ca="1" si="2"/>
        <v>0</v>
      </c>
      <c r="S29" s="127"/>
      <c r="T29" s="127"/>
      <c r="U29" s="127"/>
      <c r="V29" s="127"/>
      <c r="W29" s="127"/>
      <c r="X29" s="127"/>
      <c r="Y29" s="127"/>
      <c r="Z29" s="127"/>
      <c r="AA29" s="127"/>
      <c r="AB29" s="127"/>
      <c r="AC29" s="127"/>
      <c r="AD29" s="127"/>
      <c r="AE29" s="127"/>
      <c r="AF29" s="127"/>
      <c r="AG29" s="127"/>
      <c r="AH29" s="127"/>
      <c r="AI29" s="127"/>
      <c r="AJ29" s="127"/>
    </row>
    <row r="30" spans="1:36" x14ac:dyDescent="0.25">
      <c r="A30" s="136"/>
      <c r="B30" s="677"/>
      <c r="C30" s="678"/>
      <c r="D30" s="678"/>
      <c r="E30" s="12">
        <v>0</v>
      </c>
      <c r="F30" s="11">
        <v>0</v>
      </c>
      <c r="G30" s="13">
        <v>0.125</v>
      </c>
      <c r="H30" s="10" t="s">
        <v>512</v>
      </c>
      <c r="I30" s="13">
        <v>0.125</v>
      </c>
      <c r="J30" s="10" t="s">
        <v>774</v>
      </c>
      <c r="K30" s="10" t="s">
        <v>774</v>
      </c>
      <c r="L30" s="10" t="s">
        <v>512</v>
      </c>
      <c r="M30" s="10" t="s">
        <v>774</v>
      </c>
      <c r="N30" s="542">
        <f t="shared" si="3"/>
        <v>0</v>
      </c>
      <c r="O30" s="366">
        <f t="shared" ca="1" si="0"/>
        <v>0</v>
      </c>
      <c r="P30" s="136"/>
      <c r="Q30" s="136">
        <f t="shared" ca="1" si="1"/>
        <v>0</v>
      </c>
      <c r="R30" s="136">
        <f t="shared" ca="1" si="2"/>
        <v>0</v>
      </c>
      <c r="S30" s="127"/>
      <c r="T30" s="127"/>
      <c r="U30" s="127"/>
      <c r="V30" s="127"/>
      <c r="W30" s="127"/>
      <c r="X30" s="127"/>
      <c r="Y30" s="127"/>
      <c r="Z30" s="127"/>
      <c r="AA30" s="127"/>
      <c r="AB30" s="127"/>
      <c r="AC30" s="127"/>
      <c r="AD30" s="127"/>
      <c r="AE30" s="127"/>
      <c r="AF30" s="127"/>
      <c r="AG30" s="127"/>
      <c r="AH30" s="127"/>
      <c r="AI30" s="127"/>
      <c r="AJ30" s="127"/>
    </row>
    <row r="31" spans="1:36" x14ac:dyDescent="0.25">
      <c r="A31" s="136"/>
      <c r="B31" s="677"/>
      <c r="C31" s="678"/>
      <c r="D31" s="678"/>
      <c r="E31" s="12">
        <v>0</v>
      </c>
      <c r="F31" s="11">
        <v>0</v>
      </c>
      <c r="G31" s="13">
        <v>0.125</v>
      </c>
      <c r="H31" s="10" t="s">
        <v>512</v>
      </c>
      <c r="I31" s="13">
        <v>0.125</v>
      </c>
      <c r="J31" s="10" t="s">
        <v>774</v>
      </c>
      <c r="K31" s="10" t="s">
        <v>774</v>
      </c>
      <c r="L31" s="10" t="s">
        <v>512</v>
      </c>
      <c r="M31" s="10" t="s">
        <v>774</v>
      </c>
      <c r="N31" s="542">
        <f t="shared" si="3"/>
        <v>0</v>
      </c>
      <c r="O31" s="366">
        <f t="shared" ca="1" si="0"/>
        <v>0</v>
      </c>
      <c r="P31" s="136"/>
      <c r="Q31" s="136">
        <f t="shared" ca="1" si="1"/>
        <v>0</v>
      </c>
      <c r="R31" s="136">
        <f t="shared" ca="1" si="2"/>
        <v>0</v>
      </c>
      <c r="S31" s="127"/>
      <c r="T31" s="127"/>
      <c r="U31" s="127"/>
      <c r="V31" s="127"/>
      <c r="W31" s="127"/>
      <c r="X31" s="127"/>
      <c r="Y31" s="127"/>
      <c r="Z31" s="127"/>
      <c r="AA31" s="127"/>
      <c r="AB31" s="127"/>
      <c r="AC31" s="127"/>
      <c r="AD31" s="127"/>
      <c r="AE31" s="127"/>
      <c r="AF31" s="127"/>
      <c r="AG31" s="127"/>
      <c r="AH31" s="127"/>
      <c r="AI31" s="127"/>
      <c r="AJ31" s="127"/>
    </row>
    <row r="32" spans="1:36" x14ac:dyDescent="0.25">
      <c r="A32" s="136"/>
      <c r="B32" s="677"/>
      <c r="C32" s="678"/>
      <c r="D32" s="678"/>
      <c r="E32" s="12">
        <v>0</v>
      </c>
      <c r="F32" s="11">
        <v>0</v>
      </c>
      <c r="G32" s="13">
        <v>0.125</v>
      </c>
      <c r="H32" s="10" t="s">
        <v>512</v>
      </c>
      <c r="I32" s="13">
        <v>0.125</v>
      </c>
      <c r="J32" s="10" t="s">
        <v>774</v>
      </c>
      <c r="K32" s="10" t="s">
        <v>774</v>
      </c>
      <c r="L32" s="10" t="s">
        <v>512</v>
      </c>
      <c r="M32" s="10" t="s">
        <v>774</v>
      </c>
      <c r="N32" s="542">
        <f t="shared" si="3"/>
        <v>0</v>
      </c>
      <c r="O32" s="366">
        <f t="shared" ca="1" si="0"/>
        <v>0</v>
      </c>
      <c r="P32" s="136"/>
      <c r="Q32" s="136">
        <f t="shared" ca="1" si="1"/>
        <v>0</v>
      </c>
      <c r="R32" s="136">
        <f t="shared" ca="1" si="2"/>
        <v>0</v>
      </c>
      <c r="S32" s="127"/>
      <c r="T32" s="127"/>
      <c r="U32" s="127"/>
      <c r="V32" s="127"/>
      <c r="W32" s="127"/>
      <c r="X32" s="127"/>
      <c r="Y32" s="127"/>
      <c r="Z32" s="127"/>
      <c r="AA32" s="127"/>
      <c r="AB32" s="127"/>
      <c r="AC32" s="127"/>
      <c r="AD32" s="127"/>
      <c r="AE32" s="127"/>
      <c r="AF32" s="127"/>
      <c r="AG32" s="127"/>
      <c r="AH32" s="127"/>
      <c r="AI32" s="127"/>
      <c r="AJ32" s="127"/>
    </row>
    <row r="33" spans="1:36" x14ac:dyDescent="0.25">
      <c r="A33" s="136"/>
      <c r="B33" s="677"/>
      <c r="C33" s="678"/>
      <c r="D33" s="678"/>
      <c r="E33" s="12">
        <v>0</v>
      </c>
      <c r="F33" s="11">
        <v>0</v>
      </c>
      <c r="G33" s="13">
        <v>0.125</v>
      </c>
      <c r="H33" s="10" t="s">
        <v>512</v>
      </c>
      <c r="I33" s="13">
        <v>0.125</v>
      </c>
      <c r="J33" s="10" t="s">
        <v>774</v>
      </c>
      <c r="K33" s="10" t="s">
        <v>774</v>
      </c>
      <c r="L33" s="10" t="s">
        <v>512</v>
      </c>
      <c r="M33" s="10" t="s">
        <v>774</v>
      </c>
      <c r="N33" s="542">
        <f t="shared" si="3"/>
        <v>0</v>
      </c>
      <c r="O33" s="366">
        <f t="shared" ca="1" si="0"/>
        <v>0</v>
      </c>
      <c r="P33" s="136"/>
      <c r="Q33" s="136">
        <f t="shared" ca="1" si="1"/>
        <v>0</v>
      </c>
      <c r="R33" s="136">
        <f t="shared" ca="1" si="2"/>
        <v>0</v>
      </c>
      <c r="S33" s="127"/>
      <c r="T33" s="127"/>
      <c r="U33" s="127"/>
      <c r="V33" s="127"/>
      <c r="W33" s="127"/>
      <c r="X33" s="127"/>
      <c r="Y33" s="127"/>
      <c r="Z33" s="127"/>
      <c r="AA33" s="127"/>
      <c r="AB33" s="127"/>
      <c r="AC33" s="127"/>
      <c r="AD33" s="127"/>
      <c r="AE33" s="127"/>
      <c r="AF33" s="127"/>
      <c r="AG33" s="127"/>
      <c r="AH33" s="127"/>
      <c r="AI33" s="127"/>
      <c r="AJ33" s="127"/>
    </row>
    <row r="34" spans="1:36" x14ac:dyDescent="0.25">
      <c r="A34" s="136"/>
      <c r="B34" s="677"/>
      <c r="C34" s="678"/>
      <c r="D34" s="678"/>
      <c r="E34" s="12">
        <v>0</v>
      </c>
      <c r="F34" s="11">
        <v>0</v>
      </c>
      <c r="G34" s="13">
        <v>0.125</v>
      </c>
      <c r="H34" s="10" t="s">
        <v>512</v>
      </c>
      <c r="I34" s="13">
        <v>0.125</v>
      </c>
      <c r="J34" s="10" t="s">
        <v>774</v>
      </c>
      <c r="K34" s="10" t="s">
        <v>774</v>
      </c>
      <c r="L34" s="10" t="s">
        <v>512</v>
      </c>
      <c r="M34" s="10" t="s">
        <v>774</v>
      </c>
      <c r="N34" s="542">
        <f t="shared" si="3"/>
        <v>0</v>
      </c>
      <c r="O34" s="366">
        <f t="shared" ca="1" si="0"/>
        <v>0</v>
      </c>
      <c r="P34" s="136"/>
      <c r="Q34" s="136">
        <f t="shared" ca="1" si="1"/>
        <v>0</v>
      </c>
      <c r="R34" s="136">
        <f t="shared" ca="1" si="2"/>
        <v>0</v>
      </c>
      <c r="S34" s="127"/>
      <c r="T34" s="127"/>
      <c r="U34" s="127"/>
      <c r="V34" s="127"/>
      <c r="W34" s="127"/>
      <c r="X34" s="127"/>
      <c r="Y34" s="127"/>
      <c r="Z34" s="127"/>
      <c r="AA34" s="127"/>
      <c r="AB34" s="127"/>
      <c r="AC34" s="127"/>
      <c r="AD34" s="127"/>
      <c r="AE34" s="127"/>
      <c r="AF34" s="127"/>
      <c r="AG34" s="127"/>
      <c r="AH34" s="127"/>
      <c r="AI34" s="127"/>
      <c r="AJ34" s="127"/>
    </row>
    <row r="35" spans="1:36" x14ac:dyDescent="0.25">
      <c r="A35" s="136"/>
      <c r="B35" s="677"/>
      <c r="C35" s="678"/>
      <c r="D35" s="678"/>
      <c r="E35" s="12">
        <v>0</v>
      </c>
      <c r="F35" s="11">
        <v>0</v>
      </c>
      <c r="G35" s="13">
        <v>0.125</v>
      </c>
      <c r="H35" s="10" t="s">
        <v>512</v>
      </c>
      <c r="I35" s="13">
        <v>0.125</v>
      </c>
      <c r="J35" s="10" t="s">
        <v>774</v>
      </c>
      <c r="K35" s="10" t="s">
        <v>774</v>
      </c>
      <c r="L35" s="10" t="s">
        <v>512</v>
      </c>
      <c r="M35" s="10" t="s">
        <v>774</v>
      </c>
      <c r="N35" s="542">
        <f t="shared" si="3"/>
        <v>0</v>
      </c>
      <c r="O35" s="366">
        <f t="shared" ca="1" si="0"/>
        <v>0</v>
      </c>
      <c r="P35" s="136"/>
      <c r="Q35" s="136">
        <f t="shared" ca="1" si="1"/>
        <v>0</v>
      </c>
      <c r="R35" s="136">
        <f t="shared" ca="1" si="2"/>
        <v>0</v>
      </c>
      <c r="S35" s="127"/>
      <c r="T35" s="127"/>
      <c r="U35" s="127"/>
      <c r="V35" s="127"/>
      <c r="W35" s="127"/>
      <c r="X35" s="127"/>
      <c r="Y35" s="127"/>
      <c r="Z35" s="127"/>
      <c r="AA35" s="127"/>
      <c r="AB35" s="127"/>
      <c r="AC35" s="127"/>
      <c r="AD35" s="127"/>
      <c r="AE35" s="127"/>
      <c r="AF35" s="127"/>
      <c r="AG35" s="127"/>
      <c r="AH35" s="127"/>
      <c r="AI35" s="127"/>
      <c r="AJ35" s="127"/>
    </row>
    <row r="36" spans="1:36" x14ac:dyDescent="0.25">
      <c r="A36" s="136"/>
      <c r="B36" s="677"/>
      <c r="C36" s="678"/>
      <c r="D36" s="678"/>
      <c r="E36" s="12">
        <v>0</v>
      </c>
      <c r="F36" s="11">
        <v>0</v>
      </c>
      <c r="G36" s="13">
        <v>0.125</v>
      </c>
      <c r="H36" s="10" t="s">
        <v>512</v>
      </c>
      <c r="I36" s="13">
        <v>0.125</v>
      </c>
      <c r="J36" s="10" t="s">
        <v>774</v>
      </c>
      <c r="K36" s="10" t="s">
        <v>774</v>
      </c>
      <c r="L36" s="10" t="s">
        <v>512</v>
      </c>
      <c r="M36" s="10" t="s">
        <v>774</v>
      </c>
      <c r="N36" s="542">
        <f t="shared" si="3"/>
        <v>0</v>
      </c>
      <c r="O36" s="366">
        <f t="shared" ca="1" si="0"/>
        <v>0</v>
      </c>
      <c r="P36" s="136"/>
      <c r="Q36" s="136">
        <f t="shared" ca="1" si="1"/>
        <v>0</v>
      </c>
      <c r="R36" s="136">
        <f t="shared" ca="1" si="2"/>
        <v>0</v>
      </c>
      <c r="S36" s="127"/>
      <c r="T36" s="127"/>
      <c r="U36" s="127"/>
      <c r="V36" s="127"/>
      <c r="W36" s="127"/>
      <c r="X36" s="127"/>
      <c r="Y36" s="127"/>
      <c r="Z36" s="127"/>
      <c r="AA36" s="127"/>
      <c r="AB36" s="127"/>
      <c r="AC36" s="127"/>
      <c r="AD36" s="127"/>
      <c r="AE36" s="127"/>
      <c r="AF36" s="127"/>
      <c r="AG36" s="127"/>
      <c r="AH36" s="127"/>
      <c r="AI36" s="127"/>
      <c r="AJ36" s="127"/>
    </row>
    <row r="37" spans="1:36" x14ac:dyDescent="0.25">
      <c r="A37" s="136"/>
      <c r="B37" s="677"/>
      <c r="C37" s="678"/>
      <c r="D37" s="678"/>
      <c r="E37" s="12">
        <v>0</v>
      </c>
      <c r="F37" s="11">
        <v>0</v>
      </c>
      <c r="G37" s="13">
        <v>0.125</v>
      </c>
      <c r="H37" s="10" t="s">
        <v>512</v>
      </c>
      <c r="I37" s="13">
        <v>0.125</v>
      </c>
      <c r="J37" s="10" t="s">
        <v>774</v>
      </c>
      <c r="K37" s="10" t="s">
        <v>774</v>
      </c>
      <c r="L37" s="10" t="s">
        <v>512</v>
      </c>
      <c r="M37" s="10" t="s">
        <v>774</v>
      </c>
      <c r="N37" s="542">
        <f t="shared" si="3"/>
        <v>0</v>
      </c>
      <c r="O37" s="366">
        <f t="shared" ca="1" si="0"/>
        <v>0</v>
      </c>
      <c r="P37" s="136"/>
      <c r="Q37" s="136">
        <f t="shared" ca="1" si="1"/>
        <v>0</v>
      </c>
      <c r="R37" s="136">
        <f t="shared" ca="1" si="2"/>
        <v>0</v>
      </c>
      <c r="S37" s="127"/>
      <c r="T37" s="127"/>
      <c r="U37" s="127"/>
      <c r="V37" s="127"/>
      <c r="W37" s="127"/>
      <c r="X37" s="127"/>
      <c r="Y37" s="127"/>
      <c r="Z37" s="127"/>
      <c r="AA37" s="127"/>
      <c r="AB37" s="127"/>
      <c r="AC37" s="127"/>
      <c r="AD37" s="127"/>
      <c r="AE37" s="127"/>
      <c r="AF37" s="127"/>
      <c r="AG37" s="127"/>
      <c r="AH37" s="127"/>
      <c r="AI37" s="127"/>
      <c r="AJ37" s="127"/>
    </row>
    <row r="38" spans="1:36" x14ac:dyDescent="0.25">
      <c r="A38" s="136"/>
      <c r="B38" s="677"/>
      <c r="C38" s="678"/>
      <c r="D38" s="678"/>
      <c r="E38" s="12">
        <v>0</v>
      </c>
      <c r="F38" s="11">
        <v>0</v>
      </c>
      <c r="G38" s="13">
        <v>0.125</v>
      </c>
      <c r="H38" s="10" t="s">
        <v>512</v>
      </c>
      <c r="I38" s="13">
        <v>0.125</v>
      </c>
      <c r="J38" s="10" t="s">
        <v>774</v>
      </c>
      <c r="K38" s="10" t="s">
        <v>774</v>
      </c>
      <c r="L38" s="10" t="s">
        <v>512</v>
      </c>
      <c r="M38" s="10" t="s">
        <v>774</v>
      </c>
      <c r="N38" s="542">
        <f t="shared" si="3"/>
        <v>0</v>
      </c>
      <c r="O38" s="366">
        <f t="shared" ca="1" si="0"/>
        <v>0</v>
      </c>
      <c r="P38" s="136"/>
      <c r="Q38" s="136">
        <f t="shared" ca="1" si="1"/>
        <v>0</v>
      </c>
      <c r="R38" s="136">
        <f t="shared" ca="1" si="2"/>
        <v>0</v>
      </c>
      <c r="S38" s="127"/>
      <c r="T38" s="127"/>
      <c r="U38" s="127"/>
      <c r="V38" s="127"/>
      <c r="W38" s="127"/>
      <c r="X38" s="127"/>
      <c r="Y38" s="127"/>
      <c r="Z38" s="127"/>
      <c r="AA38" s="127"/>
      <c r="AB38" s="127"/>
      <c r="AC38" s="127"/>
      <c r="AD38" s="127"/>
      <c r="AE38" s="127"/>
      <c r="AF38" s="127"/>
      <c r="AG38" s="127"/>
      <c r="AH38" s="127"/>
      <c r="AI38" s="127"/>
      <c r="AJ38" s="127"/>
    </row>
    <row r="39" spans="1:36" x14ac:dyDescent="0.25">
      <c r="A39" s="136"/>
      <c r="B39" s="677"/>
      <c r="C39" s="678"/>
      <c r="D39" s="678"/>
      <c r="E39" s="12">
        <v>0</v>
      </c>
      <c r="F39" s="11">
        <v>0</v>
      </c>
      <c r="G39" s="13">
        <v>0.125</v>
      </c>
      <c r="H39" s="10" t="s">
        <v>512</v>
      </c>
      <c r="I39" s="13">
        <v>0.125</v>
      </c>
      <c r="J39" s="10" t="s">
        <v>774</v>
      </c>
      <c r="K39" s="10" t="s">
        <v>774</v>
      </c>
      <c r="L39" s="10" t="s">
        <v>512</v>
      </c>
      <c r="M39" s="10" t="s">
        <v>774</v>
      </c>
      <c r="N39" s="542">
        <f t="shared" si="3"/>
        <v>0</v>
      </c>
      <c r="O39" s="366">
        <f t="shared" ca="1" si="0"/>
        <v>0</v>
      </c>
      <c r="P39" s="136"/>
      <c r="Q39" s="136">
        <f t="shared" ca="1" si="1"/>
        <v>0</v>
      </c>
      <c r="R39" s="136">
        <f t="shared" ca="1" si="2"/>
        <v>0</v>
      </c>
      <c r="S39" s="127"/>
      <c r="T39" s="127"/>
      <c r="U39" s="127"/>
      <c r="V39" s="127"/>
      <c r="W39" s="127"/>
      <c r="X39" s="127"/>
      <c r="Y39" s="127"/>
      <c r="Z39" s="127"/>
      <c r="AA39" s="127"/>
      <c r="AB39" s="127"/>
      <c r="AC39" s="127"/>
      <c r="AD39" s="127"/>
      <c r="AE39" s="127"/>
      <c r="AF39" s="127"/>
      <c r="AG39" s="127"/>
      <c r="AH39" s="127"/>
      <c r="AI39" s="127"/>
      <c r="AJ39" s="127"/>
    </row>
    <row r="40" spans="1:36" x14ac:dyDescent="0.25">
      <c r="A40" s="136"/>
      <c r="B40" s="677"/>
      <c r="C40" s="678"/>
      <c r="D40" s="678"/>
      <c r="E40" s="12">
        <v>0</v>
      </c>
      <c r="F40" s="11">
        <v>0</v>
      </c>
      <c r="G40" s="13">
        <v>0.125</v>
      </c>
      <c r="H40" s="10" t="s">
        <v>512</v>
      </c>
      <c r="I40" s="13">
        <v>0.125</v>
      </c>
      <c r="J40" s="10" t="s">
        <v>774</v>
      </c>
      <c r="K40" s="10" t="s">
        <v>774</v>
      </c>
      <c r="L40" s="10" t="s">
        <v>512</v>
      </c>
      <c r="M40" s="10" t="s">
        <v>774</v>
      </c>
      <c r="N40" s="542">
        <f t="shared" si="3"/>
        <v>0</v>
      </c>
      <c r="O40" s="366">
        <f t="shared" ca="1" si="0"/>
        <v>0</v>
      </c>
      <c r="P40" s="136"/>
      <c r="Q40" s="136">
        <f t="shared" ca="1" si="1"/>
        <v>0</v>
      </c>
      <c r="R40" s="136">
        <f t="shared" ca="1" si="2"/>
        <v>0</v>
      </c>
      <c r="S40" s="127"/>
      <c r="T40" s="127"/>
      <c r="U40" s="127"/>
      <c r="V40" s="127"/>
      <c r="W40" s="127"/>
      <c r="X40" s="127"/>
      <c r="Y40" s="127"/>
      <c r="Z40" s="127"/>
      <c r="AA40" s="127"/>
      <c r="AB40" s="127"/>
      <c r="AC40" s="127"/>
      <c r="AD40" s="127"/>
      <c r="AE40" s="127"/>
      <c r="AF40" s="127"/>
      <c r="AG40" s="127"/>
      <c r="AH40" s="127"/>
      <c r="AI40" s="127"/>
      <c r="AJ40" s="127"/>
    </row>
    <row r="41" spans="1:36" x14ac:dyDescent="0.25">
      <c r="A41" s="136"/>
      <c r="B41" s="677"/>
      <c r="C41" s="678"/>
      <c r="D41" s="678"/>
      <c r="E41" s="12">
        <v>0</v>
      </c>
      <c r="F41" s="11">
        <v>0</v>
      </c>
      <c r="G41" s="13">
        <v>0.125</v>
      </c>
      <c r="H41" s="10" t="s">
        <v>512</v>
      </c>
      <c r="I41" s="13">
        <v>0.125</v>
      </c>
      <c r="J41" s="10" t="s">
        <v>774</v>
      </c>
      <c r="K41" s="10" t="s">
        <v>774</v>
      </c>
      <c r="L41" s="10" t="s">
        <v>512</v>
      </c>
      <c r="M41" s="10" t="s">
        <v>774</v>
      </c>
      <c r="N41" s="542">
        <f t="shared" si="3"/>
        <v>0</v>
      </c>
      <c r="O41" s="366">
        <f t="shared" ca="1" si="0"/>
        <v>0</v>
      </c>
      <c r="P41" s="136"/>
      <c r="Q41" s="136">
        <f t="shared" ca="1" si="1"/>
        <v>0</v>
      </c>
      <c r="R41" s="136">
        <f t="shared" ca="1" si="2"/>
        <v>0</v>
      </c>
      <c r="S41" s="127"/>
      <c r="T41" s="127"/>
      <c r="U41" s="127"/>
      <c r="V41" s="127"/>
      <c r="W41" s="127"/>
      <c r="X41" s="127"/>
      <c r="Y41" s="127"/>
      <c r="Z41" s="127"/>
      <c r="AA41" s="127"/>
      <c r="AB41" s="127"/>
      <c r="AC41" s="127"/>
      <c r="AD41" s="127"/>
      <c r="AE41" s="127"/>
      <c r="AF41" s="127"/>
      <c r="AG41" s="127"/>
      <c r="AH41" s="127"/>
      <c r="AI41" s="127"/>
      <c r="AJ41" s="127"/>
    </row>
    <row r="42" spans="1:36" x14ac:dyDescent="0.25">
      <c r="A42" s="136"/>
      <c r="B42" s="677"/>
      <c r="C42" s="678"/>
      <c r="D42" s="678"/>
      <c r="E42" s="12">
        <v>0</v>
      </c>
      <c r="F42" s="11">
        <v>0</v>
      </c>
      <c r="G42" s="13">
        <v>0.125</v>
      </c>
      <c r="H42" s="10" t="s">
        <v>512</v>
      </c>
      <c r="I42" s="13">
        <v>0.125</v>
      </c>
      <c r="J42" s="10" t="s">
        <v>774</v>
      </c>
      <c r="K42" s="10" t="s">
        <v>774</v>
      </c>
      <c r="L42" s="10" t="s">
        <v>512</v>
      </c>
      <c r="M42" s="10" t="s">
        <v>774</v>
      </c>
      <c r="N42" s="542">
        <f t="shared" si="3"/>
        <v>0</v>
      </c>
      <c r="O42" s="366">
        <f t="shared" ca="1" si="0"/>
        <v>0</v>
      </c>
      <c r="P42" s="136"/>
      <c r="Q42" s="136">
        <f t="shared" ca="1" si="1"/>
        <v>0</v>
      </c>
      <c r="R42" s="136">
        <f t="shared" ca="1" si="2"/>
        <v>0</v>
      </c>
      <c r="S42" s="127"/>
      <c r="T42" s="127"/>
      <c r="U42" s="127"/>
      <c r="V42" s="127"/>
      <c r="W42" s="127"/>
      <c r="X42" s="127"/>
      <c r="Y42" s="127"/>
      <c r="Z42" s="127"/>
      <c r="AA42" s="127"/>
      <c r="AB42" s="127"/>
      <c r="AC42" s="127"/>
      <c r="AD42" s="127"/>
      <c r="AE42" s="127"/>
      <c r="AF42" s="127"/>
      <c r="AG42" s="127"/>
      <c r="AH42" s="127"/>
      <c r="AI42" s="127"/>
      <c r="AJ42" s="127"/>
    </row>
    <row r="43" spans="1:36" x14ac:dyDescent="0.25">
      <c r="A43" s="136"/>
      <c r="B43" s="677"/>
      <c r="C43" s="678"/>
      <c r="D43" s="678"/>
      <c r="E43" s="12">
        <v>0</v>
      </c>
      <c r="F43" s="11">
        <v>0</v>
      </c>
      <c r="G43" s="13">
        <v>0.125</v>
      </c>
      <c r="H43" s="10" t="s">
        <v>512</v>
      </c>
      <c r="I43" s="13">
        <v>0.125</v>
      </c>
      <c r="J43" s="10" t="s">
        <v>774</v>
      </c>
      <c r="K43" s="10" t="s">
        <v>774</v>
      </c>
      <c r="L43" s="10" t="s">
        <v>512</v>
      </c>
      <c r="M43" s="10" t="s">
        <v>774</v>
      </c>
      <c r="N43" s="542">
        <f t="shared" si="3"/>
        <v>0</v>
      </c>
      <c r="O43" s="366">
        <f t="shared" ca="1" si="0"/>
        <v>0</v>
      </c>
      <c r="P43" s="136"/>
      <c r="Q43" s="136">
        <f t="shared" ca="1" si="1"/>
        <v>0</v>
      </c>
      <c r="R43" s="136">
        <f t="shared" ca="1" si="2"/>
        <v>0</v>
      </c>
      <c r="S43" s="127"/>
      <c r="T43" s="127"/>
      <c r="U43" s="127"/>
      <c r="V43" s="127"/>
      <c r="W43" s="127"/>
      <c r="X43" s="127"/>
      <c r="Y43" s="127"/>
      <c r="Z43" s="127"/>
      <c r="AA43" s="127"/>
      <c r="AB43" s="127"/>
      <c r="AC43" s="127"/>
      <c r="AD43" s="127"/>
      <c r="AE43" s="127"/>
      <c r="AF43" s="127"/>
      <c r="AG43" s="127"/>
      <c r="AH43" s="127"/>
      <c r="AI43" s="127"/>
      <c r="AJ43" s="127"/>
    </row>
    <row r="44" spans="1:36" x14ac:dyDescent="0.25">
      <c r="A44" s="136"/>
      <c r="B44" s="677"/>
      <c r="C44" s="678"/>
      <c r="D44" s="678"/>
      <c r="E44" s="12">
        <v>0</v>
      </c>
      <c r="F44" s="11">
        <v>0</v>
      </c>
      <c r="G44" s="13">
        <v>0.125</v>
      </c>
      <c r="H44" s="10" t="s">
        <v>512</v>
      </c>
      <c r="I44" s="13">
        <v>0.125</v>
      </c>
      <c r="J44" s="10" t="s">
        <v>774</v>
      </c>
      <c r="K44" s="10" t="s">
        <v>774</v>
      </c>
      <c r="L44" s="10" t="s">
        <v>512</v>
      </c>
      <c r="M44" s="10" t="s">
        <v>774</v>
      </c>
      <c r="N44" s="542">
        <f t="shared" si="3"/>
        <v>0</v>
      </c>
      <c r="O44" s="366">
        <f t="shared" ca="1" si="0"/>
        <v>0</v>
      </c>
      <c r="P44" s="136"/>
      <c r="Q44" s="136">
        <f t="shared" ca="1" si="1"/>
        <v>0</v>
      </c>
      <c r="R44" s="136">
        <f t="shared" ca="1" si="2"/>
        <v>0</v>
      </c>
      <c r="S44" s="127"/>
      <c r="T44" s="127"/>
      <c r="U44" s="127"/>
      <c r="V44" s="127"/>
      <c r="W44" s="127"/>
      <c r="X44" s="127"/>
      <c r="Y44" s="127"/>
      <c r="Z44" s="127"/>
      <c r="AA44" s="127"/>
      <c r="AB44" s="127"/>
      <c r="AC44" s="127"/>
      <c r="AD44" s="127"/>
      <c r="AE44" s="127"/>
      <c r="AF44" s="127"/>
      <c r="AG44" s="127"/>
      <c r="AH44" s="127"/>
      <c r="AI44" s="127"/>
      <c r="AJ44" s="127"/>
    </row>
    <row r="45" spans="1:36" x14ac:dyDescent="0.25">
      <c r="A45" s="136"/>
      <c r="B45" s="677"/>
      <c r="C45" s="678"/>
      <c r="D45" s="678"/>
      <c r="E45" s="12">
        <v>0</v>
      </c>
      <c r="F45" s="11">
        <v>0</v>
      </c>
      <c r="G45" s="13">
        <v>0.125</v>
      </c>
      <c r="H45" s="10" t="s">
        <v>512</v>
      </c>
      <c r="I45" s="13">
        <v>0.125</v>
      </c>
      <c r="J45" s="10" t="s">
        <v>774</v>
      </c>
      <c r="K45" s="10" t="s">
        <v>774</v>
      </c>
      <c r="L45" s="10" t="s">
        <v>512</v>
      </c>
      <c r="M45" s="10" t="s">
        <v>774</v>
      </c>
      <c r="N45" s="542">
        <f t="shared" si="3"/>
        <v>0</v>
      </c>
      <c r="O45" s="366">
        <f t="shared" ca="1" si="0"/>
        <v>0</v>
      </c>
      <c r="P45" s="136"/>
      <c r="Q45" s="136">
        <f t="shared" ca="1" si="1"/>
        <v>0</v>
      </c>
      <c r="R45" s="136">
        <f t="shared" ca="1" si="2"/>
        <v>0</v>
      </c>
      <c r="S45" s="127"/>
      <c r="T45" s="127"/>
      <c r="U45" s="127"/>
      <c r="V45" s="127"/>
      <c r="W45" s="127"/>
      <c r="X45" s="127"/>
      <c r="Y45" s="127"/>
      <c r="Z45" s="127"/>
      <c r="AA45" s="127"/>
      <c r="AB45" s="127"/>
      <c r="AC45" s="127"/>
      <c r="AD45" s="127"/>
      <c r="AE45" s="127"/>
      <c r="AF45" s="127"/>
      <c r="AG45" s="127"/>
      <c r="AH45" s="127"/>
      <c r="AI45" s="127"/>
      <c r="AJ45" s="127"/>
    </row>
    <row r="46" spans="1:36" x14ac:dyDescent="0.25">
      <c r="A46" s="136"/>
      <c r="B46" s="677"/>
      <c r="C46" s="678"/>
      <c r="D46" s="678"/>
      <c r="E46" s="12">
        <v>0</v>
      </c>
      <c r="F46" s="11">
        <v>0</v>
      </c>
      <c r="G46" s="13">
        <v>0.125</v>
      </c>
      <c r="H46" s="10" t="s">
        <v>512</v>
      </c>
      <c r="I46" s="13">
        <v>0.125</v>
      </c>
      <c r="J46" s="10" t="s">
        <v>774</v>
      </c>
      <c r="K46" s="10" t="s">
        <v>774</v>
      </c>
      <c r="L46" s="10" t="s">
        <v>512</v>
      </c>
      <c r="M46" s="10" t="s">
        <v>774</v>
      </c>
      <c r="N46" s="542">
        <f t="shared" si="3"/>
        <v>0</v>
      </c>
      <c r="O46" s="366">
        <f t="shared" ca="1" si="0"/>
        <v>0</v>
      </c>
      <c r="P46" s="136"/>
      <c r="Q46" s="136">
        <f t="shared" ca="1" si="1"/>
        <v>0</v>
      </c>
      <c r="R46" s="136">
        <f t="shared" ca="1" si="2"/>
        <v>0</v>
      </c>
      <c r="S46" s="127"/>
      <c r="T46" s="127"/>
      <c r="U46" s="127"/>
      <c r="V46" s="127"/>
      <c r="W46" s="127"/>
      <c r="X46" s="127"/>
      <c r="Y46" s="127"/>
      <c r="Z46" s="127"/>
      <c r="AA46" s="127"/>
      <c r="AB46" s="127"/>
      <c r="AC46" s="127"/>
      <c r="AD46" s="127"/>
      <c r="AE46" s="127"/>
      <c r="AF46" s="127"/>
      <c r="AG46" s="127"/>
      <c r="AH46" s="127"/>
      <c r="AI46" s="127"/>
      <c r="AJ46" s="127"/>
    </row>
    <row r="47" spans="1:36" x14ac:dyDescent="0.25">
      <c r="A47" s="136"/>
      <c r="B47" s="677"/>
      <c r="C47" s="678"/>
      <c r="D47" s="678"/>
      <c r="E47" s="12">
        <v>0</v>
      </c>
      <c r="F47" s="11">
        <v>0</v>
      </c>
      <c r="G47" s="13">
        <v>0.125</v>
      </c>
      <c r="H47" s="10" t="s">
        <v>512</v>
      </c>
      <c r="I47" s="13">
        <v>0.125</v>
      </c>
      <c r="J47" s="10" t="s">
        <v>774</v>
      </c>
      <c r="K47" s="10" t="s">
        <v>774</v>
      </c>
      <c r="L47" s="10" t="s">
        <v>512</v>
      </c>
      <c r="M47" s="10" t="s">
        <v>774</v>
      </c>
      <c r="N47" s="542">
        <f t="shared" si="3"/>
        <v>0</v>
      </c>
      <c r="O47" s="366">
        <f t="shared" ca="1" si="0"/>
        <v>0</v>
      </c>
      <c r="P47" s="136"/>
      <c r="Q47" s="136">
        <f t="shared" ca="1" si="1"/>
        <v>0</v>
      </c>
      <c r="R47" s="136">
        <f t="shared" ca="1" si="2"/>
        <v>0</v>
      </c>
      <c r="S47" s="127"/>
      <c r="T47" s="127"/>
      <c r="U47" s="127"/>
      <c r="V47" s="127"/>
      <c r="W47" s="127"/>
      <c r="X47" s="127"/>
      <c r="Y47" s="127"/>
      <c r="Z47" s="127"/>
      <c r="AA47" s="127"/>
      <c r="AB47" s="127"/>
      <c r="AC47" s="127"/>
      <c r="AD47" s="127"/>
      <c r="AE47" s="127"/>
      <c r="AF47" s="127"/>
      <c r="AG47" s="127"/>
      <c r="AH47" s="127"/>
      <c r="AI47" s="127"/>
      <c r="AJ47" s="127"/>
    </row>
    <row r="48" spans="1:36" x14ac:dyDescent="0.25">
      <c r="A48" s="136"/>
      <c r="B48" s="677"/>
      <c r="C48" s="678"/>
      <c r="D48" s="678"/>
      <c r="E48" s="12">
        <v>0</v>
      </c>
      <c r="F48" s="11">
        <v>0</v>
      </c>
      <c r="G48" s="13">
        <v>0.125</v>
      </c>
      <c r="H48" s="10" t="s">
        <v>512</v>
      </c>
      <c r="I48" s="13">
        <v>0.125</v>
      </c>
      <c r="J48" s="10" t="s">
        <v>774</v>
      </c>
      <c r="K48" s="10" t="s">
        <v>774</v>
      </c>
      <c r="L48" s="10" t="s">
        <v>512</v>
      </c>
      <c r="M48" s="10" t="s">
        <v>774</v>
      </c>
      <c r="N48" s="542">
        <f t="shared" si="3"/>
        <v>0</v>
      </c>
      <c r="O48" s="366">
        <f t="shared" ca="1" si="0"/>
        <v>0</v>
      </c>
      <c r="P48" s="136"/>
      <c r="Q48" s="136">
        <f t="shared" ca="1" si="1"/>
        <v>0</v>
      </c>
      <c r="R48" s="136">
        <f t="shared" ca="1" si="2"/>
        <v>0</v>
      </c>
      <c r="S48" s="127"/>
      <c r="T48" s="127"/>
      <c r="U48" s="127"/>
      <c r="V48" s="127"/>
      <c r="W48" s="127"/>
      <c r="X48" s="127"/>
      <c r="Y48" s="127"/>
      <c r="Z48" s="127"/>
      <c r="AA48" s="127"/>
      <c r="AB48" s="127"/>
      <c r="AC48" s="127"/>
      <c r="AD48" s="127"/>
      <c r="AE48" s="127"/>
      <c r="AF48" s="127"/>
      <c r="AG48" s="127"/>
      <c r="AH48" s="127"/>
      <c r="AI48" s="127"/>
      <c r="AJ48" s="127"/>
    </row>
    <row r="49" spans="1:36" x14ac:dyDescent="0.25">
      <c r="A49" s="136"/>
      <c r="B49" s="677"/>
      <c r="C49" s="678"/>
      <c r="D49" s="678"/>
      <c r="E49" s="12">
        <v>0</v>
      </c>
      <c r="F49" s="11">
        <v>0</v>
      </c>
      <c r="G49" s="13">
        <v>0.125</v>
      </c>
      <c r="H49" s="10" t="s">
        <v>512</v>
      </c>
      <c r="I49" s="13">
        <v>0.125</v>
      </c>
      <c r="J49" s="10" t="s">
        <v>774</v>
      </c>
      <c r="K49" s="10" t="s">
        <v>774</v>
      </c>
      <c r="L49" s="10" t="s">
        <v>512</v>
      </c>
      <c r="M49" s="10" t="s">
        <v>774</v>
      </c>
      <c r="N49" s="542">
        <f t="shared" si="3"/>
        <v>0</v>
      </c>
      <c r="O49" s="366">
        <f t="shared" ca="1" si="0"/>
        <v>0</v>
      </c>
      <c r="P49" s="136"/>
      <c r="Q49" s="136">
        <f t="shared" ca="1" si="1"/>
        <v>0</v>
      </c>
      <c r="R49" s="136">
        <f t="shared" ca="1" si="2"/>
        <v>0</v>
      </c>
      <c r="S49" s="127"/>
      <c r="T49" s="127"/>
      <c r="U49" s="127"/>
      <c r="V49" s="127"/>
      <c r="W49" s="127"/>
      <c r="X49" s="127"/>
      <c r="Y49" s="127"/>
      <c r="Z49" s="127"/>
      <c r="AA49" s="127"/>
      <c r="AB49" s="127"/>
      <c r="AC49" s="127"/>
      <c r="AD49" s="127"/>
      <c r="AE49" s="127"/>
      <c r="AF49" s="127"/>
      <c r="AG49" s="127"/>
      <c r="AH49" s="127"/>
      <c r="AI49" s="127"/>
      <c r="AJ49" s="127"/>
    </row>
    <row r="50" spans="1:36" ht="13.8" thickBot="1" x14ac:dyDescent="0.3">
      <c r="A50" s="136"/>
      <c r="B50" s="682"/>
      <c r="C50" s="683"/>
      <c r="D50" s="683"/>
      <c r="E50" s="138">
        <v>0</v>
      </c>
      <c r="F50" s="120">
        <v>0</v>
      </c>
      <c r="G50" s="139">
        <v>0.125</v>
      </c>
      <c r="H50" s="121" t="s">
        <v>512</v>
      </c>
      <c r="I50" s="139">
        <v>0.125</v>
      </c>
      <c r="J50" s="121" t="s">
        <v>774</v>
      </c>
      <c r="K50" s="121" t="s">
        <v>774</v>
      </c>
      <c r="L50" s="121" t="s">
        <v>512</v>
      </c>
      <c r="M50" s="148" t="s">
        <v>774</v>
      </c>
      <c r="N50" s="543">
        <f>F50*I50*IF(OR(K50="No",J50="Yes"),1,1.15)</f>
        <v>0</v>
      </c>
      <c r="O50" s="367">
        <f t="shared" ca="1" si="0"/>
        <v>0</v>
      </c>
      <c r="P50" s="136"/>
      <c r="Q50" s="136">
        <f t="shared" ca="1" si="1"/>
        <v>0</v>
      </c>
      <c r="R50" s="136">
        <f t="shared" ca="1" si="2"/>
        <v>0</v>
      </c>
      <c r="S50" s="127"/>
      <c r="T50" s="127"/>
      <c r="U50" s="127"/>
      <c r="V50" s="127"/>
      <c r="W50" s="127"/>
      <c r="X50" s="127"/>
      <c r="Y50" s="127"/>
      <c r="Z50" s="127"/>
      <c r="AA50" s="127"/>
      <c r="AB50" s="127"/>
      <c r="AC50" s="127"/>
      <c r="AD50" s="127"/>
      <c r="AE50" s="127"/>
      <c r="AF50" s="127"/>
      <c r="AG50" s="127"/>
      <c r="AH50" s="127"/>
      <c r="AI50" s="127"/>
      <c r="AJ50" s="127"/>
    </row>
    <row r="51" spans="1:36" ht="15" x14ac:dyDescent="0.25">
      <c r="A51" s="136"/>
      <c r="B51" s="150"/>
      <c r="C51" s="150"/>
      <c r="D51" s="150"/>
      <c r="E51" s="151"/>
      <c r="F51" s="136"/>
      <c r="G51" s="136"/>
      <c r="H51" s="136"/>
      <c r="I51" s="136"/>
      <c r="J51" s="136"/>
      <c r="K51" s="136"/>
      <c r="L51" s="136"/>
      <c r="M51" s="136"/>
      <c r="N51" s="136"/>
      <c r="O51" s="152"/>
      <c r="P51" s="136"/>
      <c r="Q51" s="136"/>
      <c r="R51" s="127"/>
      <c r="S51" s="127"/>
      <c r="T51" s="127"/>
      <c r="U51" s="127"/>
      <c r="V51" s="127"/>
      <c r="W51" s="127"/>
      <c r="X51" s="127"/>
      <c r="Y51" s="127"/>
      <c r="Z51" s="127"/>
      <c r="AA51" s="127"/>
      <c r="AB51" s="127"/>
      <c r="AC51" s="127"/>
      <c r="AD51" s="127"/>
      <c r="AE51" s="127"/>
      <c r="AF51" s="127"/>
      <c r="AG51" s="127"/>
      <c r="AH51" s="127"/>
      <c r="AI51" s="127"/>
      <c r="AJ51" s="127"/>
    </row>
    <row r="52" spans="1:36" x14ac:dyDescent="0.25">
      <c r="A52" s="136"/>
      <c r="B52" s="136"/>
      <c r="C52" s="136"/>
      <c r="D52" s="136"/>
      <c r="E52" s="136"/>
      <c r="F52" s="136"/>
      <c r="G52" s="136"/>
      <c r="H52" s="136"/>
      <c r="I52" s="136"/>
      <c r="J52" s="136"/>
      <c r="K52" s="136"/>
      <c r="L52" s="136"/>
      <c r="M52" s="136"/>
      <c r="N52" s="136"/>
      <c r="O52" s="136"/>
      <c r="P52" s="136"/>
      <c r="Q52" s="136"/>
      <c r="R52" s="127"/>
      <c r="S52" s="127"/>
      <c r="T52" s="127"/>
      <c r="U52" s="127"/>
      <c r="V52" s="127"/>
      <c r="W52" s="127"/>
      <c r="X52" s="127"/>
      <c r="Y52" s="127"/>
      <c r="Z52" s="127"/>
      <c r="AA52" s="127"/>
      <c r="AB52" s="127"/>
      <c r="AC52" s="127"/>
      <c r="AD52" s="127"/>
      <c r="AE52" s="127"/>
      <c r="AF52" s="127"/>
      <c r="AG52" s="127"/>
      <c r="AH52" s="127"/>
      <c r="AI52" s="127"/>
      <c r="AJ52" s="127"/>
    </row>
    <row r="53" spans="1:36" ht="15" x14ac:dyDescent="0.25">
      <c r="A53" s="136"/>
      <c r="B53" s="150"/>
      <c r="C53" s="150"/>
      <c r="D53" s="150"/>
      <c r="E53" s="153"/>
      <c r="F53" s="136"/>
      <c r="G53" s="136"/>
      <c r="H53" s="150"/>
      <c r="I53" s="136"/>
      <c r="J53" s="136"/>
      <c r="K53" s="136"/>
      <c r="L53" s="136"/>
      <c r="M53" s="150"/>
      <c r="N53" s="150"/>
      <c r="O53" s="154"/>
      <c r="P53" s="127"/>
      <c r="Q53" s="136"/>
      <c r="R53" s="127"/>
      <c r="S53" s="127"/>
      <c r="T53" s="127"/>
      <c r="U53" s="127"/>
      <c r="V53" s="127"/>
      <c r="W53" s="127"/>
      <c r="X53" s="127"/>
      <c r="Y53" s="127"/>
      <c r="Z53" s="127"/>
      <c r="AA53" s="127"/>
      <c r="AB53" s="127"/>
      <c r="AC53" s="127"/>
      <c r="AD53" s="127"/>
      <c r="AE53" s="127"/>
      <c r="AF53" s="127"/>
      <c r="AG53" s="127"/>
      <c r="AH53" s="127"/>
      <c r="AI53" s="127"/>
      <c r="AJ53" s="127"/>
    </row>
    <row r="54" spans="1:36" x14ac:dyDescent="0.25">
      <c r="A54" s="136"/>
      <c r="B54" s="136"/>
      <c r="C54" s="136"/>
      <c r="D54" s="136"/>
      <c r="E54" s="136"/>
      <c r="F54" s="136"/>
      <c r="G54" s="136"/>
      <c r="H54" s="136"/>
      <c r="I54" s="136"/>
      <c r="J54" s="136"/>
      <c r="K54" s="136"/>
      <c r="L54" s="136"/>
      <c r="M54" s="136"/>
      <c r="N54" s="136"/>
      <c r="O54" s="136"/>
      <c r="P54" s="136"/>
      <c r="Q54" s="136"/>
      <c r="R54" s="127"/>
      <c r="S54" s="127"/>
      <c r="T54" s="127"/>
      <c r="U54" s="127"/>
      <c r="V54" s="127"/>
      <c r="W54" s="127"/>
      <c r="X54" s="127"/>
      <c r="Y54" s="127"/>
      <c r="Z54" s="127"/>
      <c r="AA54" s="127"/>
      <c r="AB54" s="127"/>
      <c r="AC54" s="127"/>
      <c r="AD54" s="127"/>
      <c r="AE54" s="127"/>
      <c r="AF54" s="127"/>
      <c r="AG54" s="127"/>
      <c r="AH54" s="127"/>
      <c r="AI54" s="127"/>
      <c r="AJ54" s="127"/>
    </row>
    <row r="55" spans="1:36"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row>
    <row r="56" spans="1:36"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row>
    <row r="57" spans="1:36"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row>
    <row r="58" spans="1:36"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row>
    <row r="59" spans="1:36"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row>
    <row r="60" spans="1:36"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row>
    <row r="61" spans="1:36"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row>
    <row r="62" spans="1:36"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row>
    <row r="63" spans="1:36"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row>
    <row r="64" spans="1:36"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row>
    <row r="65" spans="1:36"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row>
    <row r="66" spans="1:36"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row>
    <row r="67" spans="1:36"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row>
    <row r="68" spans="1:36"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row>
    <row r="69" spans="1:36"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row>
    <row r="70" spans="1:36"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row>
    <row r="71" spans="1:36"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row>
    <row r="72" spans="1:36"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row>
    <row r="73" spans="1:36"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row>
    <row r="74" spans="1:36"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row>
    <row r="75" spans="1:36"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row>
    <row r="76" spans="1:36"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row>
    <row r="77" spans="1:36"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row>
    <row r="78" spans="1:36"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row>
    <row r="79" spans="1:36"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row>
    <row r="80" spans="1:36"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row>
    <row r="81" spans="1:36"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row>
    <row r="82" spans="1:36"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row>
    <row r="83" spans="1:36"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row>
    <row r="84" spans="1:36"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row>
    <row r="85" spans="1:36"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row>
    <row r="86" spans="1:36"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row>
    <row r="87" spans="1:36"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row>
    <row r="88" spans="1:36"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row>
    <row r="89" spans="1:36"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row>
    <row r="90" spans="1:36"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row>
    <row r="91" spans="1:36"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row>
    <row r="92" spans="1:36"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row>
    <row r="93" spans="1:36"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row>
    <row r="94" spans="1:36"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row>
    <row r="95" spans="1:36"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row>
    <row r="96" spans="1:36"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row>
    <row r="97" spans="1:36"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row>
    <row r="98" spans="1:36"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row>
    <row r="99" spans="1:36"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row>
    <row r="100" spans="1:36"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row>
    <row r="101" spans="1:36"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row>
    <row r="102" spans="1:36"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row>
    <row r="103" spans="1:36"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row>
    <row r="104" spans="1:36"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row>
    <row r="105" spans="1:36"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row>
    <row r="106" spans="1:36"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row>
    <row r="107" spans="1:36"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row>
    <row r="108" spans="1:36"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row>
    <row r="109" spans="1:36"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row>
    <row r="110" spans="1:36"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row>
    <row r="111" spans="1:36" x14ac:dyDescent="0.25">
      <c r="A111" s="127"/>
      <c r="B111" s="127"/>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c r="AI111" s="127"/>
      <c r="AJ111" s="127"/>
    </row>
    <row r="112" spans="1:36" x14ac:dyDescent="0.25">
      <c r="A112" s="127"/>
      <c r="B112" s="127"/>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c r="AI112" s="127"/>
      <c r="AJ112" s="127"/>
    </row>
    <row r="113" spans="1:36" x14ac:dyDescent="0.25">
      <c r="A113" s="127"/>
      <c r="B113" s="127"/>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c r="AI113" s="127"/>
      <c r="AJ113" s="127"/>
    </row>
    <row r="114" spans="1:36" x14ac:dyDescent="0.25">
      <c r="A114" s="127"/>
      <c r="B114" s="127"/>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c r="AI114" s="127"/>
      <c r="AJ114" s="127"/>
    </row>
    <row r="115" spans="1:36" x14ac:dyDescent="0.25">
      <c r="A115" s="127"/>
      <c r="B115" s="127"/>
      <c r="C115" s="127"/>
      <c r="D115" s="127"/>
      <c r="E115" s="127"/>
      <c r="F115" s="127"/>
      <c r="G115" s="127"/>
      <c r="H115" s="127"/>
      <c r="I115" s="127"/>
      <c r="J115" s="127"/>
      <c r="K115" s="127"/>
      <c r="L115" s="127"/>
      <c r="M115" s="127"/>
      <c r="N115" s="127"/>
      <c r="O115" s="127"/>
      <c r="P115" s="127"/>
      <c r="Q115" s="127"/>
      <c r="R115" s="127"/>
      <c r="S115" s="127"/>
      <c r="T115" s="127"/>
      <c r="U115" s="127"/>
      <c r="V115" s="127"/>
      <c r="W115" s="127"/>
      <c r="X115" s="127"/>
      <c r="Y115" s="127"/>
      <c r="Z115" s="127"/>
      <c r="AA115" s="127"/>
      <c r="AB115" s="127"/>
      <c r="AC115" s="127"/>
      <c r="AD115" s="127"/>
      <c r="AE115" s="127"/>
      <c r="AF115" s="127"/>
      <c r="AG115" s="127"/>
      <c r="AH115" s="127"/>
      <c r="AI115" s="127"/>
      <c r="AJ115" s="127"/>
    </row>
    <row r="116" spans="1:36" x14ac:dyDescent="0.25">
      <c r="A116" s="127"/>
      <c r="B116" s="127"/>
      <c r="C116" s="127"/>
      <c r="D116" s="127"/>
      <c r="E116" s="127"/>
      <c r="F116" s="127"/>
      <c r="G116" s="127"/>
      <c r="H116" s="127"/>
      <c r="I116" s="127"/>
      <c r="J116" s="127"/>
      <c r="K116" s="127"/>
      <c r="L116" s="127"/>
      <c r="M116" s="127"/>
      <c r="N116" s="127"/>
      <c r="O116" s="127"/>
      <c r="P116" s="127"/>
      <c r="Q116" s="127"/>
      <c r="R116" s="127"/>
      <c r="S116" s="127"/>
      <c r="T116" s="127"/>
      <c r="U116" s="127"/>
      <c r="V116" s="127"/>
      <c r="W116" s="127"/>
      <c r="X116" s="127"/>
      <c r="Y116" s="127"/>
      <c r="Z116" s="127"/>
      <c r="AA116" s="127"/>
      <c r="AB116" s="127"/>
      <c r="AC116" s="127"/>
      <c r="AD116" s="127"/>
      <c r="AE116" s="127"/>
      <c r="AF116" s="127"/>
      <c r="AG116" s="127"/>
      <c r="AH116" s="127"/>
      <c r="AI116" s="127"/>
      <c r="AJ116" s="127"/>
    </row>
    <row r="117" spans="1:36" x14ac:dyDescent="0.25">
      <c r="A117" s="127"/>
      <c r="B117" s="127"/>
      <c r="C117" s="127"/>
      <c r="D117" s="127"/>
      <c r="E117" s="127"/>
      <c r="F117" s="127"/>
      <c r="G117" s="127"/>
      <c r="H117" s="127"/>
      <c r="I117" s="127"/>
      <c r="J117" s="127"/>
      <c r="K117" s="127"/>
      <c r="L117" s="127"/>
      <c r="M117" s="127"/>
      <c r="N117" s="127"/>
      <c r="O117" s="127"/>
      <c r="P117" s="127"/>
      <c r="Q117" s="127"/>
      <c r="R117" s="127"/>
      <c r="S117" s="127"/>
      <c r="T117" s="127"/>
      <c r="U117" s="127"/>
      <c r="V117" s="127"/>
      <c r="W117" s="127"/>
      <c r="X117" s="127"/>
      <c r="Y117" s="127"/>
      <c r="Z117" s="127"/>
      <c r="AA117" s="127"/>
      <c r="AB117" s="127"/>
      <c r="AC117" s="127"/>
      <c r="AD117" s="127"/>
      <c r="AE117" s="127"/>
      <c r="AF117" s="127"/>
      <c r="AG117" s="127"/>
      <c r="AH117" s="127"/>
      <c r="AI117" s="127"/>
      <c r="AJ117" s="127"/>
    </row>
    <row r="118" spans="1:36" x14ac:dyDescent="0.25">
      <c r="A118" s="127"/>
      <c r="B118" s="127"/>
      <c r="C118" s="127"/>
      <c r="D118" s="127"/>
      <c r="E118" s="127"/>
      <c r="F118" s="127"/>
      <c r="G118" s="127"/>
      <c r="H118" s="127"/>
      <c r="I118" s="127"/>
      <c r="J118" s="127"/>
      <c r="K118" s="127"/>
      <c r="L118" s="127"/>
      <c r="M118" s="127"/>
      <c r="N118" s="127"/>
      <c r="O118" s="127"/>
      <c r="P118" s="127"/>
      <c r="Q118" s="127"/>
      <c r="R118" s="127"/>
      <c r="S118" s="127"/>
      <c r="T118" s="127"/>
      <c r="U118" s="127"/>
      <c r="V118" s="127"/>
      <c r="W118" s="127"/>
      <c r="X118" s="127"/>
      <c r="Y118" s="127"/>
      <c r="Z118" s="127"/>
      <c r="AA118" s="127"/>
      <c r="AB118" s="127"/>
      <c r="AC118" s="127"/>
      <c r="AD118" s="127"/>
      <c r="AE118" s="127"/>
      <c r="AF118" s="127"/>
      <c r="AG118" s="127"/>
      <c r="AH118" s="127"/>
      <c r="AI118" s="127"/>
      <c r="AJ118" s="127"/>
    </row>
    <row r="119" spans="1:36" x14ac:dyDescent="0.25">
      <c r="A119" s="127"/>
      <c r="B119" s="127"/>
      <c r="C119" s="127"/>
      <c r="D119" s="127"/>
      <c r="E119" s="127"/>
      <c r="F119" s="127"/>
      <c r="G119" s="127"/>
      <c r="H119" s="127"/>
      <c r="I119" s="127"/>
      <c r="J119" s="127"/>
      <c r="K119" s="127"/>
      <c r="L119" s="127"/>
      <c r="M119" s="127"/>
      <c r="N119" s="127"/>
      <c r="O119" s="127"/>
      <c r="P119" s="127"/>
      <c r="Q119" s="127"/>
      <c r="R119" s="127"/>
      <c r="S119" s="127"/>
      <c r="T119" s="127"/>
      <c r="U119" s="127"/>
      <c r="V119" s="127"/>
      <c r="W119" s="127"/>
      <c r="X119" s="127"/>
      <c r="Y119" s="127"/>
      <c r="Z119" s="127"/>
      <c r="AA119" s="127"/>
      <c r="AB119" s="127"/>
      <c r="AC119" s="127"/>
      <c r="AD119" s="127"/>
      <c r="AE119" s="127"/>
      <c r="AF119" s="127"/>
      <c r="AG119" s="127"/>
      <c r="AH119" s="127"/>
      <c r="AI119" s="127"/>
      <c r="AJ119" s="127"/>
    </row>
    <row r="120" spans="1:36" x14ac:dyDescent="0.25">
      <c r="A120" s="127"/>
      <c r="B120" s="127"/>
      <c r="C120" s="127"/>
      <c r="D120" s="127"/>
      <c r="E120" s="127"/>
      <c r="F120" s="127"/>
      <c r="G120" s="127"/>
      <c r="H120" s="127"/>
      <c r="I120" s="127"/>
      <c r="J120" s="127"/>
      <c r="K120" s="127"/>
      <c r="L120" s="127"/>
      <c r="M120" s="127"/>
      <c r="N120" s="127"/>
      <c r="O120" s="127"/>
      <c r="P120" s="127"/>
      <c r="Q120" s="127"/>
      <c r="R120" s="127"/>
      <c r="S120" s="127"/>
      <c r="T120" s="127"/>
      <c r="U120" s="127"/>
      <c r="V120" s="127"/>
      <c r="W120" s="127"/>
      <c r="X120" s="127"/>
      <c r="Y120" s="127"/>
      <c r="Z120" s="127"/>
      <c r="AA120" s="127"/>
      <c r="AB120" s="127"/>
      <c r="AC120" s="127"/>
      <c r="AD120" s="127"/>
      <c r="AE120" s="127"/>
      <c r="AF120" s="127"/>
      <c r="AG120" s="127"/>
      <c r="AH120" s="127"/>
      <c r="AI120" s="127"/>
      <c r="AJ120" s="127"/>
    </row>
    <row r="121" spans="1:36" x14ac:dyDescent="0.25">
      <c r="A121" s="127"/>
      <c r="B121" s="127"/>
      <c r="C121" s="127"/>
      <c r="D121" s="127"/>
      <c r="E121" s="127"/>
      <c r="F121" s="127"/>
      <c r="G121" s="127"/>
      <c r="H121" s="127"/>
      <c r="I121" s="127"/>
      <c r="J121" s="127"/>
      <c r="K121" s="127"/>
      <c r="L121" s="127"/>
      <c r="M121" s="127"/>
      <c r="N121" s="127"/>
      <c r="O121" s="127"/>
      <c r="P121" s="127"/>
      <c r="Q121" s="127"/>
      <c r="R121" s="127"/>
      <c r="S121" s="127"/>
      <c r="T121" s="127"/>
      <c r="U121" s="127"/>
      <c r="V121" s="127"/>
      <c r="W121" s="127"/>
      <c r="X121" s="127"/>
      <c r="Y121" s="127"/>
      <c r="Z121" s="127"/>
      <c r="AA121" s="127"/>
      <c r="AB121" s="127"/>
      <c r="AC121" s="127"/>
      <c r="AD121" s="127"/>
      <c r="AE121" s="127"/>
      <c r="AF121" s="127"/>
      <c r="AG121" s="127"/>
      <c r="AH121" s="127"/>
      <c r="AI121" s="127"/>
      <c r="AJ121" s="127"/>
    </row>
    <row r="122" spans="1:36" x14ac:dyDescent="0.25">
      <c r="A122" s="127"/>
      <c r="B122" s="127"/>
      <c r="C122" s="127"/>
      <c r="D122" s="127"/>
      <c r="E122" s="127"/>
      <c r="F122" s="127"/>
      <c r="G122" s="127"/>
      <c r="H122" s="127"/>
      <c r="I122" s="127"/>
      <c r="J122" s="127"/>
      <c r="K122" s="127"/>
      <c r="L122" s="127"/>
      <c r="M122" s="127"/>
      <c r="N122" s="127"/>
      <c r="O122" s="127"/>
      <c r="P122" s="127"/>
      <c r="Q122" s="127"/>
      <c r="R122" s="127"/>
      <c r="S122" s="127"/>
      <c r="T122" s="127"/>
      <c r="U122" s="127"/>
      <c r="V122" s="127"/>
      <c r="W122" s="127"/>
      <c r="X122" s="127"/>
      <c r="Y122" s="127"/>
      <c r="Z122" s="127"/>
      <c r="AA122" s="127"/>
      <c r="AB122" s="127"/>
      <c r="AC122" s="127"/>
      <c r="AD122" s="127"/>
      <c r="AE122" s="127"/>
      <c r="AF122" s="127"/>
      <c r="AG122" s="127"/>
      <c r="AH122" s="127"/>
      <c r="AI122" s="127"/>
      <c r="AJ122" s="127"/>
    </row>
    <row r="123" spans="1:36" x14ac:dyDescent="0.25">
      <c r="A123" s="127"/>
      <c r="B123" s="127"/>
      <c r="C123" s="127"/>
      <c r="D123" s="127"/>
      <c r="E123" s="127"/>
      <c r="F123" s="127"/>
      <c r="G123" s="127"/>
      <c r="H123" s="127"/>
      <c r="I123" s="127"/>
      <c r="J123" s="127"/>
      <c r="K123" s="127"/>
      <c r="L123" s="127"/>
      <c r="M123" s="127"/>
      <c r="N123" s="127"/>
      <c r="O123" s="127"/>
      <c r="P123" s="127"/>
      <c r="Q123" s="127"/>
      <c r="R123" s="127"/>
      <c r="S123" s="127"/>
      <c r="T123" s="127"/>
      <c r="U123" s="127"/>
      <c r="V123" s="127"/>
      <c r="W123" s="127"/>
      <c r="X123" s="127"/>
      <c r="Y123" s="127"/>
      <c r="Z123" s="127"/>
      <c r="AA123" s="127"/>
      <c r="AB123" s="127"/>
      <c r="AC123" s="127"/>
      <c r="AD123" s="127"/>
      <c r="AE123" s="127"/>
      <c r="AF123" s="127"/>
      <c r="AG123" s="127"/>
      <c r="AH123" s="127"/>
      <c r="AI123" s="127"/>
      <c r="AJ123" s="127"/>
    </row>
    <row r="124" spans="1:36" x14ac:dyDescent="0.25">
      <c r="A124" s="127"/>
      <c r="B124" s="127"/>
      <c r="C124" s="127"/>
      <c r="D124" s="127"/>
      <c r="E124" s="127"/>
      <c r="F124" s="127"/>
      <c r="G124" s="127"/>
      <c r="H124" s="127"/>
      <c r="I124" s="127"/>
      <c r="J124" s="127"/>
      <c r="K124" s="127"/>
      <c r="L124" s="127"/>
      <c r="M124" s="127"/>
      <c r="N124" s="127"/>
      <c r="O124" s="127"/>
      <c r="P124" s="127"/>
      <c r="Q124" s="127"/>
      <c r="R124" s="127"/>
      <c r="S124" s="127"/>
      <c r="T124" s="127"/>
      <c r="U124" s="127"/>
      <c r="V124" s="127"/>
      <c r="W124" s="127"/>
      <c r="X124" s="127"/>
      <c r="Y124" s="127"/>
      <c r="Z124" s="127"/>
      <c r="AA124" s="127"/>
      <c r="AB124" s="127"/>
      <c r="AC124" s="127"/>
      <c r="AD124" s="127"/>
      <c r="AE124" s="127"/>
      <c r="AF124" s="127"/>
      <c r="AG124" s="127"/>
      <c r="AH124" s="127"/>
      <c r="AI124" s="127"/>
      <c r="AJ124" s="127"/>
    </row>
  </sheetData>
  <sheetProtection password="CF7D" sheet="1" objects="1" scenarios="1"/>
  <mergeCells count="48">
    <mergeCell ref="B50:D50"/>
    <mergeCell ref="B19:D19"/>
    <mergeCell ref="B20:D20"/>
    <mergeCell ref="B21:D21"/>
    <mergeCell ref="B28:D28"/>
    <mergeCell ref="B29:D29"/>
    <mergeCell ref="B34:D34"/>
    <mergeCell ref="B35:D35"/>
    <mergeCell ref="B45:D45"/>
    <mergeCell ref="B25:D25"/>
    <mergeCell ref="B47:D47"/>
    <mergeCell ref="B48:D48"/>
    <mergeCell ref="B39:D39"/>
    <mergeCell ref="B27:D27"/>
    <mergeCell ref="B36:D36"/>
    <mergeCell ref="B37:D37"/>
    <mergeCell ref="F3:J3"/>
    <mergeCell ref="B49:D49"/>
    <mergeCell ref="B41:D41"/>
    <mergeCell ref="B44:D44"/>
    <mergeCell ref="B31:D31"/>
    <mergeCell ref="B40:D40"/>
    <mergeCell ref="B38:D38"/>
    <mergeCell ref="B43:D43"/>
    <mergeCell ref="B46:D46"/>
    <mergeCell ref="B42:D42"/>
    <mergeCell ref="B10:D10"/>
    <mergeCell ref="B26:D26"/>
    <mergeCell ref="B32:D32"/>
    <mergeCell ref="B33:D33"/>
    <mergeCell ref="B1:O1"/>
    <mergeCell ref="B7:D7"/>
    <mergeCell ref="B3:D3"/>
    <mergeCell ref="B5:D5"/>
    <mergeCell ref="B8:D8"/>
    <mergeCell ref="B22:D22"/>
    <mergeCell ref="B23:D23"/>
    <mergeCell ref="B17:D17"/>
    <mergeCell ref="B18:D18"/>
    <mergeCell ref="B30:D30"/>
    <mergeCell ref="B24:D24"/>
    <mergeCell ref="B9:D9"/>
    <mergeCell ref="B15:D15"/>
    <mergeCell ref="B16:D16"/>
    <mergeCell ref="B11:D11"/>
    <mergeCell ref="B12:D12"/>
    <mergeCell ref="B13:D13"/>
    <mergeCell ref="B14:D14"/>
  </mergeCells>
  <phoneticPr fontId="2" type="noConversion"/>
  <conditionalFormatting sqref="F8:F50">
    <cfRule type="cellIs" dxfId="25" priority="13" stopIfTrue="1" operator="greaterThan">
      <formula>1000</formula>
    </cfRule>
  </conditionalFormatting>
  <conditionalFormatting sqref="H4 J4">
    <cfRule type="cellIs" dxfId="24" priority="5" stopIfTrue="1" operator="greaterThan">
      <formula>1</formula>
    </cfRule>
  </conditionalFormatting>
  <conditionalFormatting sqref="J8:J50">
    <cfRule type="expression" dxfId="23" priority="9" stopIfTrue="1">
      <formula>EXACT($K8,"No")</formula>
    </cfRule>
  </conditionalFormatting>
  <conditionalFormatting sqref="N8:O50">
    <cfRule type="cellIs" dxfId="22" priority="4" stopIfTrue="1" operator="lessThanOrEqual">
      <formula>0</formula>
    </cfRule>
  </conditionalFormatting>
  <dataValidations count="8">
    <dataValidation type="whole" operator="greaterThanOrEqual" allowBlank="1" showInputMessage="1" showErrorMessage="1" errorTitle="Invalid Number of DSPs" error="The number of DSPs must be an integer greater than 0." sqref="E8:E50" xr:uid="{00000000-0002-0000-0500-000000000000}">
      <formula1>0</formula1>
    </dataValidation>
    <dataValidation type="decimal" operator="greaterThanOrEqual" allowBlank="1" showInputMessage="1" showErrorMessage="1" errorTitle="Invalid Clock Frequency" error="The clock frequency must be a decimal number greater than 0.0." sqref="F8:F50" xr:uid="{00000000-0002-0000-0500-000001000000}">
      <formula1>0</formula1>
    </dataValidation>
    <dataValidation type="decimal" allowBlank="1" showInputMessage="1" showErrorMessage="1" errorTitle="Invalid Rate Setting" error="Rate must be between 0% and 100%." sqref="I8:I50 G8:G50" xr:uid="{00000000-0002-0000-0500-000002000000}">
      <formula1>0</formula1>
      <formula2>1</formula2>
    </dataValidation>
    <dataValidation type="list" allowBlank="1" showInputMessage="1" showErrorMessage="1" errorTitle="Invalid MREG Selection" error="Use the drop down or enter a valid MREG selection. Allowed values are: Yes, No" sqref="H8:H50" xr:uid="{00000000-0002-0000-0500-000003000000}">
      <formula1>"Yes,No"</formula1>
    </dataValidation>
    <dataValidation type="list" allowBlank="1" showInputMessage="1" showErrorMessage="1" errorTitle="Invalid MREG Selection" error="Use the drop down or enter a valid MREG Used selection. Allowed values are: Yes, No" sqref="J8:J50" xr:uid="{00000000-0002-0000-0500-000004000000}">
      <formula1>"Yes,No"</formula1>
    </dataValidation>
    <dataValidation type="list" allowBlank="1" showInputMessage="1" showErrorMessage="1" errorTitle="Invalid Multiplier Selection" error="Use the drop down or enter a valid Multiplier Used selection. Allowed values are: Yes, No" sqref="K8:K50" xr:uid="{00000000-0002-0000-0500-000005000000}">
      <formula1>"Yes,No"</formula1>
    </dataValidation>
    <dataValidation type="list" allowBlank="1" showInputMessage="1" showErrorMessage="1" errorTitle="Invalid Pre-Adder Selection" error="Use the drop down or enter a valid Pre-Adder Used selection. Allowed values are: Yes, No" sqref="L8:L50" xr:uid="{00000000-0002-0000-0500-000006000000}">
      <formula1>"Yes,No"</formula1>
    </dataValidation>
    <dataValidation type="list" allowBlank="1" showInputMessage="1" showErrorMessage="1" errorTitle="Invalid Post-Adder Selection" error="Use the drop down or enter a valid Post-Adder Used selection. Allowed values are: Yes, No" sqref="M8:M50" xr:uid="{00000000-0002-0000-0500-000007000000}">
      <formula1>"Yes,No"</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5841" r:id="rId4" name="Summary">
          <controlPr defaultSize="0" autoLine="0" r:id="rId5">
            <anchor moveWithCells="1">
              <from>
                <xdr:col>1</xdr:col>
                <xdr:colOff>22860</xdr:colOff>
                <xdr:row>0</xdr:row>
                <xdr:rowOff>38100</xdr:rowOff>
              </from>
              <to>
                <xdr:col>2</xdr:col>
                <xdr:colOff>335280</xdr:colOff>
                <xdr:row>0</xdr:row>
                <xdr:rowOff>312420</xdr:rowOff>
              </to>
            </anchor>
          </controlPr>
        </control>
      </mc:Choice>
      <mc:Fallback>
        <control shapeId="35841" r:id="rId4" name="Summary"/>
      </mc:Fallback>
    </mc:AlternateContent>
  </control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dimension ref="A1:AC105"/>
  <sheetViews>
    <sheetView workbookViewId="0">
      <selection activeCell="B8" sqref="B8:D8"/>
    </sheetView>
  </sheetViews>
  <sheetFormatPr baseColWidth="10" defaultColWidth="9" defaultRowHeight="13.2" x14ac:dyDescent="0.25"/>
  <cols>
    <col min="1" max="1" width="2.77734375" customWidth="1"/>
    <col min="2" max="4" width="11.6640625" customWidth="1"/>
    <col min="5" max="5" width="11.77734375" customWidth="1"/>
    <col min="6" max="8" width="10.77734375" customWidth="1"/>
    <col min="9" max="9" width="2.77734375" customWidth="1"/>
    <col min="10" max="11" width="10.77734375" customWidth="1"/>
  </cols>
  <sheetData>
    <row r="1" spans="1:29" ht="27.9" customHeight="1" x14ac:dyDescent="0.25">
      <c r="A1" s="127"/>
      <c r="B1" s="687" t="s">
        <v>234</v>
      </c>
      <c r="C1" s="687"/>
      <c r="D1" s="687"/>
      <c r="E1" s="687"/>
      <c r="F1" s="687"/>
      <c r="G1" s="687"/>
      <c r="H1" s="687"/>
      <c r="I1" s="127"/>
      <c r="J1" s="127"/>
      <c r="K1" s="127"/>
      <c r="L1" s="127"/>
      <c r="M1" s="127"/>
      <c r="N1" s="127"/>
      <c r="O1" s="127"/>
      <c r="P1" s="127"/>
      <c r="Q1" s="127"/>
      <c r="R1" s="127"/>
      <c r="S1" s="127"/>
      <c r="T1" s="127"/>
      <c r="U1" s="127"/>
      <c r="V1" s="127"/>
      <c r="W1" s="127"/>
      <c r="X1" s="127"/>
      <c r="Y1" s="127"/>
      <c r="Z1" s="127"/>
      <c r="AA1" s="127"/>
      <c r="AB1" s="127"/>
      <c r="AC1" s="127"/>
    </row>
    <row r="2" spans="1:29" ht="13.65" customHeight="1" thickBot="1" x14ac:dyDescent="0.3">
      <c r="A2" s="126"/>
      <c r="B2" s="126"/>
      <c r="C2" s="126"/>
      <c r="D2" s="126"/>
      <c r="E2" s="126"/>
      <c r="F2" s="126"/>
      <c r="G2" s="126"/>
      <c r="H2" s="126"/>
      <c r="I2" s="126"/>
      <c r="J2" s="136"/>
      <c r="K2" s="127"/>
      <c r="L2" s="127"/>
      <c r="M2" s="127"/>
      <c r="N2" s="127"/>
      <c r="O2" s="127"/>
      <c r="P2" s="127"/>
      <c r="Q2" s="127"/>
      <c r="R2" s="127"/>
      <c r="S2" s="127"/>
      <c r="T2" s="127"/>
      <c r="U2" s="127"/>
      <c r="V2" s="127"/>
      <c r="W2" s="127"/>
      <c r="X2" s="127"/>
      <c r="Y2" s="127"/>
      <c r="Z2" s="127"/>
      <c r="AA2" s="127"/>
      <c r="AB2" s="127"/>
      <c r="AC2" s="127"/>
    </row>
    <row r="3" spans="1:29" ht="17.25" customHeight="1" x14ac:dyDescent="0.25">
      <c r="A3" s="126"/>
      <c r="B3" s="715" t="s">
        <v>1115</v>
      </c>
      <c r="C3" s="716"/>
      <c r="D3" s="717"/>
      <c r="E3" s="123"/>
      <c r="F3" s="691" t="s">
        <v>140</v>
      </c>
      <c r="G3" s="692"/>
      <c r="H3" s="693"/>
      <c r="I3" s="126"/>
      <c r="J3" s="136"/>
      <c r="K3" s="127"/>
      <c r="L3" s="127"/>
      <c r="M3" s="127"/>
      <c r="N3" s="127"/>
      <c r="O3" s="127"/>
      <c r="P3" s="127"/>
      <c r="Q3" s="127"/>
      <c r="R3" s="127"/>
      <c r="S3" s="127"/>
      <c r="T3" s="127"/>
      <c r="U3" s="127"/>
      <c r="V3" s="127"/>
      <c r="W3" s="127"/>
      <c r="X3" s="127"/>
      <c r="Y3" s="127"/>
      <c r="Z3" s="127"/>
      <c r="AA3" s="127"/>
      <c r="AB3" s="127"/>
      <c r="AC3" s="127"/>
    </row>
    <row r="4" spans="1:29" ht="17.25" customHeight="1" thickBot="1" x14ac:dyDescent="0.3">
      <c r="A4" s="126"/>
      <c r="B4" s="116" t="s">
        <v>1116</v>
      </c>
      <c r="C4" s="524">
        <f>VCCINT</f>
        <v>1.2</v>
      </c>
      <c r="D4" s="117">
        <f ca="1">SUM(H8:H31)</f>
        <v>0</v>
      </c>
      <c r="E4" s="123"/>
      <c r="F4" s="116" t="s">
        <v>318</v>
      </c>
      <c r="G4" s="141">
        <f>SUM(E8:E31)</f>
        <v>0</v>
      </c>
      <c r="H4" s="404">
        <f>G4/NUM_DSPS</f>
        <v>0</v>
      </c>
      <c r="I4" s="126"/>
      <c r="J4" s="136"/>
      <c r="K4" s="127"/>
      <c r="L4" s="127"/>
      <c r="M4" s="127"/>
      <c r="N4" s="127"/>
      <c r="O4" s="127"/>
      <c r="P4" s="127"/>
      <c r="Q4" s="127"/>
      <c r="R4" s="127"/>
      <c r="S4" s="127"/>
      <c r="T4" s="127"/>
      <c r="U4" s="127"/>
      <c r="V4" s="127"/>
      <c r="W4" s="127"/>
      <c r="X4" s="127"/>
      <c r="Y4" s="127"/>
      <c r="Z4" s="127"/>
      <c r="AA4" s="127"/>
      <c r="AB4" s="127"/>
      <c r="AC4" s="127"/>
    </row>
    <row r="5" spans="1:29" ht="17.25" customHeight="1" thickBot="1" x14ac:dyDescent="0.3">
      <c r="A5" s="126"/>
      <c r="B5" s="718" t="str">
        <f ca="1">TEXT(IF(TOTAL_POWER&gt;0,MULT_POWER/TOTAL_POWER,0),"0%")&amp;" of total on-chip power "&amp;TEXT(TOTAL_POWER,"#.###")&amp;"W"</f>
        <v>0% of total on-chip power .488W</v>
      </c>
      <c r="C5" s="879"/>
      <c r="D5" s="880"/>
      <c r="E5" s="126"/>
      <c r="F5" s="126"/>
      <c r="G5" s="126"/>
      <c r="H5" s="126"/>
      <c r="I5" s="126"/>
      <c r="J5" s="136"/>
      <c r="K5" s="127"/>
      <c r="L5" s="127"/>
      <c r="M5" s="127"/>
      <c r="N5" s="127"/>
      <c r="O5" s="127"/>
      <c r="P5" s="127"/>
      <c r="Q5" s="127"/>
      <c r="R5" s="127"/>
      <c r="S5" s="127"/>
      <c r="T5" s="127"/>
      <c r="U5" s="127"/>
      <c r="V5" s="127"/>
      <c r="W5" s="127"/>
      <c r="X5" s="127"/>
      <c r="Y5" s="127"/>
      <c r="Z5" s="127"/>
      <c r="AA5" s="127"/>
      <c r="AB5" s="127"/>
      <c r="AC5" s="127"/>
    </row>
    <row r="6" spans="1:29" ht="13.65" customHeight="1" thickBot="1" x14ac:dyDescent="0.3">
      <c r="A6" s="126"/>
      <c r="B6" s="126"/>
      <c r="C6" s="126"/>
      <c r="D6" s="126"/>
      <c r="E6" s="126"/>
      <c r="F6" s="126"/>
      <c r="G6" s="126"/>
      <c r="H6" s="126"/>
      <c r="I6" s="126"/>
      <c r="J6" s="136"/>
      <c r="K6" s="127"/>
      <c r="L6" s="127"/>
      <c r="M6" s="127"/>
      <c r="N6" s="127"/>
      <c r="O6" s="127"/>
      <c r="P6" s="127"/>
      <c r="Q6" s="127"/>
      <c r="R6" s="127"/>
      <c r="S6" s="127"/>
      <c r="T6" s="127"/>
      <c r="U6" s="127"/>
      <c r="V6" s="127"/>
      <c r="W6" s="127"/>
      <c r="X6" s="127"/>
      <c r="Y6" s="127"/>
      <c r="Z6" s="127"/>
      <c r="AA6" s="127"/>
      <c r="AB6" s="127"/>
      <c r="AC6" s="127"/>
    </row>
    <row r="7" spans="1:29" ht="30.6" thickBot="1" x14ac:dyDescent="0.3">
      <c r="A7" s="136"/>
      <c r="B7" s="877" t="s">
        <v>41</v>
      </c>
      <c r="C7" s="878"/>
      <c r="D7" s="878"/>
      <c r="E7" s="421" t="s">
        <v>235</v>
      </c>
      <c r="F7" s="421" t="s">
        <v>19</v>
      </c>
      <c r="G7" s="421" t="s">
        <v>20</v>
      </c>
      <c r="H7" s="422" t="s">
        <v>17</v>
      </c>
      <c r="I7" s="136"/>
      <c r="J7" s="136"/>
      <c r="K7" s="127"/>
      <c r="L7" s="127"/>
      <c r="M7" s="127"/>
      <c r="N7" s="127"/>
      <c r="O7" s="127"/>
      <c r="P7" s="127"/>
      <c r="Q7" s="127"/>
      <c r="R7" s="127"/>
      <c r="S7" s="127"/>
      <c r="T7" s="127"/>
      <c r="U7" s="127"/>
      <c r="V7" s="127"/>
      <c r="W7" s="127"/>
      <c r="X7" s="127"/>
      <c r="Y7" s="127"/>
      <c r="Z7" s="127"/>
      <c r="AA7" s="127"/>
      <c r="AB7" s="127"/>
      <c r="AC7" s="127"/>
    </row>
    <row r="8" spans="1:29" x14ac:dyDescent="0.25">
      <c r="A8" s="136"/>
      <c r="B8" s="873"/>
      <c r="C8" s="874"/>
      <c r="D8" s="874"/>
      <c r="E8" s="12">
        <v>0</v>
      </c>
      <c r="F8" s="11">
        <v>0</v>
      </c>
      <c r="G8" s="13">
        <v>0.125</v>
      </c>
      <c r="H8" s="149">
        <f t="shared" ref="H8:H31" ca="1" si="0">$E8*$F8*$G8*(VCCINT/1000)*VCCINT_N*OFFSET(MULT_DATA,1,1)</f>
        <v>0</v>
      </c>
      <c r="I8" s="136"/>
      <c r="J8" s="136"/>
      <c r="K8" s="127"/>
      <c r="L8" s="127"/>
      <c r="M8" s="127"/>
      <c r="N8" s="127"/>
      <c r="O8" s="127"/>
      <c r="P8" s="127"/>
      <c r="Q8" s="127"/>
      <c r="R8" s="127"/>
      <c r="S8" s="127"/>
      <c r="T8" s="127"/>
      <c r="U8" s="127"/>
      <c r="V8" s="127"/>
      <c r="W8" s="127"/>
      <c r="X8" s="127"/>
      <c r="Y8" s="127"/>
      <c r="Z8" s="127"/>
      <c r="AA8" s="127"/>
      <c r="AB8" s="127"/>
      <c r="AC8" s="127"/>
    </row>
    <row r="9" spans="1:29" x14ac:dyDescent="0.25">
      <c r="A9" s="136"/>
      <c r="B9" s="677"/>
      <c r="C9" s="678"/>
      <c r="D9" s="678"/>
      <c r="E9" s="12">
        <v>0</v>
      </c>
      <c r="F9" s="11">
        <v>0</v>
      </c>
      <c r="G9" s="13">
        <v>0.125</v>
      </c>
      <c r="H9" s="147">
        <f t="shared" ca="1" si="0"/>
        <v>0</v>
      </c>
      <c r="I9" s="136"/>
      <c r="J9" s="136"/>
      <c r="K9" s="127"/>
      <c r="L9" s="127"/>
      <c r="M9" s="127"/>
      <c r="N9" s="127"/>
      <c r="O9" s="127"/>
      <c r="P9" s="127"/>
      <c r="Q9" s="127"/>
      <c r="R9" s="127"/>
      <c r="S9" s="127"/>
      <c r="T9" s="127"/>
      <c r="U9" s="127"/>
      <c r="V9" s="127"/>
      <c r="W9" s="127"/>
      <c r="X9" s="127"/>
      <c r="Y9" s="127"/>
      <c r="Z9" s="127"/>
      <c r="AA9" s="127"/>
      <c r="AB9" s="127"/>
      <c r="AC9" s="127"/>
    </row>
    <row r="10" spans="1:29" x14ac:dyDescent="0.25">
      <c r="A10" s="136"/>
      <c r="B10" s="677"/>
      <c r="C10" s="678"/>
      <c r="D10" s="678"/>
      <c r="E10" s="12">
        <v>0</v>
      </c>
      <c r="F10" s="11">
        <v>0</v>
      </c>
      <c r="G10" s="13">
        <v>0.125</v>
      </c>
      <c r="H10" s="147">
        <f t="shared" ca="1" si="0"/>
        <v>0</v>
      </c>
      <c r="I10" s="136"/>
      <c r="J10" s="136"/>
      <c r="K10" s="127"/>
      <c r="L10" s="127"/>
      <c r="M10" s="127"/>
      <c r="N10" s="127"/>
      <c r="O10" s="127"/>
      <c r="P10" s="127"/>
      <c r="Q10" s="127"/>
      <c r="R10" s="127"/>
      <c r="S10" s="127"/>
      <c r="T10" s="127"/>
      <c r="U10" s="127"/>
      <c r="V10" s="127"/>
      <c r="W10" s="127"/>
      <c r="X10" s="127"/>
      <c r="Y10" s="127"/>
      <c r="Z10" s="127"/>
      <c r="AA10" s="127"/>
      <c r="AB10" s="127"/>
      <c r="AC10" s="127"/>
    </row>
    <row r="11" spans="1:29" x14ac:dyDescent="0.25">
      <c r="A11" s="136"/>
      <c r="B11" s="677"/>
      <c r="C11" s="678"/>
      <c r="D11" s="678"/>
      <c r="E11" s="12">
        <v>0</v>
      </c>
      <c r="F11" s="11">
        <v>0</v>
      </c>
      <c r="G11" s="13">
        <v>0.125</v>
      </c>
      <c r="H11" s="147">
        <f t="shared" ca="1" si="0"/>
        <v>0</v>
      </c>
      <c r="I11" s="136"/>
      <c r="J11" s="136"/>
      <c r="K11" s="127"/>
      <c r="L11" s="127"/>
      <c r="M11" s="127"/>
      <c r="N11" s="127"/>
      <c r="O11" s="127"/>
      <c r="P11" s="127"/>
      <c r="Q11" s="127"/>
      <c r="R11" s="127"/>
      <c r="S11" s="127"/>
      <c r="T11" s="127"/>
      <c r="U11" s="127"/>
      <c r="V11" s="127"/>
      <c r="W11" s="127"/>
      <c r="X11" s="127"/>
      <c r="Y11" s="127"/>
      <c r="Z11" s="127"/>
      <c r="AA11" s="127"/>
      <c r="AB11" s="127"/>
      <c r="AC11" s="127"/>
    </row>
    <row r="12" spans="1:29" x14ac:dyDescent="0.25">
      <c r="A12" s="136"/>
      <c r="B12" s="677"/>
      <c r="C12" s="678"/>
      <c r="D12" s="678"/>
      <c r="E12" s="12">
        <v>0</v>
      </c>
      <c r="F12" s="11">
        <v>0</v>
      </c>
      <c r="G12" s="13">
        <v>0.125</v>
      </c>
      <c r="H12" s="147">
        <f t="shared" ca="1" si="0"/>
        <v>0</v>
      </c>
      <c r="I12" s="136"/>
      <c r="J12" s="136"/>
      <c r="K12" s="127"/>
      <c r="L12" s="127"/>
      <c r="M12" s="127"/>
      <c r="N12" s="127"/>
      <c r="O12" s="127"/>
      <c r="P12" s="127"/>
      <c r="Q12" s="127"/>
      <c r="R12" s="127"/>
      <c r="S12" s="127"/>
      <c r="T12" s="127"/>
      <c r="U12" s="127"/>
      <c r="V12" s="127"/>
      <c r="W12" s="127"/>
      <c r="X12" s="127"/>
      <c r="Y12" s="127"/>
      <c r="Z12" s="127"/>
      <c r="AA12" s="127"/>
      <c r="AB12" s="127"/>
      <c r="AC12" s="127"/>
    </row>
    <row r="13" spans="1:29" x14ac:dyDescent="0.25">
      <c r="A13" s="136"/>
      <c r="B13" s="677"/>
      <c r="C13" s="678"/>
      <c r="D13" s="678"/>
      <c r="E13" s="12">
        <v>0</v>
      </c>
      <c r="F13" s="11">
        <v>0</v>
      </c>
      <c r="G13" s="13">
        <v>0.125</v>
      </c>
      <c r="H13" s="147">
        <f t="shared" ca="1" si="0"/>
        <v>0</v>
      </c>
      <c r="I13" s="136"/>
      <c r="J13" s="136"/>
      <c r="K13" s="127"/>
      <c r="L13" s="127"/>
      <c r="M13" s="127"/>
      <c r="N13" s="127"/>
      <c r="O13" s="127"/>
      <c r="P13" s="127"/>
      <c r="Q13" s="127"/>
      <c r="R13" s="127"/>
      <c r="S13" s="127"/>
      <c r="T13" s="127"/>
      <c r="U13" s="127"/>
      <c r="V13" s="127"/>
      <c r="W13" s="127"/>
      <c r="X13" s="127"/>
      <c r="Y13" s="127"/>
      <c r="Z13" s="127"/>
      <c r="AA13" s="127"/>
      <c r="AB13" s="127"/>
      <c r="AC13" s="127"/>
    </row>
    <row r="14" spans="1:29" x14ac:dyDescent="0.25">
      <c r="A14" s="136"/>
      <c r="B14" s="677"/>
      <c r="C14" s="678"/>
      <c r="D14" s="678"/>
      <c r="E14" s="12">
        <v>0</v>
      </c>
      <c r="F14" s="11">
        <v>0</v>
      </c>
      <c r="G14" s="13">
        <v>0.125</v>
      </c>
      <c r="H14" s="147">
        <f t="shared" ca="1" si="0"/>
        <v>0</v>
      </c>
      <c r="I14" s="136"/>
      <c r="J14" s="136"/>
      <c r="K14" s="127"/>
      <c r="L14" s="127"/>
      <c r="M14" s="127"/>
      <c r="N14" s="127"/>
      <c r="O14" s="127"/>
      <c r="P14" s="127"/>
      <c r="Q14" s="127"/>
      <c r="R14" s="127"/>
      <c r="S14" s="127"/>
      <c r="T14" s="127"/>
      <c r="U14" s="127"/>
      <c r="V14" s="127"/>
      <c r="W14" s="127"/>
      <c r="X14" s="127"/>
      <c r="Y14" s="127"/>
      <c r="Z14" s="127"/>
      <c r="AA14" s="127"/>
      <c r="AB14" s="127"/>
      <c r="AC14" s="127"/>
    </row>
    <row r="15" spans="1:29" x14ac:dyDescent="0.25">
      <c r="A15" s="136"/>
      <c r="B15" s="677"/>
      <c r="C15" s="678"/>
      <c r="D15" s="678"/>
      <c r="E15" s="12">
        <v>0</v>
      </c>
      <c r="F15" s="11">
        <v>0</v>
      </c>
      <c r="G15" s="13">
        <v>0.125</v>
      </c>
      <c r="H15" s="147">
        <f t="shared" ca="1" si="0"/>
        <v>0</v>
      </c>
      <c r="I15" s="136"/>
      <c r="J15" s="136"/>
      <c r="K15" s="127"/>
      <c r="L15" s="127"/>
      <c r="M15" s="127"/>
      <c r="N15" s="127"/>
      <c r="O15" s="127"/>
      <c r="P15" s="127"/>
      <c r="Q15" s="127"/>
      <c r="R15" s="127"/>
      <c r="S15" s="127"/>
      <c r="T15" s="127"/>
      <c r="U15" s="127"/>
      <c r="V15" s="127"/>
      <c r="W15" s="127"/>
      <c r="X15" s="127"/>
      <c r="Y15" s="127"/>
      <c r="Z15" s="127"/>
      <c r="AA15" s="127"/>
      <c r="AB15" s="127"/>
      <c r="AC15" s="127"/>
    </row>
    <row r="16" spans="1:29" x14ac:dyDescent="0.25">
      <c r="A16" s="136"/>
      <c r="B16" s="677"/>
      <c r="C16" s="678"/>
      <c r="D16" s="678"/>
      <c r="E16" s="12">
        <v>0</v>
      </c>
      <c r="F16" s="11">
        <v>0</v>
      </c>
      <c r="G16" s="13">
        <v>0.125</v>
      </c>
      <c r="H16" s="147">
        <f t="shared" ca="1" si="0"/>
        <v>0</v>
      </c>
      <c r="I16" s="136"/>
      <c r="J16" s="136"/>
      <c r="K16" s="127"/>
      <c r="L16" s="127"/>
      <c r="M16" s="127"/>
      <c r="N16" s="127"/>
      <c r="O16" s="127"/>
      <c r="P16" s="127"/>
      <c r="Q16" s="127"/>
      <c r="R16" s="127"/>
      <c r="S16" s="127"/>
      <c r="T16" s="127"/>
      <c r="U16" s="127"/>
      <c r="V16" s="127"/>
      <c r="W16" s="127"/>
      <c r="X16" s="127"/>
      <c r="Y16" s="127"/>
      <c r="Z16" s="127"/>
      <c r="AA16" s="127"/>
      <c r="AB16" s="127"/>
      <c r="AC16" s="127"/>
    </row>
    <row r="17" spans="1:29" x14ac:dyDescent="0.25">
      <c r="A17" s="136"/>
      <c r="B17" s="677"/>
      <c r="C17" s="678"/>
      <c r="D17" s="678"/>
      <c r="E17" s="12">
        <v>0</v>
      </c>
      <c r="F17" s="11">
        <v>0</v>
      </c>
      <c r="G17" s="13">
        <v>0.125</v>
      </c>
      <c r="H17" s="147">
        <f t="shared" ca="1" si="0"/>
        <v>0</v>
      </c>
      <c r="I17" s="136"/>
      <c r="J17" s="136"/>
      <c r="K17" s="127"/>
      <c r="L17" s="127"/>
      <c r="M17" s="127"/>
      <c r="N17" s="127"/>
      <c r="O17" s="127"/>
      <c r="P17" s="127"/>
      <c r="Q17" s="127"/>
      <c r="R17" s="127"/>
      <c r="S17" s="127"/>
      <c r="T17" s="127"/>
      <c r="U17" s="127"/>
      <c r="V17" s="127"/>
      <c r="W17" s="127"/>
      <c r="X17" s="127"/>
      <c r="Y17" s="127"/>
      <c r="Z17" s="127"/>
      <c r="AA17" s="127"/>
      <c r="AB17" s="127"/>
      <c r="AC17" s="127"/>
    </row>
    <row r="18" spans="1:29" x14ac:dyDescent="0.25">
      <c r="A18" s="136"/>
      <c r="B18" s="677"/>
      <c r="C18" s="678"/>
      <c r="D18" s="678"/>
      <c r="E18" s="12">
        <v>0</v>
      </c>
      <c r="F18" s="11">
        <v>0</v>
      </c>
      <c r="G18" s="13">
        <v>0.125</v>
      </c>
      <c r="H18" s="147">
        <f t="shared" ca="1" si="0"/>
        <v>0</v>
      </c>
      <c r="I18" s="136"/>
      <c r="J18" s="136"/>
      <c r="K18" s="127"/>
      <c r="L18" s="127"/>
      <c r="M18" s="127"/>
      <c r="N18" s="127"/>
      <c r="O18" s="127"/>
      <c r="P18" s="127"/>
      <c r="Q18" s="127"/>
      <c r="R18" s="127"/>
      <c r="S18" s="127"/>
      <c r="T18" s="127"/>
      <c r="U18" s="127"/>
      <c r="V18" s="127"/>
      <c r="W18" s="127"/>
      <c r="X18" s="127"/>
      <c r="Y18" s="127"/>
      <c r="Z18" s="127"/>
      <c r="AA18" s="127"/>
      <c r="AB18" s="127"/>
      <c r="AC18" s="127"/>
    </row>
    <row r="19" spans="1:29" x14ac:dyDescent="0.25">
      <c r="A19" s="136"/>
      <c r="B19" s="677"/>
      <c r="C19" s="678"/>
      <c r="D19" s="678"/>
      <c r="E19" s="12">
        <v>0</v>
      </c>
      <c r="F19" s="11">
        <v>0</v>
      </c>
      <c r="G19" s="13">
        <v>0.125</v>
      </c>
      <c r="H19" s="147">
        <f t="shared" ca="1" si="0"/>
        <v>0</v>
      </c>
      <c r="I19" s="136"/>
      <c r="J19" s="136"/>
      <c r="K19" s="127"/>
      <c r="L19" s="127"/>
      <c r="M19" s="127"/>
      <c r="N19" s="127"/>
      <c r="O19" s="127"/>
      <c r="P19" s="127"/>
      <c r="Q19" s="127"/>
      <c r="R19" s="127"/>
      <c r="S19" s="127"/>
      <c r="T19" s="127"/>
      <c r="U19" s="127"/>
      <c r="V19" s="127"/>
      <c r="W19" s="127"/>
      <c r="X19" s="127"/>
      <c r="Y19" s="127"/>
      <c r="Z19" s="127"/>
      <c r="AA19" s="127"/>
      <c r="AB19" s="127"/>
      <c r="AC19" s="127"/>
    </row>
    <row r="20" spans="1:29" x14ac:dyDescent="0.25">
      <c r="A20" s="136"/>
      <c r="B20" s="677"/>
      <c r="C20" s="678"/>
      <c r="D20" s="678"/>
      <c r="E20" s="12">
        <v>0</v>
      </c>
      <c r="F20" s="11">
        <v>0</v>
      </c>
      <c r="G20" s="13">
        <v>0.125</v>
      </c>
      <c r="H20" s="147">
        <f t="shared" ca="1" si="0"/>
        <v>0</v>
      </c>
      <c r="I20" s="136"/>
      <c r="J20" s="136"/>
      <c r="K20" s="127"/>
      <c r="L20" s="127"/>
      <c r="M20" s="127"/>
      <c r="N20" s="127"/>
      <c r="O20" s="127"/>
      <c r="P20" s="127"/>
      <c r="Q20" s="127"/>
      <c r="R20" s="127"/>
      <c r="S20" s="127"/>
      <c r="T20" s="127"/>
      <c r="U20" s="127"/>
      <c r="V20" s="127"/>
      <c r="W20" s="127"/>
      <c r="X20" s="127"/>
      <c r="Y20" s="127"/>
      <c r="Z20" s="127"/>
      <c r="AA20" s="127"/>
      <c r="AB20" s="127"/>
      <c r="AC20" s="127"/>
    </row>
    <row r="21" spans="1:29" x14ac:dyDescent="0.25">
      <c r="A21" s="136"/>
      <c r="B21" s="677"/>
      <c r="C21" s="678"/>
      <c r="D21" s="678"/>
      <c r="E21" s="12">
        <v>0</v>
      </c>
      <c r="F21" s="11">
        <v>0</v>
      </c>
      <c r="G21" s="13">
        <v>0.125</v>
      </c>
      <c r="H21" s="147">
        <f t="shared" ca="1" si="0"/>
        <v>0</v>
      </c>
      <c r="I21" s="136"/>
      <c r="J21" s="136"/>
      <c r="K21" s="127"/>
      <c r="L21" s="127"/>
      <c r="M21" s="127"/>
      <c r="N21" s="127"/>
      <c r="O21" s="127"/>
      <c r="P21" s="127"/>
      <c r="Q21" s="127"/>
      <c r="R21" s="127"/>
      <c r="S21" s="127"/>
      <c r="T21" s="127"/>
      <c r="U21" s="127"/>
      <c r="V21" s="127"/>
      <c r="W21" s="127"/>
      <c r="X21" s="127"/>
      <c r="Y21" s="127"/>
      <c r="Z21" s="127"/>
      <c r="AA21" s="127"/>
      <c r="AB21" s="127"/>
      <c r="AC21" s="127"/>
    </row>
    <row r="22" spans="1:29" x14ac:dyDescent="0.25">
      <c r="A22" s="136"/>
      <c r="B22" s="677"/>
      <c r="C22" s="678"/>
      <c r="D22" s="678"/>
      <c r="E22" s="12">
        <v>0</v>
      </c>
      <c r="F22" s="11">
        <v>0</v>
      </c>
      <c r="G22" s="13">
        <v>0.125</v>
      </c>
      <c r="H22" s="147">
        <f t="shared" ca="1" si="0"/>
        <v>0</v>
      </c>
      <c r="I22" s="136"/>
      <c r="J22" s="136"/>
      <c r="K22" s="127"/>
      <c r="L22" s="127"/>
      <c r="M22" s="127"/>
      <c r="N22" s="127"/>
      <c r="O22" s="127"/>
      <c r="P22" s="127"/>
      <c r="Q22" s="127"/>
      <c r="R22" s="127"/>
      <c r="S22" s="127"/>
      <c r="T22" s="127"/>
      <c r="U22" s="127"/>
      <c r="V22" s="127"/>
      <c r="W22" s="127"/>
      <c r="X22" s="127"/>
      <c r="Y22" s="127"/>
      <c r="Z22" s="127"/>
      <c r="AA22" s="127"/>
      <c r="AB22" s="127"/>
      <c r="AC22" s="127"/>
    </row>
    <row r="23" spans="1:29" x14ac:dyDescent="0.25">
      <c r="A23" s="136"/>
      <c r="B23" s="677"/>
      <c r="C23" s="678"/>
      <c r="D23" s="678"/>
      <c r="E23" s="12">
        <v>0</v>
      </c>
      <c r="F23" s="11">
        <v>0</v>
      </c>
      <c r="G23" s="13">
        <v>0.125</v>
      </c>
      <c r="H23" s="147">
        <f t="shared" ca="1" si="0"/>
        <v>0</v>
      </c>
      <c r="I23" s="136"/>
      <c r="J23" s="136"/>
      <c r="K23" s="127"/>
      <c r="L23" s="127"/>
      <c r="M23" s="127"/>
      <c r="N23" s="127"/>
      <c r="O23" s="127"/>
      <c r="P23" s="127"/>
      <c r="Q23" s="127"/>
      <c r="R23" s="127"/>
      <c r="S23" s="127"/>
      <c r="T23" s="127"/>
      <c r="U23" s="127"/>
      <c r="V23" s="127"/>
      <c r="W23" s="127"/>
      <c r="X23" s="127"/>
      <c r="Y23" s="127"/>
      <c r="Z23" s="127"/>
      <c r="AA23" s="127"/>
      <c r="AB23" s="127"/>
      <c r="AC23" s="127"/>
    </row>
    <row r="24" spans="1:29" x14ac:dyDescent="0.25">
      <c r="A24" s="136"/>
      <c r="B24" s="677"/>
      <c r="C24" s="678"/>
      <c r="D24" s="678"/>
      <c r="E24" s="12">
        <v>0</v>
      </c>
      <c r="F24" s="11">
        <v>0</v>
      </c>
      <c r="G24" s="13">
        <v>0.125</v>
      </c>
      <c r="H24" s="147">
        <f t="shared" ca="1" si="0"/>
        <v>0</v>
      </c>
      <c r="I24" s="136"/>
      <c r="J24" s="136"/>
      <c r="K24" s="127"/>
      <c r="L24" s="127"/>
      <c r="M24" s="127"/>
      <c r="N24" s="127"/>
      <c r="O24" s="127"/>
      <c r="P24" s="127"/>
      <c r="Q24" s="127"/>
      <c r="R24" s="127"/>
      <c r="S24" s="127"/>
      <c r="T24" s="127"/>
      <c r="U24" s="127"/>
      <c r="V24" s="127"/>
      <c r="W24" s="127"/>
      <c r="X24" s="127"/>
      <c r="Y24" s="127"/>
      <c r="Z24" s="127"/>
      <c r="AA24" s="127"/>
      <c r="AB24" s="127"/>
      <c r="AC24" s="127"/>
    </row>
    <row r="25" spans="1:29" x14ac:dyDescent="0.25">
      <c r="A25" s="136"/>
      <c r="B25" s="677"/>
      <c r="C25" s="678"/>
      <c r="D25" s="678"/>
      <c r="E25" s="12">
        <v>0</v>
      </c>
      <c r="F25" s="11">
        <v>0</v>
      </c>
      <c r="G25" s="13">
        <v>0.125</v>
      </c>
      <c r="H25" s="147">
        <f t="shared" ca="1" si="0"/>
        <v>0</v>
      </c>
      <c r="I25" s="136"/>
      <c r="J25" s="136"/>
      <c r="K25" s="127"/>
      <c r="L25" s="127"/>
      <c r="M25" s="127"/>
      <c r="N25" s="127"/>
      <c r="O25" s="127"/>
      <c r="P25" s="127"/>
      <c r="Q25" s="127"/>
      <c r="R25" s="127"/>
      <c r="S25" s="127"/>
      <c r="T25" s="127"/>
      <c r="U25" s="127"/>
      <c r="V25" s="127"/>
      <c r="W25" s="127"/>
      <c r="X25" s="127"/>
      <c r="Y25" s="127"/>
      <c r="Z25" s="127"/>
      <c r="AA25" s="127"/>
      <c r="AB25" s="127"/>
      <c r="AC25" s="127"/>
    </row>
    <row r="26" spans="1:29" x14ac:dyDescent="0.25">
      <c r="A26" s="136"/>
      <c r="B26" s="677"/>
      <c r="C26" s="678"/>
      <c r="D26" s="678"/>
      <c r="E26" s="12">
        <v>0</v>
      </c>
      <c r="F26" s="11">
        <v>0</v>
      </c>
      <c r="G26" s="13">
        <v>0.125</v>
      </c>
      <c r="H26" s="147">
        <f t="shared" ca="1" si="0"/>
        <v>0</v>
      </c>
      <c r="I26" s="136"/>
      <c r="J26" s="136"/>
      <c r="K26" s="127"/>
      <c r="L26" s="127"/>
      <c r="M26" s="127"/>
      <c r="N26" s="127"/>
      <c r="O26" s="127"/>
      <c r="P26" s="127"/>
      <c r="Q26" s="127"/>
      <c r="R26" s="127"/>
      <c r="S26" s="127"/>
      <c r="T26" s="127"/>
      <c r="U26" s="127"/>
      <c r="V26" s="127"/>
      <c r="W26" s="127"/>
      <c r="X26" s="127"/>
      <c r="Y26" s="127"/>
      <c r="Z26" s="127"/>
      <c r="AA26" s="127"/>
      <c r="AB26" s="127"/>
      <c r="AC26" s="127"/>
    </row>
    <row r="27" spans="1:29" x14ac:dyDescent="0.25">
      <c r="A27" s="136"/>
      <c r="B27" s="677"/>
      <c r="C27" s="678"/>
      <c r="D27" s="678"/>
      <c r="E27" s="12">
        <v>0</v>
      </c>
      <c r="F27" s="11">
        <v>0</v>
      </c>
      <c r="G27" s="13">
        <v>0.125</v>
      </c>
      <c r="H27" s="147">
        <f t="shared" ca="1" si="0"/>
        <v>0</v>
      </c>
      <c r="I27" s="136"/>
      <c r="J27" s="136"/>
      <c r="K27" s="127"/>
      <c r="L27" s="127"/>
      <c r="M27" s="127"/>
      <c r="N27" s="127"/>
      <c r="O27" s="127"/>
      <c r="P27" s="127"/>
      <c r="Q27" s="127"/>
      <c r="R27" s="127"/>
      <c r="S27" s="127"/>
      <c r="T27" s="127"/>
      <c r="U27" s="127"/>
      <c r="V27" s="127"/>
      <c r="W27" s="127"/>
      <c r="X27" s="127"/>
      <c r="Y27" s="127"/>
      <c r="Z27" s="127"/>
      <c r="AA27" s="127"/>
      <c r="AB27" s="127"/>
      <c r="AC27" s="127"/>
    </row>
    <row r="28" spans="1:29" x14ac:dyDescent="0.25">
      <c r="A28" s="136"/>
      <c r="B28" s="677"/>
      <c r="C28" s="678"/>
      <c r="D28" s="678"/>
      <c r="E28" s="12">
        <v>0</v>
      </c>
      <c r="F28" s="11">
        <v>0</v>
      </c>
      <c r="G28" s="13">
        <v>0.125</v>
      </c>
      <c r="H28" s="147">
        <f t="shared" ca="1" si="0"/>
        <v>0</v>
      </c>
      <c r="I28" s="136"/>
      <c r="J28" s="136"/>
      <c r="K28" s="127"/>
      <c r="L28" s="127"/>
      <c r="M28" s="127"/>
      <c r="N28" s="127"/>
      <c r="O28" s="127"/>
      <c r="P28" s="127"/>
      <c r="Q28" s="127"/>
      <c r="R28" s="127"/>
      <c r="S28" s="127"/>
      <c r="T28" s="127"/>
      <c r="U28" s="127"/>
      <c r="V28" s="127"/>
      <c r="W28" s="127"/>
      <c r="X28" s="127"/>
      <c r="Y28" s="127"/>
      <c r="Z28" s="127"/>
      <c r="AA28" s="127"/>
      <c r="AB28" s="127"/>
      <c r="AC28" s="127"/>
    </row>
    <row r="29" spans="1:29" x14ac:dyDescent="0.25">
      <c r="A29" s="136"/>
      <c r="B29" s="677"/>
      <c r="C29" s="678"/>
      <c r="D29" s="678"/>
      <c r="E29" s="12">
        <v>0</v>
      </c>
      <c r="F29" s="11">
        <v>0</v>
      </c>
      <c r="G29" s="13">
        <v>0.125</v>
      </c>
      <c r="H29" s="147">
        <f t="shared" ca="1" si="0"/>
        <v>0</v>
      </c>
      <c r="I29" s="136"/>
      <c r="J29" s="136"/>
      <c r="K29" s="127"/>
      <c r="L29" s="127"/>
      <c r="M29" s="127"/>
      <c r="N29" s="127"/>
      <c r="O29" s="127"/>
      <c r="P29" s="127"/>
      <c r="Q29" s="127"/>
      <c r="R29" s="127"/>
      <c r="S29" s="127"/>
      <c r="T29" s="127"/>
      <c r="U29" s="127"/>
      <c r="V29" s="127"/>
      <c r="W29" s="127"/>
      <c r="X29" s="127"/>
      <c r="Y29" s="127"/>
      <c r="Z29" s="127"/>
      <c r="AA29" s="127"/>
      <c r="AB29" s="127"/>
      <c r="AC29" s="127"/>
    </row>
    <row r="30" spans="1:29" x14ac:dyDescent="0.25">
      <c r="A30" s="136"/>
      <c r="B30" s="677"/>
      <c r="C30" s="678"/>
      <c r="D30" s="678"/>
      <c r="E30" s="12">
        <v>0</v>
      </c>
      <c r="F30" s="11">
        <v>0</v>
      </c>
      <c r="G30" s="13">
        <v>0.125</v>
      </c>
      <c r="H30" s="147">
        <f t="shared" ca="1" si="0"/>
        <v>0</v>
      </c>
      <c r="I30" s="136"/>
      <c r="J30" s="136"/>
      <c r="K30" s="127"/>
      <c r="L30" s="127"/>
      <c r="M30" s="127"/>
      <c r="N30" s="127"/>
      <c r="O30" s="127"/>
      <c r="P30" s="127"/>
      <c r="Q30" s="127"/>
      <c r="R30" s="127"/>
      <c r="S30" s="127"/>
      <c r="T30" s="127"/>
      <c r="U30" s="127"/>
      <c r="V30" s="127"/>
      <c r="W30" s="127"/>
      <c r="X30" s="127"/>
      <c r="Y30" s="127"/>
      <c r="Z30" s="127"/>
      <c r="AA30" s="127"/>
      <c r="AB30" s="127"/>
      <c r="AC30" s="127"/>
    </row>
    <row r="31" spans="1:29" ht="13.8" thickBot="1" x14ac:dyDescent="0.3">
      <c r="A31" s="136"/>
      <c r="B31" s="682"/>
      <c r="C31" s="683"/>
      <c r="D31" s="683"/>
      <c r="E31" s="138">
        <v>0</v>
      </c>
      <c r="F31" s="120">
        <v>0</v>
      </c>
      <c r="G31" s="139">
        <v>0.125</v>
      </c>
      <c r="H31" s="189">
        <f t="shared" ca="1" si="0"/>
        <v>0</v>
      </c>
      <c r="I31" s="136"/>
      <c r="J31" s="136"/>
      <c r="K31" s="127"/>
      <c r="L31" s="127"/>
      <c r="M31" s="127"/>
      <c r="N31" s="127"/>
      <c r="O31" s="127"/>
      <c r="P31" s="127"/>
      <c r="Q31" s="127"/>
      <c r="R31" s="127"/>
      <c r="S31" s="127"/>
      <c r="T31" s="127"/>
      <c r="U31" s="127"/>
      <c r="V31" s="127"/>
      <c r="W31" s="127"/>
      <c r="X31" s="127"/>
      <c r="Y31" s="127"/>
      <c r="Z31" s="127"/>
      <c r="AA31" s="127"/>
      <c r="AB31" s="127"/>
      <c r="AC31" s="127"/>
    </row>
    <row r="32" spans="1:29" ht="15" x14ac:dyDescent="0.25">
      <c r="A32" s="136"/>
      <c r="B32" s="150"/>
      <c r="C32" s="150"/>
      <c r="D32" s="150"/>
      <c r="E32" s="151"/>
      <c r="F32" s="136"/>
      <c r="G32" s="136"/>
      <c r="H32" s="152" t="str">
        <f>POWERMODE</f>
        <v>Active</v>
      </c>
      <c r="I32" s="136"/>
      <c r="J32" s="136"/>
      <c r="K32" s="127"/>
      <c r="L32" s="127"/>
      <c r="M32" s="127"/>
      <c r="N32" s="127"/>
      <c r="O32" s="127"/>
      <c r="P32" s="127"/>
      <c r="Q32" s="127"/>
      <c r="R32" s="127"/>
      <c r="S32" s="127"/>
      <c r="T32" s="127"/>
      <c r="U32" s="127"/>
      <c r="V32" s="127"/>
      <c r="W32" s="127"/>
      <c r="X32" s="127"/>
      <c r="Y32" s="127"/>
      <c r="Z32" s="127"/>
      <c r="AA32" s="127"/>
      <c r="AB32" s="127"/>
      <c r="AC32" s="127"/>
    </row>
    <row r="33" spans="1:29" x14ac:dyDescent="0.25">
      <c r="A33" s="136"/>
      <c r="B33" s="136"/>
      <c r="C33" s="136"/>
      <c r="D33" s="136"/>
      <c r="E33" s="136"/>
      <c r="F33" s="136"/>
      <c r="G33" s="136"/>
      <c r="H33" s="136"/>
      <c r="I33" s="136"/>
      <c r="J33" s="136"/>
      <c r="K33" s="127"/>
      <c r="L33" s="127"/>
      <c r="M33" s="127"/>
      <c r="N33" s="127"/>
      <c r="O33" s="127"/>
      <c r="P33" s="127"/>
      <c r="Q33" s="127"/>
      <c r="R33" s="127"/>
      <c r="S33" s="127"/>
      <c r="T33" s="127"/>
      <c r="U33" s="127"/>
      <c r="V33" s="127"/>
      <c r="W33" s="127"/>
      <c r="X33" s="127"/>
      <c r="Y33" s="127"/>
      <c r="Z33" s="127"/>
      <c r="AA33" s="127"/>
      <c r="AB33" s="127"/>
      <c r="AC33" s="127"/>
    </row>
    <row r="34" spans="1:29" ht="15" x14ac:dyDescent="0.25">
      <c r="A34" s="136"/>
      <c r="B34" s="150"/>
      <c r="C34" s="150"/>
      <c r="D34" s="150"/>
      <c r="E34" s="153"/>
      <c r="F34" s="136"/>
      <c r="G34" s="150"/>
      <c r="H34" s="154"/>
      <c r="I34" s="136"/>
      <c r="J34" s="136"/>
      <c r="K34" s="127"/>
      <c r="L34" s="127"/>
      <c r="M34" s="127"/>
      <c r="N34" s="127"/>
      <c r="O34" s="127"/>
      <c r="P34" s="127"/>
      <c r="Q34" s="127"/>
      <c r="R34" s="127"/>
      <c r="S34" s="127"/>
      <c r="T34" s="127"/>
      <c r="U34" s="127"/>
      <c r="V34" s="127"/>
      <c r="W34" s="127"/>
      <c r="X34" s="127"/>
      <c r="Y34" s="127"/>
      <c r="Z34" s="127"/>
      <c r="AA34" s="127"/>
      <c r="AB34" s="127"/>
      <c r="AC34" s="127"/>
    </row>
    <row r="35" spans="1:29" x14ac:dyDescent="0.25">
      <c r="A35" s="136"/>
      <c r="B35" s="136"/>
      <c r="C35" s="136"/>
      <c r="D35" s="136"/>
      <c r="E35" s="136"/>
      <c r="F35" s="136"/>
      <c r="G35" s="136"/>
      <c r="H35" s="136"/>
      <c r="I35" s="136"/>
      <c r="J35" s="136"/>
      <c r="K35" s="127"/>
      <c r="L35" s="127"/>
      <c r="M35" s="127"/>
      <c r="N35" s="127"/>
      <c r="O35" s="127"/>
      <c r="P35" s="127"/>
      <c r="Q35" s="127"/>
      <c r="R35" s="127"/>
      <c r="S35" s="127"/>
      <c r="T35" s="127"/>
      <c r="U35" s="127"/>
      <c r="V35" s="127"/>
      <c r="W35" s="127"/>
      <c r="X35" s="127"/>
      <c r="Y35" s="127"/>
      <c r="Z35" s="127"/>
      <c r="AA35" s="127"/>
      <c r="AB35" s="127"/>
      <c r="AC35" s="127"/>
    </row>
    <row r="36" spans="1:29"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row>
    <row r="37" spans="1:29"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row>
    <row r="38" spans="1:29"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row>
    <row r="39" spans="1:29"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row>
    <row r="40" spans="1:29"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row>
    <row r="41" spans="1:29"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row>
    <row r="42" spans="1:29"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row>
    <row r="43" spans="1:29"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row>
    <row r="44" spans="1:29"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row>
    <row r="45" spans="1:29"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row>
    <row r="46" spans="1:29"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row>
    <row r="47" spans="1:29"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row>
    <row r="48" spans="1:29"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row>
    <row r="49" spans="1:29"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row>
    <row r="50" spans="1:29"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row>
    <row r="51" spans="1:29"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row>
    <row r="52" spans="1:29"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row>
    <row r="53" spans="1:29"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row>
    <row r="54" spans="1:29"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row>
    <row r="55" spans="1:29"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row>
    <row r="56" spans="1:29"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row>
    <row r="57" spans="1:29"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row>
    <row r="58" spans="1:29"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row>
    <row r="59" spans="1:29"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row>
    <row r="60" spans="1:29"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row>
    <row r="61" spans="1:29"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row>
    <row r="62" spans="1:29"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row>
    <row r="63" spans="1:29"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row>
    <row r="64" spans="1:29"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row>
    <row r="65" spans="1:29"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row>
    <row r="66" spans="1:29"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row>
    <row r="67" spans="1:29"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row>
    <row r="68" spans="1:29"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row>
    <row r="69" spans="1:29"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row>
    <row r="70" spans="1:29"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row>
    <row r="71" spans="1:29"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row>
    <row r="72" spans="1:29"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row>
    <row r="73" spans="1:29"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row>
    <row r="74" spans="1:29"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row>
    <row r="75" spans="1:29"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row>
    <row r="76" spans="1:29"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row>
    <row r="77" spans="1:29"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row>
    <row r="78" spans="1:29"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row>
    <row r="79" spans="1:29"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row>
    <row r="80" spans="1:29"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row>
    <row r="81" spans="1:29"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row>
    <row r="82" spans="1:29"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row>
    <row r="83" spans="1:29"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row>
    <row r="84" spans="1:29"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row>
    <row r="85" spans="1:29"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row>
    <row r="86" spans="1:29"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row>
    <row r="87" spans="1:29"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row>
    <row r="88" spans="1:29"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row>
    <row r="89" spans="1:29"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row>
    <row r="90" spans="1:29"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row>
    <row r="91" spans="1:29"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row>
    <row r="92" spans="1:29"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row>
    <row r="93" spans="1:29"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row>
    <row r="94" spans="1:29"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row>
    <row r="95" spans="1:29"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row>
    <row r="96" spans="1:29"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row>
    <row r="97" spans="1:29"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row>
    <row r="98" spans="1:29"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row>
    <row r="99" spans="1:29"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row>
    <row r="100" spans="1:29"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row>
    <row r="101" spans="1:29"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row>
    <row r="102" spans="1:29"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row>
    <row r="103" spans="1:29"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row>
    <row r="104" spans="1:29"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row>
    <row r="105" spans="1:29"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row>
  </sheetData>
  <sheetProtection password="CF7D" sheet="1" objects="1" scenarios="1"/>
  <mergeCells count="29">
    <mergeCell ref="B14:D14"/>
    <mergeCell ref="B9:D9"/>
    <mergeCell ref="B10:D10"/>
    <mergeCell ref="B11:D11"/>
    <mergeCell ref="B12:D12"/>
    <mergeCell ref="B13:D13"/>
    <mergeCell ref="B8:D8"/>
    <mergeCell ref="B1:H1"/>
    <mergeCell ref="B7:D7"/>
    <mergeCell ref="B3:D3"/>
    <mergeCell ref="B5:D5"/>
    <mergeCell ref="F3:H3"/>
    <mergeCell ref="B23:D23"/>
    <mergeCell ref="B24:D24"/>
    <mergeCell ref="B21:D21"/>
    <mergeCell ref="B22:D22"/>
    <mergeCell ref="B15:D15"/>
    <mergeCell ref="B16:D16"/>
    <mergeCell ref="B17:D17"/>
    <mergeCell ref="B18:D18"/>
    <mergeCell ref="B19:D19"/>
    <mergeCell ref="B20:D20"/>
    <mergeCell ref="B31:D31"/>
    <mergeCell ref="B25:D25"/>
    <mergeCell ref="B28:D28"/>
    <mergeCell ref="B29:D29"/>
    <mergeCell ref="B30:D30"/>
    <mergeCell ref="B26:D26"/>
    <mergeCell ref="B27:D27"/>
  </mergeCells>
  <phoneticPr fontId="2" type="noConversion"/>
  <conditionalFormatting sqref="E34">
    <cfRule type="cellIs" dxfId="21" priority="3" stopIfTrue="1" operator="equal">
      <formula>"N/A"</formula>
    </cfRule>
    <cfRule type="cellIs" dxfId="20" priority="4" stopIfTrue="1" operator="greaterThan">
      <formula>1</formula>
    </cfRule>
  </conditionalFormatting>
  <conditionalFormatting sqref="F8:F31">
    <cfRule type="cellIs" dxfId="19" priority="5" stopIfTrue="1" operator="greaterThan">
      <formula>550</formula>
    </cfRule>
  </conditionalFormatting>
  <conditionalFormatting sqref="H4">
    <cfRule type="cellIs" dxfId="18" priority="2" stopIfTrue="1" operator="greaterThan">
      <formula>1</formula>
    </cfRule>
  </conditionalFormatting>
  <conditionalFormatting sqref="H8:H31">
    <cfRule type="cellIs" dxfId="17" priority="1" stopIfTrue="1" operator="lessThanOrEqual">
      <formula>0</formula>
    </cfRule>
  </conditionalFormatting>
  <dataValidations count="3">
    <dataValidation type="whole" operator="greaterThanOrEqual" allowBlank="1" showInputMessage="1" showErrorMessage="1" errorTitle="Invalid Number of MULTs" error="The number of MULTs must be an integer greater than 0." sqref="E8:E31" xr:uid="{00000000-0002-0000-0600-000000000000}">
      <formula1>0</formula1>
    </dataValidation>
    <dataValidation type="decimal" operator="greaterThanOrEqual" allowBlank="1" showInputMessage="1" showErrorMessage="1" errorTitle="Invalid Clock Frequency" error="The clock frequency must be a decimal number greater than 0.0." sqref="F8:F31" xr:uid="{00000000-0002-0000-0600-000001000000}">
      <formula1>0</formula1>
    </dataValidation>
    <dataValidation type="decimal" allowBlank="1" showInputMessage="1" showErrorMessage="1" errorTitle="Invalid Rate Setting" error="Rate must be between 0% and 100%." sqref="G8:G31" xr:uid="{00000000-0002-0000-0600-000002000000}">
      <formula1>0</formula1>
      <formula2>1</formula2>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7171" r:id="rId4" name="Summary">
          <controlPr defaultSize="0" autoLine="0" r:id="rId5">
            <anchor moveWithCells="1">
              <from>
                <xdr:col>1</xdr:col>
                <xdr:colOff>60960</xdr:colOff>
                <xdr:row>0</xdr:row>
                <xdr:rowOff>38100</xdr:rowOff>
              </from>
              <to>
                <xdr:col>2</xdr:col>
                <xdr:colOff>373380</xdr:colOff>
                <xdr:row>0</xdr:row>
                <xdr:rowOff>312420</xdr:rowOff>
              </to>
            </anchor>
          </controlPr>
        </control>
      </mc:Choice>
      <mc:Fallback>
        <control shapeId="7171" r:id="rId4" name="Summary"/>
      </mc:Fallback>
    </mc:AlternateContent>
  </control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E107"/>
  <sheetViews>
    <sheetView workbookViewId="0">
      <selection activeCell="G10" sqref="G10"/>
    </sheetView>
  </sheetViews>
  <sheetFormatPr baseColWidth="10" defaultColWidth="9" defaultRowHeight="13.2" x14ac:dyDescent="0.25"/>
  <cols>
    <col min="1" max="1" width="2.77734375" customWidth="1"/>
    <col min="2" max="3" width="9.33203125" customWidth="1"/>
    <col min="4" max="4" width="12.88671875" customWidth="1"/>
    <col min="5" max="5" width="10.77734375" customWidth="1"/>
    <col min="6" max="6" width="10.77734375" hidden="1" customWidth="1"/>
    <col min="7" max="7" width="13.77734375" customWidth="1"/>
    <col min="8" max="10" width="10.77734375" customWidth="1"/>
    <col min="11" max="11" width="2.77734375" customWidth="1"/>
  </cols>
  <sheetData>
    <row r="1" spans="1:31" ht="27.9" customHeight="1" x14ac:dyDescent="0.25">
      <c r="A1" s="269"/>
      <c r="B1" s="687" t="s">
        <v>40</v>
      </c>
      <c r="C1" s="687"/>
      <c r="D1" s="687"/>
      <c r="E1" s="687"/>
      <c r="F1" s="687"/>
      <c r="G1" s="687"/>
      <c r="H1" s="687"/>
      <c r="I1" s="687"/>
      <c r="J1" s="205"/>
      <c r="K1" s="127"/>
      <c r="L1" s="127"/>
      <c r="M1" s="127"/>
      <c r="N1" s="127"/>
      <c r="O1" s="127"/>
      <c r="P1" s="127"/>
      <c r="Q1" s="127"/>
      <c r="R1" s="127"/>
      <c r="S1" s="127"/>
      <c r="T1" s="127"/>
      <c r="U1" s="127"/>
      <c r="V1" s="127"/>
      <c r="W1" s="127"/>
      <c r="X1" s="127"/>
      <c r="Y1" s="127"/>
      <c r="Z1" s="127"/>
      <c r="AA1" s="127"/>
      <c r="AB1" s="127"/>
      <c r="AC1" s="127"/>
      <c r="AD1" s="127"/>
      <c r="AE1" s="127"/>
    </row>
    <row r="2" spans="1:31" ht="13.65" customHeight="1" thickBot="1" x14ac:dyDescent="0.3">
      <c r="A2" s="315"/>
      <c r="B2" s="126"/>
      <c r="C2" s="126"/>
      <c r="D2" s="126"/>
      <c r="E2" s="126"/>
      <c r="F2" s="126"/>
      <c r="G2" s="126"/>
      <c r="H2" s="126"/>
      <c r="I2" s="126"/>
      <c r="J2" s="126"/>
      <c r="K2" s="126"/>
      <c r="L2" s="137"/>
      <c r="M2" s="127"/>
      <c r="N2" s="127"/>
      <c r="O2" s="127"/>
      <c r="P2" s="127"/>
      <c r="Q2" s="127"/>
      <c r="R2" s="127"/>
      <c r="S2" s="127"/>
      <c r="T2" s="127"/>
      <c r="U2" s="127"/>
      <c r="V2" s="127"/>
      <c r="W2" s="127"/>
      <c r="X2" s="127"/>
      <c r="Y2" s="127"/>
      <c r="Z2" s="127"/>
      <c r="AA2" s="127"/>
      <c r="AB2" s="127"/>
      <c r="AC2" s="127"/>
      <c r="AD2" s="127"/>
      <c r="AE2" s="127"/>
    </row>
    <row r="3" spans="1:31" ht="17.25" customHeight="1" x14ac:dyDescent="0.25">
      <c r="A3" s="315"/>
      <c r="B3" s="715" t="s">
        <v>1115</v>
      </c>
      <c r="C3" s="716"/>
      <c r="D3" s="717"/>
      <c r="E3" s="269"/>
      <c r="F3" s="863" t="s">
        <v>140</v>
      </c>
      <c r="G3" s="864"/>
      <c r="H3" s="864"/>
      <c r="I3" s="865"/>
      <c r="J3" s="127"/>
      <c r="K3" s="127"/>
      <c r="L3" s="128"/>
      <c r="M3" s="128"/>
      <c r="N3" s="155"/>
      <c r="O3" s="127"/>
      <c r="P3" s="127"/>
      <c r="Q3" s="127"/>
      <c r="R3" s="127"/>
      <c r="S3" s="127"/>
      <c r="T3" s="127"/>
      <c r="U3" s="127"/>
      <c r="V3" s="127"/>
      <c r="W3" s="127"/>
      <c r="X3" s="127"/>
      <c r="Y3" s="127"/>
      <c r="Z3" s="127"/>
      <c r="AA3" s="127"/>
      <c r="AB3" s="127"/>
      <c r="AC3" s="127"/>
      <c r="AD3" s="127"/>
      <c r="AE3" s="127"/>
    </row>
    <row r="4" spans="1:31" ht="17.25" customHeight="1" thickBot="1" x14ac:dyDescent="0.3">
      <c r="A4" s="315"/>
      <c r="B4" s="408" t="s">
        <v>1217</v>
      </c>
      <c r="C4" s="520">
        <f>VCCINT</f>
        <v>1.2</v>
      </c>
      <c r="D4" s="142">
        <f ca="1">SUM(H10:H33)</f>
        <v>2.0639999999999999E-3</v>
      </c>
      <c r="E4" s="269"/>
      <c r="F4" s="881" t="s">
        <v>59</v>
      </c>
      <c r="G4" s="882"/>
      <c r="H4" s="119">
        <f>IF(NUM_DCMS&gt;0,COUNTIF(E10:E33,"&gt;0"),"N/A")</f>
        <v>1</v>
      </c>
      <c r="I4" s="405">
        <f>IF(NUM_DCMS &gt; 0, H4/NUM_DCMS,"N/A")</f>
        <v>8.3333333333333329E-2</v>
      </c>
      <c r="J4" s="127"/>
      <c r="K4" s="127"/>
      <c r="L4" s="129"/>
      <c r="M4" s="206"/>
      <c r="N4" s="207"/>
      <c r="O4" s="127"/>
      <c r="P4" s="127"/>
      <c r="Q4" s="127"/>
      <c r="R4" s="127"/>
      <c r="S4" s="127"/>
      <c r="T4" s="127"/>
      <c r="U4" s="127"/>
      <c r="V4" s="127"/>
      <c r="W4" s="127"/>
      <c r="X4" s="127"/>
      <c r="Y4" s="127"/>
      <c r="Z4" s="127"/>
      <c r="AA4" s="127"/>
      <c r="AB4" s="127"/>
      <c r="AC4" s="127"/>
      <c r="AD4" s="127"/>
      <c r="AE4" s="127"/>
    </row>
    <row r="5" spans="1:31" ht="17.25" customHeight="1" thickBot="1" x14ac:dyDescent="0.3">
      <c r="A5" s="315"/>
      <c r="B5" s="408" t="s">
        <v>1218</v>
      </c>
      <c r="C5" s="520">
        <f>VCCAUX</f>
        <v>3.3</v>
      </c>
      <c r="D5" s="142">
        <f ca="1">SUM(I10:I33)</f>
        <v>1.920666E-2</v>
      </c>
      <c r="E5" s="269"/>
      <c r="F5" s="269"/>
      <c r="G5" s="269"/>
      <c r="H5" s="269"/>
      <c r="I5" s="269"/>
      <c r="J5" s="127"/>
      <c r="K5" s="127"/>
      <c r="L5" s="127"/>
      <c r="M5" s="127"/>
      <c r="N5" s="127"/>
      <c r="O5" s="127"/>
      <c r="P5" s="127"/>
      <c r="Q5" s="127"/>
      <c r="R5" s="127"/>
      <c r="S5" s="127"/>
      <c r="T5" s="127"/>
      <c r="U5" s="127"/>
      <c r="V5" s="127"/>
      <c r="W5" s="127"/>
      <c r="X5" s="127"/>
      <c r="Y5" s="127"/>
      <c r="Z5" s="127"/>
      <c r="AA5" s="127"/>
      <c r="AB5" s="127"/>
      <c r="AC5" s="127"/>
      <c r="AD5" s="127"/>
      <c r="AE5" s="127"/>
    </row>
    <row r="6" spans="1:31" ht="17.25" customHeight="1" x14ac:dyDescent="0.25">
      <c r="A6" s="315"/>
      <c r="B6" s="885" t="s">
        <v>1127</v>
      </c>
      <c r="C6" s="886"/>
      <c r="D6" s="143">
        <f ca="1">D4+D5</f>
        <v>2.127066E-2</v>
      </c>
      <c r="E6" s="317" t="str">
        <f>POWERMODE</f>
        <v>Active</v>
      </c>
      <c r="F6" s="127"/>
      <c r="G6" s="127"/>
      <c r="H6" s="127"/>
      <c r="I6" s="127"/>
      <c r="J6" s="127"/>
      <c r="K6" s="127"/>
      <c r="L6" s="127"/>
      <c r="M6" s="127"/>
      <c r="N6" s="127"/>
      <c r="O6" s="127"/>
      <c r="P6" s="127"/>
      <c r="Q6" s="127"/>
      <c r="R6" s="127"/>
      <c r="S6" s="127"/>
      <c r="T6" s="127"/>
      <c r="U6" s="127"/>
      <c r="V6" s="127"/>
      <c r="W6" s="127"/>
      <c r="X6" s="127"/>
      <c r="Y6" s="127"/>
      <c r="Z6" s="127"/>
      <c r="AA6" s="127"/>
      <c r="AB6" s="127"/>
      <c r="AC6" s="127"/>
      <c r="AD6" s="127"/>
      <c r="AE6" s="127"/>
    </row>
    <row r="7" spans="1:31" ht="17.25" customHeight="1" thickBot="1" x14ac:dyDescent="0.3">
      <c r="A7" s="315"/>
      <c r="B7" s="887" t="str">
        <f ca="1">TEXT(IF(TOTAL_POWER&gt;0,DCM_POWER/TOTAL_POWER,0),"0%")&amp;" of total on-chip power "&amp;TEXT(TOTAL_POWER,"#.###")&amp;"W"</f>
        <v>4% of total on-chip power .488W</v>
      </c>
      <c r="C7" s="888"/>
      <c r="D7" s="889"/>
      <c r="E7" s="269"/>
      <c r="F7" s="127"/>
      <c r="G7" s="127"/>
      <c r="H7" s="127"/>
      <c r="I7" s="127"/>
      <c r="J7" s="127"/>
      <c r="K7" s="127"/>
      <c r="L7" s="127"/>
      <c r="M7" s="127"/>
      <c r="N7" s="127"/>
      <c r="O7" s="127"/>
      <c r="P7" s="127"/>
      <c r="Q7" s="127"/>
      <c r="R7" s="127"/>
      <c r="S7" s="127"/>
      <c r="T7" s="127"/>
      <c r="U7" s="127"/>
      <c r="V7" s="127"/>
      <c r="W7" s="127"/>
      <c r="X7" s="127"/>
      <c r="Y7" s="127"/>
      <c r="Z7" s="127"/>
      <c r="AA7" s="127"/>
      <c r="AB7" s="127"/>
      <c r="AC7" s="127"/>
      <c r="AD7" s="127"/>
      <c r="AE7" s="127"/>
    </row>
    <row r="8" spans="1:31" ht="13.65" customHeight="1" thickBot="1" x14ac:dyDescent="0.3">
      <c r="A8" s="314"/>
      <c r="B8" s="123"/>
      <c r="C8" s="123"/>
      <c r="D8" s="123"/>
      <c r="E8" s="314"/>
      <c r="F8" s="123"/>
      <c r="G8" s="123"/>
      <c r="H8" s="123"/>
      <c r="I8" s="123"/>
      <c r="J8" s="126"/>
      <c r="K8" s="126"/>
      <c r="L8" s="137"/>
      <c r="M8" s="127"/>
      <c r="N8" s="127"/>
      <c r="O8" s="127"/>
      <c r="P8" s="127"/>
      <c r="Q8" s="127"/>
      <c r="R8" s="127"/>
      <c r="S8" s="127"/>
      <c r="T8" s="127"/>
      <c r="U8" s="127"/>
      <c r="V8" s="127"/>
      <c r="W8" s="127"/>
      <c r="X8" s="127"/>
      <c r="Y8" s="127"/>
      <c r="Z8" s="127"/>
      <c r="AA8" s="127"/>
      <c r="AB8" s="127"/>
      <c r="AC8" s="127"/>
      <c r="AD8" s="127"/>
      <c r="AE8" s="127"/>
    </row>
    <row r="9" spans="1:31" ht="34.5" customHeight="1" thickBot="1" x14ac:dyDescent="0.3">
      <c r="A9" s="304"/>
      <c r="B9" s="883" t="s">
        <v>41</v>
      </c>
      <c r="C9" s="878"/>
      <c r="D9" s="878"/>
      <c r="E9" s="421" t="s">
        <v>19</v>
      </c>
      <c r="F9" s="421" t="s">
        <v>973</v>
      </c>
      <c r="G9" s="421" t="s">
        <v>105</v>
      </c>
      <c r="H9" s="421" t="s">
        <v>43</v>
      </c>
      <c r="I9" s="422" t="s">
        <v>44</v>
      </c>
      <c r="J9" s="150" t="s">
        <v>1136</v>
      </c>
      <c r="K9" s="136"/>
      <c r="L9" s="137" t="s">
        <v>736</v>
      </c>
      <c r="M9" s="137" t="s">
        <v>734</v>
      </c>
      <c r="N9" s="127" t="s">
        <v>970</v>
      </c>
      <c r="O9" s="127"/>
      <c r="P9" s="127"/>
      <c r="Q9" s="127"/>
      <c r="R9" s="127"/>
      <c r="S9" s="127"/>
      <c r="T9" s="127"/>
      <c r="U9" s="127"/>
      <c r="V9" s="127"/>
      <c r="W9" s="127"/>
      <c r="X9" s="127"/>
      <c r="Y9" s="127"/>
      <c r="Z9" s="127"/>
      <c r="AA9" s="127"/>
      <c r="AB9" s="127"/>
      <c r="AC9" s="127"/>
      <c r="AD9" s="127"/>
      <c r="AE9" s="127"/>
    </row>
    <row r="10" spans="1:31" x14ac:dyDescent="0.25">
      <c r="A10" s="304"/>
      <c r="B10" s="884" t="s">
        <v>1363</v>
      </c>
      <c r="C10" s="874"/>
      <c r="D10" s="874"/>
      <c r="E10" s="11">
        <v>200</v>
      </c>
      <c r="F10" s="10" t="s">
        <v>36</v>
      </c>
      <c r="G10" s="10" t="s">
        <v>971</v>
      </c>
      <c r="H10" s="190">
        <f t="shared" ref="H10:H33" ca="1" si="0">($M10 + $E10*IF(LEFT($N10,4)="High",OFFSET(DCM_DATA,$L10+4,2),OFFSET(DCM_DATA,$L10+5,2)))*VCCINT/1000 * VCCINT_N</f>
        <v>2.0639999999999999E-3</v>
      </c>
      <c r="I10" s="149">
        <f t="shared" ref="I10:I33" ca="1" si="1">J10 + $E10*IF(LEFT($N10,4)="High",OFFSET(DCM_DATA,$L10+2,2),OFFSET(DCM_DATA,$L10+3,2))*VCCAUX/1000</f>
        <v>1.920666E-2</v>
      </c>
      <c r="J10" s="208">
        <f t="shared" ref="J10:J33" ca="1" si="2">COUNTIF($E10,"&gt;0") * (OFFSET(DCM_DATA,$L10+1,1) + IF(EXACT($N10,"High"),OFFSET(DCM_DATA,$L10+2,1),OFFSET(DCM_DATA,$L10+3,1))) * VCCAUX / 1000</f>
        <v>1.4520659999999999E-2</v>
      </c>
      <c r="K10" s="136"/>
      <c r="L10" s="127">
        <f t="shared" ref="L10:L33" si="3">IF(ISSTA=1,IF(OR(EXACT($G10,"DFS"),EXACT($G10,"DCM_CLKGEN")),7+7,7+1),0)</f>
        <v>8</v>
      </c>
      <c r="M10" s="127">
        <f t="shared" ref="M10:M33" ca="1" si="4">COUNTIF($E10,"&gt;0") * IF(ISSTA=1,OFFSET(DCM_DATA,$L10,1) + IF(LEFT($N10,4)="High",OFFSET(DCM_DATA,$L10+4,1),OFFSET(DCM_DATA,$L10+5,1)),0)</f>
        <v>0</v>
      </c>
      <c r="N10" s="127" t="str">
        <f t="shared" ref="N10:N33" si="5">IF(ISSTA=1,IF($E10&gt;150,"High","Low"),$F10)</f>
        <v>High</v>
      </c>
      <c r="O10" s="127"/>
      <c r="P10" s="127"/>
      <c r="Q10" s="127"/>
      <c r="R10" s="127"/>
      <c r="S10" s="127"/>
      <c r="T10" s="127"/>
      <c r="U10" s="127"/>
      <c r="V10" s="127"/>
      <c r="W10" s="127"/>
      <c r="X10" s="127"/>
      <c r="Y10" s="127"/>
      <c r="Z10" s="127"/>
      <c r="AA10" s="127"/>
      <c r="AB10" s="127"/>
      <c r="AC10" s="127"/>
      <c r="AD10" s="127"/>
      <c r="AE10" s="127"/>
    </row>
    <row r="11" spans="1:31" x14ac:dyDescent="0.25">
      <c r="A11" s="304"/>
      <c r="B11" s="677"/>
      <c r="C11" s="678"/>
      <c r="D11" s="678"/>
      <c r="E11" s="11">
        <v>0</v>
      </c>
      <c r="F11" s="10" t="s">
        <v>36</v>
      </c>
      <c r="G11" s="10" t="s">
        <v>971</v>
      </c>
      <c r="H11" s="191">
        <f t="shared" ca="1" si="0"/>
        <v>0</v>
      </c>
      <c r="I11" s="147">
        <f t="shared" ca="1" si="1"/>
        <v>0</v>
      </c>
      <c r="J11" s="208">
        <f t="shared" ca="1" si="2"/>
        <v>0</v>
      </c>
      <c r="K11" s="136"/>
      <c r="L11" s="127">
        <f t="shared" si="3"/>
        <v>8</v>
      </c>
      <c r="M11" s="127">
        <f t="shared" ca="1" si="4"/>
        <v>0</v>
      </c>
      <c r="N11" s="127" t="str">
        <f t="shared" si="5"/>
        <v>Low</v>
      </c>
      <c r="O11" s="127"/>
      <c r="P11" s="127"/>
      <c r="Q11" s="127"/>
      <c r="R11" s="127"/>
      <c r="S11" s="127"/>
      <c r="T11" s="127"/>
      <c r="U11" s="127"/>
      <c r="V11" s="127"/>
      <c r="W11" s="127"/>
      <c r="X11" s="127"/>
      <c r="Y11" s="127"/>
      <c r="Z11" s="127"/>
      <c r="AA11" s="127"/>
      <c r="AB11" s="127"/>
      <c r="AC11" s="127"/>
      <c r="AD11" s="127"/>
      <c r="AE11" s="127"/>
    </row>
    <row r="12" spans="1:31" x14ac:dyDescent="0.25">
      <c r="A12" s="304"/>
      <c r="B12" s="677"/>
      <c r="C12" s="678"/>
      <c r="D12" s="678"/>
      <c r="E12" s="11">
        <v>0</v>
      </c>
      <c r="F12" s="10" t="s">
        <v>36</v>
      </c>
      <c r="G12" s="10" t="s">
        <v>971</v>
      </c>
      <c r="H12" s="191">
        <f t="shared" ca="1" si="0"/>
        <v>0</v>
      </c>
      <c r="I12" s="147">
        <f t="shared" ca="1" si="1"/>
        <v>0</v>
      </c>
      <c r="J12" s="208">
        <f t="shared" ca="1" si="2"/>
        <v>0</v>
      </c>
      <c r="K12" s="136"/>
      <c r="L12" s="127">
        <f t="shared" si="3"/>
        <v>8</v>
      </c>
      <c r="M12" s="127">
        <f t="shared" ca="1" si="4"/>
        <v>0</v>
      </c>
      <c r="N12" s="127" t="str">
        <f t="shared" si="5"/>
        <v>Low</v>
      </c>
      <c r="O12" s="127"/>
      <c r="P12" s="127"/>
      <c r="Q12" s="127"/>
      <c r="R12" s="127"/>
      <c r="S12" s="127"/>
      <c r="T12" s="127"/>
      <c r="U12" s="127"/>
      <c r="V12" s="127"/>
      <c r="W12" s="127"/>
      <c r="X12" s="127"/>
      <c r="Y12" s="127"/>
      <c r="Z12" s="127"/>
      <c r="AA12" s="127"/>
      <c r="AB12" s="127"/>
      <c r="AC12" s="127"/>
      <c r="AD12" s="127"/>
      <c r="AE12" s="127"/>
    </row>
    <row r="13" spans="1:31" x14ac:dyDescent="0.25">
      <c r="A13" s="304"/>
      <c r="B13" s="677"/>
      <c r="C13" s="678"/>
      <c r="D13" s="678"/>
      <c r="E13" s="11">
        <v>0</v>
      </c>
      <c r="F13" s="10" t="s">
        <v>36</v>
      </c>
      <c r="G13" s="10" t="s">
        <v>971</v>
      </c>
      <c r="H13" s="191">
        <f t="shared" ca="1" si="0"/>
        <v>0</v>
      </c>
      <c r="I13" s="147">
        <f t="shared" ca="1" si="1"/>
        <v>0</v>
      </c>
      <c r="J13" s="208">
        <f t="shared" ca="1" si="2"/>
        <v>0</v>
      </c>
      <c r="K13" s="136"/>
      <c r="L13" s="127">
        <f t="shared" si="3"/>
        <v>8</v>
      </c>
      <c r="M13" s="127">
        <f t="shared" ca="1" si="4"/>
        <v>0</v>
      </c>
      <c r="N13" s="127" t="str">
        <f t="shared" si="5"/>
        <v>Low</v>
      </c>
      <c r="O13" s="127"/>
      <c r="P13" s="127"/>
      <c r="Q13" s="127"/>
      <c r="R13" s="127"/>
      <c r="S13" s="127"/>
      <c r="T13" s="127"/>
      <c r="U13" s="127"/>
      <c r="V13" s="127"/>
      <c r="W13" s="127"/>
      <c r="X13" s="127"/>
      <c r="Y13" s="127"/>
      <c r="Z13" s="127"/>
      <c r="AA13" s="127"/>
      <c r="AB13" s="127"/>
      <c r="AC13" s="127"/>
      <c r="AD13" s="127"/>
      <c r="AE13" s="127"/>
    </row>
    <row r="14" spans="1:31" x14ac:dyDescent="0.25">
      <c r="A14" s="304"/>
      <c r="B14" s="677"/>
      <c r="C14" s="678"/>
      <c r="D14" s="678"/>
      <c r="E14" s="11">
        <v>0</v>
      </c>
      <c r="F14" s="10" t="s">
        <v>36</v>
      </c>
      <c r="G14" s="10" t="s">
        <v>971</v>
      </c>
      <c r="H14" s="191">
        <f t="shared" ca="1" si="0"/>
        <v>0</v>
      </c>
      <c r="I14" s="147">
        <f t="shared" ca="1" si="1"/>
        <v>0</v>
      </c>
      <c r="J14" s="208">
        <f t="shared" ca="1" si="2"/>
        <v>0</v>
      </c>
      <c r="K14" s="136"/>
      <c r="L14" s="127">
        <f t="shared" si="3"/>
        <v>8</v>
      </c>
      <c r="M14" s="127">
        <f t="shared" ca="1" si="4"/>
        <v>0</v>
      </c>
      <c r="N14" s="127" t="str">
        <f t="shared" si="5"/>
        <v>Low</v>
      </c>
      <c r="O14" s="127"/>
      <c r="P14" s="127"/>
      <c r="Q14" s="127"/>
      <c r="R14" s="127"/>
      <c r="S14" s="127"/>
      <c r="T14" s="127"/>
      <c r="U14" s="127"/>
      <c r="V14" s="127"/>
      <c r="W14" s="127"/>
      <c r="X14" s="127"/>
      <c r="Y14" s="127"/>
      <c r="Z14" s="127"/>
      <c r="AA14" s="127"/>
      <c r="AB14" s="127"/>
      <c r="AC14" s="127"/>
      <c r="AD14" s="127"/>
      <c r="AE14" s="127"/>
    </row>
    <row r="15" spans="1:31" x14ac:dyDescent="0.25">
      <c r="A15" s="304"/>
      <c r="B15" s="677"/>
      <c r="C15" s="678"/>
      <c r="D15" s="678"/>
      <c r="E15" s="11">
        <v>0</v>
      </c>
      <c r="F15" s="10" t="s">
        <v>36</v>
      </c>
      <c r="G15" s="10" t="s">
        <v>971</v>
      </c>
      <c r="H15" s="191">
        <f t="shared" ca="1" si="0"/>
        <v>0</v>
      </c>
      <c r="I15" s="147">
        <f t="shared" ca="1" si="1"/>
        <v>0</v>
      </c>
      <c r="J15" s="208">
        <f t="shared" ca="1" si="2"/>
        <v>0</v>
      </c>
      <c r="K15" s="136"/>
      <c r="L15" s="127">
        <f t="shared" si="3"/>
        <v>8</v>
      </c>
      <c r="M15" s="127">
        <f t="shared" ca="1" si="4"/>
        <v>0</v>
      </c>
      <c r="N15" s="127" t="str">
        <f t="shared" si="5"/>
        <v>Low</v>
      </c>
      <c r="O15" s="127"/>
      <c r="P15" s="127"/>
      <c r="Q15" s="127"/>
      <c r="R15" s="127"/>
      <c r="S15" s="127"/>
      <c r="T15" s="127"/>
      <c r="U15" s="127"/>
      <c r="V15" s="127"/>
      <c r="W15" s="127"/>
      <c r="X15" s="127"/>
      <c r="Y15" s="127"/>
      <c r="Z15" s="127"/>
      <c r="AA15" s="127"/>
      <c r="AB15" s="127"/>
      <c r="AC15" s="127"/>
      <c r="AD15" s="127"/>
      <c r="AE15" s="127"/>
    </row>
    <row r="16" spans="1:31" x14ac:dyDescent="0.25">
      <c r="A16" s="304"/>
      <c r="B16" s="677"/>
      <c r="C16" s="678"/>
      <c r="D16" s="678"/>
      <c r="E16" s="11">
        <v>0</v>
      </c>
      <c r="F16" s="10" t="s">
        <v>36</v>
      </c>
      <c r="G16" s="10" t="s">
        <v>971</v>
      </c>
      <c r="H16" s="191">
        <f t="shared" ca="1" si="0"/>
        <v>0</v>
      </c>
      <c r="I16" s="147">
        <f t="shared" ca="1" si="1"/>
        <v>0</v>
      </c>
      <c r="J16" s="208">
        <f t="shared" ca="1" si="2"/>
        <v>0</v>
      </c>
      <c r="K16" s="136"/>
      <c r="L16" s="127">
        <f t="shared" si="3"/>
        <v>8</v>
      </c>
      <c r="M16" s="127">
        <f t="shared" ca="1" si="4"/>
        <v>0</v>
      </c>
      <c r="N16" s="127" t="str">
        <f t="shared" si="5"/>
        <v>Low</v>
      </c>
      <c r="O16" s="127"/>
      <c r="P16" s="127"/>
      <c r="Q16" s="127"/>
      <c r="R16" s="127"/>
      <c r="S16" s="127"/>
      <c r="T16" s="127"/>
      <c r="U16" s="127"/>
      <c r="V16" s="127"/>
      <c r="W16" s="127"/>
      <c r="X16" s="127"/>
      <c r="Y16" s="127"/>
      <c r="Z16" s="127"/>
      <c r="AA16" s="127"/>
      <c r="AB16" s="127"/>
      <c r="AC16" s="127"/>
      <c r="AD16" s="127"/>
      <c r="AE16" s="127"/>
    </row>
    <row r="17" spans="1:31" x14ac:dyDescent="0.25">
      <c r="A17" s="304"/>
      <c r="B17" s="677"/>
      <c r="C17" s="678"/>
      <c r="D17" s="678"/>
      <c r="E17" s="11">
        <v>0</v>
      </c>
      <c r="F17" s="10" t="s">
        <v>36</v>
      </c>
      <c r="G17" s="10" t="s">
        <v>971</v>
      </c>
      <c r="H17" s="191">
        <f t="shared" ca="1" si="0"/>
        <v>0</v>
      </c>
      <c r="I17" s="147">
        <f t="shared" ca="1" si="1"/>
        <v>0</v>
      </c>
      <c r="J17" s="208">
        <f t="shared" ca="1" si="2"/>
        <v>0</v>
      </c>
      <c r="K17" s="136"/>
      <c r="L17" s="127">
        <f t="shared" si="3"/>
        <v>8</v>
      </c>
      <c r="M17" s="127">
        <f t="shared" ca="1" si="4"/>
        <v>0</v>
      </c>
      <c r="N17" s="127" t="str">
        <f t="shared" si="5"/>
        <v>Low</v>
      </c>
      <c r="O17" s="127"/>
      <c r="P17" s="127"/>
      <c r="Q17" s="127"/>
      <c r="R17" s="127"/>
      <c r="S17" s="127"/>
      <c r="T17" s="127"/>
      <c r="U17" s="127"/>
      <c r="V17" s="127"/>
      <c r="W17" s="127"/>
      <c r="X17" s="127"/>
      <c r="Y17" s="127"/>
      <c r="Z17" s="127"/>
      <c r="AA17" s="127"/>
      <c r="AB17" s="127"/>
      <c r="AC17" s="127"/>
      <c r="AD17" s="127"/>
      <c r="AE17" s="127"/>
    </row>
    <row r="18" spans="1:31" x14ac:dyDescent="0.25">
      <c r="A18" s="304"/>
      <c r="B18" s="677"/>
      <c r="C18" s="678"/>
      <c r="D18" s="678"/>
      <c r="E18" s="11">
        <v>0</v>
      </c>
      <c r="F18" s="10" t="s">
        <v>36</v>
      </c>
      <c r="G18" s="10" t="s">
        <v>971</v>
      </c>
      <c r="H18" s="191">
        <f t="shared" ca="1" si="0"/>
        <v>0</v>
      </c>
      <c r="I18" s="147">
        <f t="shared" ca="1" si="1"/>
        <v>0</v>
      </c>
      <c r="J18" s="208">
        <f t="shared" ca="1" si="2"/>
        <v>0</v>
      </c>
      <c r="K18" s="136"/>
      <c r="L18" s="127">
        <f t="shared" si="3"/>
        <v>8</v>
      </c>
      <c r="M18" s="127">
        <f t="shared" ca="1" si="4"/>
        <v>0</v>
      </c>
      <c r="N18" s="127" t="str">
        <f t="shared" si="5"/>
        <v>Low</v>
      </c>
      <c r="O18" s="127"/>
      <c r="P18" s="127"/>
      <c r="Q18" s="127"/>
      <c r="R18" s="127"/>
      <c r="S18" s="127"/>
      <c r="T18" s="127"/>
      <c r="U18" s="127"/>
      <c r="V18" s="127"/>
      <c r="W18" s="127"/>
      <c r="X18" s="127"/>
      <c r="Y18" s="127"/>
      <c r="Z18" s="127"/>
      <c r="AA18" s="127"/>
      <c r="AB18" s="127"/>
      <c r="AC18" s="127"/>
      <c r="AD18" s="127"/>
      <c r="AE18" s="127"/>
    </row>
    <row r="19" spans="1:31" x14ac:dyDescent="0.25">
      <c r="A19" s="304"/>
      <c r="B19" s="677"/>
      <c r="C19" s="678"/>
      <c r="D19" s="678"/>
      <c r="E19" s="11">
        <v>0</v>
      </c>
      <c r="F19" s="10" t="s">
        <v>36</v>
      </c>
      <c r="G19" s="10" t="s">
        <v>971</v>
      </c>
      <c r="H19" s="191">
        <f t="shared" ca="1" si="0"/>
        <v>0</v>
      </c>
      <c r="I19" s="147">
        <f t="shared" ca="1" si="1"/>
        <v>0</v>
      </c>
      <c r="J19" s="208">
        <f t="shared" ca="1" si="2"/>
        <v>0</v>
      </c>
      <c r="K19" s="136"/>
      <c r="L19" s="127">
        <f t="shared" si="3"/>
        <v>8</v>
      </c>
      <c r="M19" s="127">
        <f t="shared" ca="1" si="4"/>
        <v>0</v>
      </c>
      <c r="N19" s="127" t="str">
        <f t="shared" si="5"/>
        <v>Low</v>
      </c>
      <c r="O19" s="127"/>
      <c r="P19" s="127"/>
      <c r="Q19" s="127"/>
      <c r="R19" s="127"/>
      <c r="S19" s="127"/>
      <c r="T19" s="127"/>
      <c r="U19" s="127"/>
      <c r="V19" s="127"/>
      <c r="W19" s="127"/>
      <c r="X19" s="127"/>
      <c r="Y19" s="127"/>
      <c r="Z19" s="127"/>
      <c r="AA19" s="127"/>
      <c r="AB19" s="127"/>
      <c r="AC19" s="127"/>
      <c r="AD19" s="127"/>
      <c r="AE19" s="127"/>
    </row>
    <row r="20" spans="1:31" x14ac:dyDescent="0.25">
      <c r="A20" s="304"/>
      <c r="B20" s="677"/>
      <c r="C20" s="678"/>
      <c r="D20" s="678"/>
      <c r="E20" s="11">
        <v>0</v>
      </c>
      <c r="F20" s="10" t="s">
        <v>36</v>
      </c>
      <c r="G20" s="10" t="s">
        <v>971</v>
      </c>
      <c r="H20" s="191">
        <f t="shared" ca="1" si="0"/>
        <v>0</v>
      </c>
      <c r="I20" s="147">
        <f t="shared" ca="1" si="1"/>
        <v>0</v>
      </c>
      <c r="J20" s="208">
        <f t="shared" ca="1" si="2"/>
        <v>0</v>
      </c>
      <c r="K20" s="136"/>
      <c r="L20" s="127">
        <f t="shared" si="3"/>
        <v>8</v>
      </c>
      <c r="M20" s="127">
        <f t="shared" ca="1" si="4"/>
        <v>0</v>
      </c>
      <c r="N20" s="127" t="str">
        <f t="shared" si="5"/>
        <v>Low</v>
      </c>
      <c r="O20" s="127"/>
      <c r="P20" s="127"/>
      <c r="Q20" s="127"/>
      <c r="R20" s="127"/>
      <c r="S20" s="127"/>
      <c r="T20" s="127"/>
      <c r="U20" s="127"/>
      <c r="V20" s="127"/>
      <c r="W20" s="127"/>
      <c r="X20" s="127"/>
      <c r="Y20" s="127"/>
      <c r="Z20" s="127"/>
      <c r="AA20" s="127"/>
      <c r="AB20" s="127"/>
      <c r="AC20" s="127"/>
      <c r="AD20" s="127"/>
      <c r="AE20" s="127"/>
    </row>
    <row r="21" spans="1:31" x14ac:dyDescent="0.25">
      <c r="A21" s="304"/>
      <c r="B21" s="677"/>
      <c r="C21" s="678"/>
      <c r="D21" s="678"/>
      <c r="E21" s="11">
        <v>0</v>
      </c>
      <c r="F21" s="10" t="s">
        <v>36</v>
      </c>
      <c r="G21" s="10" t="s">
        <v>971</v>
      </c>
      <c r="H21" s="191">
        <f t="shared" ca="1" si="0"/>
        <v>0</v>
      </c>
      <c r="I21" s="147">
        <f t="shared" ca="1" si="1"/>
        <v>0</v>
      </c>
      <c r="J21" s="208">
        <f t="shared" ca="1" si="2"/>
        <v>0</v>
      </c>
      <c r="K21" s="136"/>
      <c r="L21" s="127">
        <f t="shared" si="3"/>
        <v>8</v>
      </c>
      <c r="M21" s="127">
        <f t="shared" ca="1" si="4"/>
        <v>0</v>
      </c>
      <c r="N21" s="127" t="str">
        <f t="shared" si="5"/>
        <v>Low</v>
      </c>
      <c r="O21" s="127"/>
      <c r="P21" s="127"/>
      <c r="Q21" s="127"/>
      <c r="R21" s="127"/>
      <c r="S21" s="127"/>
      <c r="T21" s="127"/>
      <c r="U21" s="127"/>
      <c r="V21" s="127"/>
      <c r="W21" s="127"/>
      <c r="X21" s="127"/>
      <c r="Y21" s="127"/>
      <c r="Z21" s="127"/>
      <c r="AA21" s="127"/>
      <c r="AB21" s="127"/>
      <c r="AC21" s="127"/>
      <c r="AD21" s="127"/>
      <c r="AE21" s="127"/>
    </row>
    <row r="22" spans="1:31" x14ac:dyDescent="0.25">
      <c r="A22" s="304"/>
      <c r="B22" s="677"/>
      <c r="C22" s="678"/>
      <c r="D22" s="678"/>
      <c r="E22" s="11">
        <v>0</v>
      </c>
      <c r="F22" s="10" t="s">
        <v>36</v>
      </c>
      <c r="G22" s="10" t="s">
        <v>971</v>
      </c>
      <c r="H22" s="191">
        <f t="shared" ca="1" si="0"/>
        <v>0</v>
      </c>
      <c r="I22" s="147">
        <f t="shared" ca="1" si="1"/>
        <v>0</v>
      </c>
      <c r="J22" s="208">
        <f t="shared" ca="1" si="2"/>
        <v>0</v>
      </c>
      <c r="K22" s="136"/>
      <c r="L22" s="127">
        <f t="shared" si="3"/>
        <v>8</v>
      </c>
      <c r="M22" s="127">
        <f t="shared" ca="1" si="4"/>
        <v>0</v>
      </c>
      <c r="N22" s="127" t="str">
        <f t="shared" si="5"/>
        <v>Low</v>
      </c>
      <c r="O22" s="127"/>
      <c r="P22" s="127"/>
      <c r="Q22" s="127"/>
      <c r="R22" s="127"/>
      <c r="S22" s="127"/>
      <c r="T22" s="127"/>
      <c r="U22" s="127"/>
      <c r="V22" s="127"/>
      <c r="W22" s="127"/>
      <c r="X22" s="127"/>
      <c r="Y22" s="127"/>
      <c r="Z22" s="127"/>
      <c r="AA22" s="127"/>
      <c r="AB22" s="127"/>
      <c r="AC22" s="127"/>
      <c r="AD22" s="127"/>
      <c r="AE22" s="127"/>
    </row>
    <row r="23" spans="1:31" x14ac:dyDescent="0.25">
      <c r="A23" s="304"/>
      <c r="B23" s="677"/>
      <c r="C23" s="678"/>
      <c r="D23" s="678"/>
      <c r="E23" s="11">
        <v>0</v>
      </c>
      <c r="F23" s="10" t="s">
        <v>36</v>
      </c>
      <c r="G23" s="10" t="s">
        <v>971</v>
      </c>
      <c r="H23" s="191">
        <f t="shared" ca="1" si="0"/>
        <v>0</v>
      </c>
      <c r="I23" s="147">
        <f t="shared" ca="1" si="1"/>
        <v>0</v>
      </c>
      <c r="J23" s="208">
        <f t="shared" ca="1" si="2"/>
        <v>0</v>
      </c>
      <c r="K23" s="136"/>
      <c r="L23" s="127">
        <f t="shared" si="3"/>
        <v>8</v>
      </c>
      <c r="M23" s="127">
        <f t="shared" ca="1" si="4"/>
        <v>0</v>
      </c>
      <c r="N23" s="127" t="str">
        <f t="shared" si="5"/>
        <v>Low</v>
      </c>
      <c r="O23" s="127"/>
      <c r="P23" s="127"/>
      <c r="Q23" s="127"/>
      <c r="R23" s="127"/>
      <c r="S23" s="127"/>
      <c r="T23" s="127"/>
      <c r="U23" s="127"/>
      <c r="V23" s="127"/>
      <c r="W23" s="127"/>
      <c r="X23" s="127"/>
      <c r="Y23" s="127"/>
      <c r="Z23" s="127"/>
      <c r="AA23" s="127"/>
      <c r="AB23" s="127"/>
      <c r="AC23" s="127"/>
      <c r="AD23" s="127"/>
      <c r="AE23" s="127"/>
    </row>
    <row r="24" spans="1:31" x14ac:dyDescent="0.25">
      <c r="A24" s="304"/>
      <c r="B24" s="677"/>
      <c r="C24" s="678"/>
      <c r="D24" s="678"/>
      <c r="E24" s="11">
        <v>0</v>
      </c>
      <c r="F24" s="10" t="s">
        <v>36</v>
      </c>
      <c r="G24" s="10" t="s">
        <v>971</v>
      </c>
      <c r="H24" s="191">
        <f t="shared" ca="1" si="0"/>
        <v>0</v>
      </c>
      <c r="I24" s="147">
        <f t="shared" ca="1" si="1"/>
        <v>0</v>
      </c>
      <c r="J24" s="208">
        <f t="shared" ca="1" si="2"/>
        <v>0</v>
      </c>
      <c r="K24" s="136"/>
      <c r="L24" s="127">
        <f t="shared" si="3"/>
        <v>8</v>
      </c>
      <c r="M24" s="127">
        <f t="shared" ca="1" si="4"/>
        <v>0</v>
      </c>
      <c r="N24" s="127" t="str">
        <f t="shared" si="5"/>
        <v>Low</v>
      </c>
      <c r="O24" s="127"/>
      <c r="P24" s="127"/>
      <c r="Q24" s="127"/>
      <c r="R24" s="127"/>
      <c r="S24" s="127"/>
      <c r="T24" s="127"/>
      <c r="U24" s="127"/>
      <c r="V24" s="127"/>
      <c r="W24" s="127"/>
      <c r="X24" s="127"/>
      <c r="Y24" s="127"/>
      <c r="Z24" s="127"/>
      <c r="AA24" s="127"/>
      <c r="AB24" s="127"/>
      <c r="AC24" s="127"/>
      <c r="AD24" s="127"/>
      <c r="AE24" s="127"/>
    </row>
    <row r="25" spans="1:31" x14ac:dyDescent="0.25">
      <c r="A25" s="304"/>
      <c r="B25" s="677"/>
      <c r="C25" s="678"/>
      <c r="D25" s="678"/>
      <c r="E25" s="11">
        <v>0</v>
      </c>
      <c r="F25" s="10" t="s">
        <v>36</v>
      </c>
      <c r="G25" s="10" t="s">
        <v>971</v>
      </c>
      <c r="H25" s="191">
        <f t="shared" ca="1" si="0"/>
        <v>0</v>
      </c>
      <c r="I25" s="147">
        <f t="shared" ca="1" si="1"/>
        <v>0</v>
      </c>
      <c r="J25" s="208">
        <f t="shared" ca="1" si="2"/>
        <v>0</v>
      </c>
      <c r="K25" s="136"/>
      <c r="L25" s="127">
        <f t="shared" si="3"/>
        <v>8</v>
      </c>
      <c r="M25" s="127">
        <f t="shared" ca="1" si="4"/>
        <v>0</v>
      </c>
      <c r="N25" s="127" t="str">
        <f t="shared" si="5"/>
        <v>Low</v>
      </c>
      <c r="O25" s="127"/>
      <c r="P25" s="127"/>
      <c r="Q25" s="127"/>
      <c r="R25" s="127"/>
      <c r="S25" s="127"/>
      <c r="T25" s="127"/>
      <c r="U25" s="127"/>
      <c r="V25" s="127"/>
      <c r="W25" s="127"/>
      <c r="X25" s="127"/>
      <c r="Y25" s="127"/>
      <c r="Z25" s="127"/>
      <c r="AA25" s="127"/>
      <c r="AB25" s="127"/>
      <c r="AC25" s="127"/>
      <c r="AD25" s="127"/>
      <c r="AE25" s="127"/>
    </row>
    <row r="26" spans="1:31" x14ac:dyDescent="0.25">
      <c r="A26" s="304"/>
      <c r="B26" s="677"/>
      <c r="C26" s="678"/>
      <c r="D26" s="678"/>
      <c r="E26" s="11">
        <v>0</v>
      </c>
      <c r="F26" s="10" t="s">
        <v>36</v>
      </c>
      <c r="G26" s="10" t="s">
        <v>971</v>
      </c>
      <c r="H26" s="191">
        <f t="shared" ca="1" si="0"/>
        <v>0</v>
      </c>
      <c r="I26" s="147">
        <f t="shared" ca="1" si="1"/>
        <v>0</v>
      </c>
      <c r="J26" s="208">
        <f t="shared" ca="1" si="2"/>
        <v>0</v>
      </c>
      <c r="K26" s="136"/>
      <c r="L26" s="127">
        <f t="shared" si="3"/>
        <v>8</v>
      </c>
      <c r="M26" s="127">
        <f t="shared" ca="1" si="4"/>
        <v>0</v>
      </c>
      <c r="N26" s="127" t="str">
        <f t="shared" si="5"/>
        <v>Low</v>
      </c>
      <c r="O26" s="127"/>
      <c r="P26" s="127"/>
      <c r="Q26" s="127"/>
      <c r="R26" s="127"/>
      <c r="S26" s="127"/>
      <c r="T26" s="127"/>
      <c r="U26" s="127"/>
      <c r="V26" s="127"/>
      <c r="W26" s="127"/>
      <c r="X26" s="127"/>
      <c r="Y26" s="127"/>
      <c r="Z26" s="127"/>
      <c r="AA26" s="127"/>
      <c r="AB26" s="127"/>
      <c r="AC26" s="127"/>
      <c r="AD26" s="127"/>
      <c r="AE26" s="127"/>
    </row>
    <row r="27" spans="1:31" x14ac:dyDescent="0.25">
      <c r="A27" s="304"/>
      <c r="B27" s="677"/>
      <c r="C27" s="678"/>
      <c r="D27" s="678"/>
      <c r="E27" s="11">
        <v>0</v>
      </c>
      <c r="F27" s="10" t="s">
        <v>36</v>
      </c>
      <c r="G27" s="10" t="s">
        <v>971</v>
      </c>
      <c r="H27" s="191">
        <f t="shared" ca="1" si="0"/>
        <v>0</v>
      </c>
      <c r="I27" s="147">
        <f t="shared" ca="1" si="1"/>
        <v>0</v>
      </c>
      <c r="J27" s="208">
        <f t="shared" ca="1" si="2"/>
        <v>0</v>
      </c>
      <c r="K27" s="136"/>
      <c r="L27" s="127">
        <f t="shared" si="3"/>
        <v>8</v>
      </c>
      <c r="M27" s="127">
        <f t="shared" ca="1" si="4"/>
        <v>0</v>
      </c>
      <c r="N27" s="127" t="str">
        <f t="shared" si="5"/>
        <v>Low</v>
      </c>
      <c r="O27" s="127"/>
      <c r="P27" s="127"/>
      <c r="Q27" s="127"/>
      <c r="R27" s="127"/>
      <c r="S27" s="127"/>
      <c r="T27" s="127"/>
      <c r="U27" s="127"/>
      <c r="V27" s="127"/>
      <c r="W27" s="127"/>
      <c r="X27" s="127"/>
      <c r="Y27" s="127"/>
      <c r="Z27" s="127"/>
      <c r="AA27" s="127"/>
      <c r="AB27" s="127"/>
      <c r="AC27" s="127"/>
      <c r="AD27" s="127"/>
      <c r="AE27" s="127"/>
    </row>
    <row r="28" spans="1:31" x14ac:dyDescent="0.25">
      <c r="A28" s="304"/>
      <c r="B28" s="677"/>
      <c r="C28" s="678"/>
      <c r="D28" s="678"/>
      <c r="E28" s="11">
        <v>0</v>
      </c>
      <c r="F28" s="10" t="s">
        <v>36</v>
      </c>
      <c r="G28" s="10" t="s">
        <v>971</v>
      </c>
      <c r="H28" s="191">
        <f t="shared" ca="1" si="0"/>
        <v>0</v>
      </c>
      <c r="I28" s="147">
        <f t="shared" ca="1" si="1"/>
        <v>0</v>
      </c>
      <c r="J28" s="208">
        <f t="shared" ca="1" si="2"/>
        <v>0</v>
      </c>
      <c r="K28" s="136"/>
      <c r="L28" s="127">
        <f t="shared" si="3"/>
        <v>8</v>
      </c>
      <c r="M28" s="127">
        <f t="shared" ca="1" si="4"/>
        <v>0</v>
      </c>
      <c r="N28" s="127" t="str">
        <f t="shared" si="5"/>
        <v>Low</v>
      </c>
      <c r="O28" s="127"/>
      <c r="P28" s="127"/>
      <c r="Q28" s="127"/>
      <c r="R28" s="127"/>
      <c r="S28" s="127"/>
      <c r="T28" s="127"/>
      <c r="U28" s="127"/>
      <c r="V28" s="127"/>
      <c r="W28" s="127"/>
      <c r="X28" s="127"/>
      <c r="Y28" s="127"/>
      <c r="Z28" s="127"/>
      <c r="AA28" s="127"/>
      <c r="AB28" s="127"/>
      <c r="AC28" s="127"/>
      <c r="AD28" s="127"/>
      <c r="AE28" s="127"/>
    </row>
    <row r="29" spans="1:31" x14ac:dyDescent="0.25">
      <c r="A29" s="304"/>
      <c r="B29" s="677"/>
      <c r="C29" s="678"/>
      <c r="D29" s="678"/>
      <c r="E29" s="11">
        <v>0</v>
      </c>
      <c r="F29" s="10" t="s">
        <v>36</v>
      </c>
      <c r="G29" s="10" t="s">
        <v>971</v>
      </c>
      <c r="H29" s="191">
        <f t="shared" ca="1" si="0"/>
        <v>0</v>
      </c>
      <c r="I29" s="147">
        <f t="shared" ca="1" si="1"/>
        <v>0</v>
      </c>
      <c r="J29" s="208">
        <f t="shared" ca="1" si="2"/>
        <v>0</v>
      </c>
      <c r="K29" s="136"/>
      <c r="L29" s="127">
        <f t="shared" si="3"/>
        <v>8</v>
      </c>
      <c r="M29" s="127">
        <f t="shared" ca="1" si="4"/>
        <v>0</v>
      </c>
      <c r="N29" s="127" t="str">
        <f t="shared" si="5"/>
        <v>Low</v>
      </c>
      <c r="O29" s="127"/>
      <c r="P29" s="127"/>
      <c r="Q29" s="127"/>
      <c r="R29" s="127"/>
      <c r="S29" s="127"/>
      <c r="T29" s="127"/>
      <c r="U29" s="127"/>
      <c r="V29" s="127"/>
      <c r="W29" s="127"/>
      <c r="X29" s="127"/>
      <c r="Y29" s="127"/>
      <c r="Z29" s="127"/>
      <c r="AA29" s="127"/>
      <c r="AB29" s="127"/>
      <c r="AC29" s="127"/>
      <c r="AD29" s="127"/>
      <c r="AE29" s="127"/>
    </row>
    <row r="30" spans="1:31" x14ac:dyDescent="0.25">
      <c r="A30" s="304"/>
      <c r="B30" s="677"/>
      <c r="C30" s="678"/>
      <c r="D30" s="678"/>
      <c r="E30" s="11">
        <v>0</v>
      </c>
      <c r="F30" s="10" t="s">
        <v>36</v>
      </c>
      <c r="G30" s="10" t="s">
        <v>971</v>
      </c>
      <c r="H30" s="191">
        <f t="shared" ca="1" si="0"/>
        <v>0</v>
      </c>
      <c r="I30" s="147">
        <f t="shared" ca="1" si="1"/>
        <v>0</v>
      </c>
      <c r="J30" s="208">
        <f t="shared" ca="1" si="2"/>
        <v>0</v>
      </c>
      <c r="K30" s="136"/>
      <c r="L30" s="127">
        <f t="shared" si="3"/>
        <v>8</v>
      </c>
      <c r="M30" s="127">
        <f t="shared" ca="1" si="4"/>
        <v>0</v>
      </c>
      <c r="N30" s="127" t="str">
        <f t="shared" si="5"/>
        <v>Low</v>
      </c>
      <c r="O30" s="127"/>
      <c r="P30" s="127"/>
      <c r="Q30" s="127"/>
      <c r="R30" s="127"/>
      <c r="S30" s="127"/>
      <c r="T30" s="127"/>
      <c r="U30" s="127"/>
      <c r="V30" s="127"/>
      <c r="W30" s="127"/>
      <c r="X30" s="127"/>
      <c r="Y30" s="127"/>
      <c r="Z30" s="127"/>
      <c r="AA30" s="127"/>
      <c r="AB30" s="127"/>
      <c r="AC30" s="127"/>
      <c r="AD30" s="127"/>
      <c r="AE30" s="127"/>
    </row>
    <row r="31" spans="1:31" x14ac:dyDescent="0.25">
      <c r="A31" s="304"/>
      <c r="B31" s="677"/>
      <c r="C31" s="678"/>
      <c r="D31" s="678"/>
      <c r="E31" s="11">
        <v>0</v>
      </c>
      <c r="F31" s="10" t="s">
        <v>36</v>
      </c>
      <c r="G31" s="10" t="s">
        <v>971</v>
      </c>
      <c r="H31" s="191">
        <f t="shared" ca="1" si="0"/>
        <v>0</v>
      </c>
      <c r="I31" s="147">
        <f t="shared" ca="1" si="1"/>
        <v>0</v>
      </c>
      <c r="J31" s="208">
        <f t="shared" ca="1" si="2"/>
        <v>0</v>
      </c>
      <c r="K31" s="136"/>
      <c r="L31" s="127">
        <f t="shared" si="3"/>
        <v>8</v>
      </c>
      <c r="M31" s="127">
        <f t="shared" ca="1" si="4"/>
        <v>0</v>
      </c>
      <c r="N31" s="127" t="str">
        <f t="shared" si="5"/>
        <v>Low</v>
      </c>
      <c r="O31" s="127"/>
      <c r="P31" s="127"/>
      <c r="Q31" s="127"/>
      <c r="R31" s="127"/>
      <c r="S31" s="127"/>
      <c r="T31" s="127"/>
      <c r="U31" s="127"/>
      <c r="V31" s="127"/>
      <c r="W31" s="127"/>
      <c r="X31" s="127"/>
      <c r="Y31" s="127"/>
      <c r="Z31" s="127"/>
      <c r="AA31" s="127"/>
      <c r="AB31" s="127"/>
      <c r="AC31" s="127"/>
      <c r="AD31" s="127"/>
      <c r="AE31" s="127"/>
    </row>
    <row r="32" spans="1:31" x14ac:dyDescent="0.25">
      <c r="A32" s="304"/>
      <c r="B32" s="677"/>
      <c r="C32" s="678"/>
      <c r="D32" s="678"/>
      <c r="E32" s="11">
        <v>0</v>
      </c>
      <c r="F32" s="10" t="s">
        <v>36</v>
      </c>
      <c r="G32" s="10" t="s">
        <v>971</v>
      </c>
      <c r="H32" s="191">
        <f t="shared" ca="1" si="0"/>
        <v>0</v>
      </c>
      <c r="I32" s="147">
        <f t="shared" ca="1" si="1"/>
        <v>0</v>
      </c>
      <c r="J32" s="208">
        <f t="shared" ca="1" si="2"/>
        <v>0</v>
      </c>
      <c r="K32" s="136"/>
      <c r="L32" s="127">
        <f t="shared" si="3"/>
        <v>8</v>
      </c>
      <c r="M32" s="127">
        <f t="shared" ca="1" si="4"/>
        <v>0</v>
      </c>
      <c r="N32" s="127" t="str">
        <f t="shared" si="5"/>
        <v>Low</v>
      </c>
      <c r="O32" s="127"/>
      <c r="P32" s="127"/>
      <c r="Q32" s="127"/>
      <c r="R32" s="127"/>
      <c r="S32" s="127"/>
      <c r="T32" s="127"/>
      <c r="U32" s="127"/>
      <c r="V32" s="127"/>
      <c r="W32" s="127"/>
      <c r="X32" s="127"/>
      <c r="Y32" s="127"/>
      <c r="Z32" s="127"/>
      <c r="AA32" s="127"/>
      <c r="AB32" s="127"/>
      <c r="AC32" s="127"/>
      <c r="AD32" s="127"/>
      <c r="AE32" s="127"/>
    </row>
    <row r="33" spans="1:31" ht="13.8" thickBot="1" x14ac:dyDescent="0.3">
      <c r="A33" s="304"/>
      <c r="B33" s="682"/>
      <c r="C33" s="683"/>
      <c r="D33" s="683"/>
      <c r="E33" s="120">
        <v>0</v>
      </c>
      <c r="F33" s="121" t="s">
        <v>36</v>
      </c>
      <c r="G33" s="121" t="s">
        <v>971</v>
      </c>
      <c r="H33" s="192">
        <f t="shared" ca="1" si="0"/>
        <v>0</v>
      </c>
      <c r="I33" s="189">
        <f t="shared" ca="1" si="1"/>
        <v>0</v>
      </c>
      <c r="J33" s="208">
        <f t="shared" ca="1" si="2"/>
        <v>0</v>
      </c>
      <c r="K33" s="136"/>
      <c r="L33" s="127">
        <f t="shared" si="3"/>
        <v>8</v>
      </c>
      <c r="M33" s="127">
        <f t="shared" ca="1" si="4"/>
        <v>0</v>
      </c>
      <c r="N33" s="127" t="str">
        <f t="shared" si="5"/>
        <v>Low</v>
      </c>
      <c r="O33" s="127"/>
      <c r="P33" s="127"/>
      <c r="Q33" s="127"/>
      <c r="R33" s="127"/>
      <c r="S33" s="127"/>
      <c r="T33" s="127"/>
      <c r="U33" s="127"/>
      <c r="V33" s="127"/>
      <c r="W33" s="127"/>
      <c r="X33" s="127"/>
      <c r="Y33" s="127"/>
      <c r="Z33" s="127"/>
      <c r="AA33" s="127"/>
      <c r="AB33" s="127"/>
      <c r="AC33" s="127"/>
      <c r="AD33" s="127"/>
      <c r="AE33" s="127"/>
    </row>
    <row r="34" spans="1:31" ht="15" x14ac:dyDescent="0.25">
      <c r="A34" s="304"/>
      <c r="B34" s="304"/>
      <c r="C34" s="304"/>
      <c r="D34" s="304"/>
      <c r="E34" s="304"/>
      <c r="F34" s="316"/>
      <c r="G34" s="305"/>
      <c r="H34" s="306">
        <f ca="1">SUM(H10:H33)*VCCINT_SCALE</f>
        <v>2.0639999999999999E-3</v>
      </c>
      <c r="I34" s="306">
        <f ca="1">SUM(I10:I33)*VCCAUX_SCALE</f>
        <v>1.920666E-2</v>
      </c>
      <c r="J34" s="306">
        <f ca="1">SUM(J10:J33)</f>
        <v>1.4520659999999999E-2</v>
      </c>
      <c r="K34" s="304"/>
      <c r="L34" s="269"/>
      <c r="M34" s="269"/>
      <c r="N34" s="269"/>
      <c r="O34" s="269"/>
      <c r="P34" s="269"/>
      <c r="Q34" s="269"/>
      <c r="R34" s="269"/>
      <c r="S34" s="269"/>
      <c r="T34" s="269"/>
      <c r="U34" s="269"/>
      <c r="V34" s="269"/>
      <c r="W34" s="269"/>
      <c r="X34" s="269"/>
      <c r="Y34" s="269"/>
      <c r="Z34" s="269"/>
      <c r="AA34" s="269"/>
      <c r="AB34" s="269"/>
      <c r="AC34" s="269"/>
      <c r="AD34" s="269"/>
      <c r="AE34" s="269"/>
    </row>
    <row r="35" spans="1:31" ht="15" customHeight="1" x14ac:dyDescent="0.25">
      <c r="A35" s="304"/>
      <c r="B35" s="304"/>
      <c r="C35" s="304"/>
      <c r="D35" s="304"/>
      <c r="E35" s="304"/>
      <c r="F35" s="304"/>
      <c r="G35" s="304"/>
      <c r="H35" s="304"/>
      <c r="I35" s="317"/>
      <c r="J35" s="304"/>
      <c r="K35" s="304"/>
      <c r="L35" s="269"/>
      <c r="M35" s="269"/>
      <c r="N35" s="269"/>
      <c r="O35" s="269"/>
      <c r="P35" s="269"/>
      <c r="Q35" s="269"/>
      <c r="R35" s="269"/>
      <c r="S35" s="269"/>
      <c r="T35" s="269"/>
      <c r="U35" s="269"/>
      <c r="V35" s="269"/>
      <c r="W35" s="269"/>
      <c r="X35" s="269"/>
      <c r="Y35" s="269"/>
      <c r="Z35" s="269"/>
      <c r="AA35" s="269"/>
      <c r="AB35" s="269"/>
      <c r="AC35" s="269"/>
      <c r="AD35" s="269"/>
      <c r="AE35" s="269"/>
    </row>
    <row r="36" spans="1:31" ht="15" x14ac:dyDescent="0.25">
      <c r="A36" s="269"/>
      <c r="B36" s="318"/>
      <c r="C36" s="318"/>
      <c r="D36" s="318"/>
      <c r="E36" s="319"/>
      <c r="F36" s="269"/>
      <c r="G36" s="269"/>
      <c r="H36" s="318"/>
      <c r="I36" s="320"/>
      <c r="J36" s="269"/>
      <c r="K36" s="269"/>
      <c r="L36" s="269"/>
      <c r="M36" s="269"/>
      <c r="N36" s="269"/>
      <c r="O36" s="269"/>
      <c r="P36" s="269"/>
      <c r="Q36" s="269"/>
      <c r="R36" s="269"/>
      <c r="S36" s="269"/>
      <c r="T36" s="269"/>
      <c r="U36" s="269"/>
      <c r="V36" s="269"/>
      <c r="W36" s="269"/>
      <c r="X36" s="269"/>
      <c r="Y36" s="269"/>
      <c r="Z36" s="269"/>
      <c r="AA36" s="269"/>
      <c r="AB36" s="269"/>
      <c r="AC36" s="269"/>
      <c r="AD36" s="269"/>
      <c r="AE36" s="269"/>
    </row>
    <row r="37" spans="1:31" x14ac:dyDescent="0.25">
      <c r="A37" s="269"/>
      <c r="B37" s="269"/>
      <c r="C37" s="269"/>
      <c r="D37" s="269"/>
      <c r="E37" s="269"/>
      <c r="F37" s="269"/>
      <c r="G37" s="269"/>
      <c r="H37" s="269"/>
      <c r="I37" s="269"/>
      <c r="J37" s="269"/>
      <c r="K37" s="269"/>
      <c r="L37" s="269"/>
      <c r="M37" s="269"/>
      <c r="N37" s="269"/>
      <c r="O37" s="269"/>
      <c r="P37" s="269"/>
      <c r="Q37" s="269"/>
      <c r="R37" s="269"/>
      <c r="S37" s="269"/>
      <c r="T37" s="269"/>
      <c r="U37" s="269"/>
      <c r="V37" s="269"/>
      <c r="W37" s="269"/>
      <c r="X37" s="269"/>
      <c r="Y37" s="269"/>
      <c r="Z37" s="269"/>
      <c r="AA37" s="269"/>
      <c r="AB37" s="269"/>
      <c r="AC37" s="269"/>
      <c r="AD37" s="269"/>
      <c r="AE37" s="269"/>
    </row>
    <row r="38" spans="1:31" x14ac:dyDescent="0.25">
      <c r="A38" s="269"/>
      <c r="B38" s="269"/>
      <c r="C38" s="269"/>
      <c r="D38" s="269"/>
      <c r="E38" s="269"/>
      <c r="F38" s="269"/>
      <c r="G38" s="269"/>
      <c r="H38" s="269"/>
      <c r="I38" s="269"/>
      <c r="J38" s="269"/>
      <c r="K38" s="269"/>
      <c r="L38" s="269"/>
      <c r="M38" s="269"/>
      <c r="N38" s="269"/>
      <c r="O38" s="269"/>
      <c r="P38" s="269"/>
      <c r="Q38" s="269"/>
      <c r="R38" s="269"/>
      <c r="S38" s="269"/>
      <c r="T38" s="269"/>
      <c r="U38" s="269"/>
      <c r="V38" s="269"/>
      <c r="W38" s="269"/>
      <c r="X38" s="269"/>
      <c r="Y38" s="269"/>
      <c r="Z38" s="269"/>
      <c r="AA38" s="269"/>
      <c r="AB38" s="269"/>
      <c r="AC38" s="269"/>
      <c r="AD38" s="269"/>
      <c r="AE38" s="269"/>
    </row>
    <row r="39" spans="1:31" x14ac:dyDescent="0.25">
      <c r="A39" s="269"/>
      <c r="B39" s="269"/>
      <c r="C39" s="269"/>
      <c r="D39" s="269"/>
      <c r="E39" s="269"/>
      <c r="F39" s="304" t="s">
        <v>36</v>
      </c>
      <c r="G39" s="304" t="s">
        <v>971</v>
      </c>
      <c r="H39" s="269"/>
      <c r="I39" s="269"/>
      <c r="J39" s="269"/>
      <c r="K39" s="269"/>
      <c r="L39" s="269"/>
      <c r="M39" s="269"/>
      <c r="N39" s="269"/>
      <c r="O39" s="269"/>
      <c r="P39" s="269"/>
      <c r="Q39" s="269"/>
      <c r="R39" s="269"/>
      <c r="S39" s="269"/>
      <c r="T39" s="269"/>
      <c r="U39" s="269"/>
      <c r="V39" s="269"/>
      <c r="W39" s="269"/>
      <c r="X39" s="269"/>
      <c r="Y39" s="269"/>
      <c r="Z39" s="269"/>
      <c r="AA39" s="269"/>
      <c r="AB39" s="269"/>
      <c r="AC39" s="269"/>
      <c r="AD39" s="269"/>
      <c r="AE39" s="269"/>
    </row>
    <row r="40" spans="1:31" x14ac:dyDescent="0.25">
      <c r="A40" s="269"/>
      <c r="B40" s="269"/>
      <c r="C40" s="269"/>
      <c r="D40" s="269"/>
      <c r="E40" s="269"/>
      <c r="F40" s="304" t="s">
        <v>37</v>
      </c>
      <c r="G40" s="304" t="s">
        <v>972</v>
      </c>
      <c r="H40" s="269"/>
      <c r="I40" s="269"/>
      <c r="J40" s="269"/>
      <c r="K40" s="269"/>
      <c r="L40" s="269"/>
      <c r="M40" s="269"/>
      <c r="N40" s="269"/>
      <c r="O40" s="269"/>
      <c r="P40" s="269"/>
      <c r="Q40" s="269"/>
      <c r="R40" s="269"/>
      <c r="S40" s="269"/>
      <c r="T40" s="269"/>
      <c r="U40" s="269"/>
      <c r="V40" s="269"/>
      <c r="W40" s="269"/>
      <c r="X40" s="269"/>
      <c r="Y40" s="269"/>
      <c r="Z40" s="269"/>
      <c r="AA40" s="269"/>
      <c r="AB40" s="269"/>
      <c r="AC40" s="269"/>
      <c r="AD40" s="269"/>
      <c r="AE40" s="269"/>
    </row>
    <row r="41" spans="1:31" x14ac:dyDescent="0.25">
      <c r="A41" s="269"/>
      <c r="B41" s="269"/>
      <c r="C41" s="269"/>
      <c r="D41" s="269"/>
      <c r="E41" s="269"/>
      <c r="F41" s="304"/>
      <c r="G41" s="304" t="s">
        <v>1015</v>
      </c>
      <c r="H41" s="269"/>
      <c r="I41" s="269"/>
      <c r="J41" s="269"/>
      <c r="K41" s="269"/>
      <c r="L41" s="269"/>
      <c r="M41" s="269"/>
      <c r="N41" s="269"/>
      <c r="O41" s="269"/>
      <c r="P41" s="269"/>
      <c r="Q41" s="269"/>
      <c r="R41" s="269"/>
      <c r="S41" s="269"/>
      <c r="T41" s="269"/>
      <c r="U41" s="269"/>
      <c r="V41" s="269"/>
      <c r="W41" s="269"/>
      <c r="X41" s="269"/>
      <c r="Y41" s="269"/>
      <c r="Z41" s="269"/>
      <c r="AA41" s="269"/>
      <c r="AB41" s="269"/>
      <c r="AC41" s="269"/>
      <c r="AD41" s="269"/>
      <c r="AE41" s="269"/>
    </row>
    <row r="42" spans="1:31" x14ac:dyDescent="0.25">
      <c r="A42" s="269"/>
      <c r="B42" s="269"/>
      <c r="C42" s="269"/>
      <c r="D42" s="269"/>
      <c r="E42" s="269"/>
      <c r="F42" s="304"/>
      <c r="G42" s="304"/>
      <c r="H42" s="269"/>
      <c r="I42" s="269"/>
      <c r="J42" s="269"/>
      <c r="K42" s="269"/>
      <c r="L42" s="269"/>
      <c r="M42" s="269"/>
      <c r="N42" s="269"/>
      <c r="O42" s="269"/>
      <c r="P42" s="269"/>
      <c r="Q42" s="269"/>
      <c r="R42" s="269"/>
      <c r="S42" s="269"/>
      <c r="T42" s="269"/>
      <c r="U42" s="269"/>
      <c r="V42" s="269"/>
      <c r="W42" s="269"/>
      <c r="X42" s="269"/>
      <c r="Y42" s="269"/>
      <c r="Z42" s="269"/>
      <c r="AA42" s="269"/>
      <c r="AB42" s="269"/>
      <c r="AC42" s="269"/>
      <c r="AD42" s="269"/>
      <c r="AE42" s="269"/>
    </row>
    <row r="43" spans="1:31" x14ac:dyDescent="0.25">
      <c r="A43" s="269"/>
      <c r="B43" s="269"/>
      <c r="C43" s="269"/>
      <c r="D43" s="269"/>
      <c r="E43" s="269"/>
      <c r="F43" s="269"/>
      <c r="G43" s="269"/>
      <c r="H43" s="269"/>
      <c r="I43" s="269"/>
      <c r="J43" s="269"/>
      <c r="K43" s="269"/>
      <c r="L43" s="269"/>
      <c r="M43" s="269"/>
      <c r="N43" s="269"/>
      <c r="O43" s="269"/>
      <c r="P43" s="269"/>
      <c r="Q43" s="269"/>
      <c r="R43" s="269"/>
      <c r="S43" s="269"/>
      <c r="T43" s="269"/>
      <c r="U43" s="269"/>
      <c r="V43" s="269"/>
      <c r="W43" s="269"/>
      <c r="X43" s="269"/>
      <c r="Y43" s="269"/>
      <c r="Z43" s="269"/>
      <c r="AA43" s="269"/>
      <c r="AB43" s="269"/>
      <c r="AC43" s="269"/>
      <c r="AD43" s="269"/>
      <c r="AE43" s="269"/>
    </row>
    <row r="44" spans="1:31" x14ac:dyDescent="0.25">
      <c r="A44" s="269"/>
      <c r="B44" s="269"/>
      <c r="C44" s="269"/>
      <c r="D44" s="269"/>
      <c r="E44" s="269"/>
      <c r="F44" s="269"/>
      <c r="G44" s="269"/>
      <c r="H44" s="269"/>
      <c r="I44" s="269"/>
      <c r="J44" s="269"/>
      <c r="K44" s="269"/>
      <c r="L44" s="269"/>
      <c r="M44" s="269"/>
      <c r="N44" s="269"/>
      <c r="O44" s="269"/>
      <c r="P44" s="269"/>
      <c r="Q44" s="269"/>
      <c r="R44" s="269"/>
      <c r="S44" s="269"/>
      <c r="T44" s="269"/>
      <c r="U44" s="269"/>
      <c r="V44" s="269"/>
      <c r="W44" s="269"/>
      <c r="X44" s="269"/>
      <c r="Y44" s="269"/>
      <c r="Z44" s="269"/>
      <c r="AA44" s="269"/>
      <c r="AB44" s="269"/>
      <c r="AC44" s="269"/>
      <c r="AD44" s="269"/>
      <c r="AE44" s="269"/>
    </row>
    <row r="45" spans="1:31" x14ac:dyDescent="0.25">
      <c r="A45" s="269"/>
      <c r="B45" s="269"/>
      <c r="C45" s="269"/>
      <c r="D45" s="269"/>
      <c r="E45" s="269"/>
      <c r="F45" s="269"/>
      <c r="G45" s="269"/>
      <c r="H45" s="269"/>
      <c r="I45" s="269"/>
      <c r="J45" s="269"/>
      <c r="K45" s="269"/>
      <c r="L45" s="269"/>
      <c r="M45" s="269"/>
      <c r="N45" s="269"/>
      <c r="O45" s="269"/>
      <c r="P45" s="269"/>
      <c r="Q45" s="269"/>
      <c r="R45" s="269"/>
      <c r="S45" s="269"/>
      <c r="T45" s="269"/>
      <c r="U45" s="269"/>
      <c r="V45" s="269"/>
      <c r="W45" s="269"/>
      <c r="X45" s="269"/>
      <c r="Y45" s="269"/>
      <c r="Z45" s="269"/>
      <c r="AA45" s="269"/>
      <c r="AB45" s="269"/>
      <c r="AC45" s="269"/>
      <c r="AD45" s="269"/>
      <c r="AE45" s="269"/>
    </row>
    <row r="46" spans="1:31" x14ac:dyDescent="0.25">
      <c r="A46" s="269"/>
      <c r="B46" s="269"/>
      <c r="C46" s="269"/>
      <c r="D46" s="269"/>
      <c r="E46" s="269"/>
      <c r="F46" s="269"/>
      <c r="G46" s="269"/>
      <c r="H46" s="269"/>
      <c r="I46" s="269"/>
      <c r="J46" s="269"/>
      <c r="K46" s="269"/>
      <c r="L46" s="269"/>
      <c r="M46" s="269"/>
      <c r="N46" s="269"/>
      <c r="O46" s="269"/>
      <c r="P46" s="269"/>
      <c r="Q46" s="269"/>
      <c r="R46" s="269"/>
      <c r="S46" s="269"/>
      <c r="T46" s="269"/>
      <c r="U46" s="269"/>
      <c r="V46" s="269"/>
      <c r="W46" s="269"/>
      <c r="X46" s="269"/>
      <c r="Y46" s="269"/>
      <c r="Z46" s="269"/>
      <c r="AA46" s="269"/>
      <c r="AB46" s="269"/>
      <c r="AC46" s="269"/>
      <c r="AD46" s="269"/>
      <c r="AE46" s="269"/>
    </row>
    <row r="47" spans="1:31" x14ac:dyDescent="0.25">
      <c r="A47" s="269"/>
      <c r="B47" s="269"/>
      <c r="C47" s="269"/>
      <c r="D47" s="269"/>
      <c r="E47" s="269"/>
      <c r="F47" s="269"/>
      <c r="G47" s="269"/>
      <c r="H47" s="269"/>
      <c r="I47" s="269"/>
      <c r="J47" s="269"/>
      <c r="K47" s="269"/>
      <c r="L47" s="269"/>
      <c r="M47" s="269"/>
      <c r="N47" s="269"/>
      <c r="O47" s="269"/>
      <c r="P47" s="269"/>
      <c r="Q47" s="269"/>
      <c r="R47" s="269"/>
      <c r="S47" s="269"/>
      <c r="T47" s="269"/>
      <c r="U47" s="269"/>
      <c r="V47" s="269"/>
      <c r="W47" s="269"/>
      <c r="X47" s="269"/>
      <c r="Y47" s="269"/>
      <c r="Z47" s="269"/>
      <c r="AA47" s="269"/>
      <c r="AB47" s="269"/>
      <c r="AC47" s="269"/>
      <c r="AD47" s="269"/>
      <c r="AE47" s="269"/>
    </row>
    <row r="48" spans="1:31" x14ac:dyDescent="0.25">
      <c r="A48" s="269"/>
      <c r="B48" s="269"/>
      <c r="C48" s="269"/>
      <c r="D48" s="269"/>
      <c r="E48" s="269"/>
      <c r="F48" s="269"/>
      <c r="G48" s="269"/>
      <c r="H48" s="269"/>
      <c r="I48" s="269"/>
      <c r="J48" s="269"/>
      <c r="K48" s="269"/>
      <c r="L48" s="269"/>
      <c r="M48" s="269"/>
      <c r="N48" s="269"/>
      <c r="O48" s="269"/>
      <c r="P48" s="269"/>
      <c r="Q48" s="269"/>
      <c r="R48" s="269"/>
      <c r="S48" s="269"/>
      <c r="T48" s="269"/>
      <c r="U48" s="269"/>
      <c r="V48" s="269"/>
      <c r="W48" s="269"/>
      <c r="X48" s="269"/>
      <c r="Y48" s="269"/>
      <c r="Z48" s="269"/>
      <c r="AA48" s="269"/>
      <c r="AB48" s="269"/>
      <c r="AC48" s="269"/>
      <c r="AD48" s="269"/>
      <c r="AE48" s="269"/>
    </row>
    <row r="49" spans="1:31" x14ac:dyDescent="0.25">
      <c r="A49" s="269"/>
      <c r="B49" s="269"/>
      <c r="C49" s="269"/>
      <c r="D49" s="269"/>
      <c r="E49" s="269"/>
      <c r="F49" s="269"/>
      <c r="G49" s="269"/>
      <c r="H49" s="269"/>
      <c r="I49" s="269"/>
      <c r="J49" s="269"/>
      <c r="K49" s="269"/>
      <c r="L49" s="269"/>
      <c r="M49" s="269"/>
      <c r="N49" s="269"/>
      <c r="O49" s="269"/>
      <c r="P49" s="269"/>
      <c r="Q49" s="269"/>
      <c r="R49" s="269"/>
      <c r="S49" s="269"/>
      <c r="T49" s="269"/>
      <c r="U49" s="269"/>
      <c r="V49" s="269"/>
      <c r="W49" s="269"/>
      <c r="X49" s="269"/>
      <c r="Y49" s="269"/>
      <c r="Z49" s="269"/>
      <c r="AA49" s="269"/>
      <c r="AB49" s="269"/>
      <c r="AC49" s="269"/>
      <c r="AD49" s="269"/>
      <c r="AE49" s="269"/>
    </row>
    <row r="50" spans="1:31" x14ac:dyDescent="0.25">
      <c r="A50" s="269"/>
      <c r="B50" s="269"/>
      <c r="C50" s="269"/>
      <c r="D50" s="269"/>
      <c r="E50" s="269"/>
      <c r="F50" s="269"/>
      <c r="G50" s="269"/>
      <c r="H50" s="269"/>
      <c r="I50" s="269"/>
      <c r="J50" s="269"/>
      <c r="K50" s="269"/>
      <c r="L50" s="269"/>
      <c r="M50" s="269"/>
      <c r="N50" s="269"/>
      <c r="O50" s="269"/>
      <c r="P50" s="269"/>
      <c r="Q50" s="269"/>
      <c r="R50" s="269"/>
      <c r="S50" s="269"/>
      <c r="T50" s="269"/>
      <c r="U50" s="269"/>
      <c r="V50" s="269"/>
      <c r="W50" s="269"/>
      <c r="X50" s="269"/>
      <c r="Y50" s="269"/>
      <c r="Z50" s="269"/>
      <c r="AA50" s="269"/>
      <c r="AB50" s="269"/>
      <c r="AC50" s="269"/>
      <c r="AD50" s="269"/>
      <c r="AE50" s="269"/>
    </row>
    <row r="51" spans="1:31" x14ac:dyDescent="0.25">
      <c r="A51" s="269"/>
      <c r="B51" s="269"/>
      <c r="C51" s="269"/>
      <c r="D51" s="269"/>
      <c r="E51" s="269"/>
      <c r="F51" s="269"/>
      <c r="G51" s="269"/>
      <c r="H51" s="269"/>
      <c r="I51" s="269"/>
      <c r="J51" s="269"/>
      <c r="K51" s="269"/>
      <c r="L51" s="269"/>
      <c r="M51" s="269"/>
      <c r="N51" s="269"/>
      <c r="O51" s="269"/>
      <c r="P51" s="269"/>
      <c r="Q51" s="269"/>
      <c r="R51" s="269"/>
      <c r="S51" s="269"/>
      <c r="T51" s="269"/>
      <c r="U51" s="269"/>
      <c r="V51" s="269"/>
      <c r="W51" s="269"/>
      <c r="X51" s="269"/>
      <c r="Y51" s="269"/>
      <c r="Z51" s="269"/>
      <c r="AA51" s="269"/>
      <c r="AB51" s="269"/>
      <c r="AC51" s="269"/>
      <c r="AD51" s="269"/>
      <c r="AE51" s="269"/>
    </row>
    <row r="52" spans="1:31" x14ac:dyDescent="0.25">
      <c r="A52" s="269"/>
      <c r="B52" s="269"/>
      <c r="C52" s="269"/>
      <c r="D52" s="269"/>
      <c r="E52" s="269"/>
      <c r="F52" s="269"/>
      <c r="G52" s="269"/>
      <c r="H52" s="269"/>
      <c r="I52" s="269"/>
      <c r="J52" s="269"/>
      <c r="K52" s="269"/>
      <c r="L52" s="269"/>
      <c r="M52" s="269"/>
      <c r="N52" s="269"/>
      <c r="O52" s="269"/>
      <c r="P52" s="269"/>
      <c r="Q52" s="269"/>
      <c r="R52" s="269"/>
      <c r="S52" s="269"/>
      <c r="T52" s="269"/>
      <c r="U52" s="269"/>
      <c r="V52" s="269"/>
      <c r="W52" s="269"/>
      <c r="X52" s="269"/>
      <c r="Y52" s="269"/>
      <c r="Z52" s="269"/>
      <c r="AA52" s="269"/>
      <c r="AB52" s="269"/>
      <c r="AC52" s="269"/>
      <c r="AD52" s="269"/>
      <c r="AE52" s="269"/>
    </row>
    <row r="53" spans="1:31" x14ac:dyDescent="0.25">
      <c r="A53" s="269"/>
      <c r="B53" s="269"/>
      <c r="C53" s="269"/>
      <c r="D53" s="269"/>
      <c r="E53" s="269"/>
      <c r="F53" s="269"/>
      <c r="G53" s="269"/>
      <c r="H53" s="269"/>
      <c r="I53" s="269"/>
      <c r="J53" s="269"/>
      <c r="K53" s="269"/>
      <c r="L53" s="269"/>
      <c r="M53" s="269"/>
      <c r="N53" s="269"/>
      <c r="O53" s="269"/>
      <c r="P53" s="269"/>
      <c r="Q53" s="269"/>
      <c r="R53" s="269"/>
      <c r="S53" s="269"/>
      <c r="T53" s="269"/>
      <c r="U53" s="269"/>
      <c r="V53" s="269"/>
      <c r="W53" s="269"/>
      <c r="X53" s="269"/>
      <c r="Y53" s="269"/>
      <c r="Z53" s="269"/>
      <c r="AA53" s="269"/>
      <c r="AB53" s="269"/>
      <c r="AC53" s="269"/>
      <c r="AD53" s="269"/>
      <c r="AE53" s="269"/>
    </row>
    <row r="54" spans="1:31" x14ac:dyDescent="0.25">
      <c r="A54" s="269"/>
      <c r="B54" s="269"/>
      <c r="C54" s="269"/>
      <c r="D54" s="269"/>
      <c r="E54" s="269"/>
      <c r="F54" s="269"/>
      <c r="G54" s="269"/>
      <c r="H54" s="269"/>
      <c r="I54" s="269"/>
      <c r="J54" s="269"/>
      <c r="K54" s="269"/>
      <c r="L54" s="269"/>
      <c r="M54" s="269"/>
      <c r="N54" s="269"/>
      <c r="O54" s="269"/>
      <c r="P54" s="269"/>
      <c r="Q54" s="269"/>
      <c r="R54" s="269"/>
      <c r="S54" s="269"/>
      <c r="T54" s="269"/>
      <c r="U54" s="269"/>
      <c r="V54" s="269"/>
      <c r="W54" s="269"/>
      <c r="X54" s="269"/>
      <c r="Y54" s="269"/>
      <c r="Z54" s="269"/>
      <c r="AA54" s="269"/>
      <c r="AB54" s="269"/>
      <c r="AC54" s="269"/>
      <c r="AD54" s="269"/>
      <c r="AE54" s="269"/>
    </row>
    <row r="55" spans="1:31" x14ac:dyDescent="0.25">
      <c r="A55" s="269"/>
      <c r="B55" s="269"/>
      <c r="C55" s="269"/>
      <c r="D55" s="269"/>
      <c r="E55" s="269"/>
      <c r="F55" s="269"/>
      <c r="G55" s="269"/>
      <c r="H55" s="269"/>
      <c r="I55" s="269"/>
      <c r="J55" s="269"/>
      <c r="K55" s="269"/>
      <c r="L55" s="269"/>
      <c r="M55" s="269"/>
      <c r="N55" s="269"/>
      <c r="O55" s="269"/>
      <c r="P55" s="269"/>
      <c r="Q55" s="269"/>
      <c r="R55" s="269"/>
      <c r="S55" s="269"/>
      <c r="T55" s="269"/>
      <c r="U55" s="269"/>
      <c r="V55" s="269"/>
      <c r="W55" s="269"/>
      <c r="X55" s="269"/>
      <c r="Y55" s="269"/>
      <c r="Z55" s="269"/>
      <c r="AA55" s="269"/>
      <c r="AB55" s="269"/>
      <c r="AC55" s="269"/>
      <c r="AD55" s="269"/>
      <c r="AE55" s="269"/>
    </row>
    <row r="56" spans="1:31" x14ac:dyDescent="0.25">
      <c r="A56" s="269"/>
      <c r="B56" s="269"/>
      <c r="C56" s="269"/>
      <c r="D56" s="269"/>
      <c r="E56" s="269"/>
      <c r="F56" s="269"/>
      <c r="G56" s="269"/>
      <c r="H56" s="269"/>
      <c r="I56" s="269"/>
      <c r="J56" s="269"/>
      <c r="K56" s="269"/>
      <c r="L56" s="269"/>
      <c r="M56" s="269"/>
      <c r="N56" s="269"/>
      <c r="O56" s="269"/>
      <c r="P56" s="269"/>
      <c r="Q56" s="269"/>
      <c r="R56" s="269"/>
      <c r="S56" s="269"/>
      <c r="T56" s="269"/>
      <c r="U56" s="269"/>
      <c r="V56" s="269"/>
      <c r="W56" s="269"/>
      <c r="X56" s="269"/>
      <c r="Y56" s="269"/>
      <c r="Z56" s="269"/>
      <c r="AA56" s="269"/>
      <c r="AB56" s="269"/>
      <c r="AC56" s="269"/>
      <c r="AD56" s="269"/>
      <c r="AE56" s="269"/>
    </row>
    <row r="57" spans="1:31" x14ac:dyDescent="0.25">
      <c r="A57" s="269"/>
      <c r="B57" s="269"/>
      <c r="C57" s="269"/>
      <c r="D57" s="269"/>
      <c r="E57" s="269"/>
      <c r="F57" s="269"/>
      <c r="G57" s="269"/>
      <c r="H57" s="269"/>
      <c r="I57" s="269"/>
      <c r="J57" s="269"/>
      <c r="K57" s="269"/>
      <c r="L57" s="269"/>
      <c r="M57" s="269"/>
      <c r="N57" s="269"/>
      <c r="O57" s="269"/>
      <c r="P57" s="269"/>
      <c r="Q57" s="269"/>
      <c r="R57" s="269"/>
      <c r="S57" s="269"/>
      <c r="T57" s="269"/>
      <c r="U57" s="269"/>
      <c r="V57" s="269"/>
      <c r="W57" s="269"/>
      <c r="X57" s="269"/>
      <c r="Y57" s="269"/>
      <c r="Z57" s="269"/>
      <c r="AA57" s="269"/>
      <c r="AB57" s="269"/>
      <c r="AC57" s="269"/>
      <c r="AD57" s="269"/>
      <c r="AE57" s="269"/>
    </row>
    <row r="58" spans="1:31" x14ac:dyDescent="0.25">
      <c r="A58" s="269"/>
      <c r="B58" s="269"/>
      <c r="C58" s="269"/>
      <c r="D58" s="269"/>
      <c r="E58" s="269"/>
      <c r="F58" s="269"/>
      <c r="G58" s="269"/>
      <c r="H58" s="269"/>
      <c r="I58" s="269"/>
      <c r="J58" s="269"/>
      <c r="K58" s="269"/>
      <c r="L58" s="269"/>
      <c r="M58" s="269"/>
      <c r="N58" s="269"/>
      <c r="O58" s="269"/>
      <c r="P58" s="269"/>
      <c r="Q58" s="269"/>
      <c r="R58" s="269"/>
      <c r="S58" s="269"/>
      <c r="T58" s="269"/>
      <c r="U58" s="269"/>
      <c r="V58" s="269"/>
      <c r="W58" s="269"/>
      <c r="X58" s="269"/>
      <c r="Y58" s="269"/>
      <c r="Z58" s="269"/>
      <c r="AA58" s="269"/>
      <c r="AB58" s="269"/>
      <c r="AC58" s="269"/>
      <c r="AD58" s="269"/>
      <c r="AE58" s="269"/>
    </row>
    <row r="59" spans="1:31" x14ac:dyDescent="0.25">
      <c r="A59" s="269"/>
      <c r="B59" s="269"/>
      <c r="C59" s="269"/>
      <c r="D59" s="269"/>
      <c r="E59" s="269"/>
      <c r="F59" s="269"/>
      <c r="G59" s="269"/>
      <c r="H59" s="269"/>
      <c r="I59" s="269"/>
      <c r="J59" s="269"/>
      <c r="K59" s="269"/>
      <c r="L59" s="269"/>
      <c r="M59" s="269"/>
      <c r="N59" s="269"/>
      <c r="O59" s="269"/>
      <c r="P59" s="269"/>
      <c r="Q59" s="269"/>
      <c r="R59" s="269"/>
      <c r="S59" s="269"/>
      <c r="T59" s="269"/>
      <c r="U59" s="269"/>
      <c r="V59" s="269"/>
      <c r="W59" s="269"/>
      <c r="X59" s="269"/>
      <c r="Y59" s="269"/>
      <c r="Z59" s="269"/>
      <c r="AA59" s="269"/>
      <c r="AB59" s="269"/>
      <c r="AC59" s="269"/>
      <c r="AD59" s="269"/>
      <c r="AE59" s="269"/>
    </row>
    <row r="60" spans="1:31" x14ac:dyDescent="0.25">
      <c r="A60" s="269"/>
      <c r="B60" s="269"/>
      <c r="C60" s="269"/>
      <c r="D60" s="269"/>
      <c r="E60" s="269"/>
      <c r="F60" s="269"/>
      <c r="G60" s="269"/>
      <c r="H60" s="269"/>
      <c r="I60" s="269"/>
      <c r="J60" s="269"/>
      <c r="K60" s="269"/>
      <c r="L60" s="269"/>
      <c r="M60" s="269"/>
      <c r="N60" s="269"/>
      <c r="O60" s="269"/>
      <c r="P60" s="269"/>
      <c r="Q60" s="269"/>
      <c r="R60" s="269"/>
      <c r="S60" s="269"/>
      <c r="T60" s="269"/>
      <c r="U60" s="269"/>
      <c r="V60" s="269"/>
      <c r="W60" s="269"/>
      <c r="X60" s="269"/>
      <c r="Y60" s="269"/>
      <c r="Z60" s="269"/>
      <c r="AA60" s="269"/>
      <c r="AB60" s="269"/>
      <c r="AC60" s="269"/>
      <c r="AD60" s="269"/>
      <c r="AE60" s="269"/>
    </row>
    <row r="61" spans="1:31" x14ac:dyDescent="0.25">
      <c r="A61" s="269"/>
      <c r="B61" s="269"/>
      <c r="C61" s="269"/>
      <c r="D61" s="269"/>
      <c r="E61" s="269"/>
      <c r="F61" s="269"/>
      <c r="G61" s="269"/>
      <c r="H61" s="269"/>
      <c r="I61" s="269"/>
      <c r="J61" s="269"/>
      <c r="K61" s="269"/>
      <c r="L61" s="269"/>
      <c r="M61" s="269"/>
      <c r="N61" s="269"/>
      <c r="O61" s="269"/>
      <c r="P61" s="269"/>
      <c r="Q61" s="269"/>
      <c r="R61" s="269"/>
      <c r="S61" s="269"/>
      <c r="T61" s="269"/>
      <c r="U61" s="269"/>
      <c r="V61" s="269"/>
      <c r="W61" s="269"/>
      <c r="X61" s="269"/>
      <c r="Y61" s="269"/>
      <c r="Z61" s="269"/>
      <c r="AA61" s="269"/>
      <c r="AB61" s="269"/>
      <c r="AC61" s="269"/>
      <c r="AD61" s="269"/>
      <c r="AE61" s="269"/>
    </row>
    <row r="62" spans="1:31" x14ac:dyDescent="0.25">
      <c r="A62" s="269"/>
      <c r="B62" s="269"/>
      <c r="C62" s="269"/>
      <c r="D62" s="269"/>
      <c r="E62" s="269"/>
      <c r="F62" s="269"/>
      <c r="G62" s="269"/>
      <c r="H62" s="269"/>
      <c r="I62" s="269"/>
      <c r="J62" s="269"/>
      <c r="K62" s="269"/>
      <c r="L62" s="269"/>
      <c r="M62" s="269"/>
      <c r="N62" s="269"/>
      <c r="O62" s="269"/>
      <c r="P62" s="269"/>
      <c r="Q62" s="269"/>
      <c r="R62" s="269"/>
      <c r="S62" s="269"/>
      <c r="T62" s="269"/>
      <c r="U62" s="269"/>
      <c r="V62" s="269"/>
      <c r="W62" s="269"/>
      <c r="X62" s="269"/>
      <c r="Y62" s="269"/>
      <c r="Z62" s="269"/>
      <c r="AA62" s="269"/>
      <c r="AB62" s="269"/>
      <c r="AC62" s="269"/>
      <c r="AD62" s="269"/>
      <c r="AE62" s="269"/>
    </row>
    <row r="63" spans="1:31" x14ac:dyDescent="0.25">
      <c r="A63" s="269"/>
      <c r="B63" s="269"/>
      <c r="C63" s="269"/>
      <c r="D63" s="269"/>
      <c r="E63" s="269"/>
      <c r="F63" s="269"/>
      <c r="G63" s="269"/>
      <c r="H63" s="269"/>
      <c r="I63" s="269"/>
      <c r="J63" s="269"/>
      <c r="K63" s="269"/>
      <c r="L63" s="269"/>
      <c r="M63" s="269"/>
      <c r="N63" s="269"/>
      <c r="O63" s="269"/>
      <c r="P63" s="269"/>
      <c r="Q63" s="269"/>
      <c r="R63" s="269"/>
      <c r="S63" s="269"/>
      <c r="T63" s="269"/>
      <c r="U63" s="269"/>
      <c r="V63" s="269"/>
      <c r="W63" s="269"/>
      <c r="X63" s="269"/>
      <c r="Y63" s="269"/>
      <c r="Z63" s="269"/>
      <c r="AA63" s="269"/>
      <c r="AB63" s="269"/>
      <c r="AC63" s="269"/>
      <c r="AD63" s="269"/>
      <c r="AE63" s="269"/>
    </row>
    <row r="64" spans="1:31" x14ac:dyDescent="0.25">
      <c r="A64" s="269"/>
      <c r="B64" s="269"/>
      <c r="C64" s="269"/>
      <c r="D64" s="269"/>
      <c r="E64" s="269"/>
      <c r="F64" s="269"/>
      <c r="G64" s="269"/>
      <c r="H64" s="269"/>
      <c r="I64" s="269"/>
      <c r="J64" s="269"/>
      <c r="K64" s="269"/>
      <c r="L64" s="269"/>
      <c r="M64" s="269"/>
      <c r="N64" s="269"/>
      <c r="O64" s="269"/>
      <c r="P64" s="269"/>
      <c r="Q64" s="269"/>
      <c r="R64" s="269"/>
      <c r="S64" s="269"/>
      <c r="T64" s="269"/>
      <c r="U64" s="269"/>
      <c r="V64" s="269"/>
      <c r="W64" s="269"/>
      <c r="X64" s="269"/>
      <c r="Y64" s="269"/>
      <c r="Z64" s="269"/>
      <c r="AA64" s="269"/>
      <c r="AB64" s="269"/>
      <c r="AC64" s="269"/>
      <c r="AD64" s="269"/>
      <c r="AE64" s="269"/>
    </row>
    <row r="65" spans="1:31" x14ac:dyDescent="0.25">
      <c r="A65" s="269"/>
      <c r="B65" s="269"/>
      <c r="C65" s="269"/>
      <c r="D65" s="269"/>
      <c r="E65" s="269"/>
      <c r="F65" s="269"/>
      <c r="G65" s="269"/>
      <c r="H65" s="269"/>
      <c r="I65" s="269"/>
      <c r="J65" s="269"/>
      <c r="K65" s="269"/>
      <c r="L65" s="269"/>
      <c r="M65" s="269"/>
      <c r="N65" s="269"/>
      <c r="O65" s="269"/>
      <c r="P65" s="269"/>
      <c r="Q65" s="269"/>
      <c r="R65" s="269"/>
      <c r="S65" s="269"/>
      <c r="T65" s="269"/>
      <c r="U65" s="269"/>
      <c r="V65" s="269"/>
      <c r="W65" s="269"/>
      <c r="X65" s="269"/>
      <c r="Y65" s="269"/>
      <c r="Z65" s="269"/>
      <c r="AA65" s="269"/>
      <c r="AB65" s="269"/>
      <c r="AC65" s="269"/>
      <c r="AD65" s="269"/>
      <c r="AE65" s="269"/>
    </row>
    <row r="66" spans="1:31" x14ac:dyDescent="0.25">
      <c r="A66" s="269"/>
      <c r="B66" s="269"/>
      <c r="C66" s="269"/>
      <c r="D66" s="269"/>
      <c r="E66" s="269"/>
      <c r="F66" s="269"/>
      <c r="G66" s="269"/>
      <c r="H66" s="269"/>
      <c r="I66" s="269"/>
      <c r="J66" s="269"/>
      <c r="K66" s="269"/>
      <c r="L66" s="269"/>
      <c r="M66" s="269"/>
      <c r="N66" s="269"/>
      <c r="O66" s="269"/>
      <c r="P66" s="269"/>
      <c r="Q66" s="269"/>
      <c r="R66" s="269"/>
      <c r="S66" s="269"/>
      <c r="T66" s="269"/>
      <c r="U66" s="269"/>
      <c r="V66" s="269"/>
      <c r="W66" s="269"/>
      <c r="X66" s="269"/>
      <c r="Y66" s="269"/>
      <c r="Z66" s="269"/>
      <c r="AA66" s="269"/>
      <c r="AB66" s="269"/>
      <c r="AC66" s="269"/>
      <c r="AD66" s="269"/>
      <c r="AE66" s="269"/>
    </row>
    <row r="67" spans="1:31" x14ac:dyDescent="0.25">
      <c r="A67" s="269"/>
      <c r="B67" s="269"/>
      <c r="C67" s="269"/>
      <c r="D67" s="269"/>
      <c r="E67" s="269"/>
      <c r="F67" s="269"/>
      <c r="G67" s="269"/>
      <c r="H67" s="269"/>
      <c r="I67" s="269"/>
      <c r="J67" s="269"/>
      <c r="K67" s="269"/>
      <c r="L67" s="269"/>
      <c r="M67" s="269"/>
      <c r="N67" s="269"/>
      <c r="O67" s="269"/>
      <c r="P67" s="269"/>
      <c r="Q67" s="269"/>
      <c r="R67" s="269"/>
      <c r="S67" s="269"/>
      <c r="T67" s="269"/>
      <c r="U67" s="269"/>
      <c r="V67" s="269"/>
      <c r="W67" s="269"/>
      <c r="X67" s="269"/>
      <c r="Y67" s="269"/>
      <c r="Z67" s="269"/>
      <c r="AA67" s="269"/>
      <c r="AB67" s="269"/>
      <c r="AC67" s="269"/>
      <c r="AD67" s="269"/>
      <c r="AE67" s="269"/>
    </row>
    <row r="68" spans="1:31" x14ac:dyDescent="0.25">
      <c r="A68" s="269"/>
      <c r="B68" s="269"/>
      <c r="C68" s="269"/>
      <c r="D68" s="269"/>
      <c r="E68" s="269"/>
      <c r="F68" s="269"/>
      <c r="G68" s="269"/>
      <c r="H68" s="269"/>
      <c r="I68" s="269"/>
      <c r="J68" s="269"/>
      <c r="K68" s="269"/>
      <c r="L68" s="269"/>
      <c r="M68" s="269"/>
      <c r="N68" s="269"/>
      <c r="O68" s="269"/>
      <c r="P68" s="269"/>
      <c r="Q68" s="269"/>
      <c r="R68" s="269"/>
      <c r="S68" s="269"/>
      <c r="T68" s="269"/>
      <c r="U68" s="269"/>
      <c r="V68" s="269"/>
      <c r="W68" s="269"/>
      <c r="X68" s="269"/>
      <c r="Y68" s="269"/>
      <c r="Z68" s="269"/>
      <c r="AA68" s="269"/>
      <c r="AB68" s="269"/>
      <c r="AC68" s="269"/>
      <c r="AD68" s="269"/>
      <c r="AE68" s="269"/>
    </row>
    <row r="69" spans="1:31" x14ac:dyDescent="0.25">
      <c r="A69" s="269"/>
      <c r="B69" s="269"/>
      <c r="C69" s="269"/>
      <c r="D69" s="269"/>
      <c r="E69" s="269"/>
      <c r="F69" s="269"/>
      <c r="G69" s="269"/>
      <c r="H69" s="269"/>
      <c r="I69" s="269"/>
      <c r="J69" s="269"/>
      <c r="K69" s="269"/>
      <c r="L69" s="269"/>
      <c r="M69" s="269"/>
      <c r="N69" s="269"/>
      <c r="O69" s="269"/>
      <c r="P69" s="269"/>
      <c r="Q69" s="269"/>
      <c r="R69" s="269"/>
      <c r="S69" s="269"/>
      <c r="T69" s="269"/>
      <c r="U69" s="269"/>
      <c r="V69" s="269"/>
      <c r="W69" s="269"/>
      <c r="X69" s="269"/>
      <c r="Y69" s="269"/>
      <c r="Z69" s="269"/>
      <c r="AA69" s="269"/>
      <c r="AB69" s="269"/>
      <c r="AC69" s="269"/>
      <c r="AD69" s="269"/>
      <c r="AE69" s="269"/>
    </row>
    <row r="70" spans="1:31" x14ac:dyDescent="0.25">
      <c r="A70" s="269"/>
      <c r="B70" s="269"/>
      <c r="C70" s="269"/>
      <c r="D70" s="269"/>
      <c r="E70" s="269"/>
      <c r="F70" s="269"/>
      <c r="G70" s="269"/>
      <c r="H70" s="269"/>
      <c r="I70" s="269"/>
      <c r="J70" s="269"/>
      <c r="K70" s="269"/>
      <c r="L70" s="269"/>
      <c r="M70" s="269"/>
      <c r="N70" s="269"/>
      <c r="O70" s="269"/>
      <c r="P70" s="269"/>
      <c r="Q70" s="269"/>
      <c r="R70" s="269"/>
      <c r="S70" s="269"/>
      <c r="T70" s="269"/>
      <c r="U70" s="269"/>
      <c r="V70" s="269"/>
      <c r="W70" s="269"/>
      <c r="X70" s="269"/>
      <c r="Y70" s="269"/>
      <c r="Z70" s="269"/>
      <c r="AA70" s="269"/>
      <c r="AB70" s="269"/>
      <c r="AC70" s="269"/>
      <c r="AD70" s="269"/>
      <c r="AE70" s="269"/>
    </row>
    <row r="71" spans="1:31" x14ac:dyDescent="0.25">
      <c r="A71" s="269"/>
      <c r="B71" s="269"/>
      <c r="C71" s="269"/>
      <c r="D71" s="269"/>
      <c r="E71" s="269"/>
      <c r="F71" s="269"/>
      <c r="G71" s="269"/>
      <c r="H71" s="269"/>
      <c r="I71" s="269"/>
      <c r="J71" s="269"/>
      <c r="K71" s="269"/>
      <c r="L71" s="269"/>
      <c r="M71" s="269"/>
      <c r="N71" s="269"/>
      <c r="O71" s="269"/>
      <c r="P71" s="269"/>
      <c r="Q71" s="269"/>
      <c r="R71" s="269"/>
      <c r="S71" s="269"/>
      <c r="T71" s="269"/>
      <c r="U71" s="269"/>
      <c r="V71" s="269"/>
      <c r="W71" s="269"/>
      <c r="X71" s="269"/>
      <c r="Y71" s="269"/>
      <c r="Z71" s="269"/>
      <c r="AA71" s="269"/>
      <c r="AB71" s="269"/>
      <c r="AC71" s="269"/>
      <c r="AD71" s="269"/>
      <c r="AE71" s="269"/>
    </row>
    <row r="72" spans="1:31" x14ac:dyDescent="0.25">
      <c r="A72" s="269"/>
      <c r="B72" s="269"/>
      <c r="C72" s="269"/>
      <c r="D72" s="269"/>
      <c r="E72" s="269"/>
      <c r="F72" s="269"/>
      <c r="G72" s="269"/>
      <c r="H72" s="269"/>
      <c r="I72" s="269"/>
      <c r="J72" s="269"/>
      <c r="K72" s="269"/>
      <c r="L72" s="269"/>
      <c r="M72" s="269"/>
      <c r="N72" s="269"/>
      <c r="O72" s="269"/>
      <c r="P72" s="269"/>
      <c r="Q72" s="269"/>
      <c r="R72" s="269"/>
      <c r="S72" s="269"/>
      <c r="T72" s="269"/>
      <c r="U72" s="269"/>
      <c r="V72" s="269"/>
      <c r="W72" s="269"/>
      <c r="X72" s="269"/>
      <c r="Y72" s="269"/>
      <c r="Z72" s="269"/>
      <c r="AA72" s="269"/>
      <c r="AB72" s="269"/>
      <c r="AC72" s="269"/>
      <c r="AD72" s="269"/>
      <c r="AE72" s="269"/>
    </row>
    <row r="73" spans="1:31" x14ac:dyDescent="0.25">
      <c r="A73" s="269"/>
      <c r="B73" s="269"/>
      <c r="C73" s="269"/>
      <c r="D73" s="269"/>
      <c r="E73" s="269"/>
      <c r="F73" s="269"/>
      <c r="G73" s="269"/>
      <c r="H73" s="269"/>
      <c r="I73" s="269"/>
      <c r="J73" s="269"/>
      <c r="K73" s="269"/>
      <c r="L73" s="269"/>
      <c r="M73" s="269"/>
      <c r="N73" s="269"/>
      <c r="O73" s="269"/>
      <c r="P73" s="269"/>
      <c r="Q73" s="269"/>
      <c r="R73" s="269"/>
      <c r="S73" s="269"/>
      <c r="T73" s="269"/>
      <c r="U73" s="269"/>
      <c r="V73" s="269"/>
      <c r="W73" s="269"/>
      <c r="X73" s="269"/>
      <c r="Y73" s="269"/>
      <c r="Z73" s="269"/>
      <c r="AA73" s="269"/>
      <c r="AB73" s="269"/>
      <c r="AC73" s="269"/>
      <c r="AD73" s="269"/>
      <c r="AE73" s="269"/>
    </row>
    <row r="74" spans="1:31" x14ac:dyDescent="0.25">
      <c r="A74" s="269"/>
      <c r="B74" s="269"/>
      <c r="C74" s="269"/>
      <c r="D74" s="269"/>
      <c r="E74" s="269"/>
      <c r="F74" s="269"/>
      <c r="G74" s="269"/>
      <c r="H74" s="269"/>
      <c r="I74" s="269"/>
      <c r="J74" s="269"/>
      <c r="K74" s="269"/>
      <c r="L74" s="269"/>
      <c r="M74" s="269"/>
      <c r="N74" s="269"/>
      <c r="O74" s="269"/>
      <c r="P74" s="269"/>
      <c r="Q74" s="269"/>
      <c r="R74" s="269"/>
      <c r="S74" s="269"/>
      <c r="T74" s="269"/>
      <c r="U74" s="269"/>
      <c r="V74" s="269"/>
      <c r="W74" s="269"/>
      <c r="X74" s="269"/>
      <c r="Y74" s="269"/>
      <c r="Z74" s="269"/>
      <c r="AA74" s="269"/>
      <c r="AB74" s="269"/>
      <c r="AC74" s="269"/>
      <c r="AD74" s="269"/>
      <c r="AE74" s="269"/>
    </row>
    <row r="75" spans="1:31" x14ac:dyDescent="0.25">
      <c r="A75" s="269"/>
      <c r="B75" s="269"/>
      <c r="C75" s="269"/>
      <c r="D75" s="269"/>
      <c r="E75" s="269"/>
      <c r="F75" s="269"/>
      <c r="G75" s="269"/>
      <c r="H75" s="269"/>
      <c r="I75" s="269"/>
      <c r="J75" s="269"/>
      <c r="K75" s="269"/>
      <c r="L75" s="269"/>
      <c r="M75" s="269"/>
      <c r="N75" s="269"/>
      <c r="O75" s="269"/>
      <c r="P75" s="269"/>
      <c r="Q75" s="269"/>
      <c r="R75" s="269"/>
      <c r="S75" s="269"/>
      <c r="T75" s="269"/>
      <c r="U75" s="269"/>
      <c r="V75" s="269"/>
      <c r="W75" s="269"/>
      <c r="X75" s="269"/>
      <c r="Y75" s="269"/>
      <c r="Z75" s="269"/>
      <c r="AA75" s="269"/>
      <c r="AB75" s="269"/>
      <c r="AC75" s="269"/>
      <c r="AD75" s="269"/>
      <c r="AE75" s="269"/>
    </row>
    <row r="76" spans="1:31" x14ac:dyDescent="0.25">
      <c r="A76" s="269"/>
      <c r="B76" s="269"/>
      <c r="C76" s="269"/>
      <c r="D76" s="269"/>
      <c r="E76" s="269"/>
      <c r="F76" s="269"/>
      <c r="G76" s="269"/>
      <c r="H76" s="269"/>
      <c r="I76" s="269"/>
      <c r="J76" s="269"/>
      <c r="K76" s="269"/>
      <c r="L76" s="269"/>
      <c r="M76" s="269"/>
      <c r="N76" s="269"/>
      <c r="O76" s="269"/>
      <c r="P76" s="269"/>
      <c r="Q76" s="269"/>
      <c r="R76" s="269"/>
      <c r="S76" s="269"/>
      <c r="T76" s="269"/>
      <c r="U76" s="269"/>
      <c r="V76" s="269"/>
      <c r="W76" s="269"/>
      <c r="X76" s="269"/>
      <c r="Y76" s="269"/>
      <c r="Z76" s="269"/>
      <c r="AA76" s="269"/>
      <c r="AB76" s="269"/>
      <c r="AC76" s="269"/>
      <c r="AD76" s="269"/>
      <c r="AE76" s="269"/>
    </row>
    <row r="77" spans="1:31" x14ac:dyDescent="0.25">
      <c r="A77" s="269"/>
      <c r="B77" s="269"/>
      <c r="C77" s="269"/>
      <c r="D77" s="269"/>
      <c r="E77" s="269"/>
      <c r="F77" s="269"/>
      <c r="G77" s="269"/>
      <c r="H77" s="269"/>
      <c r="I77" s="269"/>
      <c r="J77" s="269"/>
      <c r="K77" s="269"/>
      <c r="L77" s="269"/>
      <c r="M77" s="269"/>
      <c r="N77" s="269"/>
      <c r="O77" s="269"/>
      <c r="P77" s="269"/>
      <c r="Q77" s="269"/>
      <c r="R77" s="269"/>
      <c r="S77" s="269"/>
      <c r="T77" s="269"/>
      <c r="U77" s="269"/>
      <c r="V77" s="269"/>
      <c r="W77" s="269"/>
      <c r="X77" s="269"/>
      <c r="Y77" s="269"/>
      <c r="Z77" s="269"/>
      <c r="AA77" s="269"/>
      <c r="AB77" s="269"/>
      <c r="AC77" s="269"/>
      <c r="AD77" s="269"/>
      <c r="AE77" s="269"/>
    </row>
    <row r="78" spans="1:31" x14ac:dyDescent="0.25">
      <c r="A78" s="269"/>
      <c r="B78" s="269"/>
      <c r="C78" s="269"/>
      <c r="D78" s="269"/>
      <c r="E78" s="269"/>
      <c r="F78" s="269"/>
      <c r="G78" s="269"/>
      <c r="H78" s="269"/>
      <c r="I78" s="269"/>
      <c r="J78" s="269"/>
      <c r="K78" s="269"/>
      <c r="L78" s="269"/>
      <c r="M78" s="269"/>
      <c r="N78" s="269"/>
      <c r="O78" s="269"/>
      <c r="P78" s="269"/>
      <c r="Q78" s="269"/>
      <c r="R78" s="269"/>
      <c r="S78" s="269"/>
      <c r="T78" s="269"/>
      <c r="U78" s="269"/>
      <c r="V78" s="269"/>
      <c r="W78" s="269"/>
      <c r="X78" s="269"/>
      <c r="Y78" s="269"/>
      <c r="Z78" s="269"/>
      <c r="AA78" s="269"/>
      <c r="AB78" s="269"/>
      <c r="AC78" s="269"/>
      <c r="AD78" s="269"/>
      <c r="AE78" s="269"/>
    </row>
    <row r="79" spans="1:31" x14ac:dyDescent="0.25">
      <c r="A79" s="269"/>
      <c r="B79" s="269"/>
      <c r="C79" s="269"/>
      <c r="D79" s="269"/>
      <c r="E79" s="269"/>
      <c r="F79" s="269"/>
      <c r="G79" s="269"/>
      <c r="H79" s="269"/>
      <c r="I79" s="269"/>
      <c r="J79" s="269"/>
      <c r="K79" s="269"/>
      <c r="L79" s="269"/>
      <c r="M79" s="269"/>
      <c r="N79" s="269"/>
      <c r="O79" s="269"/>
      <c r="P79" s="269"/>
      <c r="Q79" s="269"/>
      <c r="R79" s="269"/>
      <c r="S79" s="269"/>
      <c r="T79" s="269"/>
      <c r="U79" s="269"/>
      <c r="V79" s="269"/>
      <c r="W79" s="269"/>
      <c r="X79" s="269"/>
      <c r="Y79" s="269"/>
      <c r="Z79" s="269"/>
      <c r="AA79" s="269"/>
      <c r="AB79" s="269"/>
      <c r="AC79" s="269"/>
      <c r="AD79" s="269"/>
      <c r="AE79" s="269"/>
    </row>
    <row r="80" spans="1:31" x14ac:dyDescent="0.25">
      <c r="A80" s="269"/>
      <c r="B80" s="269"/>
      <c r="C80" s="269"/>
      <c r="D80" s="269"/>
      <c r="E80" s="269"/>
      <c r="F80" s="269"/>
      <c r="G80" s="269"/>
      <c r="H80" s="269"/>
      <c r="I80" s="269"/>
      <c r="J80" s="269"/>
      <c r="K80" s="269"/>
      <c r="L80" s="269"/>
      <c r="M80" s="269"/>
      <c r="N80" s="269"/>
      <c r="O80" s="269"/>
      <c r="P80" s="269"/>
      <c r="Q80" s="269"/>
      <c r="R80" s="269"/>
      <c r="S80" s="269"/>
      <c r="T80" s="269"/>
      <c r="U80" s="269"/>
      <c r="V80" s="269"/>
      <c r="W80" s="269"/>
      <c r="X80" s="269"/>
      <c r="Y80" s="269"/>
      <c r="Z80" s="269"/>
      <c r="AA80" s="269"/>
      <c r="AB80" s="269"/>
      <c r="AC80" s="269"/>
      <c r="AD80" s="269"/>
      <c r="AE80" s="269"/>
    </row>
    <row r="81" spans="1:31" x14ac:dyDescent="0.25">
      <c r="A81" s="269"/>
      <c r="B81" s="269"/>
      <c r="C81" s="269"/>
      <c r="D81" s="269"/>
      <c r="E81" s="269"/>
      <c r="F81" s="269"/>
      <c r="G81" s="269"/>
      <c r="H81" s="269"/>
      <c r="I81" s="269"/>
      <c r="J81" s="269"/>
      <c r="K81" s="269"/>
      <c r="L81" s="269"/>
      <c r="M81" s="269"/>
      <c r="N81" s="269"/>
      <c r="O81" s="269"/>
      <c r="P81" s="269"/>
      <c r="Q81" s="269"/>
      <c r="R81" s="269"/>
      <c r="S81" s="269"/>
      <c r="T81" s="269"/>
      <c r="U81" s="269"/>
      <c r="V81" s="269"/>
      <c r="W81" s="269"/>
      <c r="X81" s="269"/>
      <c r="Y81" s="269"/>
      <c r="Z81" s="269"/>
      <c r="AA81" s="269"/>
      <c r="AB81" s="269"/>
      <c r="AC81" s="269"/>
      <c r="AD81" s="269"/>
      <c r="AE81" s="269"/>
    </row>
    <row r="82" spans="1:31" x14ac:dyDescent="0.25">
      <c r="A82" s="269"/>
      <c r="B82" s="269"/>
      <c r="C82" s="269"/>
      <c r="D82" s="269"/>
      <c r="E82" s="269"/>
      <c r="F82" s="269"/>
      <c r="G82" s="269"/>
      <c r="H82" s="269"/>
      <c r="I82" s="269"/>
      <c r="J82" s="269"/>
      <c r="K82" s="269"/>
      <c r="L82" s="269"/>
      <c r="M82" s="269"/>
      <c r="N82" s="269"/>
      <c r="O82" s="269"/>
      <c r="P82" s="269"/>
      <c r="Q82" s="269"/>
      <c r="R82" s="269"/>
      <c r="S82" s="269"/>
      <c r="T82" s="269"/>
      <c r="U82" s="269"/>
      <c r="V82" s="269"/>
      <c r="W82" s="269"/>
      <c r="X82" s="269"/>
      <c r="Y82" s="269"/>
      <c r="Z82" s="269"/>
      <c r="AA82" s="269"/>
      <c r="AB82" s="269"/>
      <c r="AC82" s="269"/>
      <c r="AD82" s="269"/>
      <c r="AE82" s="269"/>
    </row>
    <row r="83" spans="1:31" x14ac:dyDescent="0.25">
      <c r="A83" s="269"/>
      <c r="B83" s="269"/>
      <c r="C83" s="269"/>
      <c r="D83" s="269"/>
      <c r="E83" s="269"/>
      <c r="F83" s="269"/>
      <c r="G83" s="269"/>
      <c r="H83" s="269"/>
      <c r="I83" s="269"/>
      <c r="J83" s="269"/>
      <c r="K83" s="269"/>
      <c r="L83" s="269"/>
      <c r="M83" s="269"/>
      <c r="N83" s="269"/>
      <c r="O83" s="269"/>
      <c r="P83" s="269"/>
      <c r="Q83" s="269"/>
      <c r="R83" s="269"/>
      <c r="S83" s="269"/>
      <c r="T83" s="269"/>
      <c r="U83" s="269"/>
      <c r="V83" s="269"/>
      <c r="W83" s="269"/>
      <c r="X83" s="269"/>
      <c r="Y83" s="269"/>
      <c r="Z83" s="269"/>
      <c r="AA83" s="269"/>
      <c r="AB83" s="269"/>
      <c r="AC83" s="269"/>
      <c r="AD83" s="269"/>
      <c r="AE83" s="269"/>
    </row>
    <row r="84" spans="1:31" x14ac:dyDescent="0.25">
      <c r="A84" s="269"/>
      <c r="B84" s="269"/>
      <c r="C84" s="269"/>
      <c r="D84" s="269"/>
      <c r="E84" s="269"/>
      <c r="F84" s="269"/>
      <c r="G84" s="269"/>
      <c r="H84" s="269"/>
      <c r="I84" s="269"/>
      <c r="J84" s="269"/>
      <c r="K84" s="269"/>
      <c r="L84" s="269"/>
      <c r="M84" s="269"/>
      <c r="N84" s="269"/>
      <c r="O84" s="269"/>
      <c r="P84" s="269"/>
      <c r="Q84" s="269"/>
      <c r="R84" s="269"/>
      <c r="S84" s="269"/>
      <c r="T84" s="269"/>
      <c r="U84" s="269"/>
      <c r="V84" s="269"/>
      <c r="W84" s="269"/>
      <c r="X84" s="269"/>
      <c r="Y84" s="269"/>
      <c r="Z84" s="269"/>
      <c r="AA84" s="269"/>
      <c r="AB84" s="269"/>
      <c r="AC84" s="269"/>
      <c r="AD84" s="269"/>
      <c r="AE84" s="269"/>
    </row>
    <row r="85" spans="1:31" x14ac:dyDescent="0.25">
      <c r="A85" s="269"/>
      <c r="B85" s="269"/>
      <c r="C85" s="269"/>
      <c r="D85" s="269"/>
      <c r="E85" s="269"/>
      <c r="F85" s="269"/>
      <c r="G85" s="269"/>
      <c r="H85" s="269"/>
      <c r="I85" s="269"/>
      <c r="J85" s="269"/>
      <c r="K85" s="269"/>
      <c r="L85" s="269"/>
      <c r="M85" s="269"/>
      <c r="N85" s="269"/>
      <c r="O85" s="269"/>
      <c r="P85" s="269"/>
      <c r="Q85" s="269"/>
      <c r="R85" s="269"/>
      <c r="S85" s="269"/>
      <c r="T85" s="269"/>
      <c r="U85" s="269"/>
      <c r="V85" s="269"/>
      <c r="W85" s="269"/>
      <c r="X85" s="269"/>
      <c r="Y85" s="269"/>
      <c r="Z85" s="269"/>
      <c r="AA85" s="269"/>
      <c r="AB85" s="269"/>
      <c r="AC85" s="269"/>
      <c r="AD85" s="269"/>
      <c r="AE85" s="269"/>
    </row>
    <row r="86" spans="1:31" x14ac:dyDescent="0.25">
      <c r="A86" s="269"/>
      <c r="B86" s="269"/>
      <c r="C86" s="269"/>
      <c r="D86" s="269"/>
      <c r="E86" s="269"/>
      <c r="F86" s="269"/>
      <c r="G86" s="269"/>
      <c r="H86" s="269"/>
      <c r="I86" s="269"/>
      <c r="J86" s="269"/>
      <c r="K86" s="269"/>
      <c r="L86" s="269"/>
      <c r="M86" s="269"/>
      <c r="N86" s="269"/>
      <c r="O86" s="269"/>
      <c r="P86" s="269"/>
      <c r="Q86" s="269"/>
      <c r="R86" s="269"/>
      <c r="S86" s="269"/>
      <c r="T86" s="269"/>
      <c r="U86" s="269"/>
      <c r="V86" s="269"/>
      <c r="W86" s="269"/>
      <c r="X86" s="269"/>
      <c r="Y86" s="269"/>
      <c r="Z86" s="269"/>
      <c r="AA86" s="269"/>
      <c r="AB86" s="269"/>
      <c r="AC86" s="269"/>
      <c r="AD86" s="269"/>
      <c r="AE86" s="269"/>
    </row>
    <row r="87" spans="1:31" x14ac:dyDescent="0.25">
      <c r="A87" s="269"/>
      <c r="B87" s="269"/>
      <c r="C87" s="269"/>
      <c r="D87" s="269"/>
      <c r="E87" s="269"/>
      <c r="F87" s="269"/>
      <c r="G87" s="269"/>
      <c r="H87" s="269"/>
      <c r="I87" s="269"/>
      <c r="J87" s="269"/>
      <c r="K87" s="269"/>
      <c r="L87" s="269"/>
      <c r="M87" s="269"/>
      <c r="N87" s="269"/>
      <c r="O87" s="269"/>
      <c r="P87" s="269"/>
      <c r="Q87" s="269"/>
      <c r="R87" s="269"/>
      <c r="S87" s="269"/>
      <c r="T87" s="269"/>
      <c r="U87" s="269"/>
      <c r="V87" s="269"/>
      <c r="W87" s="269"/>
      <c r="X87" s="269"/>
      <c r="Y87" s="269"/>
      <c r="Z87" s="269"/>
      <c r="AA87" s="269"/>
      <c r="AB87" s="269"/>
      <c r="AC87" s="269"/>
      <c r="AD87" s="269"/>
      <c r="AE87" s="269"/>
    </row>
    <row r="88" spans="1:31" x14ac:dyDescent="0.25">
      <c r="A88" s="269"/>
      <c r="B88" s="269"/>
      <c r="C88" s="269"/>
      <c r="D88" s="269"/>
      <c r="E88" s="269"/>
      <c r="F88" s="269"/>
      <c r="G88" s="269"/>
      <c r="H88" s="269"/>
      <c r="I88" s="269"/>
      <c r="J88" s="269"/>
      <c r="K88" s="269"/>
      <c r="L88" s="269"/>
      <c r="M88" s="269"/>
      <c r="N88" s="269"/>
      <c r="O88" s="269"/>
      <c r="P88" s="269"/>
      <c r="Q88" s="269"/>
      <c r="R88" s="269"/>
      <c r="S88" s="269"/>
      <c r="T88" s="269"/>
      <c r="U88" s="269"/>
      <c r="V88" s="269"/>
      <c r="W88" s="269"/>
      <c r="X88" s="269"/>
      <c r="Y88" s="269"/>
      <c r="Z88" s="269"/>
      <c r="AA88" s="269"/>
      <c r="AB88" s="269"/>
      <c r="AC88" s="269"/>
      <c r="AD88" s="269"/>
      <c r="AE88" s="269"/>
    </row>
    <row r="89" spans="1:31" x14ac:dyDescent="0.25">
      <c r="A89" s="269"/>
      <c r="B89" s="269"/>
      <c r="C89" s="269"/>
      <c r="D89" s="269"/>
      <c r="E89" s="269"/>
      <c r="F89" s="269"/>
      <c r="G89" s="269"/>
      <c r="H89" s="269"/>
      <c r="I89" s="269"/>
      <c r="J89" s="269"/>
      <c r="K89" s="269"/>
      <c r="L89" s="269"/>
      <c r="M89" s="269"/>
      <c r="N89" s="269"/>
      <c r="O89" s="269"/>
      <c r="P89" s="269"/>
      <c r="Q89" s="269"/>
      <c r="R89" s="269"/>
      <c r="S89" s="269"/>
      <c r="T89" s="269"/>
      <c r="U89" s="269"/>
      <c r="V89" s="269"/>
      <c r="W89" s="269"/>
      <c r="X89" s="269"/>
      <c r="Y89" s="269"/>
      <c r="Z89" s="269"/>
      <c r="AA89" s="269"/>
      <c r="AB89" s="269"/>
      <c r="AC89" s="269"/>
      <c r="AD89" s="269"/>
      <c r="AE89" s="269"/>
    </row>
    <row r="90" spans="1:31" x14ac:dyDescent="0.25">
      <c r="A90" s="269"/>
      <c r="B90" s="269"/>
      <c r="C90" s="269"/>
      <c r="D90" s="269"/>
      <c r="E90" s="269"/>
      <c r="F90" s="269"/>
      <c r="G90" s="269"/>
      <c r="H90" s="269"/>
      <c r="I90" s="269"/>
      <c r="J90" s="269"/>
      <c r="K90" s="269"/>
      <c r="L90" s="269"/>
      <c r="M90" s="269"/>
      <c r="N90" s="269"/>
      <c r="O90" s="269"/>
      <c r="P90" s="269"/>
      <c r="Q90" s="269"/>
      <c r="R90" s="269"/>
      <c r="S90" s="269"/>
      <c r="T90" s="269"/>
      <c r="U90" s="269"/>
      <c r="V90" s="269"/>
      <c r="W90" s="269"/>
      <c r="X90" s="269"/>
      <c r="Y90" s="269"/>
      <c r="Z90" s="269"/>
      <c r="AA90" s="269"/>
      <c r="AB90" s="269"/>
      <c r="AC90" s="269"/>
      <c r="AD90" s="269"/>
      <c r="AE90" s="269"/>
    </row>
    <row r="91" spans="1:31" x14ac:dyDescent="0.25">
      <c r="A91" s="269"/>
      <c r="B91" s="269"/>
      <c r="C91" s="269"/>
      <c r="D91" s="269"/>
      <c r="E91" s="269"/>
      <c r="F91" s="269"/>
      <c r="G91" s="269"/>
      <c r="H91" s="269"/>
      <c r="I91" s="269"/>
      <c r="J91" s="269"/>
      <c r="K91" s="269"/>
      <c r="L91" s="269"/>
      <c r="M91" s="269"/>
      <c r="N91" s="269"/>
      <c r="O91" s="269"/>
      <c r="P91" s="269"/>
      <c r="Q91" s="269"/>
      <c r="R91" s="269"/>
      <c r="S91" s="269"/>
      <c r="T91" s="269"/>
      <c r="U91" s="269"/>
      <c r="V91" s="269"/>
      <c r="W91" s="269"/>
      <c r="X91" s="269"/>
      <c r="Y91" s="269"/>
      <c r="Z91" s="269"/>
      <c r="AA91" s="269"/>
      <c r="AB91" s="269"/>
      <c r="AC91" s="269"/>
      <c r="AD91" s="269"/>
      <c r="AE91" s="269"/>
    </row>
    <row r="92" spans="1:31" x14ac:dyDescent="0.25">
      <c r="A92" s="269"/>
      <c r="B92" s="269"/>
      <c r="C92" s="269"/>
      <c r="D92" s="269"/>
      <c r="E92" s="269"/>
      <c r="F92" s="269"/>
      <c r="G92" s="269"/>
      <c r="H92" s="269"/>
      <c r="I92" s="269"/>
      <c r="J92" s="269"/>
      <c r="K92" s="269"/>
      <c r="L92" s="269"/>
      <c r="M92" s="269"/>
      <c r="N92" s="269"/>
      <c r="O92" s="269"/>
      <c r="P92" s="269"/>
      <c r="Q92" s="269"/>
      <c r="R92" s="269"/>
      <c r="S92" s="269"/>
      <c r="T92" s="269"/>
      <c r="U92" s="269"/>
      <c r="V92" s="269"/>
      <c r="W92" s="269"/>
      <c r="X92" s="269"/>
      <c r="Y92" s="269"/>
      <c r="Z92" s="269"/>
      <c r="AA92" s="269"/>
      <c r="AB92" s="269"/>
      <c r="AC92" s="269"/>
      <c r="AD92" s="269"/>
      <c r="AE92" s="269"/>
    </row>
    <row r="93" spans="1:31" x14ac:dyDescent="0.25">
      <c r="A93" s="269"/>
      <c r="B93" s="269"/>
      <c r="C93" s="269"/>
      <c r="D93" s="269"/>
      <c r="E93" s="269"/>
      <c r="F93" s="269"/>
      <c r="G93" s="269"/>
      <c r="H93" s="269"/>
      <c r="I93" s="269"/>
      <c r="J93" s="269"/>
      <c r="K93" s="269"/>
      <c r="L93" s="269"/>
      <c r="M93" s="269"/>
      <c r="N93" s="269"/>
      <c r="O93" s="269"/>
      <c r="P93" s="269"/>
      <c r="Q93" s="269"/>
      <c r="R93" s="269"/>
      <c r="S93" s="269"/>
      <c r="T93" s="269"/>
      <c r="U93" s="269"/>
      <c r="V93" s="269"/>
      <c r="W93" s="269"/>
      <c r="X93" s="269"/>
      <c r="Y93" s="269"/>
      <c r="Z93" s="269"/>
      <c r="AA93" s="269"/>
      <c r="AB93" s="269"/>
      <c r="AC93" s="269"/>
      <c r="AD93" s="269"/>
      <c r="AE93" s="269"/>
    </row>
    <row r="94" spans="1:31" x14ac:dyDescent="0.25">
      <c r="A94" s="269"/>
      <c r="B94" s="269"/>
      <c r="C94" s="269"/>
      <c r="D94" s="269"/>
      <c r="E94" s="269"/>
      <c r="F94" s="269"/>
      <c r="G94" s="269"/>
      <c r="H94" s="269"/>
      <c r="I94" s="269"/>
      <c r="J94" s="269"/>
      <c r="K94" s="269"/>
      <c r="L94" s="269"/>
      <c r="M94" s="269"/>
      <c r="N94" s="269"/>
      <c r="O94" s="269"/>
      <c r="P94" s="269"/>
      <c r="Q94" s="269"/>
      <c r="R94" s="269"/>
      <c r="S94" s="269"/>
      <c r="T94" s="269"/>
      <c r="U94" s="269"/>
      <c r="V94" s="269"/>
      <c r="W94" s="269"/>
      <c r="X94" s="269"/>
      <c r="Y94" s="269"/>
      <c r="Z94" s="269"/>
      <c r="AA94" s="269"/>
      <c r="AB94" s="269"/>
      <c r="AC94" s="269"/>
      <c r="AD94" s="269"/>
      <c r="AE94" s="269"/>
    </row>
    <row r="95" spans="1:31" x14ac:dyDescent="0.25">
      <c r="A95" s="269"/>
      <c r="B95" s="269"/>
      <c r="C95" s="269"/>
      <c r="D95" s="269"/>
      <c r="E95" s="269"/>
      <c r="F95" s="269"/>
      <c r="G95" s="269"/>
      <c r="H95" s="269"/>
      <c r="I95" s="269"/>
      <c r="J95" s="269"/>
      <c r="K95" s="269"/>
      <c r="L95" s="269"/>
      <c r="M95" s="269"/>
      <c r="N95" s="269"/>
      <c r="O95" s="269"/>
      <c r="P95" s="269"/>
      <c r="Q95" s="269"/>
      <c r="R95" s="269"/>
      <c r="S95" s="269"/>
      <c r="T95" s="269"/>
      <c r="U95" s="269"/>
      <c r="V95" s="269"/>
      <c r="W95" s="269"/>
      <c r="X95" s="269"/>
      <c r="Y95" s="269"/>
      <c r="Z95" s="269"/>
      <c r="AA95" s="269"/>
      <c r="AB95" s="269"/>
      <c r="AC95" s="269"/>
      <c r="AD95" s="269"/>
      <c r="AE95" s="269"/>
    </row>
    <row r="96" spans="1:31" x14ac:dyDescent="0.25">
      <c r="A96" s="269"/>
      <c r="B96" s="269"/>
      <c r="C96" s="269"/>
      <c r="D96" s="269"/>
      <c r="E96" s="269"/>
      <c r="F96" s="269"/>
      <c r="G96" s="269"/>
      <c r="H96" s="269"/>
      <c r="I96" s="269"/>
      <c r="J96" s="269"/>
      <c r="K96" s="269"/>
      <c r="L96" s="269"/>
      <c r="M96" s="269"/>
      <c r="N96" s="269"/>
      <c r="O96" s="269"/>
      <c r="P96" s="269"/>
      <c r="Q96" s="269"/>
      <c r="R96" s="269"/>
      <c r="S96" s="269"/>
      <c r="T96" s="269"/>
      <c r="U96" s="269"/>
      <c r="V96" s="269"/>
      <c r="W96" s="269"/>
      <c r="X96" s="269"/>
      <c r="Y96" s="269"/>
      <c r="Z96" s="269"/>
      <c r="AA96" s="269"/>
      <c r="AB96" s="269"/>
      <c r="AC96" s="269"/>
      <c r="AD96" s="269"/>
      <c r="AE96" s="269"/>
    </row>
    <row r="97" spans="1:31" x14ac:dyDescent="0.25">
      <c r="A97" s="269"/>
      <c r="B97" s="269"/>
      <c r="C97" s="269"/>
      <c r="D97" s="269"/>
      <c r="E97" s="269"/>
      <c r="F97" s="269"/>
      <c r="G97" s="269"/>
      <c r="H97" s="269"/>
      <c r="I97" s="269"/>
      <c r="J97" s="269"/>
      <c r="K97" s="269"/>
      <c r="L97" s="269"/>
      <c r="M97" s="269"/>
      <c r="N97" s="269"/>
      <c r="O97" s="269"/>
      <c r="P97" s="269"/>
      <c r="Q97" s="269"/>
      <c r="R97" s="269"/>
      <c r="S97" s="269"/>
      <c r="T97" s="269"/>
      <c r="U97" s="269"/>
      <c r="V97" s="269"/>
      <c r="W97" s="269"/>
      <c r="X97" s="269"/>
      <c r="Y97" s="269"/>
      <c r="Z97" s="269"/>
      <c r="AA97" s="269"/>
      <c r="AB97" s="269"/>
      <c r="AC97" s="269"/>
      <c r="AD97" s="269"/>
      <c r="AE97" s="269"/>
    </row>
    <row r="98" spans="1:31" x14ac:dyDescent="0.25">
      <c r="A98" s="269"/>
      <c r="B98" s="269"/>
      <c r="C98" s="269"/>
      <c r="D98" s="269"/>
      <c r="E98" s="269"/>
      <c r="F98" s="269"/>
      <c r="G98" s="269"/>
      <c r="H98" s="269"/>
      <c r="I98" s="269"/>
      <c r="J98" s="269"/>
      <c r="K98" s="269"/>
      <c r="L98" s="269"/>
      <c r="M98" s="269"/>
      <c r="N98" s="269"/>
      <c r="O98" s="269"/>
      <c r="P98" s="269"/>
      <c r="Q98" s="269"/>
      <c r="R98" s="269"/>
      <c r="S98" s="269"/>
      <c r="T98" s="269"/>
      <c r="U98" s="269"/>
      <c r="V98" s="269"/>
      <c r="W98" s="269"/>
      <c r="X98" s="269"/>
      <c r="Y98" s="269"/>
      <c r="Z98" s="269"/>
      <c r="AA98" s="269"/>
      <c r="AB98" s="269"/>
      <c r="AC98" s="269"/>
      <c r="AD98" s="269"/>
      <c r="AE98" s="269"/>
    </row>
    <row r="99" spans="1:31" x14ac:dyDescent="0.25">
      <c r="A99" s="269"/>
      <c r="B99" s="269"/>
      <c r="C99" s="269"/>
      <c r="D99" s="269"/>
      <c r="E99" s="269"/>
      <c r="F99" s="269"/>
      <c r="G99" s="269"/>
      <c r="H99" s="269"/>
      <c r="I99" s="269"/>
      <c r="J99" s="269"/>
      <c r="K99" s="269"/>
      <c r="L99" s="269"/>
      <c r="M99" s="269"/>
      <c r="N99" s="269"/>
      <c r="O99" s="269"/>
      <c r="P99" s="269"/>
      <c r="Q99" s="269"/>
      <c r="R99" s="269"/>
      <c r="S99" s="269"/>
      <c r="T99" s="269"/>
      <c r="U99" s="269"/>
      <c r="V99" s="269"/>
      <c r="W99" s="269"/>
      <c r="X99" s="269"/>
      <c r="Y99" s="269"/>
      <c r="Z99" s="269"/>
      <c r="AA99" s="269"/>
      <c r="AB99" s="269"/>
      <c r="AC99" s="269"/>
      <c r="AD99" s="269"/>
      <c r="AE99" s="269"/>
    </row>
    <row r="100" spans="1:31" x14ac:dyDescent="0.25">
      <c r="A100" s="269"/>
      <c r="B100" s="269"/>
      <c r="C100" s="269"/>
      <c r="D100" s="269"/>
      <c r="E100" s="269"/>
      <c r="F100" s="269"/>
      <c r="G100" s="269"/>
      <c r="H100" s="269"/>
      <c r="I100" s="269"/>
      <c r="J100" s="269"/>
      <c r="K100" s="269"/>
      <c r="L100" s="269"/>
      <c r="M100" s="269"/>
      <c r="N100" s="269"/>
      <c r="O100" s="269"/>
      <c r="P100" s="269"/>
      <c r="Q100" s="269"/>
      <c r="R100" s="269"/>
      <c r="S100" s="269"/>
      <c r="T100" s="269"/>
      <c r="U100" s="269"/>
      <c r="V100" s="269"/>
      <c r="W100" s="269"/>
      <c r="X100" s="269"/>
      <c r="Y100" s="269"/>
      <c r="Z100" s="269"/>
      <c r="AA100" s="269"/>
      <c r="AB100" s="269"/>
      <c r="AC100" s="269"/>
      <c r="AD100" s="269"/>
      <c r="AE100" s="269"/>
    </row>
    <row r="101" spans="1:31" x14ac:dyDescent="0.25">
      <c r="A101" s="269"/>
      <c r="B101" s="269"/>
      <c r="C101" s="269"/>
      <c r="D101" s="269"/>
      <c r="E101" s="269"/>
      <c r="F101" s="269"/>
      <c r="G101" s="269"/>
      <c r="H101" s="269"/>
      <c r="I101" s="269"/>
      <c r="J101" s="269"/>
      <c r="K101" s="269"/>
      <c r="L101" s="269"/>
      <c r="M101" s="269"/>
      <c r="N101" s="269"/>
      <c r="O101" s="269"/>
      <c r="P101" s="269"/>
      <c r="Q101" s="269"/>
      <c r="R101" s="269"/>
      <c r="S101" s="269"/>
      <c r="T101" s="269"/>
      <c r="U101" s="269"/>
      <c r="V101" s="269"/>
      <c r="W101" s="269"/>
      <c r="X101" s="269"/>
      <c r="Y101" s="269"/>
      <c r="Z101" s="269"/>
      <c r="AA101" s="269"/>
      <c r="AB101" s="269"/>
      <c r="AC101" s="269"/>
      <c r="AD101" s="269"/>
      <c r="AE101" s="269"/>
    </row>
    <row r="102" spans="1:31" x14ac:dyDescent="0.25">
      <c r="A102" s="269"/>
      <c r="B102" s="269"/>
      <c r="C102" s="269"/>
      <c r="D102" s="269"/>
      <c r="E102" s="269"/>
      <c r="F102" s="269"/>
      <c r="G102" s="269"/>
      <c r="H102" s="269"/>
      <c r="I102" s="269"/>
      <c r="J102" s="269"/>
      <c r="K102" s="269"/>
      <c r="L102" s="269"/>
      <c r="M102" s="269"/>
      <c r="N102" s="269"/>
      <c r="O102" s="269"/>
      <c r="P102" s="269"/>
      <c r="Q102" s="269"/>
      <c r="R102" s="269"/>
      <c r="S102" s="269"/>
      <c r="T102" s="269"/>
      <c r="U102" s="269"/>
      <c r="V102" s="269"/>
      <c r="W102" s="269"/>
      <c r="X102" s="269"/>
      <c r="Y102" s="269"/>
      <c r="Z102" s="269"/>
      <c r="AA102" s="269"/>
      <c r="AB102" s="269"/>
      <c r="AC102" s="269"/>
      <c r="AD102" s="269"/>
      <c r="AE102" s="269"/>
    </row>
    <row r="103" spans="1:31" x14ac:dyDescent="0.25">
      <c r="A103" s="269"/>
      <c r="B103" s="269"/>
      <c r="C103" s="269"/>
      <c r="D103" s="269"/>
      <c r="E103" s="269"/>
      <c r="F103" s="269"/>
      <c r="G103" s="269"/>
      <c r="H103" s="269"/>
      <c r="I103" s="269"/>
      <c r="J103" s="269"/>
      <c r="K103" s="269"/>
      <c r="L103" s="269"/>
      <c r="M103" s="269"/>
      <c r="N103" s="269"/>
      <c r="O103" s="269"/>
      <c r="P103" s="269"/>
      <c r="Q103" s="269"/>
      <c r="R103" s="269"/>
      <c r="S103" s="269"/>
      <c r="T103" s="269"/>
      <c r="U103" s="269"/>
      <c r="V103" s="269"/>
      <c r="W103" s="269"/>
      <c r="X103" s="269"/>
      <c r="Y103" s="269"/>
      <c r="Z103" s="269"/>
      <c r="AA103" s="269"/>
      <c r="AB103" s="269"/>
      <c r="AC103" s="269"/>
      <c r="AD103" s="269"/>
      <c r="AE103" s="269"/>
    </row>
    <row r="104" spans="1:31" x14ac:dyDescent="0.25">
      <c r="A104" s="269"/>
      <c r="B104" s="269"/>
      <c r="C104" s="269"/>
      <c r="D104" s="269"/>
      <c r="E104" s="269"/>
      <c r="F104" s="269"/>
      <c r="G104" s="269"/>
      <c r="H104" s="269"/>
      <c r="I104" s="269"/>
      <c r="J104" s="269"/>
      <c r="K104" s="269"/>
      <c r="L104" s="269"/>
      <c r="M104" s="269"/>
      <c r="N104" s="269"/>
      <c r="O104" s="269"/>
      <c r="P104" s="269"/>
      <c r="Q104" s="269"/>
      <c r="R104" s="269"/>
      <c r="S104" s="269"/>
      <c r="T104" s="269"/>
      <c r="U104" s="269"/>
      <c r="V104" s="269"/>
      <c r="W104" s="269"/>
      <c r="X104" s="269"/>
      <c r="Y104" s="269"/>
      <c r="Z104" s="269"/>
      <c r="AA104" s="269"/>
      <c r="AB104" s="269"/>
      <c r="AC104" s="269"/>
      <c r="AD104" s="269"/>
      <c r="AE104" s="269"/>
    </row>
    <row r="105" spans="1:31" x14ac:dyDescent="0.25">
      <c r="A105" s="269"/>
      <c r="B105" s="269"/>
      <c r="C105" s="269"/>
      <c r="D105" s="269"/>
      <c r="E105" s="269"/>
      <c r="F105" s="269"/>
      <c r="G105" s="269"/>
      <c r="H105" s="269"/>
      <c r="I105" s="269"/>
      <c r="J105" s="269"/>
      <c r="K105" s="269"/>
      <c r="L105" s="269"/>
      <c r="M105" s="269"/>
      <c r="N105" s="269"/>
      <c r="O105" s="269"/>
      <c r="P105" s="269"/>
      <c r="Q105" s="269"/>
      <c r="R105" s="269"/>
      <c r="S105" s="269"/>
      <c r="T105" s="269"/>
      <c r="U105" s="269"/>
      <c r="V105" s="269"/>
      <c r="W105" s="269"/>
      <c r="X105" s="269"/>
      <c r="Y105" s="269"/>
      <c r="Z105" s="269"/>
      <c r="AA105" s="269"/>
      <c r="AB105" s="269"/>
      <c r="AC105" s="269"/>
      <c r="AD105" s="269"/>
      <c r="AE105" s="269"/>
    </row>
    <row r="106" spans="1:31" x14ac:dyDescent="0.25">
      <c r="A106" s="269"/>
      <c r="B106" s="269"/>
      <c r="C106" s="269"/>
      <c r="D106" s="269"/>
      <c r="E106" s="269"/>
      <c r="F106" s="269"/>
      <c r="G106" s="269"/>
      <c r="H106" s="269"/>
      <c r="I106" s="269"/>
      <c r="J106" s="269"/>
      <c r="K106" s="269"/>
      <c r="L106" s="269"/>
      <c r="M106" s="269"/>
      <c r="N106" s="269"/>
      <c r="O106" s="269"/>
      <c r="P106" s="269"/>
      <c r="Q106" s="269"/>
      <c r="R106" s="269"/>
      <c r="S106" s="269"/>
      <c r="T106" s="269"/>
      <c r="U106" s="269"/>
      <c r="V106" s="269"/>
      <c r="W106" s="269"/>
      <c r="X106" s="269"/>
      <c r="Y106" s="269"/>
      <c r="Z106" s="269"/>
      <c r="AA106" s="269"/>
      <c r="AB106" s="269"/>
      <c r="AC106" s="269"/>
      <c r="AD106" s="269"/>
      <c r="AE106" s="269"/>
    </row>
    <row r="107" spans="1:31" x14ac:dyDescent="0.25">
      <c r="A107" s="269"/>
      <c r="B107" s="269"/>
      <c r="C107" s="269"/>
      <c r="D107" s="269"/>
      <c r="E107" s="269"/>
      <c r="F107" s="269"/>
      <c r="G107" s="269"/>
      <c r="H107" s="269"/>
      <c r="I107" s="269"/>
      <c r="J107" s="269"/>
      <c r="K107" s="269"/>
      <c r="L107" s="269"/>
      <c r="M107" s="269"/>
      <c r="N107" s="269"/>
      <c r="O107" s="269"/>
      <c r="P107" s="269"/>
      <c r="Q107" s="269"/>
      <c r="R107" s="269"/>
      <c r="S107" s="269"/>
      <c r="T107" s="269"/>
      <c r="U107" s="269"/>
      <c r="V107" s="269"/>
      <c r="W107" s="269"/>
      <c r="X107" s="269"/>
      <c r="Y107" s="269"/>
      <c r="Z107" s="269"/>
      <c r="AA107" s="269"/>
      <c r="AB107" s="269"/>
      <c r="AC107" s="269"/>
      <c r="AD107" s="269"/>
      <c r="AE107" s="269"/>
    </row>
  </sheetData>
  <sheetProtection password="CF7D" sheet="1" objects="1" scenarios="1"/>
  <mergeCells count="31">
    <mergeCell ref="B33:D33"/>
    <mergeCell ref="B26:D26"/>
    <mergeCell ref="B27:D27"/>
    <mergeCell ref="B28:D28"/>
    <mergeCell ref="B29:D29"/>
    <mergeCell ref="B30:D30"/>
    <mergeCell ref="B31:D31"/>
    <mergeCell ref="B32:D32"/>
    <mergeCell ref="B25:D25"/>
    <mergeCell ref="B1:I1"/>
    <mergeCell ref="B14:D14"/>
    <mergeCell ref="B15:D15"/>
    <mergeCell ref="B9:D9"/>
    <mergeCell ref="B3:D3"/>
    <mergeCell ref="B10:D10"/>
    <mergeCell ref="B6:C6"/>
    <mergeCell ref="B7:D7"/>
    <mergeCell ref="F3:I3"/>
    <mergeCell ref="B24:D24"/>
    <mergeCell ref="B21:D21"/>
    <mergeCell ref="B20:D20"/>
    <mergeCell ref="B19:D19"/>
    <mergeCell ref="B23:D23"/>
    <mergeCell ref="B22:D22"/>
    <mergeCell ref="B16:D16"/>
    <mergeCell ref="B17:D17"/>
    <mergeCell ref="B18:D18"/>
    <mergeCell ref="F4:G4"/>
    <mergeCell ref="B11:D11"/>
    <mergeCell ref="B13:D13"/>
    <mergeCell ref="B12:D12"/>
  </mergeCells>
  <phoneticPr fontId="2" type="noConversion"/>
  <conditionalFormatting sqref="E10:E33">
    <cfRule type="cellIs" dxfId="16" priority="8" stopIfTrue="1" operator="greaterThan">
      <formula>1000</formula>
    </cfRule>
  </conditionalFormatting>
  <conditionalFormatting sqref="H10:I33">
    <cfRule type="cellIs" dxfId="15" priority="2" stopIfTrue="1" operator="lessThanOrEqual">
      <formula>0</formula>
    </cfRule>
  </conditionalFormatting>
  <conditionalFormatting sqref="I4">
    <cfRule type="cellIs" dxfId="14" priority="4" stopIfTrue="1" operator="greaterThan">
      <formula>1</formula>
    </cfRule>
  </conditionalFormatting>
  <dataValidations count="3">
    <dataValidation type="decimal" operator="greaterThanOrEqual" allowBlank="1" showInputMessage="1" showErrorMessage="1" errorTitle="Invalid Clock Frequency" error="The clock frequency must be a decimal number greater than 0.0." sqref="E10:E33" xr:uid="{00000000-0002-0000-0700-000000000000}">
      <formula1>0</formula1>
    </dataValidation>
    <dataValidation type="list" allowBlank="1" showInputMessage="1" showErrorMessage="1" errorTitle="Invalid DCM Frequency Mode" error="Use the drop down or enter a valid frequency mode. Allowed values are: Low, High" sqref="F10:F33" xr:uid="{00000000-0002-0000-0700-000001000000}">
      <formula1>$F$39:$F$40</formula1>
    </dataValidation>
    <dataValidation type="list" allowBlank="1" showInputMessage="1" showErrorMessage="1" errorTitle="Invalid DCM Mode" error="Use the drop downlist  to enter a valid DCM Mode." sqref="G10:G33" xr:uid="{00000000-0002-0000-0700-000002000000}">
      <formula1>$G$39:$G$41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9218"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9218" r:id="rId4" name="Summary"/>
      </mc:Fallback>
    </mc:AlternateContent>
  </control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D145"/>
  <sheetViews>
    <sheetView workbookViewId="0">
      <selection activeCell="B10" sqref="B10:D10"/>
    </sheetView>
  </sheetViews>
  <sheetFormatPr baseColWidth="10" defaultColWidth="9" defaultRowHeight="13.2" x14ac:dyDescent="0.25"/>
  <cols>
    <col min="1" max="1" width="2.77734375" customWidth="1"/>
    <col min="2" max="3" width="9.33203125" customWidth="1"/>
    <col min="4" max="4" width="12.88671875" customWidth="1"/>
    <col min="5" max="16" width="9" customWidth="1"/>
    <col min="17" max="17" width="2.77734375" customWidth="1"/>
  </cols>
  <sheetData>
    <row r="1" spans="1:30" ht="27.9" customHeight="1" x14ac:dyDescent="0.25">
      <c r="A1" s="127"/>
      <c r="B1" s="687" t="s">
        <v>562</v>
      </c>
      <c r="C1" s="687"/>
      <c r="D1" s="687"/>
      <c r="E1" s="687"/>
      <c r="F1" s="687"/>
      <c r="G1" s="687"/>
      <c r="H1" s="687"/>
      <c r="I1" s="687"/>
      <c r="J1" s="687"/>
      <c r="K1" s="687"/>
      <c r="L1" s="687"/>
      <c r="M1" s="687"/>
      <c r="N1" s="687"/>
      <c r="O1" s="687"/>
      <c r="P1" s="205"/>
      <c r="Q1" s="127"/>
      <c r="R1" s="127"/>
      <c r="S1" s="127"/>
      <c r="T1" s="127"/>
      <c r="U1" s="127"/>
      <c r="V1" s="127"/>
      <c r="W1" s="127"/>
      <c r="X1" s="127"/>
      <c r="Y1" s="127"/>
      <c r="Z1" s="127"/>
      <c r="AA1" s="127"/>
      <c r="AB1" s="127"/>
      <c r="AC1" s="127"/>
      <c r="AD1" s="127"/>
    </row>
    <row r="2" spans="1:30" ht="13.65" customHeight="1" thickBot="1" x14ac:dyDescent="0.3">
      <c r="A2" s="126"/>
      <c r="B2" s="127"/>
      <c r="C2" s="127"/>
      <c r="D2" s="127"/>
      <c r="E2" s="127"/>
      <c r="F2" s="127"/>
      <c r="G2" s="127"/>
      <c r="H2" s="127"/>
      <c r="I2" s="127"/>
      <c r="J2" s="127"/>
      <c r="K2" s="127"/>
      <c r="L2" s="127"/>
      <c r="M2" s="127"/>
      <c r="N2" s="127"/>
      <c r="O2" s="127"/>
      <c r="P2" s="127"/>
      <c r="Q2" s="127"/>
      <c r="R2" s="127"/>
      <c r="S2" s="127"/>
      <c r="T2" s="321"/>
      <c r="U2" s="321"/>
      <c r="V2" s="321"/>
      <c r="W2" s="321"/>
      <c r="X2" s="321"/>
      <c r="Y2" s="321"/>
      <c r="Z2" s="321"/>
      <c r="AA2" s="321"/>
      <c r="AB2" s="321"/>
      <c r="AC2" s="127"/>
      <c r="AD2" s="127"/>
    </row>
    <row r="3" spans="1:30" ht="17.25" customHeight="1" x14ac:dyDescent="0.25">
      <c r="A3" s="126"/>
      <c r="B3" s="715" t="s">
        <v>1115</v>
      </c>
      <c r="C3" s="716"/>
      <c r="D3" s="717"/>
      <c r="E3" s="126"/>
      <c r="F3" s="691" t="s">
        <v>140</v>
      </c>
      <c r="G3" s="692"/>
      <c r="H3" s="693"/>
      <c r="I3" s="126"/>
      <c r="J3" s="126"/>
      <c r="K3" s="126"/>
      <c r="L3" s="126"/>
      <c r="M3" s="126"/>
      <c r="N3" s="126"/>
      <c r="O3" s="126"/>
      <c r="P3" s="126"/>
      <c r="Q3" s="126"/>
      <c r="R3" s="127"/>
      <c r="S3" s="127"/>
      <c r="T3" s="321"/>
      <c r="U3" s="321"/>
      <c r="V3" s="321"/>
      <c r="W3" s="321"/>
      <c r="X3" s="321"/>
      <c r="Y3" s="321"/>
      <c r="Z3" s="321"/>
      <c r="AA3" s="321"/>
      <c r="AB3" s="321"/>
      <c r="AC3" s="127"/>
      <c r="AD3" s="127"/>
    </row>
    <row r="4" spans="1:30" ht="17.25" customHeight="1" thickBot="1" x14ac:dyDescent="0.3">
      <c r="A4" s="126"/>
      <c r="B4" s="408" t="s">
        <v>1217</v>
      </c>
      <c r="C4" s="520">
        <f>VCCINT</f>
        <v>1.2</v>
      </c>
      <c r="D4" s="142">
        <f ca="1">PLLINT_POWER</f>
        <v>0</v>
      </c>
      <c r="E4" s="126"/>
      <c r="F4" s="116" t="s">
        <v>219</v>
      </c>
      <c r="G4" s="141">
        <f>IF(NUM_PLLS&gt;0,COUNTIF(E10:E15,"&gt;0"),"N/A")</f>
        <v>0</v>
      </c>
      <c r="H4" s="404">
        <f>IF(NUM_PLLS &gt; 0, G4/NUM_PLLS,"N/A")</f>
        <v>0</v>
      </c>
      <c r="I4" s="126"/>
      <c r="J4" s="126"/>
      <c r="K4" s="126"/>
      <c r="L4" s="126"/>
      <c r="M4" s="126"/>
      <c r="N4" s="126"/>
      <c r="O4" s="126"/>
      <c r="P4" s="126"/>
      <c r="Q4" s="126"/>
      <c r="R4" s="127"/>
      <c r="S4" s="127"/>
      <c r="T4" s="321"/>
      <c r="U4" s="321"/>
      <c r="V4" s="321"/>
      <c r="W4" s="321"/>
      <c r="X4" s="321"/>
      <c r="Y4" s="321"/>
      <c r="Z4" s="321"/>
      <c r="AA4" s="321"/>
      <c r="AB4" s="321"/>
      <c r="AC4" s="127"/>
      <c r="AD4" s="127"/>
    </row>
    <row r="5" spans="1:30" ht="17.25" customHeight="1" thickBot="1" x14ac:dyDescent="0.3">
      <c r="A5" s="126"/>
      <c r="B5" s="408" t="s">
        <v>1218</v>
      </c>
      <c r="C5" s="520">
        <f>VCCAUX</f>
        <v>3.3</v>
      </c>
      <c r="D5" s="142">
        <f ca="1">SUM(O10:O15)</f>
        <v>0</v>
      </c>
      <c r="E5" s="126"/>
      <c r="F5" s="126"/>
      <c r="G5" s="126"/>
      <c r="H5" s="126"/>
      <c r="I5" s="126"/>
      <c r="J5" s="126"/>
      <c r="K5" s="126"/>
      <c r="L5" s="126"/>
      <c r="M5" s="126"/>
      <c r="N5" s="126"/>
      <c r="O5" s="126"/>
      <c r="P5" s="126"/>
      <c r="Q5" s="126"/>
      <c r="R5" s="127"/>
      <c r="S5" s="127"/>
      <c r="T5" s="321"/>
      <c r="U5" s="321"/>
      <c r="V5" s="321"/>
      <c r="W5" s="321"/>
      <c r="X5" s="321"/>
      <c r="Y5" s="321"/>
      <c r="Z5" s="321"/>
      <c r="AA5" s="321"/>
      <c r="AB5" s="321"/>
      <c r="AC5" s="127"/>
      <c r="AD5" s="127"/>
    </row>
    <row r="6" spans="1:30" ht="17.25" customHeight="1" x14ac:dyDescent="0.25">
      <c r="A6" s="126"/>
      <c r="B6" s="885" t="s">
        <v>1127</v>
      </c>
      <c r="C6" s="886"/>
      <c r="D6" s="143">
        <f ca="1">D4+D5</f>
        <v>0</v>
      </c>
      <c r="E6" s="152" t="str">
        <f>POWERMODE</f>
        <v>Active</v>
      </c>
      <c r="F6" s="126"/>
      <c r="G6" s="126"/>
      <c r="H6" s="126"/>
      <c r="I6" s="126"/>
      <c r="J6" s="126"/>
      <c r="K6" s="126"/>
      <c r="L6" s="126"/>
      <c r="M6" s="126"/>
      <c r="N6" s="126"/>
      <c r="O6" s="126"/>
      <c r="P6" s="126"/>
      <c r="Q6" s="126"/>
      <c r="R6" s="127"/>
      <c r="S6" s="127"/>
      <c r="T6" s="321"/>
      <c r="U6" s="321"/>
      <c r="V6" s="321"/>
      <c r="W6" s="321"/>
      <c r="X6" s="321"/>
      <c r="Y6" s="321"/>
      <c r="Z6" s="321"/>
      <c r="AA6" s="321"/>
      <c r="AB6" s="321"/>
      <c r="AC6" s="127"/>
      <c r="AD6" s="127"/>
    </row>
    <row r="7" spans="1:30" ht="17.25" customHeight="1" thickBot="1" x14ac:dyDescent="0.3">
      <c r="A7" s="126"/>
      <c r="B7" s="887" t="str">
        <f ca="1">TEXT(IF(TOTAL_POWER&gt;0,PLL_POWER/TOTAL_POWER,0),"0%")&amp;" of total on-chip power "&amp;TEXT(TOTAL_POWER,"#.###")&amp;"W"</f>
        <v>0% of total on-chip power .488W</v>
      </c>
      <c r="C7" s="888"/>
      <c r="D7" s="889"/>
      <c r="E7" s="126"/>
      <c r="F7" s="126"/>
      <c r="G7" s="126"/>
      <c r="H7" s="126"/>
      <c r="I7" s="126"/>
      <c r="J7" s="126"/>
      <c r="K7" s="126"/>
      <c r="L7" s="126"/>
      <c r="M7" s="126"/>
      <c r="N7" s="126"/>
      <c r="O7" s="126"/>
      <c r="P7" s="126"/>
      <c r="Q7" s="126"/>
      <c r="R7" s="127"/>
      <c r="S7" s="127"/>
      <c r="T7" s="321"/>
      <c r="U7" s="321"/>
      <c r="V7" s="321"/>
      <c r="W7" s="321"/>
      <c r="X7" s="321"/>
      <c r="Y7" s="321"/>
      <c r="Z7" s="321"/>
      <c r="AA7" s="321"/>
      <c r="AB7" s="321"/>
      <c r="AC7" s="127"/>
      <c r="AD7" s="127"/>
    </row>
    <row r="8" spans="1:30" ht="13.65" customHeight="1" thickBot="1" x14ac:dyDescent="0.3">
      <c r="A8" s="126"/>
      <c r="B8" s="126"/>
      <c r="C8" s="126"/>
      <c r="D8" s="126"/>
      <c r="E8" s="126"/>
      <c r="F8" s="126"/>
      <c r="G8" s="126"/>
      <c r="H8" s="126"/>
      <c r="I8" s="126"/>
      <c r="J8" s="126"/>
      <c r="K8" s="126"/>
      <c r="L8" s="126"/>
      <c r="M8" s="126"/>
      <c r="N8" s="126"/>
      <c r="O8" s="126"/>
      <c r="P8" s="126"/>
      <c r="Q8" s="126"/>
      <c r="R8" s="127"/>
      <c r="S8" s="127"/>
      <c r="T8" s="321"/>
      <c r="U8" s="321"/>
      <c r="V8" s="321"/>
      <c r="W8" s="321"/>
      <c r="X8" s="321"/>
      <c r="Y8" s="321"/>
      <c r="Z8" s="321"/>
      <c r="AA8" s="321"/>
      <c r="AB8" s="321"/>
      <c r="AC8" s="127"/>
      <c r="AD8" s="127"/>
    </row>
    <row r="9" spans="1:30" ht="34.200000000000003" thickBot="1" x14ac:dyDescent="0.3">
      <c r="A9" s="136"/>
      <c r="B9" s="883" t="s">
        <v>41</v>
      </c>
      <c r="C9" s="878"/>
      <c r="D9" s="878"/>
      <c r="E9" s="421" t="s">
        <v>19</v>
      </c>
      <c r="F9" s="421" t="s">
        <v>564</v>
      </c>
      <c r="G9" s="421" t="s">
        <v>565</v>
      </c>
      <c r="H9" s="421" t="s">
        <v>566</v>
      </c>
      <c r="I9" s="421" t="s">
        <v>567</v>
      </c>
      <c r="J9" s="421" t="s">
        <v>568</v>
      </c>
      <c r="K9" s="421" t="s">
        <v>569</v>
      </c>
      <c r="L9" s="421" t="s">
        <v>570</v>
      </c>
      <c r="M9" s="421" t="s">
        <v>571</v>
      </c>
      <c r="N9" s="421" t="s">
        <v>43</v>
      </c>
      <c r="O9" s="422" t="s">
        <v>44</v>
      </c>
      <c r="P9" s="202" t="s">
        <v>1136</v>
      </c>
      <c r="Q9" s="136"/>
      <c r="R9" s="127"/>
      <c r="S9" s="127"/>
      <c r="T9" s="127"/>
      <c r="U9" s="127"/>
      <c r="V9" s="127"/>
      <c r="W9" s="127"/>
      <c r="X9" s="127"/>
      <c r="Y9" s="127"/>
      <c r="Z9" s="127"/>
      <c r="AA9" s="127"/>
      <c r="AB9" s="127"/>
      <c r="AC9" s="127"/>
      <c r="AD9" s="127"/>
    </row>
    <row r="10" spans="1:30" x14ac:dyDescent="0.25">
      <c r="A10" s="136"/>
      <c r="B10" s="873"/>
      <c r="C10" s="874"/>
      <c r="D10" s="874"/>
      <c r="E10" s="11"/>
      <c r="F10" s="10">
        <v>1</v>
      </c>
      <c r="G10" s="10">
        <v>1</v>
      </c>
      <c r="H10" s="63" t="s">
        <v>563</v>
      </c>
      <c r="I10" s="63" t="s">
        <v>563</v>
      </c>
      <c r="J10" s="63" t="s">
        <v>563</v>
      </c>
      <c r="K10" s="63" t="s">
        <v>563</v>
      </c>
      <c r="L10" s="63" t="s">
        <v>563</v>
      </c>
      <c r="M10" s="63" t="s">
        <v>563</v>
      </c>
      <c r="N10" s="190">
        <f t="shared" ref="N10:N15" ca="1" si="0">((SUM(V10:AB10) * OFFSET(PLL_DATA,4,2)) + ($U10 * OFFSET(PLL_DATA,3,2)) + IF($E10&gt;0,OFFSET(PLL_DATA,5,1),0))*(VCCINT/1000)*VCCINT_N</f>
        <v>0</v>
      </c>
      <c r="O10" s="199">
        <f t="shared" ref="O10:O15" ca="1" si="1">P10 + $U10 * (OFFSET(PLL_DATA,2,2))*VCCAUX/1000</f>
        <v>0</v>
      </c>
      <c r="P10" s="204">
        <f t="shared" ref="P10:P15" ca="1" si="2" xml:space="preserve"> IF($E10&gt;0, (OFFSET(PLL_DATA,1,1)),0)*VCCAUX/1000</f>
        <v>0</v>
      </c>
      <c r="Q10" s="136"/>
      <c r="R10" s="127"/>
      <c r="S10" s="127"/>
      <c r="T10" s="127"/>
      <c r="U10" s="127">
        <f t="shared" ref="U10:U15" si="3">IF($E10/$F10*$G10 &lt; 250, $E10,$E10/$F10*$G10)</f>
        <v>0</v>
      </c>
      <c r="V10" s="127">
        <f t="shared" ref="V10:V15" si="4">$E10/$F10</f>
        <v>0</v>
      </c>
      <c r="W10" s="127">
        <f t="shared" ref="W10:W15" si="5">IF($H10="off",0,$U10/$H10)</f>
        <v>0</v>
      </c>
      <c r="X10" s="127">
        <f t="shared" ref="X10:X15" si="6">IF($I10="off",0,$U10/$I10)</f>
        <v>0</v>
      </c>
      <c r="Y10" s="127">
        <f t="shared" ref="Y10:Y15" si="7">IF($J10="off",0,$U10/$J10)</f>
        <v>0</v>
      </c>
      <c r="Z10" s="127">
        <f t="shared" ref="Z10:Z15" si="8">IF($K10="off",0,$U10/$K10)</f>
        <v>0</v>
      </c>
      <c r="AA10" s="127">
        <f t="shared" ref="AA10:AA15" si="9">IF($L10="off",0,$U10/$L10)</f>
        <v>0</v>
      </c>
      <c r="AB10" s="127">
        <f t="shared" ref="AB10:AB15" si="10">IF($M10="off",0,$U10/$M10)</f>
        <v>0</v>
      </c>
      <c r="AC10" s="127"/>
      <c r="AD10" s="127"/>
    </row>
    <row r="11" spans="1:30" x14ac:dyDescent="0.25">
      <c r="A11" s="136"/>
      <c r="B11" s="677"/>
      <c r="C11" s="678"/>
      <c r="D11" s="678"/>
      <c r="E11" s="11"/>
      <c r="F11" s="10">
        <v>1</v>
      </c>
      <c r="G11" s="10">
        <v>1</v>
      </c>
      <c r="H11" s="63" t="s">
        <v>563</v>
      </c>
      <c r="I11" s="63" t="s">
        <v>563</v>
      </c>
      <c r="J11" s="63" t="s">
        <v>563</v>
      </c>
      <c r="K11" s="63" t="s">
        <v>563</v>
      </c>
      <c r="L11" s="63" t="s">
        <v>563</v>
      </c>
      <c r="M11" s="63" t="s">
        <v>563</v>
      </c>
      <c r="N11" s="191">
        <f t="shared" ca="1" si="0"/>
        <v>0</v>
      </c>
      <c r="O11" s="200">
        <f t="shared" ca="1" si="1"/>
        <v>0</v>
      </c>
      <c r="P11" s="203">
        <f t="shared" ca="1" si="2"/>
        <v>0</v>
      </c>
      <c r="Q11" s="136"/>
      <c r="R11" s="127"/>
      <c r="S11" s="127"/>
      <c r="T11" s="127"/>
      <c r="U11" s="127">
        <f t="shared" si="3"/>
        <v>0</v>
      </c>
      <c r="V11" s="127">
        <f t="shared" si="4"/>
        <v>0</v>
      </c>
      <c r="W11" s="127">
        <f t="shared" si="5"/>
        <v>0</v>
      </c>
      <c r="X11" s="127">
        <f t="shared" si="6"/>
        <v>0</v>
      </c>
      <c r="Y11" s="127">
        <f t="shared" si="7"/>
        <v>0</v>
      </c>
      <c r="Z11" s="127">
        <f t="shared" si="8"/>
        <v>0</v>
      </c>
      <c r="AA11" s="127">
        <f t="shared" si="9"/>
        <v>0</v>
      </c>
      <c r="AB11" s="127">
        <f t="shared" si="10"/>
        <v>0</v>
      </c>
      <c r="AC11" s="127"/>
      <c r="AD11" s="127"/>
    </row>
    <row r="12" spans="1:30" x14ac:dyDescent="0.25">
      <c r="A12" s="136"/>
      <c r="B12" s="677"/>
      <c r="C12" s="678"/>
      <c r="D12" s="678"/>
      <c r="E12" s="11"/>
      <c r="F12" s="10">
        <v>1</v>
      </c>
      <c r="G12" s="10">
        <v>1</v>
      </c>
      <c r="H12" s="63" t="s">
        <v>563</v>
      </c>
      <c r="I12" s="63" t="s">
        <v>563</v>
      </c>
      <c r="J12" s="63" t="s">
        <v>563</v>
      </c>
      <c r="K12" s="63" t="s">
        <v>563</v>
      </c>
      <c r="L12" s="63" t="s">
        <v>563</v>
      </c>
      <c r="M12" s="63" t="s">
        <v>563</v>
      </c>
      <c r="N12" s="191">
        <f t="shared" ca="1" si="0"/>
        <v>0</v>
      </c>
      <c r="O12" s="200">
        <f t="shared" ca="1" si="1"/>
        <v>0</v>
      </c>
      <c r="P12" s="203">
        <f t="shared" ca="1" si="2"/>
        <v>0</v>
      </c>
      <c r="Q12" s="136"/>
      <c r="R12" s="127"/>
      <c r="S12" s="127"/>
      <c r="T12" s="127"/>
      <c r="U12" s="127">
        <f t="shared" si="3"/>
        <v>0</v>
      </c>
      <c r="V12" s="127">
        <f t="shared" si="4"/>
        <v>0</v>
      </c>
      <c r="W12" s="127">
        <f t="shared" si="5"/>
        <v>0</v>
      </c>
      <c r="X12" s="127">
        <f t="shared" si="6"/>
        <v>0</v>
      </c>
      <c r="Y12" s="127">
        <f t="shared" si="7"/>
        <v>0</v>
      </c>
      <c r="Z12" s="127">
        <f t="shared" si="8"/>
        <v>0</v>
      </c>
      <c r="AA12" s="127">
        <f t="shared" si="9"/>
        <v>0</v>
      </c>
      <c r="AB12" s="127">
        <f t="shared" si="10"/>
        <v>0</v>
      </c>
      <c r="AC12" s="127"/>
      <c r="AD12" s="127"/>
    </row>
    <row r="13" spans="1:30" x14ac:dyDescent="0.25">
      <c r="A13" s="136"/>
      <c r="B13" s="677"/>
      <c r="C13" s="678"/>
      <c r="D13" s="678"/>
      <c r="E13" s="11"/>
      <c r="F13" s="10">
        <v>1</v>
      </c>
      <c r="G13" s="10">
        <v>1</v>
      </c>
      <c r="H13" s="63" t="s">
        <v>563</v>
      </c>
      <c r="I13" s="63" t="s">
        <v>563</v>
      </c>
      <c r="J13" s="63" t="s">
        <v>563</v>
      </c>
      <c r="K13" s="63" t="s">
        <v>563</v>
      </c>
      <c r="L13" s="63" t="s">
        <v>563</v>
      </c>
      <c r="M13" s="63" t="s">
        <v>563</v>
      </c>
      <c r="N13" s="191">
        <f t="shared" ca="1" si="0"/>
        <v>0</v>
      </c>
      <c r="O13" s="200">
        <f t="shared" ca="1" si="1"/>
        <v>0</v>
      </c>
      <c r="P13" s="203">
        <f t="shared" ca="1" si="2"/>
        <v>0</v>
      </c>
      <c r="Q13" s="136"/>
      <c r="R13" s="127"/>
      <c r="S13" s="127"/>
      <c r="T13" s="127"/>
      <c r="U13" s="127">
        <f t="shared" si="3"/>
        <v>0</v>
      </c>
      <c r="V13" s="127">
        <f t="shared" si="4"/>
        <v>0</v>
      </c>
      <c r="W13" s="127">
        <f t="shared" si="5"/>
        <v>0</v>
      </c>
      <c r="X13" s="127">
        <f t="shared" si="6"/>
        <v>0</v>
      </c>
      <c r="Y13" s="127">
        <f t="shared" si="7"/>
        <v>0</v>
      </c>
      <c r="Z13" s="127">
        <f t="shared" si="8"/>
        <v>0</v>
      </c>
      <c r="AA13" s="127">
        <f t="shared" si="9"/>
        <v>0</v>
      </c>
      <c r="AB13" s="127">
        <f t="shared" si="10"/>
        <v>0</v>
      </c>
      <c r="AC13" s="127"/>
      <c r="AD13" s="127"/>
    </row>
    <row r="14" spans="1:30" x14ac:dyDescent="0.25">
      <c r="A14" s="136"/>
      <c r="B14" s="677"/>
      <c r="C14" s="678"/>
      <c r="D14" s="678"/>
      <c r="E14" s="11"/>
      <c r="F14" s="10">
        <v>1</v>
      </c>
      <c r="G14" s="10">
        <v>1</v>
      </c>
      <c r="H14" s="63" t="s">
        <v>563</v>
      </c>
      <c r="I14" s="63" t="s">
        <v>563</v>
      </c>
      <c r="J14" s="63" t="s">
        <v>563</v>
      </c>
      <c r="K14" s="63" t="s">
        <v>563</v>
      </c>
      <c r="L14" s="63" t="s">
        <v>563</v>
      </c>
      <c r="M14" s="63" t="s">
        <v>563</v>
      </c>
      <c r="N14" s="191">
        <f t="shared" ca="1" si="0"/>
        <v>0</v>
      </c>
      <c r="O14" s="200">
        <f t="shared" ca="1" si="1"/>
        <v>0</v>
      </c>
      <c r="P14" s="203">
        <f t="shared" ca="1" si="2"/>
        <v>0</v>
      </c>
      <c r="Q14" s="136"/>
      <c r="R14" s="127"/>
      <c r="S14" s="127"/>
      <c r="T14" s="127"/>
      <c r="U14" s="127">
        <f t="shared" si="3"/>
        <v>0</v>
      </c>
      <c r="V14" s="127">
        <f t="shared" si="4"/>
        <v>0</v>
      </c>
      <c r="W14" s="127">
        <f t="shared" si="5"/>
        <v>0</v>
      </c>
      <c r="X14" s="127">
        <f t="shared" si="6"/>
        <v>0</v>
      </c>
      <c r="Y14" s="127">
        <f t="shared" si="7"/>
        <v>0</v>
      </c>
      <c r="Z14" s="127">
        <f t="shared" si="8"/>
        <v>0</v>
      </c>
      <c r="AA14" s="127">
        <f t="shared" si="9"/>
        <v>0</v>
      </c>
      <c r="AB14" s="127">
        <f t="shared" si="10"/>
        <v>0</v>
      </c>
      <c r="AC14" s="127"/>
      <c r="AD14" s="127"/>
    </row>
    <row r="15" spans="1:30" ht="13.8" thickBot="1" x14ac:dyDescent="0.3">
      <c r="A15" s="136"/>
      <c r="B15" s="682"/>
      <c r="C15" s="683"/>
      <c r="D15" s="683"/>
      <c r="E15" s="120"/>
      <c r="F15" s="121">
        <v>1</v>
      </c>
      <c r="G15" s="121">
        <v>1</v>
      </c>
      <c r="H15" s="144" t="s">
        <v>563</v>
      </c>
      <c r="I15" s="144" t="s">
        <v>563</v>
      </c>
      <c r="J15" s="144" t="s">
        <v>563</v>
      </c>
      <c r="K15" s="144" t="s">
        <v>563</v>
      </c>
      <c r="L15" s="144" t="s">
        <v>563</v>
      </c>
      <c r="M15" s="144" t="s">
        <v>563</v>
      </c>
      <c r="N15" s="192">
        <f t="shared" ca="1" si="0"/>
        <v>0</v>
      </c>
      <c r="O15" s="201">
        <f t="shared" ca="1" si="1"/>
        <v>0</v>
      </c>
      <c r="P15" s="203">
        <f t="shared" ca="1" si="2"/>
        <v>0</v>
      </c>
      <c r="Q15" s="136"/>
      <c r="R15" s="127"/>
      <c r="S15" s="127"/>
      <c r="T15" s="127"/>
      <c r="U15" s="127">
        <f t="shared" si="3"/>
        <v>0</v>
      </c>
      <c r="V15" s="127">
        <f t="shared" si="4"/>
        <v>0</v>
      </c>
      <c r="W15" s="127">
        <f t="shared" si="5"/>
        <v>0</v>
      </c>
      <c r="X15" s="127">
        <f t="shared" si="6"/>
        <v>0</v>
      </c>
      <c r="Y15" s="127">
        <f t="shared" si="7"/>
        <v>0</v>
      </c>
      <c r="Z15" s="127">
        <f t="shared" si="8"/>
        <v>0</v>
      </c>
      <c r="AA15" s="127">
        <f t="shared" si="9"/>
        <v>0</v>
      </c>
      <c r="AB15" s="127">
        <f t="shared" si="10"/>
        <v>0</v>
      </c>
      <c r="AC15" s="127"/>
      <c r="AD15" s="127"/>
    </row>
    <row r="16" spans="1:30" ht="13.65" customHeight="1" x14ac:dyDescent="0.25">
      <c r="A16" s="136"/>
      <c r="B16" s="136"/>
      <c r="C16" s="136"/>
      <c r="D16" s="136"/>
      <c r="E16" s="136"/>
      <c r="F16" s="136"/>
      <c r="G16" s="136"/>
      <c r="H16" s="136"/>
      <c r="I16" s="136"/>
      <c r="J16" s="136"/>
      <c r="K16" s="136"/>
      <c r="L16" s="136"/>
      <c r="M16" s="150"/>
      <c r="N16" s="154">
        <f ca="1">SUM(N10:N15)</f>
        <v>0</v>
      </c>
      <c r="O16" s="154">
        <f ca="1">SUM(O10:O15)</f>
        <v>0</v>
      </c>
      <c r="P16" s="154">
        <f ca="1">SUM(P10:P15)</f>
        <v>0</v>
      </c>
      <c r="Q16" s="136"/>
      <c r="R16" s="127"/>
      <c r="S16" s="127"/>
      <c r="T16" s="127"/>
      <c r="U16" s="127"/>
      <c r="V16" s="127"/>
      <c r="W16" s="127"/>
      <c r="X16" s="127"/>
      <c r="Y16" s="127"/>
      <c r="Z16" s="127"/>
      <c r="AA16" s="127"/>
      <c r="AB16" s="127"/>
      <c r="AC16" s="127"/>
      <c r="AD16" s="127"/>
    </row>
    <row r="17" spans="1:30" x14ac:dyDescent="0.25">
      <c r="A17" s="136"/>
      <c r="B17" s="136"/>
      <c r="C17" s="136"/>
      <c r="D17" s="136"/>
      <c r="E17" s="136"/>
      <c r="F17" s="136"/>
      <c r="G17" s="136"/>
      <c r="H17" s="136"/>
      <c r="I17" s="136"/>
      <c r="J17" s="136"/>
      <c r="K17" s="136"/>
      <c r="L17" s="136"/>
      <c r="M17" s="136"/>
      <c r="N17" s="136"/>
      <c r="O17" s="127"/>
      <c r="P17" s="127"/>
      <c r="Q17" s="136"/>
      <c r="R17" s="127"/>
      <c r="S17" s="127"/>
      <c r="T17" s="127" t="s">
        <v>563</v>
      </c>
      <c r="U17" s="127"/>
      <c r="V17" s="127"/>
      <c r="W17" s="127"/>
      <c r="X17" s="127"/>
      <c r="Y17" s="127"/>
      <c r="Z17" s="127"/>
      <c r="AA17" s="127"/>
      <c r="AB17" s="127"/>
      <c r="AC17" s="127"/>
      <c r="AD17" s="127"/>
    </row>
    <row r="18" spans="1:30" ht="15" x14ac:dyDescent="0.25">
      <c r="A18" s="136"/>
      <c r="B18" s="150"/>
      <c r="C18" s="150"/>
      <c r="D18" s="150"/>
      <c r="E18" s="153"/>
      <c r="F18" s="136"/>
      <c r="G18" s="136"/>
      <c r="H18" s="136"/>
      <c r="I18" s="136"/>
      <c r="J18" s="136"/>
      <c r="K18" s="136"/>
      <c r="L18" s="136"/>
      <c r="M18" s="136"/>
      <c r="N18" s="150"/>
      <c r="O18" s="154"/>
      <c r="P18" s="127"/>
      <c r="Q18" s="136"/>
      <c r="R18" s="127"/>
      <c r="S18" s="127"/>
      <c r="T18" s="127">
        <v>1</v>
      </c>
      <c r="U18" s="127"/>
      <c r="V18" s="127"/>
      <c r="W18" s="127"/>
      <c r="X18" s="127"/>
      <c r="Y18" s="127"/>
      <c r="Z18" s="127"/>
      <c r="AA18" s="127"/>
      <c r="AB18" s="127"/>
      <c r="AC18" s="127"/>
      <c r="AD18" s="127"/>
    </row>
    <row r="19" spans="1:30" x14ac:dyDescent="0.25">
      <c r="A19" s="136"/>
      <c r="B19" s="136"/>
      <c r="C19" s="136"/>
      <c r="D19" s="136"/>
      <c r="E19" s="136"/>
      <c r="F19" s="136"/>
      <c r="G19" s="136"/>
      <c r="H19" s="136"/>
      <c r="I19" s="136"/>
      <c r="J19" s="136"/>
      <c r="K19" s="136"/>
      <c r="L19" s="136"/>
      <c r="M19" s="136"/>
      <c r="N19" s="136"/>
      <c r="O19" s="136"/>
      <c r="P19" s="136"/>
      <c r="Q19" s="136"/>
      <c r="R19" s="127"/>
      <c r="S19" s="127"/>
      <c r="T19" s="127">
        <v>2</v>
      </c>
      <c r="U19" s="127"/>
      <c r="V19" s="127"/>
      <c r="W19" s="127"/>
      <c r="X19" s="127"/>
      <c r="Y19" s="127"/>
      <c r="Z19" s="127"/>
      <c r="AA19" s="127"/>
      <c r="AB19" s="127"/>
      <c r="AC19" s="127"/>
      <c r="AD19" s="127"/>
    </row>
    <row r="20" spans="1:30" x14ac:dyDescent="0.25">
      <c r="A20" s="127"/>
      <c r="B20" s="127"/>
      <c r="C20" s="127"/>
      <c r="D20" s="127"/>
      <c r="E20" s="127"/>
      <c r="F20" s="127"/>
      <c r="G20" s="127"/>
      <c r="H20" s="127"/>
      <c r="I20" s="127"/>
      <c r="J20" s="127"/>
      <c r="K20" s="127"/>
      <c r="L20" s="127"/>
      <c r="M20" s="127"/>
      <c r="N20" s="127"/>
      <c r="O20" s="127"/>
      <c r="P20" s="127"/>
      <c r="Q20" s="127"/>
      <c r="R20" s="127"/>
      <c r="S20" s="127"/>
      <c r="T20" s="127">
        <v>3</v>
      </c>
      <c r="U20" s="127"/>
      <c r="V20" s="127"/>
      <c r="W20" s="127"/>
      <c r="X20" s="127"/>
      <c r="Y20" s="127"/>
      <c r="Z20" s="127"/>
      <c r="AA20" s="127"/>
      <c r="AB20" s="127"/>
      <c r="AC20" s="127"/>
      <c r="AD20" s="127"/>
    </row>
    <row r="21" spans="1:30" x14ac:dyDescent="0.25">
      <c r="A21" s="127"/>
      <c r="B21" s="127"/>
      <c r="C21" s="127"/>
      <c r="D21" s="127"/>
      <c r="E21" s="127"/>
      <c r="F21" s="127"/>
      <c r="G21" s="127"/>
      <c r="H21" s="127"/>
      <c r="I21" s="127"/>
      <c r="J21" s="127"/>
      <c r="K21" s="127"/>
      <c r="L21" s="127"/>
      <c r="M21" s="127"/>
      <c r="N21" s="127"/>
      <c r="O21" s="127"/>
      <c r="P21" s="127"/>
      <c r="Q21" s="127"/>
      <c r="R21" s="127"/>
      <c r="S21" s="127"/>
      <c r="T21" s="127">
        <v>4</v>
      </c>
      <c r="U21" s="127"/>
      <c r="V21" s="127"/>
      <c r="W21" s="127"/>
      <c r="X21" s="127"/>
      <c r="Y21" s="127"/>
      <c r="Z21" s="127"/>
      <c r="AA21" s="127"/>
      <c r="AB21" s="127"/>
      <c r="AC21" s="127"/>
      <c r="AD21" s="127"/>
    </row>
    <row r="22" spans="1:30" x14ac:dyDescent="0.25">
      <c r="A22" s="127"/>
      <c r="B22" s="127"/>
      <c r="C22" s="127"/>
      <c r="D22" s="127"/>
      <c r="E22" s="127"/>
      <c r="F22" s="127"/>
      <c r="G22" s="127"/>
      <c r="H22" s="127"/>
      <c r="I22" s="127"/>
      <c r="J22" s="127"/>
      <c r="K22" s="127"/>
      <c r="L22" s="127"/>
      <c r="M22" s="127"/>
      <c r="N22" s="127"/>
      <c r="O22" s="127"/>
      <c r="P22" s="127"/>
      <c r="Q22" s="127"/>
      <c r="R22" s="127"/>
      <c r="S22" s="127"/>
      <c r="T22" s="127">
        <v>5</v>
      </c>
      <c r="U22" s="127"/>
      <c r="V22" s="127"/>
      <c r="W22" s="127"/>
      <c r="X22" s="127"/>
      <c r="Y22" s="127"/>
      <c r="Z22" s="127"/>
      <c r="AA22" s="127"/>
      <c r="AB22" s="127"/>
      <c r="AC22" s="127"/>
      <c r="AD22" s="127"/>
    </row>
    <row r="23" spans="1:30" x14ac:dyDescent="0.25">
      <c r="A23" s="127"/>
      <c r="B23" s="127"/>
      <c r="C23" s="127"/>
      <c r="D23" s="127"/>
      <c r="E23" s="127"/>
      <c r="F23" s="127"/>
      <c r="G23" s="127"/>
      <c r="H23" s="127"/>
      <c r="I23" s="127"/>
      <c r="J23" s="127"/>
      <c r="K23" s="127"/>
      <c r="L23" s="127"/>
      <c r="M23" s="127"/>
      <c r="N23" s="127"/>
      <c r="O23" s="127"/>
      <c r="P23" s="127"/>
      <c r="Q23" s="127"/>
      <c r="R23" s="127"/>
      <c r="S23" s="127"/>
      <c r="T23" s="127">
        <v>6</v>
      </c>
      <c r="U23" s="127"/>
      <c r="V23" s="127"/>
      <c r="W23" s="127"/>
      <c r="X23" s="127"/>
      <c r="Y23" s="127"/>
      <c r="Z23" s="127"/>
      <c r="AA23" s="127"/>
      <c r="AB23" s="127"/>
      <c r="AC23" s="127"/>
      <c r="AD23" s="127"/>
    </row>
    <row r="24" spans="1:30" x14ac:dyDescent="0.25">
      <c r="A24" s="127"/>
      <c r="B24" s="127"/>
      <c r="C24" s="127"/>
      <c r="D24" s="127"/>
      <c r="E24" s="127"/>
      <c r="F24" s="127"/>
      <c r="G24" s="127"/>
      <c r="H24" s="127"/>
      <c r="I24" s="127"/>
      <c r="J24" s="127"/>
      <c r="K24" s="127"/>
      <c r="L24" s="127"/>
      <c r="M24" s="127"/>
      <c r="N24" s="127"/>
      <c r="O24" s="127"/>
      <c r="P24" s="127"/>
      <c r="Q24" s="127"/>
      <c r="R24" s="127"/>
      <c r="S24" s="127"/>
      <c r="T24" s="127">
        <v>7</v>
      </c>
      <c r="U24" s="127"/>
      <c r="V24" s="127"/>
      <c r="W24" s="127"/>
      <c r="X24" s="127"/>
      <c r="Y24" s="127"/>
      <c r="Z24" s="127"/>
      <c r="AA24" s="127"/>
      <c r="AB24" s="127"/>
      <c r="AC24" s="127"/>
      <c r="AD24" s="127"/>
    </row>
    <row r="25" spans="1:30" x14ac:dyDescent="0.25">
      <c r="A25" s="127"/>
      <c r="B25" s="127"/>
      <c r="C25" s="127"/>
      <c r="D25" s="127"/>
      <c r="E25" s="127"/>
      <c r="F25" s="127"/>
      <c r="G25" s="127"/>
      <c r="H25" s="127"/>
      <c r="I25" s="127"/>
      <c r="J25" s="127"/>
      <c r="K25" s="127"/>
      <c r="L25" s="127"/>
      <c r="M25" s="127"/>
      <c r="N25" s="127"/>
      <c r="O25" s="127"/>
      <c r="P25" s="127"/>
      <c r="Q25" s="127"/>
      <c r="R25" s="127"/>
      <c r="S25" s="127"/>
      <c r="T25" s="127">
        <v>8</v>
      </c>
      <c r="U25" s="127"/>
      <c r="V25" s="127"/>
      <c r="W25" s="127"/>
      <c r="X25" s="127"/>
      <c r="Y25" s="127"/>
      <c r="Z25" s="127"/>
      <c r="AA25" s="127"/>
      <c r="AB25" s="127"/>
      <c r="AC25" s="127"/>
      <c r="AD25" s="127"/>
    </row>
    <row r="26" spans="1:30" x14ac:dyDescent="0.25">
      <c r="A26" s="127"/>
      <c r="B26" s="127"/>
      <c r="C26" s="127"/>
      <c r="D26" s="127"/>
      <c r="E26" s="127"/>
      <c r="F26" s="127"/>
      <c r="G26" s="127"/>
      <c r="H26" s="127"/>
      <c r="I26" s="127"/>
      <c r="J26" s="127"/>
      <c r="K26" s="127"/>
      <c r="L26" s="127"/>
      <c r="M26" s="127"/>
      <c r="N26" s="127"/>
      <c r="O26" s="127"/>
      <c r="P26" s="127"/>
      <c r="Q26" s="127"/>
      <c r="R26" s="127"/>
      <c r="S26" s="127"/>
      <c r="T26" s="127">
        <v>9</v>
      </c>
      <c r="U26" s="127"/>
      <c r="V26" s="127"/>
      <c r="W26" s="127"/>
      <c r="X26" s="127"/>
      <c r="Y26" s="127"/>
      <c r="Z26" s="127"/>
      <c r="AA26" s="127"/>
      <c r="AB26" s="127"/>
      <c r="AC26" s="127"/>
      <c r="AD26" s="127"/>
    </row>
    <row r="27" spans="1:30" x14ac:dyDescent="0.25">
      <c r="A27" s="127"/>
      <c r="B27" s="127"/>
      <c r="C27" s="127"/>
      <c r="D27" s="127"/>
      <c r="E27" s="127"/>
      <c r="F27" s="127"/>
      <c r="G27" s="127"/>
      <c r="H27" s="127"/>
      <c r="I27" s="127"/>
      <c r="J27" s="127"/>
      <c r="K27" s="127"/>
      <c r="L27" s="127"/>
      <c r="M27" s="127"/>
      <c r="N27" s="127"/>
      <c r="O27" s="127"/>
      <c r="P27" s="127"/>
      <c r="Q27" s="127"/>
      <c r="R27" s="127"/>
      <c r="S27" s="127"/>
      <c r="T27" s="127">
        <v>10</v>
      </c>
      <c r="U27" s="127"/>
      <c r="V27" s="127"/>
      <c r="W27" s="127"/>
      <c r="X27" s="127"/>
      <c r="Y27" s="127"/>
      <c r="Z27" s="127"/>
      <c r="AA27" s="127"/>
      <c r="AB27" s="127"/>
      <c r="AC27" s="127"/>
      <c r="AD27" s="127"/>
    </row>
    <row r="28" spans="1:30" x14ac:dyDescent="0.25">
      <c r="A28" s="127"/>
      <c r="B28" s="127"/>
      <c r="C28" s="127"/>
      <c r="D28" s="127"/>
      <c r="E28" s="127"/>
      <c r="F28" s="127"/>
      <c r="G28" s="127"/>
      <c r="H28" s="127"/>
      <c r="I28" s="127"/>
      <c r="J28" s="127"/>
      <c r="K28" s="127"/>
      <c r="L28" s="127"/>
      <c r="M28" s="127"/>
      <c r="N28" s="127"/>
      <c r="O28" s="127"/>
      <c r="P28" s="127"/>
      <c r="Q28" s="127"/>
      <c r="R28" s="127"/>
      <c r="S28" s="127"/>
      <c r="T28" s="127">
        <v>11</v>
      </c>
      <c r="U28" s="127"/>
      <c r="V28" s="127"/>
      <c r="W28" s="127"/>
      <c r="X28" s="127"/>
      <c r="Y28" s="127"/>
      <c r="Z28" s="127"/>
      <c r="AA28" s="127"/>
      <c r="AB28" s="127"/>
      <c r="AC28" s="127"/>
      <c r="AD28" s="127"/>
    </row>
    <row r="29" spans="1:30" x14ac:dyDescent="0.25">
      <c r="A29" s="127"/>
      <c r="B29" s="127"/>
      <c r="C29" s="127"/>
      <c r="D29" s="127"/>
      <c r="E29" s="127"/>
      <c r="F29" s="127"/>
      <c r="G29" s="127"/>
      <c r="H29" s="127"/>
      <c r="I29" s="127"/>
      <c r="J29" s="127"/>
      <c r="K29" s="127"/>
      <c r="L29" s="127"/>
      <c r="M29" s="127"/>
      <c r="N29" s="127"/>
      <c r="O29" s="127"/>
      <c r="P29" s="127"/>
      <c r="Q29" s="127"/>
      <c r="R29" s="127"/>
      <c r="S29" s="127"/>
      <c r="T29" s="127">
        <v>12</v>
      </c>
      <c r="U29" s="127"/>
      <c r="V29" s="127"/>
      <c r="W29" s="127"/>
      <c r="X29" s="127"/>
      <c r="Y29" s="127"/>
      <c r="Z29" s="127"/>
      <c r="AA29" s="127"/>
      <c r="AB29" s="127"/>
      <c r="AC29" s="127"/>
      <c r="AD29" s="127"/>
    </row>
    <row r="30" spans="1:30" x14ac:dyDescent="0.25">
      <c r="A30" s="127"/>
      <c r="B30" s="127"/>
      <c r="C30" s="127"/>
      <c r="D30" s="127"/>
      <c r="E30" s="127"/>
      <c r="F30" s="127"/>
      <c r="G30" s="127"/>
      <c r="H30" s="127"/>
      <c r="I30" s="127"/>
      <c r="J30" s="127"/>
      <c r="K30" s="127"/>
      <c r="L30" s="127"/>
      <c r="M30" s="127"/>
      <c r="N30" s="127"/>
      <c r="O30" s="127"/>
      <c r="P30" s="127"/>
      <c r="Q30" s="127"/>
      <c r="R30" s="127"/>
      <c r="S30" s="127"/>
      <c r="T30" s="127">
        <v>13</v>
      </c>
      <c r="U30" s="127"/>
      <c r="V30" s="127"/>
      <c r="W30" s="127"/>
      <c r="X30" s="127"/>
      <c r="Y30" s="127"/>
      <c r="Z30" s="127"/>
      <c r="AA30" s="127"/>
      <c r="AB30" s="127"/>
      <c r="AC30" s="127"/>
      <c r="AD30" s="127"/>
    </row>
    <row r="31" spans="1:30" x14ac:dyDescent="0.25">
      <c r="A31" s="127"/>
      <c r="B31" s="127"/>
      <c r="C31" s="127"/>
      <c r="D31" s="127"/>
      <c r="E31" s="127"/>
      <c r="F31" s="127"/>
      <c r="G31" s="127"/>
      <c r="H31" s="127"/>
      <c r="I31" s="127"/>
      <c r="J31" s="127"/>
      <c r="K31" s="127"/>
      <c r="L31" s="127"/>
      <c r="M31" s="127"/>
      <c r="N31" s="127"/>
      <c r="O31" s="127"/>
      <c r="P31" s="127"/>
      <c r="Q31" s="127"/>
      <c r="R31" s="127"/>
      <c r="S31" s="127"/>
      <c r="T31" s="127">
        <v>14</v>
      </c>
      <c r="U31" s="127"/>
      <c r="V31" s="127"/>
      <c r="W31" s="127"/>
      <c r="X31" s="127"/>
      <c r="Y31" s="127"/>
      <c r="Z31" s="127"/>
      <c r="AA31" s="127"/>
      <c r="AB31" s="127"/>
      <c r="AC31" s="127"/>
      <c r="AD31" s="127"/>
    </row>
    <row r="32" spans="1:30" x14ac:dyDescent="0.25">
      <c r="A32" s="127"/>
      <c r="B32" s="127"/>
      <c r="C32" s="127"/>
      <c r="D32" s="127"/>
      <c r="E32" s="127"/>
      <c r="F32" s="127"/>
      <c r="G32" s="127"/>
      <c r="H32" s="127"/>
      <c r="I32" s="127"/>
      <c r="J32" s="127"/>
      <c r="K32" s="127"/>
      <c r="L32" s="127"/>
      <c r="M32" s="127"/>
      <c r="N32" s="127"/>
      <c r="O32" s="127"/>
      <c r="P32" s="127"/>
      <c r="Q32" s="127"/>
      <c r="R32" s="127"/>
      <c r="S32" s="127"/>
      <c r="T32" s="127">
        <v>15</v>
      </c>
      <c r="U32" s="127"/>
      <c r="V32" s="127"/>
      <c r="W32" s="127"/>
      <c r="X32" s="127"/>
      <c r="Y32" s="127"/>
      <c r="Z32" s="127"/>
      <c r="AA32" s="127"/>
      <c r="AB32" s="127"/>
      <c r="AC32" s="127"/>
      <c r="AD32" s="127"/>
    </row>
    <row r="33" spans="1:30" x14ac:dyDescent="0.25">
      <c r="A33" s="127"/>
      <c r="B33" s="127"/>
      <c r="C33" s="127"/>
      <c r="D33" s="127"/>
      <c r="E33" s="127"/>
      <c r="F33" s="127"/>
      <c r="G33" s="127"/>
      <c r="H33" s="127"/>
      <c r="I33" s="127"/>
      <c r="J33" s="127"/>
      <c r="K33" s="127"/>
      <c r="L33" s="127"/>
      <c r="M33" s="127"/>
      <c r="N33" s="127"/>
      <c r="O33" s="127"/>
      <c r="P33" s="127"/>
      <c r="Q33" s="127"/>
      <c r="R33" s="127"/>
      <c r="S33" s="127"/>
      <c r="T33" s="127">
        <v>16</v>
      </c>
      <c r="U33" s="127"/>
      <c r="V33" s="127"/>
      <c r="W33" s="127"/>
      <c r="X33" s="127"/>
      <c r="Y33" s="127"/>
      <c r="Z33" s="127"/>
      <c r="AA33" s="127"/>
      <c r="AB33" s="127"/>
      <c r="AC33" s="127"/>
      <c r="AD33" s="127"/>
    </row>
    <row r="34" spans="1:30" x14ac:dyDescent="0.25">
      <c r="A34" s="127"/>
      <c r="B34" s="127"/>
      <c r="C34" s="127"/>
      <c r="D34" s="127"/>
      <c r="E34" s="127"/>
      <c r="F34" s="127"/>
      <c r="G34" s="127"/>
      <c r="H34" s="127"/>
      <c r="I34" s="127"/>
      <c r="J34" s="127"/>
      <c r="K34" s="127"/>
      <c r="L34" s="127"/>
      <c r="M34" s="127"/>
      <c r="N34" s="127"/>
      <c r="O34" s="127"/>
      <c r="P34" s="127"/>
      <c r="Q34" s="127"/>
      <c r="R34" s="127"/>
      <c r="S34" s="127"/>
      <c r="T34" s="127">
        <v>17</v>
      </c>
      <c r="U34" s="127"/>
      <c r="V34" s="127"/>
      <c r="W34" s="127"/>
      <c r="X34" s="127"/>
      <c r="Y34" s="127"/>
      <c r="Z34" s="127"/>
      <c r="AA34" s="127"/>
      <c r="AB34" s="127"/>
      <c r="AC34" s="127"/>
      <c r="AD34" s="127"/>
    </row>
    <row r="35" spans="1:30" x14ac:dyDescent="0.25">
      <c r="A35" s="127"/>
      <c r="B35" s="127"/>
      <c r="C35" s="127"/>
      <c r="D35" s="127"/>
      <c r="E35" s="127"/>
      <c r="F35" s="127"/>
      <c r="G35" s="127"/>
      <c r="H35" s="127"/>
      <c r="I35" s="127"/>
      <c r="J35" s="127"/>
      <c r="K35" s="127"/>
      <c r="L35" s="127"/>
      <c r="M35" s="127"/>
      <c r="N35" s="127"/>
      <c r="O35" s="127"/>
      <c r="P35" s="127"/>
      <c r="Q35" s="127"/>
      <c r="R35" s="127"/>
      <c r="S35" s="127"/>
      <c r="T35" s="127">
        <v>18</v>
      </c>
      <c r="U35" s="127"/>
      <c r="V35" s="127"/>
      <c r="W35" s="127"/>
      <c r="X35" s="127"/>
      <c r="Y35" s="127"/>
      <c r="Z35" s="127"/>
      <c r="AA35" s="127"/>
      <c r="AB35" s="127"/>
      <c r="AC35" s="127"/>
      <c r="AD35" s="127"/>
    </row>
    <row r="36" spans="1:30" x14ac:dyDescent="0.25">
      <c r="A36" s="127"/>
      <c r="B36" s="127"/>
      <c r="C36" s="127"/>
      <c r="D36" s="127"/>
      <c r="E36" s="127"/>
      <c r="F36" s="127"/>
      <c r="G36" s="127"/>
      <c r="H36" s="127"/>
      <c r="I36" s="127"/>
      <c r="J36" s="127"/>
      <c r="K36" s="127"/>
      <c r="L36" s="127"/>
      <c r="M36" s="127"/>
      <c r="N36" s="127"/>
      <c r="O36" s="127"/>
      <c r="P36" s="127"/>
      <c r="Q36" s="127"/>
      <c r="R36" s="127"/>
      <c r="S36" s="127"/>
      <c r="T36" s="127">
        <v>19</v>
      </c>
      <c r="U36" s="127"/>
      <c r="V36" s="127"/>
      <c r="W36" s="127"/>
      <c r="X36" s="127"/>
      <c r="Y36" s="127"/>
      <c r="Z36" s="127"/>
      <c r="AA36" s="127"/>
      <c r="AB36" s="127"/>
      <c r="AC36" s="127"/>
      <c r="AD36" s="127"/>
    </row>
    <row r="37" spans="1:30" x14ac:dyDescent="0.25">
      <c r="A37" s="127"/>
      <c r="B37" s="127"/>
      <c r="C37" s="127"/>
      <c r="D37" s="127"/>
      <c r="E37" s="127"/>
      <c r="F37" s="127"/>
      <c r="G37" s="127"/>
      <c r="H37" s="127"/>
      <c r="I37" s="127"/>
      <c r="J37" s="127"/>
      <c r="K37" s="127"/>
      <c r="L37" s="127"/>
      <c r="M37" s="127"/>
      <c r="N37" s="127"/>
      <c r="O37" s="127"/>
      <c r="P37" s="127"/>
      <c r="Q37" s="127"/>
      <c r="R37" s="127"/>
      <c r="S37" s="127"/>
      <c r="T37" s="127">
        <v>20</v>
      </c>
      <c r="U37" s="127"/>
      <c r="V37" s="127"/>
      <c r="W37" s="127"/>
      <c r="X37" s="127"/>
      <c r="Y37" s="127"/>
      <c r="Z37" s="127"/>
      <c r="AA37" s="127"/>
      <c r="AB37" s="127"/>
      <c r="AC37" s="127"/>
      <c r="AD37" s="127"/>
    </row>
    <row r="38" spans="1:30" x14ac:dyDescent="0.25">
      <c r="A38" s="127"/>
      <c r="B38" s="127"/>
      <c r="C38" s="127"/>
      <c r="D38" s="127"/>
      <c r="E38" s="127"/>
      <c r="F38" s="127"/>
      <c r="G38" s="127"/>
      <c r="H38" s="127"/>
      <c r="I38" s="127"/>
      <c r="J38" s="127"/>
      <c r="K38" s="127"/>
      <c r="L38" s="127"/>
      <c r="M38" s="127"/>
      <c r="N38" s="127"/>
      <c r="O38" s="127"/>
      <c r="P38" s="127"/>
      <c r="Q38" s="127"/>
      <c r="R38" s="127"/>
      <c r="S38" s="127"/>
      <c r="T38" s="127">
        <v>21</v>
      </c>
      <c r="U38" s="127"/>
      <c r="V38" s="127"/>
      <c r="W38" s="127"/>
      <c r="X38" s="127"/>
      <c r="Y38" s="127"/>
      <c r="Z38" s="127"/>
      <c r="AA38" s="127"/>
      <c r="AB38" s="127"/>
      <c r="AC38" s="127"/>
      <c r="AD38" s="127"/>
    </row>
    <row r="39" spans="1:30" x14ac:dyDescent="0.25">
      <c r="A39" s="127"/>
      <c r="B39" s="127"/>
      <c r="C39" s="127"/>
      <c r="D39" s="127"/>
      <c r="E39" s="127"/>
      <c r="F39" s="127"/>
      <c r="G39" s="127"/>
      <c r="H39" s="127"/>
      <c r="I39" s="127"/>
      <c r="J39" s="127"/>
      <c r="K39" s="127"/>
      <c r="L39" s="127"/>
      <c r="M39" s="127"/>
      <c r="N39" s="127"/>
      <c r="O39" s="127"/>
      <c r="P39" s="127"/>
      <c r="Q39" s="127"/>
      <c r="R39" s="127"/>
      <c r="S39" s="127"/>
      <c r="T39" s="127">
        <v>22</v>
      </c>
      <c r="U39" s="127"/>
      <c r="V39" s="127"/>
      <c r="W39" s="127"/>
      <c r="X39" s="127"/>
      <c r="Y39" s="127"/>
      <c r="Z39" s="127"/>
      <c r="AA39" s="127"/>
      <c r="AB39" s="127"/>
      <c r="AC39" s="127"/>
      <c r="AD39" s="127"/>
    </row>
    <row r="40" spans="1:30" x14ac:dyDescent="0.25">
      <c r="A40" s="127"/>
      <c r="B40" s="127"/>
      <c r="C40" s="127"/>
      <c r="D40" s="127"/>
      <c r="E40" s="127"/>
      <c r="F40" s="127"/>
      <c r="G40" s="127"/>
      <c r="H40" s="127"/>
      <c r="I40" s="127"/>
      <c r="J40" s="127"/>
      <c r="K40" s="127"/>
      <c r="L40" s="127"/>
      <c r="M40" s="127"/>
      <c r="N40" s="127"/>
      <c r="O40" s="127"/>
      <c r="P40" s="127"/>
      <c r="Q40" s="127"/>
      <c r="R40" s="127"/>
      <c r="S40" s="127"/>
      <c r="T40" s="127">
        <v>23</v>
      </c>
      <c r="U40" s="127"/>
      <c r="V40" s="127"/>
      <c r="W40" s="127"/>
      <c r="X40" s="127"/>
      <c r="Y40" s="127"/>
      <c r="Z40" s="127"/>
      <c r="AA40" s="127"/>
      <c r="AB40" s="127"/>
      <c r="AC40" s="127"/>
      <c r="AD40" s="127"/>
    </row>
    <row r="41" spans="1:30" x14ac:dyDescent="0.25">
      <c r="A41" s="127"/>
      <c r="B41" s="127"/>
      <c r="C41" s="127"/>
      <c r="D41" s="127"/>
      <c r="E41" s="127"/>
      <c r="F41" s="127"/>
      <c r="G41" s="127"/>
      <c r="H41" s="127"/>
      <c r="I41" s="127"/>
      <c r="J41" s="127"/>
      <c r="K41" s="127"/>
      <c r="L41" s="127"/>
      <c r="M41" s="127"/>
      <c r="N41" s="127"/>
      <c r="O41" s="127"/>
      <c r="P41" s="127"/>
      <c r="Q41" s="127"/>
      <c r="R41" s="127"/>
      <c r="S41" s="127"/>
      <c r="T41" s="127">
        <v>24</v>
      </c>
      <c r="U41" s="127"/>
      <c r="V41" s="127"/>
      <c r="W41" s="127"/>
      <c r="X41" s="127"/>
      <c r="Y41" s="127"/>
      <c r="Z41" s="127"/>
      <c r="AA41" s="127"/>
      <c r="AB41" s="127"/>
      <c r="AC41" s="127"/>
      <c r="AD41" s="127"/>
    </row>
    <row r="42" spans="1:30" x14ac:dyDescent="0.25">
      <c r="A42" s="127"/>
      <c r="B42" s="127"/>
      <c r="C42" s="127"/>
      <c r="D42" s="127"/>
      <c r="E42" s="127"/>
      <c r="F42" s="127"/>
      <c r="G42" s="127"/>
      <c r="H42" s="127"/>
      <c r="I42" s="127"/>
      <c r="J42" s="127"/>
      <c r="K42" s="127"/>
      <c r="L42" s="127"/>
      <c r="M42" s="127"/>
      <c r="N42" s="127"/>
      <c r="O42" s="127"/>
      <c r="P42" s="127"/>
      <c r="Q42" s="127"/>
      <c r="R42" s="127"/>
      <c r="S42" s="127"/>
      <c r="T42" s="127">
        <v>25</v>
      </c>
      <c r="U42" s="127"/>
      <c r="V42" s="127"/>
      <c r="W42" s="127"/>
      <c r="X42" s="127"/>
      <c r="Y42" s="127"/>
      <c r="Z42" s="127"/>
      <c r="AA42" s="127"/>
      <c r="AB42" s="127"/>
      <c r="AC42" s="127"/>
      <c r="AD42" s="127"/>
    </row>
    <row r="43" spans="1:30" x14ac:dyDescent="0.25">
      <c r="A43" s="127"/>
      <c r="B43" s="127"/>
      <c r="C43" s="127"/>
      <c r="D43" s="127"/>
      <c r="E43" s="127"/>
      <c r="F43" s="127"/>
      <c r="G43" s="127"/>
      <c r="H43" s="127"/>
      <c r="I43" s="127"/>
      <c r="J43" s="127"/>
      <c r="K43" s="127"/>
      <c r="L43" s="127"/>
      <c r="M43" s="127"/>
      <c r="N43" s="127"/>
      <c r="O43" s="127"/>
      <c r="P43" s="127"/>
      <c r="Q43" s="127"/>
      <c r="R43" s="127"/>
      <c r="S43" s="127"/>
      <c r="T43" s="127">
        <v>26</v>
      </c>
      <c r="U43" s="127"/>
      <c r="V43" s="127"/>
      <c r="W43" s="127"/>
      <c r="X43" s="127"/>
      <c r="Y43" s="127"/>
      <c r="Z43" s="127"/>
      <c r="AA43" s="127"/>
      <c r="AB43" s="127"/>
      <c r="AC43" s="127"/>
      <c r="AD43" s="127"/>
    </row>
    <row r="44" spans="1:30" x14ac:dyDescent="0.25">
      <c r="A44" s="127"/>
      <c r="B44" s="127"/>
      <c r="C44" s="127"/>
      <c r="D44" s="127"/>
      <c r="E44" s="127"/>
      <c r="F44" s="127"/>
      <c r="G44" s="127"/>
      <c r="H44" s="127"/>
      <c r="I44" s="127"/>
      <c r="J44" s="127"/>
      <c r="K44" s="127"/>
      <c r="L44" s="127"/>
      <c r="M44" s="127"/>
      <c r="N44" s="127"/>
      <c r="O44" s="127"/>
      <c r="P44" s="127"/>
      <c r="Q44" s="127"/>
      <c r="R44" s="127"/>
      <c r="S44" s="127"/>
      <c r="T44" s="127">
        <v>27</v>
      </c>
      <c r="U44" s="127"/>
      <c r="V44" s="127"/>
      <c r="W44" s="127"/>
      <c r="X44" s="127"/>
      <c r="Y44" s="127"/>
      <c r="Z44" s="127"/>
      <c r="AA44" s="127"/>
      <c r="AB44" s="127"/>
      <c r="AC44" s="127"/>
      <c r="AD44" s="127"/>
    </row>
    <row r="45" spans="1:30" x14ac:dyDescent="0.25">
      <c r="A45" s="127"/>
      <c r="B45" s="127"/>
      <c r="C45" s="127"/>
      <c r="D45" s="127"/>
      <c r="E45" s="127"/>
      <c r="F45" s="127"/>
      <c r="G45" s="127"/>
      <c r="H45" s="127"/>
      <c r="I45" s="127"/>
      <c r="J45" s="127"/>
      <c r="K45" s="127"/>
      <c r="L45" s="127"/>
      <c r="M45" s="127"/>
      <c r="N45" s="127"/>
      <c r="O45" s="127"/>
      <c r="P45" s="127"/>
      <c r="Q45" s="127"/>
      <c r="R45" s="127"/>
      <c r="S45" s="127"/>
      <c r="T45" s="127">
        <v>28</v>
      </c>
      <c r="U45" s="127"/>
      <c r="V45" s="127"/>
      <c r="W45" s="127"/>
      <c r="X45" s="127"/>
      <c r="Y45" s="127"/>
      <c r="Z45" s="127"/>
      <c r="AA45" s="127"/>
      <c r="AB45" s="127"/>
      <c r="AC45" s="127"/>
      <c r="AD45" s="127"/>
    </row>
    <row r="46" spans="1:30" x14ac:dyDescent="0.25">
      <c r="A46" s="127"/>
      <c r="B46" s="127"/>
      <c r="C46" s="127"/>
      <c r="D46" s="127"/>
      <c r="E46" s="127"/>
      <c r="F46" s="127"/>
      <c r="G46" s="127"/>
      <c r="H46" s="127"/>
      <c r="I46" s="127"/>
      <c r="J46" s="127"/>
      <c r="K46" s="127"/>
      <c r="L46" s="127"/>
      <c r="M46" s="127"/>
      <c r="N46" s="127"/>
      <c r="O46" s="127"/>
      <c r="P46" s="127"/>
      <c r="Q46" s="127"/>
      <c r="R46" s="127"/>
      <c r="S46" s="127"/>
      <c r="T46" s="127">
        <v>29</v>
      </c>
      <c r="U46" s="127"/>
      <c r="V46" s="127"/>
      <c r="W46" s="127"/>
      <c r="X46" s="127"/>
      <c r="Y46" s="127"/>
      <c r="Z46" s="127"/>
      <c r="AA46" s="127"/>
      <c r="AB46" s="127"/>
      <c r="AC46" s="127"/>
      <c r="AD46" s="127"/>
    </row>
    <row r="47" spans="1:30" x14ac:dyDescent="0.25">
      <c r="A47" s="127"/>
      <c r="B47" s="127"/>
      <c r="C47" s="127"/>
      <c r="D47" s="127"/>
      <c r="E47" s="127"/>
      <c r="F47" s="127"/>
      <c r="G47" s="127"/>
      <c r="H47" s="127"/>
      <c r="I47" s="127"/>
      <c r="J47" s="127"/>
      <c r="K47" s="127"/>
      <c r="L47" s="127"/>
      <c r="M47" s="127"/>
      <c r="N47" s="127"/>
      <c r="O47" s="127"/>
      <c r="P47" s="127"/>
      <c r="Q47" s="127"/>
      <c r="R47" s="127"/>
      <c r="S47" s="127"/>
      <c r="T47" s="127">
        <v>30</v>
      </c>
      <c r="U47" s="127"/>
      <c r="V47" s="127"/>
      <c r="W47" s="127"/>
      <c r="X47" s="127"/>
      <c r="Y47" s="127"/>
      <c r="Z47" s="127"/>
      <c r="AA47" s="127"/>
      <c r="AB47" s="127"/>
      <c r="AC47" s="127"/>
      <c r="AD47" s="127"/>
    </row>
    <row r="48" spans="1:30" x14ac:dyDescent="0.25">
      <c r="A48" s="127"/>
      <c r="B48" s="127"/>
      <c r="C48" s="127"/>
      <c r="D48" s="127"/>
      <c r="E48" s="127"/>
      <c r="F48" s="127"/>
      <c r="G48" s="127"/>
      <c r="H48" s="127"/>
      <c r="I48" s="127"/>
      <c r="J48" s="127"/>
      <c r="K48" s="127"/>
      <c r="L48" s="127"/>
      <c r="M48" s="127"/>
      <c r="N48" s="127"/>
      <c r="O48" s="127"/>
      <c r="P48" s="127"/>
      <c r="Q48" s="127"/>
      <c r="R48" s="127"/>
      <c r="S48" s="127"/>
      <c r="T48" s="127">
        <v>31</v>
      </c>
      <c r="U48" s="127"/>
      <c r="V48" s="127"/>
      <c r="W48" s="127"/>
      <c r="X48" s="127"/>
      <c r="Y48" s="127"/>
      <c r="Z48" s="127"/>
      <c r="AA48" s="127"/>
      <c r="AB48" s="127"/>
      <c r="AC48" s="127"/>
      <c r="AD48" s="127"/>
    </row>
    <row r="49" spans="1:30" x14ac:dyDescent="0.25">
      <c r="A49" s="127"/>
      <c r="B49" s="127"/>
      <c r="C49" s="127"/>
      <c r="D49" s="127"/>
      <c r="E49" s="127"/>
      <c r="F49" s="127"/>
      <c r="G49" s="127"/>
      <c r="H49" s="127"/>
      <c r="I49" s="127"/>
      <c r="J49" s="127"/>
      <c r="K49" s="127"/>
      <c r="L49" s="127"/>
      <c r="M49" s="127"/>
      <c r="N49" s="127"/>
      <c r="O49" s="127"/>
      <c r="P49" s="127"/>
      <c r="Q49" s="127"/>
      <c r="R49" s="127"/>
      <c r="S49" s="127"/>
      <c r="T49" s="127">
        <v>32</v>
      </c>
      <c r="U49" s="127"/>
      <c r="V49" s="127"/>
      <c r="W49" s="127"/>
      <c r="X49" s="127"/>
      <c r="Y49" s="127"/>
      <c r="Z49" s="127"/>
      <c r="AA49" s="127"/>
      <c r="AB49" s="127"/>
      <c r="AC49" s="127"/>
      <c r="AD49" s="127"/>
    </row>
    <row r="50" spans="1:30" x14ac:dyDescent="0.25">
      <c r="A50" s="127"/>
      <c r="B50" s="127"/>
      <c r="C50" s="127"/>
      <c r="D50" s="127"/>
      <c r="E50" s="127"/>
      <c r="F50" s="127"/>
      <c r="G50" s="127"/>
      <c r="H50" s="127"/>
      <c r="I50" s="127"/>
      <c r="J50" s="127"/>
      <c r="K50" s="127"/>
      <c r="L50" s="127"/>
      <c r="M50" s="127"/>
      <c r="N50" s="127"/>
      <c r="O50" s="127"/>
      <c r="P50" s="127"/>
      <c r="Q50" s="127"/>
      <c r="R50" s="127"/>
      <c r="S50" s="127"/>
      <c r="T50" s="127">
        <v>33</v>
      </c>
      <c r="U50" s="127"/>
      <c r="V50" s="127"/>
      <c r="W50" s="127"/>
      <c r="X50" s="127"/>
      <c r="Y50" s="127"/>
      <c r="Z50" s="127"/>
      <c r="AA50" s="127"/>
      <c r="AB50" s="127"/>
      <c r="AC50" s="127"/>
      <c r="AD50" s="127"/>
    </row>
    <row r="51" spans="1:30" x14ac:dyDescent="0.25">
      <c r="A51" s="127"/>
      <c r="B51" s="127"/>
      <c r="C51" s="127"/>
      <c r="D51" s="127"/>
      <c r="E51" s="127"/>
      <c r="F51" s="127"/>
      <c r="G51" s="127"/>
      <c r="H51" s="127"/>
      <c r="I51" s="127"/>
      <c r="J51" s="127"/>
      <c r="K51" s="127"/>
      <c r="L51" s="127"/>
      <c r="M51" s="127"/>
      <c r="N51" s="127"/>
      <c r="O51" s="127"/>
      <c r="P51" s="127"/>
      <c r="Q51" s="127"/>
      <c r="R51" s="127"/>
      <c r="S51" s="127"/>
      <c r="T51" s="127">
        <v>34</v>
      </c>
      <c r="U51" s="127"/>
      <c r="V51" s="127"/>
      <c r="W51" s="127"/>
      <c r="X51" s="127"/>
      <c r="Y51" s="127"/>
      <c r="Z51" s="127"/>
      <c r="AA51" s="127"/>
      <c r="AB51" s="127"/>
      <c r="AC51" s="127"/>
      <c r="AD51" s="127"/>
    </row>
    <row r="52" spans="1:30" x14ac:dyDescent="0.25">
      <c r="A52" s="127"/>
      <c r="B52" s="127"/>
      <c r="C52" s="127"/>
      <c r="D52" s="127"/>
      <c r="E52" s="127"/>
      <c r="F52" s="127"/>
      <c r="G52" s="127"/>
      <c r="H52" s="127"/>
      <c r="I52" s="127"/>
      <c r="J52" s="127"/>
      <c r="K52" s="127"/>
      <c r="L52" s="127"/>
      <c r="M52" s="127"/>
      <c r="N52" s="127"/>
      <c r="O52" s="127"/>
      <c r="P52" s="127"/>
      <c r="Q52" s="127"/>
      <c r="R52" s="127"/>
      <c r="S52" s="127"/>
      <c r="T52" s="127">
        <v>35</v>
      </c>
      <c r="U52" s="127"/>
      <c r="V52" s="127"/>
      <c r="W52" s="127"/>
      <c r="X52" s="127"/>
      <c r="Y52" s="127"/>
      <c r="Z52" s="127"/>
      <c r="AA52" s="127"/>
      <c r="AB52" s="127"/>
      <c r="AC52" s="127"/>
      <c r="AD52" s="127"/>
    </row>
    <row r="53" spans="1:30" x14ac:dyDescent="0.25">
      <c r="A53" s="127"/>
      <c r="B53" s="127"/>
      <c r="C53" s="127"/>
      <c r="D53" s="127"/>
      <c r="E53" s="127"/>
      <c r="F53" s="127"/>
      <c r="G53" s="127"/>
      <c r="H53" s="127"/>
      <c r="I53" s="127"/>
      <c r="J53" s="127"/>
      <c r="K53" s="127"/>
      <c r="L53" s="127"/>
      <c r="M53" s="127"/>
      <c r="N53" s="127"/>
      <c r="O53" s="127"/>
      <c r="P53" s="127"/>
      <c r="Q53" s="127"/>
      <c r="R53" s="127"/>
      <c r="S53" s="127"/>
      <c r="T53" s="127">
        <v>36</v>
      </c>
      <c r="U53" s="127"/>
      <c r="V53" s="127"/>
      <c r="W53" s="127"/>
      <c r="X53" s="127"/>
      <c r="Y53" s="127"/>
      <c r="Z53" s="127"/>
      <c r="AA53" s="127"/>
      <c r="AB53" s="127"/>
      <c r="AC53" s="127"/>
      <c r="AD53" s="127"/>
    </row>
    <row r="54" spans="1:30" x14ac:dyDescent="0.25">
      <c r="A54" s="127"/>
      <c r="B54" s="127"/>
      <c r="C54" s="127"/>
      <c r="D54" s="127"/>
      <c r="E54" s="127"/>
      <c r="F54" s="127"/>
      <c r="G54" s="127"/>
      <c r="H54" s="127"/>
      <c r="I54" s="127"/>
      <c r="J54" s="127"/>
      <c r="K54" s="127"/>
      <c r="L54" s="127"/>
      <c r="M54" s="127"/>
      <c r="N54" s="127"/>
      <c r="O54" s="127"/>
      <c r="P54" s="127"/>
      <c r="Q54" s="127"/>
      <c r="R54" s="127"/>
      <c r="S54" s="127"/>
      <c r="T54" s="127">
        <v>37</v>
      </c>
      <c r="U54" s="127"/>
      <c r="V54" s="127"/>
      <c r="W54" s="127"/>
      <c r="X54" s="127"/>
      <c r="Y54" s="127"/>
      <c r="Z54" s="127"/>
      <c r="AA54" s="127"/>
      <c r="AB54" s="127"/>
      <c r="AC54" s="127"/>
      <c r="AD54" s="127"/>
    </row>
    <row r="55" spans="1:30" x14ac:dyDescent="0.25">
      <c r="A55" s="127"/>
      <c r="B55" s="127"/>
      <c r="C55" s="127"/>
      <c r="D55" s="127"/>
      <c r="E55" s="127"/>
      <c r="F55" s="127"/>
      <c r="G55" s="127"/>
      <c r="H55" s="127"/>
      <c r="I55" s="127"/>
      <c r="J55" s="127"/>
      <c r="K55" s="127"/>
      <c r="L55" s="127"/>
      <c r="M55" s="127"/>
      <c r="N55" s="127"/>
      <c r="O55" s="127"/>
      <c r="P55" s="127"/>
      <c r="Q55" s="127"/>
      <c r="R55" s="127"/>
      <c r="S55" s="127"/>
      <c r="T55" s="127">
        <v>38</v>
      </c>
      <c r="U55" s="127"/>
      <c r="V55" s="127"/>
      <c r="W55" s="127"/>
      <c r="X55" s="127"/>
      <c r="Y55" s="127"/>
      <c r="Z55" s="127"/>
      <c r="AA55" s="127"/>
      <c r="AB55" s="127"/>
      <c r="AC55" s="127"/>
      <c r="AD55" s="127"/>
    </row>
    <row r="56" spans="1:30" x14ac:dyDescent="0.25">
      <c r="A56" s="127"/>
      <c r="B56" s="127"/>
      <c r="C56" s="127"/>
      <c r="D56" s="127"/>
      <c r="E56" s="127"/>
      <c r="F56" s="127"/>
      <c r="G56" s="127"/>
      <c r="H56" s="127"/>
      <c r="I56" s="127"/>
      <c r="J56" s="127"/>
      <c r="K56" s="127"/>
      <c r="L56" s="127"/>
      <c r="M56" s="127"/>
      <c r="N56" s="127"/>
      <c r="O56" s="127"/>
      <c r="P56" s="127"/>
      <c r="Q56" s="127"/>
      <c r="R56" s="127"/>
      <c r="S56" s="127"/>
      <c r="T56" s="127">
        <v>39</v>
      </c>
      <c r="U56" s="127"/>
      <c r="V56" s="127"/>
      <c r="W56" s="127"/>
      <c r="X56" s="127"/>
      <c r="Y56" s="127"/>
      <c r="Z56" s="127"/>
      <c r="AA56" s="127"/>
      <c r="AB56" s="127"/>
      <c r="AC56" s="127"/>
      <c r="AD56" s="127"/>
    </row>
    <row r="57" spans="1:30" x14ac:dyDescent="0.25">
      <c r="A57" s="127"/>
      <c r="B57" s="127"/>
      <c r="C57" s="127"/>
      <c r="D57" s="127"/>
      <c r="E57" s="127"/>
      <c r="F57" s="127"/>
      <c r="G57" s="127"/>
      <c r="H57" s="127"/>
      <c r="I57" s="127"/>
      <c r="J57" s="127"/>
      <c r="K57" s="127"/>
      <c r="L57" s="127"/>
      <c r="M57" s="127"/>
      <c r="N57" s="127"/>
      <c r="O57" s="127"/>
      <c r="P57" s="127"/>
      <c r="Q57" s="127"/>
      <c r="R57" s="127"/>
      <c r="S57" s="127"/>
      <c r="T57" s="127">
        <v>40</v>
      </c>
      <c r="U57" s="127"/>
      <c r="V57" s="127"/>
      <c r="W57" s="127"/>
      <c r="X57" s="127"/>
      <c r="Y57" s="127"/>
      <c r="Z57" s="127"/>
      <c r="AA57" s="127"/>
      <c r="AB57" s="127"/>
      <c r="AC57" s="127"/>
      <c r="AD57" s="127"/>
    </row>
    <row r="58" spans="1:30" x14ac:dyDescent="0.25">
      <c r="A58" s="127"/>
      <c r="B58" s="127"/>
      <c r="C58" s="127"/>
      <c r="D58" s="127"/>
      <c r="E58" s="127"/>
      <c r="F58" s="127"/>
      <c r="G58" s="127"/>
      <c r="H58" s="127"/>
      <c r="I58" s="127"/>
      <c r="J58" s="127"/>
      <c r="K58" s="127"/>
      <c r="L58" s="127"/>
      <c r="M58" s="127"/>
      <c r="N58" s="127"/>
      <c r="O58" s="127"/>
      <c r="P58" s="127"/>
      <c r="Q58" s="127"/>
      <c r="R58" s="127"/>
      <c r="S58" s="127"/>
      <c r="T58" s="127">
        <v>41</v>
      </c>
      <c r="U58" s="127"/>
      <c r="V58" s="127"/>
      <c r="W58" s="127"/>
      <c r="X58" s="127"/>
      <c r="Y58" s="127"/>
      <c r="Z58" s="127"/>
      <c r="AA58" s="127"/>
      <c r="AB58" s="127"/>
      <c r="AC58" s="127"/>
      <c r="AD58" s="127"/>
    </row>
    <row r="59" spans="1:30" x14ac:dyDescent="0.25">
      <c r="A59" s="127"/>
      <c r="B59" s="127"/>
      <c r="C59" s="127"/>
      <c r="D59" s="127"/>
      <c r="E59" s="127"/>
      <c r="F59" s="127"/>
      <c r="G59" s="127"/>
      <c r="H59" s="127"/>
      <c r="I59" s="127"/>
      <c r="J59" s="127"/>
      <c r="K59" s="127"/>
      <c r="L59" s="127"/>
      <c r="M59" s="127"/>
      <c r="N59" s="127"/>
      <c r="O59" s="127"/>
      <c r="P59" s="127"/>
      <c r="Q59" s="127"/>
      <c r="R59" s="127"/>
      <c r="S59" s="127"/>
      <c r="T59" s="127">
        <v>42</v>
      </c>
      <c r="U59" s="127"/>
      <c r="V59" s="127"/>
      <c r="W59" s="127"/>
      <c r="X59" s="127"/>
      <c r="Y59" s="127"/>
      <c r="Z59" s="127"/>
      <c r="AA59" s="127"/>
      <c r="AB59" s="127"/>
      <c r="AC59" s="127"/>
      <c r="AD59" s="127"/>
    </row>
    <row r="60" spans="1:30" x14ac:dyDescent="0.25">
      <c r="A60" s="127"/>
      <c r="B60" s="127"/>
      <c r="C60" s="127"/>
      <c r="D60" s="127"/>
      <c r="E60" s="127"/>
      <c r="F60" s="127"/>
      <c r="G60" s="127"/>
      <c r="H60" s="127"/>
      <c r="I60" s="127"/>
      <c r="J60" s="127"/>
      <c r="K60" s="127"/>
      <c r="L60" s="127"/>
      <c r="M60" s="127"/>
      <c r="N60" s="127"/>
      <c r="O60" s="127"/>
      <c r="P60" s="127"/>
      <c r="Q60" s="127"/>
      <c r="R60" s="127"/>
      <c r="S60" s="127"/>
      <c r="T60" s="127">
        <v>43</v>
      </c>
      <c r="U60" s="127"/>
      <c r="V60" s="127"/>
      <c r="W60" s="127"/>
      <c r="X60" s="127"/>
      <c r="Y60" s="127"/>
      <c r="Z60" s="127"/>
      <c r="AA60" s="127"/>
      <c r="AB60" s="127"/>
      <c r="AC60" s="127"/>
      <c r="AD60" s="127"/>
    </row>
    <row r="61" spans="1:30" x14ac:dyDescent="0.25">
      <c r="A61" s="127"/>
      <c r="B61" s="127"/>
      <c r="C61" s="127"/>
      <c r="D61" s="127"/>
      <c r="E61" s="127"/>
      <c r="F61" s="127"/>
      <c r="G61" s="127"/>
      <c r="H61" s="127"/>
      <c r="I61" s="127"/>
      <c r="J61" s="127"/>
      <c r="K61" s="127"/>
      <c r="L61" s="127"/>
      <c r="M61" s="127"/>
      <c r="N61" s="127"/>
      <c r="O61" s="127"/>
      <c r="P61" s="127"/>
      <c r="Q61" s="127"/>
      <c r="R61" s="127"/>
      <c r="S61" s="127"/>
      <c r="T61" s="127">
        <v>44</v>
      </c>
      <c r="U61" s="127"/>
      <c r="V61" s="127"/>
      <c r="W61" s="127"/>
      <c r="X61" s="127"/>
      <c r="Y61" s="127"/>
      <c r="Z61" s="127"/>
      <c r="AA61" s="127"/>
      <c r="AB61" s="127"/>
      <c r="AC61" s="127"/>
      <c r="AD61" s="127"/>
    </row>
    <row r="62" spans="1:30" x14ac:dyDescent="0.25">
      <c r="A62" s="127"/>
      <c r="B62" s="127"/>
      <c r="C62" s="127"/>
      <c r="D62" s="127"/>
      <c r="E62" s="127"/>
      <c r="F62" s="127"/>
      <c r="G62" s="127"/>
      <c r="H62" s="127"/>
      <c r="I62" s="127"/>
      <c r="J62" s="127"/>
      <c r="K62" s="127"/>
      <c r="L62" s="127"/>
      <c r="M62" s="127"/>
      <c r="N62" s="127"/>
      <c r="O62" s="127"/>
      <c r="P62" s="127"/>
      <c r="Q62" s="127"/>
      <c r="R62" s="127"/>
      <c r="S62" s="127"/>
      <c r="T62" s="127">
        <v>45</v>
      </c>
      <c r="U62" s="127"/>
      <c r="V62" s="127"/>
      <c r="W62" s="127"/>
      <c r="X62" s="127"/>
      <c r="Y62" s="127"/>
      <c r="Z62" s="127"/>
      <c r="AA62" s="127"/>
      <c r="AB62" s="127"/>
      <c r="AC62" s="127"/>
      <c r="AD62" s="127"/>
    </row>
    <row r="63" spans="1:30" x14ac:dyDescent="0.25">
      <c r="A63" s="127"/>
      <c r="B63" s="127"/>
      <c r="C63" s="127"/>
      <c r="D63" s="127"/>
      <c r="E63" s="127"/>
      <c r="F63" s="127"/>
      <c r="G63" s="127"/>
      <c r="H63" s="127"/>
      <c r="I63" s="127"/>
      <c r="J63" s="127"/>
      <c r="K63" s="127"/>
      <c r="L63" s="127"/>
      <c r="M63" s="127"/>
      <c r="N63" s="127"/>
      <c r="O63" s="127"/>
      <c r="P63" s="127"/>
      <c r="Q63" s="127"/>
      <c r="R63" s="127"/>
      <c r="S63" s="127"/>
      <c r="T63" s="127">
        <v>46</v>
      </c>
      <c r="U63" s="127"/>
      <c r="V63" s="127"/>
      <c r="W63" s="127"/>
      <c r="X63" s="127"/>
      <c r="Y63" s="127"/>
      <c r="Z63" s="127"/>
      <c r="AA63" s="127"/>
      <c r="AB63" s="127"/>
      <c r="AC63" s="127"/>
      <c r="AD63" s="127"/>
    </row>
    <row r="64" spans="1:30" x14ac:dyDescent="0.25">
      <c r="A64" s="127"/>
      <c r="B64" s="127"/>
      <c r="C64" s="127"/>
      <c r="D64" s="127"/>
      <c r="E64" s="127"/>
      <c r="F64" s="127"/>
      <c r="G64" s="127"/>
      <c r="H64" s="127"/>
      <c r="I64" s="127"/>
      <c r="J64" s="127"/>
      <c r="K64" s="127"/>
      <c r="L64" s="127"/>
      <c r="M64" s="127"/>
      <c r="N64" s="127"/>
      <c r="O64" s="127"/>
      <c r="P64" s="127"/>
      <c r="Q64" s="127"/>
      <c r="R64" s="127"/>
      <c r="S64" s="127"/>
      <c r="T64" s="127">
        <v>47</v>
      </c>
      <c r="U64" s="127"/>
      <c r="V64" s="127"/>
      <c r="W64" s="127"/>
      <c r="X64" s="127"/>
      <c r="Y64" s="127"/>
      <c r="Z64" s="127"/>
      <c r="AA64" s="127"/>
      <c r="AB64" s="127"/>
      <c r="AC64" s="127"/>
      <c r="AD64" s="127"/>
    </row>
    <row r="65" spans="1:30" x14ac:dyDescent="0.25">
      <c r="A65" s="127"/>
      <c r="B65" s="127"/>
      <c r="C65" s="127"/>
      <c r="D65" s="127"/>
      <c r="E65" s="127"/>
      <c r="F65" s="127"/>
      <c r="G65" s="127"/>
      <c r="H65" s="127"/>
      <c r="I65" s="127"/>
      <c r="J65" s="127"/>
      <c r="K65" s="127"/>
      <c r="L65" s="127"/>
      <c r="M65" s="127"/>
      <c r="N65" s="127"/>
      <c r="O65" s="127"/>
      <c r="P65" s="127"/>
      <c r="Q65" s="127"/>
      <c r="R65" s="127"/>
      <c r="S65" s="127"/>
      <c r="T65" s="127">
        <v>48</v>
      </c>
      <c r="U65" s="127"/>
      <c r="V65" s="127"/>
      <c r="W65" s="127"/>
      <c r="X65" s="127"/>
      <c r="Y65" s="127"/>
      <c r="Z65" s="127"/>
      <c r="AA65" s="127"/>
      <c r="AB65" s="127"/>
      <c r="AC65" s="127"/>
      <c r="AD65" s="127"/>
    </row>
    <row r="66" spans="1:30" x14ac:dyDescent="0.25">
      <c r="A66" s="127"/>
      <c r="B66" s="127"/>
      <c r="C66" s="127"/>
      <c r="D66" s="127"/>
      <c r="E66" s="127"/>
      <c r="F66" s="127"/>
      <c r="G66" s="127"/>
      <c r="H66" s="127"/>
      <c r="I66" s="127"/>
      <c r="J66" s="127"/>
      <c r="K66" s="127"/>
      <c r="L66" s="127"/>
      <c r="M66" s="127"/>
      <c r="N66" s="127"/>
      <c r="O66" s="127"/>
      <c r="P66" s="127"/>
      <c r="Q66" s="127"/>
      <c r="R66" s="127"/>
      <c r="S66" s="127"/>
      <c r="T66" s="127">
        <v>49</v>
      </c>
      <c r="U66" s="127"/>
      <c r="V66" s="127"/>
      <c r="W66" s="127"/>
      <c r="X66" s="127"/>
      <c r="Y66" s="127"/>
      <c r="Z66" s="127"/>
      <c r="AA66" s="127"/>
      <c r="AB66" s="127"/>
      <c r="AC66" s="127"/>
      <c r="AD66" s="127"/>
    </row>
    <row r="67" spans="1:30" x14ac:dyDescent="0.25">
      <c r="A67" s="127"/>
      <c r="B67" s="127"/>
      <c r="C67" s="127"/>
      <c r="D67" s="127"/>
      <c r="E67" s="127"/>
      <c r="F67" s="127"/>
      <c r="G67" s="127"/>
      <c r="H67" s="127"/>
      <c r="I67" s="127"/>
      <c r="J67" s="127"/>
      <c r="K67" s="127"/>
      <c r="L67" s="127"/>
      <c r="M67" s="127"/>
      <c r="N67" s="127"/>
      <c r="O67" s="127"/>
      <c r="P67" s="127"/>
      <c r="Q67" s="127"/>
      <c r="R67" s="127"/>
      <c r="S67" s="127"/>
      <c r="T67" s="127">
        <v>50</v>
      </c>
      <c r="U67" s="127"/>
      <c r="V67" s="127"/>
      <c r="W67" s="127"/>
      <c r="X67" s="127"/>
      <c r="Y67" s="127"/>
      <c r="Z67" s="127"/>
      <c r="AA67" s="127"/>
      <c r="AB67" s="127"/>
      <c r="AC67" s="127"/>
      <c r="AD67" s="127"/>
    </row>
    <row r="68" spans="1:30" x14ac:dyDescent="0.25">
      <c r="A68" s="127"/>
      <c r="B68" s="127"/>
      <c r="C68" s="127"/>
      <c r="D68" s="127"/>
      <c r="E68" s="127"/>
      <c r="F68" s="127"/>
      <c r="G68" s="127"/>
      <c r="H68" s="127"/>
      <c r="I68" s="127"/>
      <c r="J68" s="127"/>
      <c r="K68" s="127"/>
      <c r="L68" s="127"/>
      <c r="M68" s="127"/>
      <c r="N68" s="127"/>
      <c r="O68" s="127"/>
      <c r="P68" s="127"/>
      <c r="Q68" s="127"/>
      <c r="R68" s="127"/>
      <c r="S68" s="127"/>
      <c r="T68" s="127">
        <v>51</v>
      </c>
      <c r="U68" s="127"/>
      <c r="V68" s="127"/>
      <c r="W68" s="127"/>
      <c r="X68" s="127"/>
      <c r="Y68" s="127"/>
      <c r="Z68" s="127"/>
      <c r="AA68" s="127"/>
      <c r="AB68" s="127"/>
      <c r="AC68" s="127"/>
      <c r="AD68" s="127"/>
    </row>
    <row r="69" spans="1:30" x14ac:dyDescent="0.25">
      <c r="A69" s="127"/>
      <c r="B69" s="127"/>
      <c r="C69" s="127"/>
      <c r="D69" s="127"/>
      <c r="E69" s="127"/>
      <c r="F69" s="127"/>
      <c r="G69" s="127"/>
      <c r="H69" s="127"/>
      <c r="I69" s="127"/>
      <c r="J69" s="127"/>
      <c r="K69" s="127"/>
      <c r="L69" s="127"/>
      <c r="M69" s="127"/>
      <c r="N69" s="127"/>
      <c r="O69" s="127"/>
      <c r="P69" s="127"/>
      <c r="Q69" s="127"/>
      <c r="R69" s="127"/>
      <c r="S69" s="127"/>
      <c r="T69" s="127">
        <v>52</v>
      </c>
      <c r="U69" s="127"/>
      <c r="V69" s="127"/>
      <c r="W69" s="127"/>
      <c r="X69" s="127"/>
      <c r="Y69" s="127"/>
      <c r="Z69" s="127"/>
      <c r="AA69" s="127"/>
      <c r="AB69" s="127"/>
      <c r="AC69" s="127"/>
      <c r="AD69" s="127"/>
    </row>
    <row r="70" spans="1:30" x14ac:dyDescent="0.25">
      <c r="A70" s="127"/>
      <c r="B70" s="127"/>
      <c r="C70" s="127"/>
      <c r="D70" s="127"/>
      <c r="E70" s="127"/>
      <c r="F70" s="127"/>
      <c r="G70" s="127"/>
      <c r="H70" s="127"/>
      <c r="I70" s="127"/>
      <c r="J70" s="127"/>
      <c r="K70" s="127"/>
      <c r="L70" s="127"/>
      <c r="M70" s="127"/>
      <c r="N70" s="127"/>
      <c r="O70" s="127"/>
      <c r="P70" s="127"/>
      <c r="Q70" s="127"/>
      <c r="R70" s="127"/>
      <c r="S70" s="127"/>
      <c r="T70" s="127">
        <v>53</v>
      </c>
      <c r="U70" s="127"/>
      <c r="V70" s="127"/>
      <c r="W70" s="127"/>
      <c r="X70" s="127"/>
      <c r="Y70" s="127"/>
      <c r="Z70" s="127"/>
      <c r="AA70" s="127"/>
      <c r="AB70" s="127"/>
      <c r="AC70" s="127"/>
      <c r="AD70" s="127"/>
    </row>
    <row r="71" spans="1:30" x14ac:dyDescent="0.25">
      <c r="A71" s="127"/>
      <c r="B71" s="127"/>
      <c r="C71" s="127"/>
      <c r="D71" s="127"/>
      <c r="E71" s="127"/>
      <c r="F71" s="127"/>
      <c r="G71" s="127"/>
      <c r="H71" s="127"/>
      <c r="I71" s="127"/>
      <c r="J71" s="127"/>
      <c r="K71" s="127"/>
      <c r="L71" s="127"/>
      <c r="M71" s="127"/>
      <c r="N71" s="127"/>
      <c r="O71" s="127"/>
      <c r="P71" s="127"/>
      <c r="Q71" s="127"/>
      <c r="R71" s="127"/>
      <c r="S71" s="127"/>
      <c r="T71" s="127">
        <v>54</v>
      </c>
      <c r="U71" s="127"/>
      <c r="V71" s="127"/>
      <c r="W71" s="127"/>
      <c r="X71" s="127"/>
      <c r="Y71" s="127"/>
      <c r="Z71" s="127"/>
      <c r="AA71" s="127"/>
      <c r="AB71" s="127"/>
      <c r="AC71" s="127"/>
      <c r="AD71" s="127"/>
    </row>
    <row r="72" spans="1:30" x14ac:dyDescent="0.25">
      <c r="A72" s="127"/>
      <c r="B72" s="127"/>
      <c r="C72" s="127"/>
      <c r="D72" s="127"/>
      <c r="E72" s="127"/>
      <c r="F72" s="127"/>
      <c r="G72" s="127"/>
      <c r="H72" s="127"/>
      <c r="I72" s="127"/>
      <c r="J72" s="127"/>
      <c r="K72" s="127"/>
      <c r="L72" s="127"/>
      <c r="M72" s="127"/>
      <c r="N72" s="127"/>
      <c r="O72" s="127"/>
      <c r="P72" s="127"/>
      <c r="Q72" s="127"/>
      <c r="R72" s="127"/>
      <c r="S72" s="127"/>
      <c r="T72" s="127">
        <v>55</v>
      </c>
      <c r="U72" s="127"/>
      <c r="V72" s="127"/>
      <c r="W72" s="127"/>
      <c r="X72" s="127"/>
      <c r="Y72" s="127"/>
      <c r="Z72" s="127"/>
      <c r="AA72" s="127"/>
      <c r="AB72" s="127"/>
      <c r="AC72" s="127"/>
      <c r="AD72" s="127"/>
    </row>
    <row r="73" spans="1:30" x14ac:dyDescent="0.25">
      <c r="A73" s="127"/>
      <c r="B73" s="127"/>
      <c r="C73" s="127"/>
      <c r="D73" s="127"/>
      <c r="E73" s="127"/>
      <c r="F73" s="127"/>
      <c r="G73" s="127"/>
      <c r="H73" s="127"/>
      <c r="I73" s="127"/>
      <c r="J73" s="127"/>
      <c r="K73" s="127"/>
      <c r="L73" s="127"/>
      <c r="M73" s="127"/>
      <c r="N73" s="127"/>
      <c r="O73" s="127"/>
      <c r="P73" s="127"/>
      <c r="Q73" s="127"/>
      <c r="R73" s="127"/>
      <c r="S73" s="127"/>
      <c r="T73" s="127">
        <v>56</v>
      </c>
      <c r="U73" s="127"/>
      <c r="V73" s="127"/>
      <c r="W73" s="127"/>
      <c r="X73" s="127"/>
      <c r="Y73" s="127"/>
      <c r="Z73" s="127"/>
      <c r="AA73" s="127"/>
      <c r="AB73" s="127"/>
      <c r="AC73" s="127"/>
      <c r="AD73" s="127"/>
    </row>
    <row r="74" spans="1:30" x14ac:dyDescent="0.25">
      <c r="A74" s="127"/>
      <c r="B74" s="127"/>
      <c r="C74" s="127"/>
      <c r="D74" s="127"/>
      <c r="E74" s="127"/>
      <c r="F74" s="127"/>
      <c r="G74" s="127"/>
      <c r="H74" s="127"/>
      <c r="I74" s="127"/>
      <c r="J74" s="127"/>
      <c r="K74" s="127"/>
      <c r="L74" s="127"/>
      <c r="M74" s="127"/>
      <c r="N74" s="127"/>
      <c r="O74" s="127"/>
      <c r="P74" s="127"/>
      <c r="Q74" s="127"/>
      <c r="R74" s="127"/>
      <c r="S74" s="127"/>
      <c r="T74" s="127">
        <v>57</v>
      </c>
      <c r="U74" s="127"/>
      <c r="V74" s="127"/>
      <c r="W74" s="127"/>
      <c r="X74" s="127"/>
      <c r="Y74" s="127"/>
      <c r="Z74" s="127"/>
      <c r="AA74" s="127"/>
      <c r="AB74" s="127"/>
      <c r="AC74" s="127"/>
      <c r="AD74" s="127"/>
    </row>
    <row r="75" spans="1:30" x14ac:dyDescent="0.25">
      <c r="A75" s="127"/>
      <c r="B75" s="127"/>
      <c r="C75" s="127"/>
      <c r="D75" s="127"/>
      <c r="E75" s="127"/>
      <c r="F75" s="127"/>
      <c r="G75" s="127"/>
      <c r="H75" s="127"/>
      <c r="I75" s="127"/>
      <c r="J75" s="127"/>
      <c r="K75" s="127"/>
      <c r="L75" s="127"/>
      <c r="M75" s="127"/>
      <c r="N75" s="127"/>
      <c r="O75" s="127"/>
      <c r="P75" s="127"/>
      <c r="Q75" s="127"/>
      <c r="R75" s="127"/>
      <c r="S75" s="127"/>
      <c r="T75" s="127">
        <v>58</v>
      </c>
      <c r="U75" s="127"/>
      <c r="V75" s="127"/>
      <c r="W75" s="127"/>
      <c r="X75" s="127"/>
      <c r="Y75" s="127"/>
      <c r="Z75" s="127"/>
      <c r="AA75" s="127"/>
      <c r="AB75" s="127"/>
      <c r="AC75" s="127"/>
      <c r="AD75" s="127"/>
    </row>
    <row r="76" spans="1:30" x14ac:dyDescent="0.25">
      <c r="A76" s="127"/>
      <c r="B76" s="127"/>
      <c r="C76" s="127"/>
      <c r="D76" s="127"/>
      <c r="E76" s="127"/>
      <c r="F76" s="127"/>
      <c r="G76" s="127"/>
      <c r="H76" s="127"/>
      <c r="I76" s="127"/>
      <c r="J76" s="127"/>
      <c r="K76" s="127"/>
      <c r="L76" s="127"/>
      <c r="M76" s="127"/>
      <c r="N76" s="127"/>
      <c r="O76" s="127"/>
      <c r="P76" s="127"/>
      <c r="Q76" s="127"/>
      <c r="R76" s="127"/>
      <c r="S76" s="127"/>
      <c r="T76" s="127">
        <v>59</v>
      </c>
      <c r="U76" s="127"/>
      <c r="V76" s="127"/>
      <c r="W76" s="127"/>
      <c r="X76" s="127"/>
      <c r="Y76" s="127"/>
      <c r="Z76" s="127"/>
      <c r="AA76" s="127"/>
      <c r="AB76" s="127"/>
      <c r="AC76" s="127"/>
      <c r="AD76" s="127"/>
    </row>
    <row r="77" spans="1:30" x14ac:dyDescent="0.25">
      <c r="A77" s="127"/>
      <c r="B77" s="127"/>
      <c r="C77" s="127"/>
      <c r="D77" s="127"/>
      <c r="E77" s="127"/>
      <c r="F77" s="127"/>
      <c r="G77" s="127"/>
      <c r="H77" s="127"/>
      <c r="I77" s="127"/>
      <c r="J77" s="127"/>
      <c r="K77" s="127"/>
      <c r="L77" s="127"/>
      <c r="M77" s="127"/>
      <c r="N77" s="127"/>
      <c r="O77" s="127"/>
      <c r="P77" s="127"/>
      <c r="Q77" s="127"/>
      <c r="R77" s="127"/>
      <c r="S77" s="127"/>
      <c r="T77" s="127">
        <v>60</v>
      </c>
      <c r="U77" s="127"/>
      <c r="V77" s="127"/>
      <c r="W77" s="127"/>
      <c r="X77" s="127"/>
      <c r="Y77" s="127"/>
      <c r="Z77" s="127"/>
      <c r="AA77" s="127"/>
      <c r="AB77" s="127"/>
      <c r="AC77" s="127"/>
      <c r="AD77" s="127"/>
    </row>
    <row r="78" spans="1:30" x14ac:dyDescent="0.25">
      <c r="A78" s="127"/>
      <c r="B78" s="127"/>
      <c r="C78" s="127"/>
      <c r="D78" s="127"/>
      <c r="E78" s="127"/>
      <c r="F78" s="127"/>
      <c r="G78" s="127"/>
      <c r="H78" s="127"/>
      <c r="I78" s="127"/>
      <c r="J78" s="127"/>
      <c r="K78" s="127"/>
      <c r="L78" s="127"/>
      <c r="M78" s="127"/>
      <c r="N78" s="127"/>
      <c r="O78" s="127"/>
      <c r="P78" s="127"/>
      <c r="Q78" s="127"/>
      <c r="R78" s="127"/>
      <c r="S78" s="127"/>
      <c r="T78" s="127">
        <v>61</v>
      </c>
      <c r="U78" s="127"/>
      <c r="V78" s="127"/>
      <c r="W78" s="127"/>
      <c r="X78" s="127"/>
      <c r="Y78" s="127"/>
      <c r="Z78" s="127"/>
      <c r="AA78" s="127"/>
      <c r="AB78" s="127"/>
      <c r="AC78" s="127"/>
      <c r="AD78" s="127"/>
    </row>
    <row r="79" spans="1:30" x14ac:dyDescent="0.25">
      <c r="A79" s="127"/>
      <c r="B79" s="127"/>
      <c r="C79" s="127"/>
      <c r="D79" s="127"/>
      <c r="E79" s="127"/>
      <c r="F79" s="127"/>
      <c r="G79" s="127"/>
      <c r="H79" s="127"/>
      <c r="I79" s="127"/>
      <c r="J79" s="127"/>
      <c r="K79" s="127"/>
      <c r="L79" s="127"/>
      <c r="M79" s="127"/>
      <c r="N79" s="127"/>
      <c r="O79" s="127"/>
      <c r="P79" s="127"/>
      <c r="Q79" s="127"/>
      <c r="R79" s="127"/>
      <c r="S79" s="127"/>
      <c r="T79" s="127">
        <v>62</v>
      </c>
      <c r="U79" s="127"/>
      <c r="V79" s="127"/>
      <c r="W79" s="127"/>
      <c r="X79" s="127"/>
      <c r="Y79" s="127"/>
      <c r="Z79" s="127"/>
      <c r="AA79" s="127"/>
      <c r="AB79" s="127"/>
      <c r="AC79" s="127"/>
      <c r="AD79" s="127"/>
    </row>
    <row r="80" spans="1:30" x14ac:dyDescent="0.25">
      <c r="A80" s="127"/>
      <c r="B80" s="127"/>
      <c r="C80" s="127"/>
      <c r="D80" s="127"/>
      <c r="E80" s="127"/>
      <c r="F80" s="127"/>
      <c r="G80" s="127"/>
      <c r="H80" s="127"/>
      <c r="I80" s="127"/>
      <c r="J80" s="127"/>
      <c r="K80" s="127"/>
      <c r="L80" s="127"/>
      <c r="M80" s="127"/>
      <c r="N80" s="127"/>
      <c r="O80" s="127"/>
      <c r="P80" s="127"/>
      <c r="Q80" s="127"/>
      <c r="R80" s="127"/>
      <c r="S80" s="127"/>
      <c r="T80" s="127">
        <v>63</v>
      </c>
      <c r="U80" s="127"/>
      <c r="V80" s="127"/>
      <c r="W80" s="127"/>
      <c r="X80" s="127"/>
      <c r="Y80" s="127"/>
      <c r="Z80" s="127"/>
      <c r="AA80" s="127"/>
      <c r="AB80" s="127"/>
      <c r="AC80" s="127"/>
      <c r="AD80" s="127"/>
    </row>
    <row r="81" spans="1:30" x14ac:dyDescent="0.25">
      <c r="A81" s="127"/>
      <c r="B81" s="127"/>
      <c r="C81" s="127"/>
      <c r="D81" s="127"/>
      <c r="E81" s="127"/>
      <c r="F81" s="127"/>
      <c r="G81" s="127"/>
      <c r="H81" s="127"/>
      <c r="I81" s="127"/>
      <c r="J81" s="127"/>
      <c r="K81" s="127"/>
      <c r="L81" s="127"/>
      <c r="M81" s="127"/>
      <c r="N81" s="127"/>
      <c r="O81" s="127"/>
      <c r="P81" s="127"/>
      <c r="Q81" s="127"/>
      <c r="R81" s="127"/>
      <c r="S81" s="127"/>
      <c r="T81" s="127">
        <v>64</v>
      </c>
      <c r="U81" s="127"/>
      <c r="V81" s="127"/>
      <c r="W81" s="127"/>
      <c r="X81" s="127"/>
      <c r="Y81" s="127"/>
      <c r="Z81" s="127"/>
      <c r="AA81" s="127"/>
      <c r="AB81" s="127"/>
      <c r="AC81" s="127"/>
      <c r="AD81" s="127"/>
    </row>
    <row r="82" spans="1:30" x14ac:dyDescent="0.25">
      <c r="A82" s="127"/>
      <c r="B82" s="127"/>
      <c r="C82" s="127"/>
      <c r="D82" s="127"/>
      <c r="E82" s="127"/>
      <c r="F82" s="127"/>
      <c r="G82" s="127"/>
      <c r="H82" s="127"/>
      <c r="I82" s="127"/>
      <c r="J82" s="127"/>
      <c r="K82" s="127"/>
      <c r="L82" s="127"/>
      <c r="M82" s="127"/>
      <c r="N82" s="127"/>
      <c r="O82" s="127"/>
      <c r="P82" s="127"/>
      <c r="Q82" s="127"/>
      <c r="R82" s="127"/>
      <c r="S82" s="127"/>
      <c r="T82" s="127">
        <v>65</v>
      </c>
      <c r="U82" s="127"/>
      <c r="V82" s="127"/>
      <c r="W82" s="127"/>
      <c r="X82" s="127"/>
      <c r="Y82" s="127"/>
      <c r="Z82" s="127"/>
      <c r="AA82" s="127"/>
      <c r="AB82" s="127"/>
      <c r="AC82" s="127"/>
      <c r="AD82" s="127"/>
    </row>
    <row r="83" spans="1:30" x14ac:dyDescent="0.25">
      <c r="A83" s="127"/>
      <c r="B83" s="127"/>
      <c r="C83" s="127"/>
      <c r="D83" s="127"/>
      <c r="E83" s="127"/>
      <c r="F83" s="127"/>
      <c r="G83" s="127"/>
      <c r="H83" s="127"/>
      <c r="I83" s="127"/>
      <c r="J83" s="127"/>
      <c r="K83" s="127"/>
      <c r="L83" s="127"/>
      <c r="M83" s="127"/>
      <c r="N83" s="127"/>
      <c r="O83" s="127"/>
      <c r="P83" s="127"/>
      <c r="Q83" s="127"/>
      <c r="R83" s="127"/>
      <c r="S83" s="127"/>
      <c r="T83" s="127">
        <v>66</v>
      </c>
      <c r="U83" s="127"/>
      <c r="V83" s="127"/>
      <c r="W83" s="127"/>
      <c r="X83" s="127"/>
      <c r="Y83" s="127"/>
      <c r="Z83" s="127"/>
      <c r="AA83" s="127"/>
      <c r="AB83" s="127"/>
      <c r="AC83" s="127"/>
      <c r="AD83" s="127"/>
    </row>
    <row r="84" spans="1:30" x14ac:dyDescent="0.25">
      <c r="A84" s="127"/>
      <c r="B84" s="127"/>
      <c r="C84" s="127"/>
      <c r="D84" s="127"/>
      <c r="E84" s="127"/>
      <c r="F84" s="127"/>
      <c r="G84" s="127"/>
      <c r="H84" s="127"/>
      <c r="I84" s="127"/>
      <c r="J84" s="127"/>
      <c r="K84" s="127"/>
      <c r="L84" s="127"/>
      <c r="M84" s="127"/>
      <c r="N84" s="127"/>
      <c r="O84" s="127"/>
      <c r="P84" s="127"/>
      <c r="Q84" s="127"/>
      <c r="R84" s="127"/>
      <c r="S84" s="127"/>
      <c r="T84" s="127">
        <v>67</v>
      </c>
      <c r="U84" s="127"/>
      <c r="V84" s="127"/>
      <c r="W84" s="127"/>
      <c r="X84" s="127"/>
      <c r="Y84" s="127"/>
      <c r="Z84" s="127"/>
      <c r="AA84" s="127"/>
      <c r="AB84" s="127"/>
      <c r="AC84" s="127"/>
      <c r="AD84" s="127"/>
    </row>
    <row r="85" spans="1:30" x14ac:dyDescent="0.25">
      <c r="A85" s="127"/>
      <c r="B85" s="127"/>
      <c r="C85" s="127"/>
      <c r="D85" s="127"/>
      <c r="E85" s="127"/>
      <c r="F85" s="127"/>
      <c r="G85" s="127"/>
      <c r="H85" s="127"/>
      <c r="I85" s="127"/>
      <c r="J85" s="127"/>
      <c r="K85" s="127"/>
      <c r="L85" s="127"/>
      <c r="M85" s="127"/>
      <c r="N85" s="127"/>
      <c r="O85" s="127"/>
      <c r="P85" s="127"/>
      <c r="Q85" s="127"/>
      <c r="R85" s="127"/>
      <c r="S85" s="127"/>
      <c r="T85" s="127">
        <v>68</v>
      </c>
      <c r="U85" s="127"/>
      <c r="V85" s="127"/>
      <c r="W85" s="127"/>
      <c r="X85" s="127"/>
      <c r="Y85" s="127"/>
      <c r="Z85" s="127"/>
      <c r="AA85" s="127"/>
      <c r="AB85" s="127"/>
      <c r="AC85" s="127"/>
      <c r="AD85" s="127"/>
    </row>
    <row r="86" spans="1:30" x14ac:dyDescent="0.25">
      <c r="A86" s="127"/>
      <c r="B86" s="127"/>
      <c r="C86" s="127"/>
      <c r="D86" s="127"/>
      <c r="E86" s="127"/>
      <c r="F86" s="127"/>
      <c r="G86" s="127"/>
      <c r="H86" s="127"/>
      <c r="I86" s="127"/>
      <c r="J86" s="127"/>
      <c r="K86" s="127"/>
      <c r="L86" s="127"/>
      <c r="M86" s="127"/>
      <c r="N86" s="127"/>
      <c r="O86" s="127"/>
      <c r="P86" s="127"/>
      <c r="Q86" s="127"/>
      <c r="R86" s="127"/>
      <c r="S86" s="127"/>
      <c r="T86" s="127">
        <v>69</v>
      </c>
      <c r="U86" s="127"/>
      <c r="V86" s="127"/>
      <c r="W86" s="127"/>
      <c r="X86" s="127"/>
      <c r="Y86" s="127"/>
      <c r="Z86" s="127"/>
      <c r="AA86" s="127"/>
      <c r="AB86" s="127"/>
      <c r="AC86" s="127"/>
      <c r="AD86" s="127"/>
    </row>
    <row r="87" spans="1:30" x14ac:dyDescent="0.25">
      <c r="A87" s="127"/>
      <c r="B87" s="127"/>
      <c r="C87" s="127"/>
      <c r="D87" s="127"/>
      <c r="E87" s="127"/>
      <c r="F87" s="127"/>
      <c r="G87" s="127"/>
      <c r="H87" s="127"/>
      <c r="I87" s="127"/>
      <c r="J87" s="127"/>
      <c r="K87" s="127"/>
      <c r="L87" s="127"/>
      <c r="M87" s="127"/>
      <c r="N87" s="127"/>
      <c r="O87" s="127"/>
      <c r="P87" s="127"/>
      <c r="Q87" s="127"/>
      <c r="R87" s="127"/>
      <c r="S87" s="127"/>
      <c r="T87" s="127">
        <v>70</v>
      </c>
      <c r="U87" s="127"/>
      <c r="V87" s="127"/>
      <c r="W87" s="127"/>
      <c r="X87" s="127"/>
      <c r="Y87" s="127"/>
      <c r="Z87" s="127"/>
      <c r="AA87" s="127"/>
      <c r="AB87" s="127"/>
      <c r="AC87" s="127"/>
      <c r="AD87" s="127"/>
    </row>
    <row r="88" spans="1:30" x14ac:dyDescent="0.25">
      <c r="A88" s="127"/>
      <c r="B88" s="127"/>
      <c r="C88" s="127"/>
      <c r="D88" s="127"/>
      <c r="E88" s="127"/>
      <c r="F88" s="127"/>
      <c r="G88" s="127"/>
      <c r="H88" s="127"/>
      <c r="I88" s="127"/>
      <c r="J88" s="127"/>
      <c r="K88" s="127"/>
      <c r="L88" s="127"/>
      <c r="M88" s="127"/>
      <c r="N88" s="127"/>
      <c r="O88" s="127"/>
      <c r="P88" s="127"/>
      <c r="Q88" s="127"/>
      <c r="R88" s="127"/>
      <c r="S88" s="127"/>
      <c r="T88" s="127">
        <v>71</v>
      </c>
      <c r="U88" s="127"/>
      <c r="V88" s="127"/>
      <c r="W88" s="127"/>
      <c r="X88" s="127"/>
      <c r="Y88" s="127"/>
      <c r="Z88" s="127"/>
      <c r="AA88" s="127"/>
      <c r="AB88" s="127"/>
      <c r="AC88" s="127"/>
      <c r="AD88" s="127"/>
    </row>
    <row r="89" spans="1:30" x14ac:dyDescent="0.25">
      <c r="A89" s="127"/>
      <c r="B89" s="127"/>
      <c r="C89" s="127"/>
      <c r="D89" s="127"/>
      <c r="E89" s="127"/>
      <c r="F89" s="127"/>
      <c r="G89" s="127"/>
      <c r="H89" s="127"/>
      <c r="I89" s="127"/>
      <c r="J89" s="127"/>
      <c r="K89" s="127"/>
      <c r="L89" s="127"/>
      <c r="M89" s="127"/>
      <c r="N89" s="127"/>
      <c r="O89" s="127"/>
      <c r="P89" s="127"/>
      <c r="Q89" s="127"/>
      <c r="R89" s="127"/>
      <c r="S89" s="127"/>
      <c r="T89" s="127">
        <v>72</v>
      </c>
      <c r="U89" s="127"/>
      <c r="V89" s="127"/>
      <c r="W89" s="127"/>
      <c r="X89" s="127"/>
      <c r="Y89" s="127"/>
      <c r="Z89" s="127"/>
      <c r="AA89" s="127"/>
      <c r="AB89" s="127"/>
      <c r="AC89" s="127"/>
      <c r="AD89" s="127"/>
    </row>
    <row r="90" spans="1:30" x14ac:dyDescent="0.25">
      <c r="A90" s="127"/>
      <c r="B90" s="127"/>
      <c r="C90" s="127"/>
      <c r="D90" s="127"/>
      <c r="E90" s="127"/>
      <c r="F90" s="127"/>
      <c r="G90" s="127"/>
      <c r="H90" s="127"/>
      <c r="I90" s="127"/>
      <c r="J90" s="127"/>
      <c r="K90" s="127"/>
      <c r="L90" s="127"/>
      <c r="M90" s="127"/>
      <c r="N90" s="127"/>
      <c r="O90" s="127"/>
      <c r="P90" s="127"/>
      <c r="Q90" s="127"/>
      <c r="R90" s="127"/>
      <c r="S90" s="127"/>
      <c r="T90" s="127">
        <v>73</v>
      </c>
      <c r="U90" s="127"/>
      <c r="V90" s="127"/>
      <c r="W90" s="127"/>
      <c r="X90" s="127"/>
      <c r="Y90" s="127"/>
      <c r="Z90" s="127"/>
      <c r="AA90" s="127"/>
      <c r="AB90" s="127"/>
      <c r="AC90" s="127"/>
      <c r="AD90" s="127"/>
    </row>
    <row r="91" spans="1:30" x14ac:dyDescent="0.25">
      <c r="A91" s="127"/>
      <c r="B91" s="127"/>
      <c r="C91" s="127"/>
      <c r="D91" s="127"/>
      <c r="E91" s="127"/>
      <c r="F91" s="127"/>
      <c r="G91" s="127"/>
      <c r="H91" s="127"/>
      <c r="I91" s="127"/>
      <c r="J91" s="127"/>
      <c r="K91" s="127"/>
      <c r="L91" s="127"/>
      <c r="M91" s="127"/>
      <c r="N91" s="127"/>
      <c r="O91" s="127"/>
      <c r="P91" s="127"/>
      <c r="Q91" s="127"/>
      <c r="R91" s="127"/>
      <c r="S91" s="127"/>
      <c r="T91" s="127">
        <v>74</v>
      </c>
      <c r="U91" s="127"/>
      <c r="V91" s="127"/>
      <c r="W91" s="127"/>
      <c r="X91" s="127"/>
      <c r="Y91" s="127"/>
      <c r="Z91" s="127"/>
      <c r="AA91" s="127"/>
      <c r="AB91" s="127"/>
      <c r="AC91" s="127"/>
      <c r="AD91" s="127"/>
    </row>
    <row r="92" spans="1:30" x14ac:dyDescent="0.25">
      <c r="A92" s="127"/>
      <c r="B92" s="127"/>
      <c r="C92" s="127"/>
      <c r="D92" s="127"/>
      <c r="E92" s="127"/>
      <c r="F92" s="127"/>
      <c r="G92" s="127"/>
      <c r="H92" s="127"/>
      <c r="I92" s="127"/>
      <c r="J92" s="127"/>
      <c r="K92" s="127"/>
      <c r="L92" s="127"/>
      <c r="M92" s="127"/>
      <c r="N92" s="127"/>
      <c r="O92" s="127"/>
      <c r="P92" s="127"/>
      <c r="Q92" s="127"/>
      <c r="R92" s="127"/>
      <c r="S92" s="127"/>
      <c r="T92" s="127">
        <v>75</v>
      </c>
      <c r="U92" s="127"/>
      <c r="V92" s="127"/>
      <c r="W92" s="127"/>
      <c r="X92" s="127"/>
      <c r="Y92" s="127"/>
      <c r="Z92" s="127"/>
      <c r="AA92" s="127"/>
      <c r="AB92" s="127"/>
      <c r="AC92" s="127"/>
      <c r="AD92" s="127"/>
    </row>
    <row r="93" spans="1:30" x14ac:dyDescent="0.25">
      <c r="A93" s="127"/>
      <c r="B93" s="127"/>
      <c r="C93" s="127"/>
      <c r="D93" s="127"/>
      <c r="E93" s="127"/>
      <c r="F93" s="127"/>
      <c r="G93" s="127"/>
      <c r="H93" s="127"/>
      <c r="I93" s="127"/>
      <c r="J93" s="127"/>
      <c r="K93" s="127"/>
      <c r="L93" s="127"/>
      <c r="M93" s="127"/>
      <c r="N93" s="127"/>
      <c r="O93" s="127"/>
      <c r="P93" s="127"/>
      <c r="Q93" s="127"/>
      <c r="R93" s="127"/>
      <c r="S93" s="127"/>
      <c r="T93" s="127">
        <v>76</v>
      </c>
      <c r="U93" s="127"/>
      <c r="V93" s="127"/>
      <c r="W93" s="127"/>
      <c r="X93" s="127"/>
      <c r="Y93" s="127"/>
      <c r="Z93" s="127"/>
      <c r="AA93" s="127"/>
      <c r="AB93" s="127"/>
      <c r="AC93" s="127"/>
      <c r="AD93" s="127"/>
    </row>
    <row r="94" spans="1:30" x14ac:dyDescent="0.25">
      <c r="A94" s="127"/>
      <c r="B94" s="127"/>
      <c r="C94" s="127"/>
      <c r="D94" s="127"/>
      <c r="E94" s="127"/>
      <c r="F94" s="127"/>
      <c r="G94" s="127"/>
      <c r="H94" s="127"/>
      <c r="I94" s="127"/>
      <c r="J94" s="127"/>
      <c r="K94" s="127"/>
      <c r="L94" s="127"/>
      <c r="M94" s="127"/>
      <c r="N94" s="127"/>
      <c r="O94" s="127"/>
      <c r="P94" s="127"/>
      <c r="Q94" s="127"/>
      <c r="R94" s="127"/>
      <c r="S94" s="127"/>
      <c r="T94" s="127">
        <v>77</v>
      </c>
      <c r="U94" s="127"/>
      <c r="V94" s="127"/>
      <c r="W94" s="127"/>
      <c r="X94" s="127"/>
      <c r="Y94" s="127"/>
      <c r="Z94" s="127"/>
      <c r="AA94" s="127"/>
      <c r="AB94" s="127"/>
      <c r="AC94" s="127"/>
      <c r="AD94" s="127"/>
    </row>
    <row r="95" spans="1:30" x14ac:dyDescent="0.25">
      <c r="A95" s="127"/>
      <c r="B95" s="127"/>
      <c r="C95" s="127"/>
      <c r="D95" s="127"/>
      <c r="E95" s="127"/>
      <c r="F95" s="127"/>
      <c r="G95" s="127"/>
      <c r="H95" s="127"/>
      <c r="I95" s="127"/>
      <c r="J95" s="127"/>
      <c r="K95" s="127"/>
      <c r="L95" s="127"/>
      <c r="M95" s="127"/>
      <c r="N95" s="127"/>
      <c r="O95" s="127"/>
      <c r="P95" s="127"/>
      <c r="Q95" s="127"/>
      <c r="R95" s="127"/>
      <c r="S95" s="127"/>
      <c r="T95" s="127">
        <v>78</v>
      </c>
      <c r="U95" s="127"/>
      <c r="V95" s="127"/>
      <c r="W95" s="127"/>
      <c r="X95" s="127"/>
      <c r="Y95" s="127"/>
      <c r="Z95" s="127"/>
      <c r="AA95" s="127"/>
      <c r="AB95" s="127"/>
      <c r="AC95" s="127"/>
      <c r="AD95" s="127"/>
    </row>
    <row r="96" spans="1:30" x14ac:dyDescent="0.25">
      <c r="A96" s="127"/>
      <c r="B96" s="127"/>
      <c r="C96" s="127"/>
      <c r="D96" s="127"/>
      <c r="E96" s="127"/>
      <c r="F96" s="127"/>
      <c r="G96" s="127"/>
      <c r="H96" s="127"/>
      <c r="I96" s="127"/>
      <c r="J96" s="127"/>
      <c r="K96" s="127"/>
      <c r="L96" s="127"/>
      <c r="M96" s="127"/>
      <c r="N96" s="127"/>
      <c r="O96" s="127"/>
      <c r="P96" s="127"/>
      <c r="Q96" s="127"/>
      <c r="R96" s="127"/>
      <c r="S96" s="127"/>
      <c r="T96" s="127">
        <v>79</v>
      </c>
      <c r="U96" s="127"/>
      <c r="V96" s="127"/>
      <c r="W96" s="127"/>
      <c r="X96" s="127"/>
      <c r="Y96" s="127"/>
      <c r="Z96" s="127"/>
      <c r="AA96" s="127"/>
      <c r="AB96" s="127"/>
      <c r="AC96" s="127"/>
      <c r="AD96" s="127"/>
    </row>
    <row r="97" spans="1:30" x14ac:dyDescent="0.25">
      <c r="A97" s="127"/>
      <c r="B97" s="127"/>
      <c r="C97" s="127"/>
      <c r="D97" s="127"/>
      <c r="E97" s="127"/>
      <c r="F97" s="127"/>
      <c r="G97" s="127"/>
      <c r="H97" s="127"/>
      <c r="I97" s="127"/>
      <c r="J97" s="127"/>
      <c r="K97" s="127"/>
      <c r="L97" s="127"/>
      <c r="M97" s="127"/>
      <c r="N97" s="127"/>
      <c r="O97" s="127"/>
      <c r="P97" s="127"/>
      <c r="Q97" s="127"/>
      <c r="R97" s="127"/>
      <c r="S97" s="127"/>
      <c r="T97" s="127">
        <v>80</v>
      </c>
      <c r="U97" s="127"/>
      <c r="V97" s="127"/>
      <c r="W97" s="127"/>
      <c r="X97" s="127"/>
      <c r="Y97" s="127"/>
      <c r="Z97" s="127"/>
      <c r="AA97" s="127"/>
      <c r="AB97" s="127"/>
      <c r="AC97" s="127"/>
      <c r="AD97" s="127"/>
    </row>
    <row r="98" spans="1:30" x14ac:dyDescent="0.25">
      <c r="A98" s="127"/>
      <c r="B98" s="127"/>
      <c r="C98" s="127"/>
      <c r="D98" s="127"/>
      <c r="E98" s="127"/>
      <c r="F98" s="127"/>
      <c r="G98" s="127"/>
      <c r="H98" s="127"/>
      <c r="I98" s="127"/>
      <c r="J98" s="127"/>
      <c r="K98" s="127"/>
      <c r="L98" s="127"/>
      <c r="M98" s="127"/>
      <c r="N98" s="127"/>
      <c r="O98" s="127"/>
      <c r="P98" s="127"/>
      <c r="Q98" s="127"/>
      <c r="R98" s="127"/>
      <c r="S98" s="127"/>
      <c r="T98" s="127">
        <v>81</v>
      </c>
      <c r="U98" s="127"/>
      <c r="V98" s="127"/>
      <c r="W98" s="127"/>
      <c r="X98" s="127"/>
      <c r="Y98" s="127"/>
      <c r="Z98" s="127"/>
      <c r="AA98" s="127"/>
      <c r="AB98" s="127"/>
      <c r="AC98" s="127"/>
      <c r="AD98" s="127"/>
    </row>
    <row r="99" spans="1:30" x14ac:dyDescent="0.25">
      <c r="A99" s="127"/>
      <c r="B99" s="127"/>
      <c r="C99" s="127"/>
      <c r="D99" s="127"/>
      <c r="E99" s="127"/>
      <c r="F99" s="127"/>
      <c r="G99" s="127"/>
      <c r="H99" s="127"/>
      <c r="I99" s="127"/>
      <c r="J99" s="127"/>
      <c r="K99" s="127"/>
      <c r="L99" s="127"/>
      <c r="M99" s="127"/>
      <c r="N99" s="127"/>
      <c r="O99" s="127"/>
      <c r="P99" s="127"/>
      <c r="Q99" s="127"/>
      <c r="R99" s="127"/>
      <c r="S99" s="127"/>
      <c r="T99" s="127">
        <v>82</v>
      </c>
      <c r="U99" s="127"/>
      <c r="V99" s="127"/>
      <c r="W99" s="127"/>
      <c r="X99" s="127"/>
      <c r="Y99" s="127"/>
      <c r="Z99" s="127"/>
      <c r="AA99" s="127"/>
      <c r="AB99" s="127"/>
      <c r="AC99" s="127"/>
      <c r="AD99" s="127"/>
    </row>
    <row r="100" spans="1:30" x14ac:dyDescent="0.25">
      <c r="A100" s="127"/>
      <c r="B100" s="127"/>
      <c r="C100" s="127"/>
      <c r="D100" s="127"/>
      <c r="E100" s="127"/>
      <c r="F100" s="127"/>
      <c r="G100" s="127"/>
      <c r="H100" s="127"/>
      <c r="I100" s="127"/>
      <c r="J100" s="127"/>
      <c r="K100" s="127"/>
      <c r="L100" s="127"/>
      <c r="M100" s="127"/>
      <c r="N100" s="127"/>
      <c r="O100" s="127"/>
      <c r="P100" s="127"/>
      <c r="Q100" s="127"/>
      <c r="R100" s="127"/>
      <c r="S100" s="127"/>
      <c r="T100" s="127">
        <v>83</v>
      </c>
      <c r="U100" s="127"/>
      <c r="V100" s="127"/>
      <c r="W100" s="127"/>
      <c r="X100" s="127"/>
      <c r="Y100" s="127"/>
      <c r="Z100" s="127"/>
      <c r="AA100" s="127"/>
      <c r="AB100" s="127"/>
      <c r="AC100" s="127"/>
      <c r="AD100" s="127"/>
    </row>
    <row r="101" spans="1:30" x14ac:dyDescent="0.25">
      <c r="A101" s="127"/>
      <c r="B101" s="127"/>
      <c r="C101" s="127"/>
      <c r="D101" s="127"/>
      <c r="E101" s="127"/>
      <c r="F101" s="127"/>
      <c r="G101" s="127"/>
      <c r="H101" s="127"/>
      <c r="I101" s="127"/>
      <c r="J101" s="127"/>
      <c r="K101" s="127"/>
      <c r="L101" s="127"/>
      <c r="M101" s="127"/>
      <c r="N101" s="127"/>
      <c r="O101" s="127"/>
      <c r="P101" s="127"/>
      <c r="Q101" s="127"/>
      <c r="R101" s="127"/>
      <c r="S101" s="127"/>
      <c r="T101" s="127">
        <v>84</v>
      </c>
      <c r="U101" s="127"/>
      <c r="V101" s="127"/>
      <c r="W101" s="127"/>
      <c r="X101" s="127"/>
      <c r="Y101" s="127"/>
      <c r="Z101" s="127"/>
      <c r="AA101" s="127"/>
      <c r="AB101" s="127"/>
      <c r="AC101" s="127"/>
      <c r="AD101" s="127"/>
    </row>
    <row r="102" spans="1:30" x14ac:dyDescent="0.25">
      <c r="A102" s="127"/>
      <c r="B102" s="127"/>
      <c r="C102" s="127"/>
      <c r="D102" s="127"/>
      <c r="E102" s="127"/>
      <c r="F102" s="127"/>
      <c r="G102" s="127"/>
      <c r="H102" s="127"/>
      <c r="I102" s="127"/>
      <c r="J102" s="127"/>
      <c r="K102" s="127"/>
      <c r="L102" s="127"/>
      <c r="M102" s="127"/>
      <c r="N102" s="127"/>
      <c r="O102" s="127"/>
      <c r="P102" s="127"/>
      <c r="Q102" s="127"/>
      <c r="R102" s="127"/>
      <c r="S102" s="127"/>
      <c r="T102" s="127">
        <v>85</v>
      </c>
      <c r="U102" s="127"/>
      <c r="V102" s="127"/>
      <c r="W102" s="127"/>
      <c r="X102" s="127"/>
      <c r="Y102" s="127"/>
      <c r="Z102" s="127"/>
      <c r="AA102" s="127"/>
      <c r="AB102" s="127"/>
      <c r="AC102" s="127"/>
      <c r="AD102" s="127"/>
    </row>
    <row r="103" spans="1:30" x14ac:dyDescent="0.25">
      <c r="A103" s="127"/>
      <c r="B103" s="127"/>
      <c r="C103" s="127"/>
      <c r="D103" s="127"/>
      <c r="E103" s="127"/>
      <c r="F103" s="127"/>
      <c r="G103" s="127"/>
      <c r="H103" s="127"/>
      <c r="I103" s="127"/>
      <c r="J103" s="127"/>
      <c r="K103" s="127"/>
      <c r="L103" s="127"/>
      <c r="M103" s="127"/>
      <c r="N103" s="127"/>
      <c r="O103" s="127"/>
      <c r="P103" s="127"/>
      <c r="Q103" s="127"/>
      <c r="R103" s="127"/>
      <c r="S103" s="127"/>
      <c r="T103" s="127">
        <v>86</v>
      </c>
      <c r="U103" s="127"/>
      <c r="V103" s="127"/>
      <c r="W103" s="127"/>
      <c r="X103" s="127"/>
      <c r="Y103" s="127"/>
      <c r="Z103" s="127"/>
      <c r="AA103" s="127"/>
      <c r="AB103" s="127"/>
      <c r="AC103" s="127"/>
      <c r="AD103" s="127"/>
    </row>
    <row r="104" spans="1:30" x14ac:dyDescent="0.25">
      <c r="A104" s="127"/>
      <c r="B104" s="127"/>
      <c r="C104" s="127"/>
      <c r="D104" s="127"/>
      <c r="E104" s="127"/>
      <c r="F104" s="127"/>
      <c r="G104" s="127"/>
      <c r="H104" s="127"/>
      <c r="I104" s="127"/>
      <c r="J104" s="127"/>
      <c r="K104" s="127"/>
      <c r="L104" s="127"/>
      <c r="M104" s="127"/>
      <c r="N104" s="127"/>
      <c r="O104" s="127"/>
      <c r="P104" s="127"/>
      <c r="Q104" s="127"/>
      <c r="R104" s="127"/>
      <c r="S104" s="127"/>
      <c r="T104" s="127">
        <v>87</v>
      </c>
      <c r="U104" s="127"/>
      <c r="V104" s="127"/>
      <c r="W104" s="127"/>
      <c r="X104" s="127"/>
      <c r="Y104" s="127"/>
      <c r="Z104" s="127"/>
      <c r="AA104" s="127"/>
      <c r="AB104" s="127"/>
      <c r="AC104" s="127"/>
      <c r="AD104" s="127"/>
    </row>
    <row r="105" spans="1:30" x14ac:dyDescent="0.25">
      <c r="A105" s="127"/>
      <c r="B105" s="127"/>
      <c r="C105" s="127"/>
      <c r="D105" s="127"/>
      <c r="E105" s="127"/>
      <c r="F105" s="127"/>
      <c r="G105" s="127"/>
      <c r="H105" s="127"/>
      <c r="I105" s="127"/>
      <c r="J105" s="127"/>
      <c r="K105" s="127"/>
      <c r="L105" s="127"/>
      <c r="M105" s="127"/>
      <c r="N105" s="127"/>
      <c r="O105" s="127"/>
      <c r="P105" s="127"/>
      <c r="Q105" s="127"/>
      <c r="R105" s="127"/>
      <c r="S105" s="127"/>
      <c r="T105" s="127">
        <v>88</v>
      </c>
      <c r="U105" s="127"/>
      <c r="V105" s="127"/>
      <c r="W105" s="127"/>
      <c r="X105" s="127"/>
      <c r="Y105" s="127"/>
      <c r="Z105" s="127"/>
      <c r="AA105" s="127"/>
      <c r="AB105" s="127"/>
      <c r="AC105" s="127"/>
      <c r="AD105" s="127"/>
    </row>
    <row r="106" spans="1:30" x14ac:dyDescent="0.25">
      <c r="A106" s="127"/>
      <c r="B106" s="127"/>
      <c r="C106" s="127"/>
      <c r="D106" s="127"/>
      <c r="E106" s="127"/>
      <c r="F106" s="127"/>
      <c r="G106" s="127"/>
      <c r="H106" s="127"/>
      <c r="I106" s="127"/>
      <c r="J106" s="127"/>
      <c r="K106" s="127"/>
      <c r="L106" s="127"/>
      <c r="M106" s="127"/>
      <c r="N106" s="127"/>
      <c r="O106" s="127"/>
      <c r="P106" s="127"/>
      <c r="Q106" s="127"/>
      <c r="R106" s="127"/>
      <c r="S106" s="127"/>
      <c r="T106" s="127">
        <v>89</v>
      </c>
      <c r="U106" s="127"/>
      <c r="V106" s="127"/>
      <c r="W106" s="127"/>
      <c r="X106" s="127"/>
      <c r="Y106" s="127"/>
      <c r="Z106" s="127"/>
      <c r="AA106" s="127"/>
      <c r="AB106" s="127"/>
      <c r="AC106" s="127"/>
      <c r="AD106" s="127"/>
    </row>
    <row r="107" spans="1:30" x14ac:dyDescent="0.25">
      <c r="A107" s="127"/>
      <c r="B107" s="127"/>
      <c r="C107" s="127"/>
      <c r="D107" s="127"/>
      <c r="E107" s="127"/>
      <c r="F107" s="127"/>
      <c r="G107" s="127"/>
      <c r="H107" s="127"/>
      <c r="I107" s="127"/>
      <c r="J107" s="127"/>
      <c r="K107" s="127"/>
      <c r="L107" s="127"/>
      <c r="M107" s="127"/>
      <c r="N107" s="127"/>
      <c r="O107" s="127"/>
      <c r="P107" s="127"/>
      <c r="Q107" s="127"/>
      <c r="R107" s="127"/>
      <c r="S107" s="127"/>
      <c r="T107" s="127">
        <v>90</v>
      </c>
      <c r="U107" s="127"/>
      <c r="V107" s="127"/>
      <c r="W107" s="127"/>
      <c r="X107" s="127"/>
      <c r="Y107" s="127"/>
      <c r="Z107" s="127"/>
      <c r="AA107" s="127"/>
      <c r="AB107" s="127"/>
      <c r="AC107" s="127"/>
      <c r="AD107" s="127"/>
    </row>
    <row r="108" spans="1:30" x14ac:dyDescent="0.25">
      <c r="T108" s="440">
        <v>91</v>
      </c>
      <c r="U108" s="64"/>
      <c r="V108" s="64"/>
      <c r="W108" s="64"/>
      <c r="X108" s="64"/>
      <c r="Y108" s="64"/>
      <c r="Z108" s="64"/>
      <c r="AA108" s="64"/>
      <c r="AB108" s="64"/>
    </row>
    <row r="109" spans="1:30" x14ac:dyDescent="0.25">
      <c r="T109" s="440">
        <v>92</v>
      </c>
      <c r="U109" s="64"/>
      <c r="V109" s="64"/>
      <c r="W109" s="64"/>
      <c r="X109" s="64"/>
      <c r="Y109" s="64"/>
      <c r="Z109" s="64"/>
      <c r="AA109" s="64"/>
      <c r="AB109" s="64"/>
    </row>
    <row r="110" spans="1:30" x14ac:dyDescent="0.25">
      <c r="T110" s="440">
        <v>93</v>
      </c>
      <c r="U110" s="64"/>
      <c r="V110" s="64"/>
      <c r="W110" s="64"/>
      <c r="X110" s="64"/>
      <c r="Y110" s="64"/>
      <c r="Z110" s="64"/>
      <c r="AA110" s="64"/>
      <c r="AB110" s="64"/>
    </row>
    <row r="111" spans="1:30" x14ac:dyDescent="0.25">
      <c r="T111" s="440">
        <v>94</v>
      </c>
      <c r="U111" s="64"/>
      <c r="V111" s="64"/>
      <c r="W111" s="64"/>
      <c r="X111" s="64"/>
      <c r="Y111" s="64"/>
      <c r="Z111" s="64"/>
      <c r="AA111" s="64"/>
      <c r="AB111" s="64"/>
    </row>
    <row r="112" spans="1:30" x14ac:dyDescent="0.25">
      <c r="T112" s="440">
        <v>95</v>
      </c>
      <c r="U112" s="64"/>
      <c r="V112" s="64"/>
      <c r="W112" s="64"/>
      <c r="X112" s="64"/>
      <c r="Y112" s="64"/>
      <c r="Z112" s="64"/>
      <c r="AA112" s="64"/>
      <c r="AB112" s="64"/>
    </row>
    <row r="113" spans="20:28" x14ac:dyDescent="0.25">
      <c r="T113" s="440">
        <v>96</v>
      </c>
      <c r="U113" s="64"/>
      <c r="V113" s="64"/>
      <c r="W113" s="64"/>
      <c r="X113" s="64"/>
      <c r="Y113" s="64"/>
      <c r="Z113" s="64"/>
      <c r="AA113" s="64"/>
      <c r="AB113" s="64"/>
    </row>
    <row r="114" spans="20:28" x14ac:dyDescent="0.25">
      <c r="T114" s="440">
        <v>97</v>
      </c>
      <c r="U114" s="64"/>
      <c r="V114" s="64"/>
      <c r="W114" s="64"/>
      <c r="X114" s="64"/>
      <c r="Y114" s="64"/>
      <c r="Z114" s="64"/>
      <c r="AA114" s="64"/>
      <c r="AB114" s="64"/>
    </row>
    <row r="115" spans="20:28" x14ac:dyDescent="0.25">
      <c r="T115" s="440">
        <v>98</v>
      </c>
      <c r="U115" s="64"/>
      <c r="V115" s="64"/>
      <c r="W115" s="64"/>
      <c r="X115" s="64"/>
      <c r="Y115" s="64"/>
      <c r="Z115" s="64"/>
      <c r="AA115" s="64"/>
      <c r="AB115" s="64"/>
    </row>
    <row r="116" spans="20:28" x14ac:dyDescent="0.25">
      <c r="T116" s="440">
        <v>99</v>
      </c>
      <c r="U116" s="64"/>
      <c r="V116" s="64"/>
      <c r="W116" s="64"/>
      <c r="X116" s="64"/>
      <c r="Y116" s="64"/>
      <c r="Z116" s="64"/>
      <c r="AA116" s="64"/>
      <c r="AB116" s="64"/>
    </row>
    <row r="117" spans="20:28" x14ac:dyDescent="0.25">
      <c r="T117" s="440">
        <v>100</v>
      </c>
      <c r="U117" s="64"/>
      <c r="V117" s="64"/>
      <c r="W117" s="64"/>
      <c r="X117" s="64"/>
      <c r="Y117" s="64"/>
      <c r="Z117" s="64"/>
      <c r="AA117" s="64"/>
      <c r="AB117" s="64"/>
    </row>
    <row r="118" spans="20:28" x14ac:dyDescent="0.25">
      <c r="T118" s="440">
        <v>101</v>
      </c>
      <c r="U118" s="64"/>
      <c r="V118" s="64"/>
      <c r="W118" s="64"/>
      <c r="X118" s="64"/>
      <c r="Y118" s="64"/>
      <c r="Z118" s="64"/>
      <c r="AA118" s="64"/>
      <c r="AB118" s="64"/>
    </row>
    <row r="119" spans="20:28" x14ac:dyDescent="0.25">
      <c r="T119" s="440">
        <v>102</v>
      </c>
      <c r="U119" s="64"/>
      <c r="V119" s="64"/>
      <c r="W119" s="64"/>
      <c r="X119" s="64"/>
      <c r="Y119" s="64"/>
      <c r="Z119" s="64"/>
      <c r="AA119" s="64"/>
      <c r="AB119" s="64"/>
    </row>
    <row r="120" spans="20:28" x14ac:dyDescent="0.25">
      <c r="T120" s="440">
        <v>103</v>
      </c>
      <c r="U120" s="64"/>
      <c r="V120" s="64"/>
      <c r="W120" s="64"/>
      <c r="X120" s="64"/>
      <c r="Y120" s="64"/>
      <c r="Z120" s="64"/>
      <c r="AA120" s="64"/>
      <c r="AB120" s="64"/>
    </row>
    <row r="121" spans="20:28" x14ac:dyDescent="0.25">
      <c r="T121" s="440">
        <v>104</v>
      </c>
      <c r="U121" s="64"/>
      <c r="V121" s="64"/>
      <c r="W121" s="64"/>
      <c r="X121" s="64"/>
      <c r="Y121" s="64"/>
      <c r="Z121" s="64"/>
      <c r="AA121" s="64"/>
      <c r="AB121" s="64"/>
    </row>
    <row r="122" spans="20:28" x14ac:dyDescent="0.25">
      <c r="T122" s="440">
        <v>105</v>
      </c>
      <c r="U122" s="64"/>
      <c r="V122" s="64"/>
      <c r="W122" s="64"/>
      <c r="X122" s="64"/>
      <c r="Y122" s="64"/>
      <c r="Z122" s="64"/>
      <c r="AA122" s="64"/>
      <c r="AB122" s="64"/>
    </row>
    <row r="123" spans="20:28" x14ac:dyDescent="0.25">
      <c r="T123" s="440">
        <v>106</v>
      </c>
      <c r="U123" s="64"/>
      <c r="V123" s="64"/>
      <c r="W123" s="64"/>
      <c r="X123" s="64"/>
      <c r="Y123" s="64"/>
      <c r="Z123" s="64"/>
      <c r="AA123" s="64"/>
      <c r="AB123" s="64"/>
    </row>
    <row r="124" spans="20:28" x14ac:dyDescent="0.25">
      <c r="T124" s="440">
        <v>107</v>
      </c>
      <c r="U124" s="64"/>
      <c r="V124" s="64"/>
      <c r="W124" s="64"/>
      <c r="X124" s="64"/>
      <c r="Y124" s="64"/>
      <c r="Z124" s="64"/>
      <c r="AA124" s="64"/>
      <c r="AB124" s="64"/>
    </row>
    <row r="125" spans="20:28" x14ac:dyDescent="0.25">
      <c r="T125" s="440">
        <v>108</v>
      </c>
      <c r="U125" s="64"/>
      <c r="V125" s="64"/>
      <c r="W125" s="64"/>
      <c r="X125" s="64"/>
      <c r="Y125" s="64"/>
      <c r="Z125" s="64"/>
      <c r="AA125" s="64"/>
      <c r="AB125" s="64"/>
    </row>
    <row r="126" spans="20:28" x14ac:dyDescent="0.25">
      <c r="T126" s="440">
        <v>109</v>
      </c>
      <c r="U126" s="64"/>
      <c r="V126" s="64"/>
      <c r="W126" s="64"/>
      <c r="X126" s="64"/>
      <c r="Y126" s="64"/>
      <c r="Z126" s="64"/>
      <c r="AA126" s="64"/>
      <c r="AB126" s="64"/>
    </row>
    <row r="127" spans="20:28" x14ac:dyDescent="0.25">
      <c r="T127" s="440">
        <v>110</v>
      </c>
      <c r="U127" s="64"/>
      <c r="V127" s="64"/>
      <c r="W127" s="64"/>
      <c r="X127" s="64"/>
      <c r="Y127" s="64"/>
      <c r="Z127" s="64"/>
      <c r="AA127" s="64"/>
      <c r="AB127" s="64"/>
    </row>
    <row r="128" spans="20:28" x14ac:dyDescent="0.25">
      <c r="T128" s="440">
        <v>111</v>
      </c>
      <c r="U128" s="64"/>
      <c r="V128" s="64"/>
      <c r="W128" s="64"/>
      <c r="X128" s="64"/>
      <c r="Y128" s="64"/>
      <c r="Z128" s="64"/>
      <c r="AA128" s="64"/>
      <c r="AB128" s="64"/>
    </row>
    <row r="129" spans="20:28" x14ac:dyDescent="0.25">
      <c r="T129" s="440">
        <v>112</v>
      </c>
      <c r="U129" s="64"/>
      <c r="V129" s="64"/>
      <c r="W129" s="64"/>
      <c r="X129" s="64"/>
      <c r="Y129" s="64"/>
      <c r="Z129" s="64"/>
      <c r="AA129" s="64"/>
      <c r="AB129" s="64"/>
    </row>
    <row r="130" spans="20:28" x14ac:dyDescent="0.25">
      <c r="T130" s="440">
        <v>113</v>
      </c>
      <c r="U130" s="64"/>
      <c r="V130" s="64"/>
      <c r="W130" s="64"/>
      <c r="X130" s="64"/>
      <c r="Y130" s="64"/>
      <c r="Z130" s="64"/>
      <c r="AA130" s="64"/>
      <c r="AB130" s="64"/>
    </row>
    <row r="131" spans="20:28" x14ac:dyDescent="0.25">
      <c r="T131" s="440">
        <v>114</v>
      </c>
      <c r="U131" s="64"/>
      <c r="V131" s="64"/>
      <c r="W131" s="64"/>
      <c r="X131" s="64"/>
      <c r="Y131" s="64"/>
      <c r="Z131" s="64"/>
      <c r="AA131" s="64"/>
      <c r="AB131" s="64"/>
    </row>
    <row r="132" spans="20:28" x14ac:dyDescent="0.25">
      <c r="T132" s="440">
        <v>115</v>
      </c>
      <c r="U132" s="64"/>
      <c r="V132" s="64"/>
      <c r="W132" s="64"/>
      <c r="X132" s="64"/>
      <c r="Y132" s="64"/>
      <c r="Z132" s="64"/>
      <c r="AA132" s="64"/>
      <c r="AB132" s="64"/>
    </row>
    <row r="133" spans="20:28" x14ac:dyDescent="0.25">
      <c r="T133" s="440">
        <v>116</v>
      </c>
      <c r="U133" s="64"/>
      <c r="V133" s="64"/>
      <c r="W133" s="64"/>
      <c r="X133" s="64"/>
      <c r="Y133" s="64"/>
      <c r="Z133" s="64"/>
      <c r="AA133" s="64"/>
      <c r="AB133" s="64"/>
    </row>
    <row r="134" spans="20:28" x14ac:dyDescent="0.25">
      <c r="T134" s="440">
        <v>117</v>
      </c>
      <c r="U134" s="64"/>
      <c r="V134" s="64"/>
      <c r="W134" s="64"/>
      <c r="X134" s="64"/>
      <c r="Y134" s="64"/>
      <c r="Z134" s="64"/>
      <c r="AA134" s="64"/>
      <c r="AB134" s="64"/>
    </row>
    <row r="135" spans="20:28" x14ac:dyDescent="0.25">
      <c r="T135" s="440">
        <v>118</v>
      </c>
      <c r="U135" s="64"/>
      <c r="V135" s="64"/>
      <c r="W135" s="64"/>
      <c r="X135" s="64"/>
      <c r="Y135" s="64"/>
      <c r="Z135" s="64"/>
      <c r="AA135" s="64"/>
      <c r="AB135" s="64"/>
    </row>
    <row r="136" spans="20:28" x14ac:dyDescent="0.25">
      <c r="T136" s="440">
        <v>119</v>
      </c>
    </row>
    <row r="137" spans="20:28" x14ac:dyDescent="0.25">
      <c r="T137" s="439">
        <v>120</v>
      </c>
    </row>
    <row r="138" spans="20:28" x14ac:dyDescent="0.25">
      <c r="T138" s="439">
        <v>121</v>
      </c>
    </row>
    <row r="139" spans="20:28" x14ac:dyDescent="0.25">
      <c r="T139" s="439">
        <v>122</v>
      </c>
    </row>
    <row r="140" spans="20:28" x14ac:dyDescent="0.25">
      <c r="T140" s="439">
        <v>123</v>
      </c>
    </row>
    <row r="141" spans="20:28" x14ac:dyDescent="0.25">
      <c r="T141" s="439">
        <v>124</v>
      </c>
    </row>
    <row r="142" spans="20:28" x14ac:dyDescent="0.25">
      <c r="T142" s="439">
        <v>125</v>
      </c>
    </row>
    <row r="143" spans="20:28" x14ac:dyDescent="0.25">
      <c r="T143" s="439">
        <v>126</v>
      </c>
    </row>
    <row r="144" spans="20:28" x14ac:dyDescent="0.25">
      <c r="T144" s="439">
        <v>127</v>
      </c>
    </row>
    <row r="145" spans="20:20" x14ac:dyDescent="0.25">
      <c r="T145" s="439">
        <v>128</v>
      </c>
    </row>
  </sheetData>
  <sheetProtection password="CF7D" sheet="1" objects="1" scenarios="1"/>
  <mergeCells count="12">
    <mergeCell ref="B12:D12"/>
    <mergeCell ref="B13:D13"/>
    <mergeCell ref="B14:D14"/>
    <mergeCell ref="B15:D15"/>
    <mergeCell ref="F3:H3"/>
    <mergeCell ref="B1:O1"/>
    <mergeCell ref="B10:D10"/>
    <mergeCell ref="B11:D11"/>
    <mergeCell ref="B9:D9"/>
    <mergeCell ref="B3:D3"/>
    <mergeCell ref="B6:C6"/>
    <mergeCell ref="B7:D7"/>
  </mergeCells>
  <phoneticPr fontId="2" type="noConversion"/>
  <conditionalFormatting sqref="E10:E15">
    <cfRule type="cellIs" dxfId="13" priority="5" stopIfTrue="1" operator="greaterThan">
      <formula>1000</formula>
    </cfRule>
  </conditionalFormatting>
  <conditionalFormatting sqref="H4">
    <cfRule type="cellIs" dxfId="12" priority="2" stopIfTrue="1" operator="greaterThan">
      <formula>1</formula>
    </cfRule>
  </conditionalFormatting>
  <conditionalFormatting sqref="N10:O15">
    <cfRule type="cellIs" dxfId="11" priority="1" stopIfTrue="1" operator="lessThanOrEqual">
      <formula>0</formula>
    </cfRule>
  </conditionalFormatting>
  <dataValidations count="4">
    <dataValidation type="decimal" operator="greaterThanOrEqual" allowBlank="1" showInputMessage="1" showErrorMessage="1" errorTitle="Invalid Clock Frequency" error="The clock frequency must be a decimal number greater than 0.0." sqref="E10:E15" xr:uid="{00000000-0002-0000-0800-000000000000}">
      <formula1>0</formula1>
    </dataValidation>
    <dataValidation type="list" allowBlank="1" showInputMessage="1" showErrorMessage="1" errorTitle="Invalid Clock Counter" error="Use the drop down or enter a valid clock counter. Allowed values are: [off, 1-128]" sqref="H10:M15" xr:uid="{00000000-0002-0000-0800-000001000000}">
      <formula1>$T$17:$T$145</formula1>
    </dataValidation>
    <dataValidation type="list" allowBlank="1" showInputMessage="1" showErrorMessage="1" errorTitle="Invalid Divide Counter" error="Use the drop down or enter a valid divide counter. Allowed values are: [1-52]" sqref="F10:F15" xr:uid="{00000000-0002-0000-0800-000002000000}">
      <formula1>$T$18:$T$69</formula1>
    </dataValidation>
    <dataValidation type="list" allowBlank="1" showInputMessage="1" showErrorMessage="1" errorTitle="Invalid Multiply Counter" error="Use the drop down or enter a valid multiply counter. Allowed values are: [1-64]" sqref="G10:G15" xr:uid="{00000000-0002-0000-0800-000003000000}">
      <formula1>$T$18:$T$81</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6865"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36865" r:id="rId4" name="Summary"/>
      </mc:Fallback>
    </mc:AlternateContent>
  </control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5"/>
  <dimension ref="A1:AR110"/>
  <sheetViews>
    <sheetView workbookViewId="0">
      <selection activeCell="B13" sqref="B13:D13"/>
    </sheetView>
  </sheetViews>
  <sheetFormatPr baseColWidth="10" defaultColWidth="9" defaultRowHeight="13.2" x14ac:dyDescent="0.25"/>
  <cols>
    <col min="1" max="1" width="2.77734375" customWidth="1"/>
    <col min="2" max="2" width="12.6640625" customWidth="1"/>
    <col min="3" max="4" width="10.6640625" customWidth="1"/>
    <col min="5" max="5" width="10.21875" customWidth="1"/>
    <col min="6" max="6" width="13" customWidth="1"/>
    <col min="7" max="7" width="8.88671875" customWidth="1"/>
    <col min="8" max="10" width="8.21875" customWidth="1"/>
    <col min="11" max="14" width="7.77734375" customWidth="1"/>
    <col min="15" max="20" width="11.77734375" customWidth="1"/>
  </cols>
  <sheetData>
    <row r="1" spans="1:44" ht="27.9" customHeight="1" x14ac:dyDescent="0.25">
      <c r="A1" s="125"/>
      <c r="B1" s="687" t="s">
        <v>1111</v>
      </c>
      <c r="C1" s="687"/>
      <c r="D1" s="687"/>
      <c r="E1" s="687"/>
      <c r="F1" s="687"/>
      <c r="G1" s="687"/>
      <c r="H1" s="687"/>
      <c r="I1" s="687"/>
      <c r="J1" s="687"/>
      <c r="K1" s="687"/>
      <c r="L1" s="687"/>
      <c r="M1" s="687"/>
      <c r="N1" s="687"/>
      <c r="O1" s="687"/>
      <c r="P1" s="687"/>
      <c r="Q1" s="687"/>
      <c r="R1" s="687"/>
      <c r="S1" s="687"/>
      <c r="T1" s="127"/>
      <c r="U1" s="136">
        <f>IF(PROCESS_FACTOR&gt;1,2,1)</f>
        <v>1</v>
      </c>
      <c r="V1" s="127"/>
      <c r="W1" s="127">
        <f>IF(EXACT(SPEEDGRADE,-2),2.7,3.2)</f>
        <v>3.2</v>
      </c>
      <c r="X1" s="136"/>
      <c r="Y1" s="127"/>
      <c r="Z1" s="136" t="str">
        <f>"S20:S27"</f>
        <v>S20:S27</v>
      </c>
      <c r="AA1" s="127"/>
      <c r="AB1" s="127"/>
      <c r="AC1" s="136"/>
      <c r="AD1" s="127"/>
      <c r="AE1" s="127"/>
      <c r="AF1" s="127"/>
      <c r="AG1" s="127"/>
      <c r="AH1" s="127"/>
      <c r="AI1" s="127"/>
      <c r="AJ1" s="127"/>
      <c r="AK1" s="127"/>
      <c r="AL1" s="127"/>
      <c r="AM1" s="127"/>
      <c r="AN1" s="127"/>
      <c r="AO1" s="127"/>
      <c r="AP1" s="127"/>
      <c r="AQ1" s="127"/>
      <c r="AR1" s="5"/>
    </row>
    <row r="2" spans="1:44" ht="13.65" customHeight="1" thickBot="1" x14ac:dyDescent="0.3">
      <c r="A2" s="126"/>
      <c r="B2" s="136"/>
      <c r="C2" s="136"/>
      <c r="D2" s="136"/>
      <c r="E2" s="136"/>
      <c r="F2" s="127"/>
      <c r="G2" s="127"/>
      <c r="H2" s="127"/>
      <c r="I2" s="127"/>
      <c r="J2" s="127"/>
      <c r="K2" s="127"/>
      <c r="L2" s="127"/>
      <c r="M2" s="127"/>
      <c r="N2" s="127"/>
      <c r="O2" s="127"/>
      <c r="P2" s="127"/>
      <c r="Q2" s="127"/>
      <c r="R2" s="127"/>
      <c r="S2" s="127"/>
      <c r="T2" s="127"/>
      <c r="U2" s="127"/>
      <c r="V2" s="127"/>
      <c r="W2" s="136"/>
      <c r="X2" s="127"/>
      <c r="Y2" s="136"/>
      <c r="Z2" s="127"/>
      <c r="AA2" s="127"/>
      <c r="AB2" s="136"/>
      <c r="AC2" s="127"/>
      <c r="AD2" s="127"/>
      <c r="AE2" s="127"/>
      <c r="AF2" s="127"/>
      <c r="AG2" s="127"/>
      <c r="AH2" s="127"/>
      <c r="AI2" s="127"/>
      <c r="AJ2" s="127"/>
      <c r="AK2" s="127"/>
      <c r="AL2" s="127"/>
      <c r="AM2" s="127"/>
      <c r="AN2" s="127"/>
      <c r="AO2" s="127"/>
      <c r="AP2" s="127"/>
      <c r="AQ2" s="127"/>
    </row>
    <row r="3" spans="1:44" ht="17.25" customHeight="1" x14ac:dyDescent="0.25">
      <c r="A3" s="126"/>
      <c r="B3" s="691" t="s">
        <v>1128</v>
      </c>
      <c r="C3" s="692"/>
      <c r="D3" s="909"/>
      <c r="E3" s="136"/>
      <c r="F3" s="688" t="s">
        <v>1115</v>
      </c>
      <c r="G3" s="689"/>
      <c r="H3" s="689"/>
      <c r="I3" s="689"/>
      <c r="J3" s="689"/>
      <c r="K3" s="689"/>
      <c r="L3" s="914">
        <f>IF(NUM_GTS&gt;0,SUM(G6:H10),0)</f>
        <v>0</v>
      </c>
      <c r="M3" s="915"/>
      <c r="N3" s="127"/>
      <c r="O3" s="688" t="s">
        <v>140</v>
      </c>
      <c r="P3" s="689"/>
      <c r="Q3" s="689"/>
      <c r="R3" s="713"/>
      <c r="S3" s="127"/>
      <c r="T3" s="127"/>
      <c r="U3" s="127"/>
      <c r="V3" s="127"/>
      <c r="W3" s="127"/>
      <c r="X3" s="127"/>
      <c r="Y3" s="127"/>
      <c r="Z3" s="127"/>
      <c r="AA3" s="127"/>
      <c r="AB3" s="136"/>
      <c r="AC3" s="127"/>
      <c r="AD3" s="127"/>
      <c r="AE3" s="127"/>
      <c r="AF3" s="127"/>
      <c r="AG3" s="127"/>
      <c r="AH3" s="127"/>
      <c r="AI3" s="127"/>
      <c r="AJ3" s="127"/>
      <c r="AK3" s="127"/>
      <c r="AL3" s="127"/>
      <c r="AM3" s="127"/>
      <c r="AN3" s="127"/>
      <c r="AO3" s="127"/>
      <c r="AP3" s="127"/>
      <c r="AQ3" s="127"/>
    </row>
    <row r="4" spans="1:44" ht="17.25" customHeight="1" thickBot="1" x14ac:dyDescent="0.3">
      <c r="A4" s="126"/>
      <c r="B4" s="910" t="s">
        <v>18</v>
      </c>
      <c r="C4" s="911"/>
      <c r="D4" s="156" t="s">
        <v>141</v>
      </c>
      <c r="E4" s="136"/>
      <c r="F4" s="161"/>
      <c r="G4" s="162"/>
      <c r="H4" s="162"/>
      <c r="I4" s="162"/>
      <c r="J4" s="169"/>
      <c r="K4" s="169"/>
      <c r="L4" s="170"/>
      <c r="M4" s="172"/>
      <c r="N4" s="127"/>
      <c r="O4" s="912" t="s">
        <v>1135</v>
      </c>
      <c r="P4" s="913"/>
      <c r="Q4" s="165">
        <f>SUM(AL13:AL24)</f>
        <v>0</v>
      </c>
      <c r="R4" s="166" t="str">
        <f>IF(NUM_GTS&gt;0,Q4/(NUM_GTS/2),"N/A")</f>
        <v>N/A</v>
      </c>
      <c r="S4" s="127"/>
      <c r="T4" s="127"/>
      <c r="U4" s="127"/>
      <c r="V4" s="127"/>
      <c r="W4" s="127"/>
      <c r="X4" s="127"/>
      <c r="Y4" s="127"/>
      <c r="Z4" s="127"/>
      <c r="AA4" s="127"/>
      <c r="AB4" s="136"/>
      <c r="AC4" s="127"/>
      <c r="AD4" s="127"/>
      <c r="AE4" s="127"/>
      <c r="AF4" s="127"/>
      <c r="AG4" s="127"/>
      <c r="AH4" s="127"/>
      <c r="AI4" s="127"/>
      <c r="AJ4" s="127"/>
      <c r="AK4" s="127"/>
      <c r="AL4" s="127"/>
      <c r="AM4" s="127"/>
      <c r="AN4" s="127"/>
      <c r="AO4" s="127"/>
      <c r="AP4" s="127"/>
      <c r="AQ4" s="127"/>
    </row>
    <row r="5" spans="1:44" ht="17.25" customHeight="1" thickBot="1" x14ac:dyDescent="0.3">
      <c r="A5" s="126"/>
      <c r="B5" s="409" t="s">
        <v>1217</v>
      </c>
      <c r="C5" s="520">
        <f>VCCINT</f>
        <v>1.2</v>
      </c>
      <c r="D5" s="158">
        <f>IF(VCCINT&gt;0,MGTINT_POWER/VCCINT,0)</f>
        <v>0</v>
      </c>
      <c r="E5" s="136"/>
      <c r="F5" s="168" t="s">
        <v>18</v>
      </c>
      <c r="G5" s="905" t="s">
        <v>1115</v>
      </c>
      <c r="H5" s="906"/>
      <c r="I5" s="127"/>
      <c r="J5" s="899" t="s">
        <v>1133</v>
      </c>
      <c r="K5" s="900"/>
      <c r="L5" s="907" t="s">
        <v>1134</v>
      </c>
      <c r="M5" s="908"/>
      <c r="N5" s="127"/>
      <c r="O5" s="162"/>
      <c r="P5" s="162"/>
      <c r="Q5" s="162"/>
      <c r="R5" s="127"/>
      <c r="S5" s="127"/>
      <c r="T5" s="127"/>
      <c r="U5" s="127"/>
      <c r="V5" s="127"/>
      <c r="W5" s="127"/>
      <c r="X5" s="127"/>
      <c r="Y5" s="127"/>
      <c r="Z5" s="127"/>
      <c r="AA5" s="127"/>
      <c r="AB5" s="136"/>
      <c r="AC5" s="127"/>
      <c r="AD5" s="127"/>
      <c r="AE5" s="127"/>
      <c r="AF5" s="127"/>
      <c r="AG5" s="127"/>
      <c r="AH5" s="127"/>
      <c r="AI5" s="127"/>
      <c r="AJ5" s="127"/>
      <c r="AK5" s="127"/>
      <c r="AL5" s="127"/>
      <c r="AM5" s="127"/>
      <c r="AN5" s="127"/>
      <c r="AO5" s="127"/>
      <c r="AP5" s="127"/>
      <c r="AQ5" s="127"/>
    </row>
    <row r="6" spans="1:44" ht="17.25" customHeight="1" thickBot="1" x14ac:dyDescent="0.3">
      <c r="A6" s="126"/>
      <c r="B6" s="409" t="s">
        <v>1224</v>
      </c>
      <c r="C6" s="520">
        <f>AVCC</f>
        <v>1.2</v>
      </c>
      <c r="D6" s="159">
        <f>IF(AVCC&gt;0,MGTAVCC_POWER/AVCC,0)</f>
        <v>0</v>
      </c>
      <c r="E6" s="136"/>
      <c r="F6" s="157" t="s">
        <v>1116</v>
      </c>
      <c r="G6" s="891">
        <f>IF(NUM_GTS&gt;0,SUM(O13:O24),0)</f>
        <v>0</v>
      </c>
      <c r="H6" s="892"/>
      <c r="I6" s="127"/>
      <c r="J6" s="903">
        <f>SUM(G7:H10)</f>
        <v>0</v>
      </c>
      <c r="K6" s="904"/>
      <c r="L6" s="903">
        <f>MGTINT_POWER</f>
        <v>0</v>
      </c>
      <c r="M6" s="904"/>
      <c r="N6" s="127"/>
      <c r="O6" s="897" t="s">
        <v>1112</v>
      </c>
      <c r="P6" s="898"/>
      <c r="Q6" s="898"/>
      <c r="R6" s="167" t="s">
        <v>581</v>
      </c>
      <c r="S6" s="127"/>
      <c r="T6" s="127"/>
      <c r="U6" s="127"/>
      <c r="V6" s="127"/>
      <c r="W6" s="127"/>
      <c r="X6" s="127"/>
      <c r="Y6" s="127"/>
      <c r="Z6" s="127"/>
      <c r="AA6" s="127"/>
      <c r="AB6" s="136"/>
      <c r="AC6" s="127"/>
      <c r="AD6" s="127"/>
      <c r="AE6" s="127"/>
      <c r="AF6" s="127"/>
      <c r="AG6" s="127"/>
      <c r="AH6" s="127"/>
      <c r="AI6" s="127"/>
      <c r="AJ6" s="127"/>
      <c r="AK6" s="127"/>
      <c r="AL6" s="127"/>
      <c r="AM6" s="127"/>
      <c r="AN6" s="127"/>
      <c r="AO6" s="127"/>
      <c r="AP6" s="127"/>
      <c r="AQ6" s="127"/>
    </row>
    <row r="7" spans="1:44" ht="17.25" customHeight="1" x14ac:dyDescent="0.25">
      <c r="A7" s="126"/>
      <c r="B7" s="409" t="s">
        <v>1225</v>
      </c>
      <c r="C7" s="520">
        <f>AVCCPLL</f>
        <v>1.2</v>
      </c>
      <c r="D7" s="159">
        <f>IF(AVCCPLL&gt;0,MGTVCCPLL_POWER/AVCCPLL,0)</f>
        <v>0</v>
      </c>
      <c r="E7" s="136"/>
      <c r="F7" s="163" t="s">
        <v>1129</v>
      </c>
      <c r="G7" s="893">
        <f>IF(NUM_GTS&gt;0,SUM(P13:P24),0)</f>
        <v>0</v>
      </c>
      <c r="H7" s="894"/>
      <c r="I7" s="162"/>
      <c r="J7" s="162"/>
      <c r="K7" s="171"/>
      <c r="L7" s="127"/>
      <c r="M7" s="172"/>
      <c r="N7" s="127"/>
      <c r="O7" s="127"/>
      <c r="P7" s="127"/>
      <c r="Q7" s="127"/>
      <c r="R7" s="127"/>
      <c r="S7" s="127"/>
      <c r="T7" s="127"/>
      <c r="U7" s="127"/>
      <c r="V7" s="127"/>
      <c r="W7" s="136"/>
      <c r="X7" s="127"/>
      <c r="Y7" s="136"/>
      <c r="Z7" s="127"/>
      <c r="AA7" s="127"/>
      <c r="AB7" s="136"/>
      <c r="AC7" s="127"/>
      <c r="AD7" s="127"/>
      <c r="AE7" s="127"/>
      <c r="AF7" s="127"/>
      <c r="AG7" s="127"/>
      <c r="AH7" s="127"/>
      <c r="AI7" s="127"/>
      <c r="AJ7" s="127"/>
      <c r="AK7" s="127"/>
      <c r="AL7" s="127"/>
      <c r="AM7" s="127"/>
      <c r="AN7" s="127"/>
      <c r="AO7" s="127"/>
      <c r="AP7" s="127"/>
      <c r="AQ7" s="127"/>
    </row>
    <row r="8" spans="1:44" ht="17.25" customHeight="1" x14ac:dyDescent="0.25">
      <c r="A8" s="126"/>
      <c r="B8" s="409" t="s">
        <v>1226</v>
      </c>
      <c r="C8" s="520">
        <f>AVTTTX</f>
        <v>1.2</v>
      </c>
      <c r="D8" s="159">
        <f>IF(AVCCTX&gt;0,MGTAVCCTX_POWER/AVCCTX,0)</f>
        <v>0</v>
      </c>
      <c r="E8" s="136"/>
      <c r="F8" s="163" t="s">
        <v>1130</v>
      </c>
      <c r="G8" s="893">
        <f>IF(NUM_GTS&gt;0,SUM(Q13:Q24),0)</f>
        <v>0</v>
      </c>
      <c r="H8" s="894"/>
      <c r="I8" s="162"/>
      <c r="J8" s="162"/>
      <c r="K8" s="162"/>
      <c r="L8" s="127"/>
      <c r="M8" s="172"/>
      <c r="N8" s="127"/>
      <c r="O8" s="127"/>
      <c r="P8" s="127"/>
      <c r="Q8" s="127"/>
      <c r="R8" s="127"/>
      <c r="S8" s="127"/>
      <c r="T8" s="127"/>
      <c r="U8" s="127"/>
      <c r="V8" s="127"/>
      <c r="W8" s="136"/>
      <c r="X8" s="127"/>
      <c r="Y8" s="136"/>
      <c r="Z8" s="127"/>
      <c r="AA8" s="127"/>
      <c r="AB8" s="136"/>
      <c r="AC8" s="127"/>
      <c r="AD8" s="127"/>
      <c r="AE8" s="127"/>
      <c r="AF8" s="127"/>
      <c r="AG8" s="127"/>
      <c r="AH8" s="127"/>
      <c r="AI8" s="127"/>
      <c r="AJ8" s="127"/>
      <c r="AK8" s="127"/>
      <c r="AL8" s="127"/>
      <c r="AM8" s="127"/>
      <c r="AN8" s="127"/>
      <c r="AO8" s="127"/>
      <c r="AP8" s="127"/>
      <c r="AQ8" s="127"/>
    </row>
    <row r="9" spans="1:44" ht="17.25" customHeight="1" thickBot="1" x14ac:dyDescent="0.3">
      <c r="A9" s="126"/>
      <c r="B9" s="410" t="s">
        <v>1227</v>
      </c>
      <c r="C9" s="521">
        <f>AVTTRX</f>
        <v>1.2</v>
      </c>
      <c r="D9" s="160">
        <f>IF(AVTTTX&gt;0,MGTVTTRX_POWER/AVTTTX,0)</f>
        <v>0</v>
      </c>
      <c r="E9" s="136"/>
      <c r="F9" s="163" t="s">
        <v>1131</v>
      </c>
      <c r="G9" s="893">
        <f>IF(NUM_GTS&gt;0,SUM(R13:R24),0)</f>
        <v>0</v>
      </c>
      <c r="H9" s="894"/>
      <c r="I9" s="162"/>
      <c r="J9" s="162"/>
      <c r="K9" s="162"/>
      <c r="L9" s="127"/>
      <c r="M9" s="172"/>
      <c r="N9" s="127"/>
      <c r="O9" s="127"/>
      <c r="P9" s="127"/>
      <c r="Q9" s="127"/>
      <c r="R9" s="127"/>
      <c r="S9" s="127"/>
      <c r="T9" s="127"/>
      <c r="U9" s="127"/>
      <c r="V9" s="127"/>
      <c r="W9" s="136"/>
      <c r="X9" s="127"/>
      <c r="Y9" s="136"/>
      <c r="Z9" s="127"/>
      <c r="AA9" s="127"/>
      <c r="AB9" s="136"/>
      <c r="AC9" s="127"/>
      <c r="AD9" s="127"/>
      <c r="AE9" s="127"/>
      <c r="AF9" s="127"/>
      <c r="AG9" s="127"/>
      <c r="AH9" s="127"/>
      <c r="AI9" s="127"/>
      <c r="AJ9" s="127"/>
      <c r="AK9" s="127"/>
      <c r="AL9" s="127"/>
      <c r="AM9" s="127"/>
      <c r="AN9" s="127"/>
      <c r="AO9" s="127"/>
      <c r="AP9" s="127"/>
      <c r="AQ9" s="127"/>
    </row>
    <row r="10" spans="1:44" ht="17.25" customHeight="1" thickBot="1" x14ac:dyDescent="0.3">
      <c r="A10" s="126"/>
      <c r="B10" s="126"/>
      <c r="C10" s="126"/>
      <c r="D10" s="126"/>
      <c r="E10" s="126"/>
      <c r="F10" s="164" t="s">
        <v>1132</v>
      </c>
      <c r="G10" s="901">
        <f>IF(NUM_GTS&gt;0,SUM(S13:S24),0)</f>
        <v>0</v>
      </c>
      <c r="H10" s="902"/>
      <c r="I10" s="895" t="str">
        <f ca="1">TEXT(IF(TOTAL_POWER&gt;0,MGT_POWER/TOTAL_POWER,0),"0%")&amp;" of total on-chip power "&amp;TEXT(TOTAL_POWER,"#.###")&amp;"W"</f>
        <v>0% of total on-chip power .488W</v>
      </c>
      <c r="J10" s="895"/>
      <c r="K10" s="895"/>
      <c r="L10" s="895"/>
      <c r="M10" s="896"/>
      <c r="N10" s="126"/>
      <c r="O10" s="127"/>
      <c r="P10" s="127"/>
      <c r="Q10" s="127"/>
      <c r="R10" s="127"/>
      <c r="S10" s="155"/>
      <c r="T10" s="136"/>
      <c r="U10" s="127"/>
      <c r="V10" s="127"/>
      <c r="W10" s="136"/>
      <c r="X10" s="127"/>
      <c r="Y10" s="136"/>
      <c r="Z10" s="127"/>
      <c r="AA10" s="127"/>
      <c r="AB10" s="136"/>
      <c r="AC10" s="127"/>
      <c r="AD10" s="127"/>
      <c r="AE10" s="127"/>
      <c r="AF10" s="127"/>
      <c r="AG10" s="127"/>
      <c r="AH10" s="127"/>
      <c r="AI10" s="127"/>
      <c r="AJ10" s="127"/>
      <c r="AK10" s="127"/>
      <c r="AL10" s="127"/>
      <c r="AM10" s="127"/>
      <c r="AN10" s="127"/>
      <c r="AO10" s="127"/>
      <c r="AP10" s="127"/>
      <c r="AQ10" s="127"/>
    </row>
    <row r="11" spans="1:44" ht="13.65" customHeight="1" thickBot="1" x14ac:dyDescent="0.3">
      <c r="A11" s="126"/>
      <c r="B11" s="126"/>
      <c r="C11" s="126"/>
      <c r="D11" s="126"/>
      <c r="E11" s="126"/>
      <c r="F11" s="126"/>
      <c r="G11" s="126"/>
      <c r="H11" s="126"/>
      <c r="I11" s="126"/>
      <c r="J11" s="126"/>
      <c r="K11" s="126"/>
      <c r="L11" s="126"/>
      <c r="M11" s="126"/>
      <c r="N11" s="126"/>
      <c r="O11" s="126"/>
      <c r="P11" s="126"/>
      <c r="Q11" s="126"/>
      <c r="R11" s="126"/>
      <c r="S11" s="155"/>
      <c r="T11" s="136"/>
      <c r="U11" s="127"/>
      <c r="V11" s="127"/>
      <c r="W11" s="136"/>
      <c r="X11" s="127"/>
      <c r="Y11" s="136"/>
      <c r="Z11" s="127"/>
      <c r="AA11" s="127"/>
      <c r="AB11" s="136"/>
      <c r="AC11" s="127"/>
      <c r="AD11" s="127"/>
      <c r="AE11" s="127"/>
      <c r="AF11" s="127"/>
      <c r="AG11" s="127"/>
      <c r="AH11" s="127"/>
      <c r="AI11" s="127"/>
      <c r="AJ11" s="127"/>
      <c r="AK11" s="127"/>
      <c r="AL11" s="127"/>
      <c r="AM11" s="127"/>
      <c r="AN11" s="127"/>
      <c r="AO11" s="127"/>
      <c r="AP11" s="127"/>
      <c r="AQ11" s="127"/>
    </row>
    <row r="12" spans="1:44" ht="59.25" customHeight="1" thickBot="1" x14ac:dyDescent="0.3">
      <c r="A12" s="136"/>
      <c r="B12" s="883" t="s">
        <v>41</v>
      </c>
      <c r="C12" s="878"/>
      <c r="D12" s="878"/>
      <c r="E12" s="421" t="s">
        <v>1113</v>
      </c>
      <c r="F12" s="421" t="s">
        <v>576</v>
      </c>
      <c r="G12" s="421" t="s">
        <v>773</v>
      </c>
      <c r="H12" s="421" t="s">
        <v>987</v>
      </c>
      <c r="I12" s="421" t="s">
        <v>985</v>
      </c>
      <c r="J12" s="421" t="s">
        <v>986</v>
      </c>
      <c r="K12" s="421" t="s">
        <v>776</v>
      </c>
      <c r="L12" s="421" t="s">
        <v>777</v>
      </c>
      <c r="M12" s="421" t="s">
        <v>988</v>
      </c>
      <c r="N12" s="421" t="s">
        <v>775</v>
      </c>
      <c r="O12" s="423" t="s">
        <v>1100</v>
      </c>
      <c r="P12" s="423" t="s">
        <v>1099</v>
      </c>
      <c r="Q12" s="423" t="s">
        <v>1098</v>
      </c>
      <c r="R12" s="423" t="s">
        <v>1097</v>
      </c>
      <c r="S12" s="424" t="s">
        <v>1096</v>
      </c>
      <c r="T12" s="127"/>
      <c r="U12" s="176" t="s">
        <v>787</v>
      </c>
      <c r="V12" s="177" t="s">
        <v>773</v>
      </c>
      <c r="W12" s="177" t="s">
        <v>779</v>
      </c>
      <c r="X12" s="177" t="s">
        <v>778</v>
      </c>
      <c r="Y12" s="176" t="s">
        <v>785</v>
      </c>
      <c r="Z12" s="176" t="s">
        <v>786</v>
      </c>
      <c r="AA12" s="155" t="s">
        <v>105</v>
      </c>
      <c r="AB12" s="178" t="s">
        <v>577</v>
      </c>
      <c r="AC12" s="179" t="str">
        <f>"V30:V45"</f>
        <v>V30:V45</v>
      </c>
      <c r="AD12" s="176" t="s">
        <v>780</v>
      </c>
      <c r="AE12" s="176" t="s">
        <v>781</v>
      </c>
      <c r="AF12" s="176" t="s">
        <v>801</v>
      </c>
      <c r="AG12" s="176" t="s">
        <v>802</v>
      </c>
      <c r="AH12" s="137" t="s">
        <v>800</v>
      </c>
      <c r="AI12" s="137" t="s">
        <v>806</v>
      </c>
      <c r="AJ12" s="137" t="s">
        <v>807</v>
      </c>
      <c r="AK12" s="137" t="s">
        <v>808</v>
      </c>
      <c r="AL12" s="137" t="s">
        <v>799</v>
      </c>
      <c r="AM12" s="127" t="s">
        <v>1285</v>
      </c>
      <c r="AN12" s="127"/>
      <c r="AO12" s="127"/>
      <c r="AP12" s="127"/>
      <c r="AQ12" s="127"/>
    </row>
    <row r="13" spans="1:44" ht="13.65" customHeight="1" x14ac:dyDescent="0.25">
      <c r="A13" s="136"/>
      <c r="B13" s="677"/>
      <c r="C13" s="678"/>
      <c r="D13" s="678"/>
      <c r="E13" s="10"/>
      <c r="F13" s="10" t="s">
        <v>578</v>
      </c>
      <c r="G13" s="10" t="s">
        <v>774</v>
      </c>
      <c r="H13" s="181">
        <v>1.25</v>
      </c>
      <c r="I13" s="10">
        <v>1</v>
      </c>
      <c r="J13" s="10">
        <v>1</v>
      </c>
      <c r="K13" s="184">
        <f>$H13*2/$I13</f>
        <v>2.5</v>
      </c>
      <c r="L13" s="184">
        <f>$H13*2/$J13</f>
        <v>2.5</v>
      </c>
      <c r="M13" s="10">
        <v>10</v>
      </c>
      <c r="N13" s="10">
        <v>1025</v>
      </c>
      <c r="O13" s="183">
        <f t="shared" ref="O13:O24" ca="1" si="0">(VCCINT/1000)*VCCINT_N*$E13*MIN(OFFSET(GTP_DATA,1,5),OFFSET(GTP_DATA,1,2+$U$1)*MAX($W13,$X13))</f>
        <v>0</v>
      </c>
      <c r="P13" s="183">
        <f t="shared" ref="P13:P24" ca="1" si="1">IF(POWERMODE="Active",(AVCC/1000)*$E13*($AF13+$AG13),0)</f>
        <v>0</v>
      </c>
      <c r="Q13" s="183">
        <f t="shared" ref="Q13:Q24" ca="1" si="2">IF(POWERMODE="Active",(AVCCPLL/1000)*$AL13*($AD13+$AE13),0)</f>
        <v>0</v>
      </c>
      <c r="R13" s="183">
        <f t="shared" ref="R13:R24" ca="1" si="3">IF(POWERMODE="Active",(AVTTTX/1000)*$E13*IF(OR($AA13=1,$AA13=3),OFFSET(GTP_DATA,4,$U$1)+OFFSET(GTP_DATA,4,$U$1+2)*$AB13,0),0)</f>
        <v>0</v>
      </c>
      <c r="S13" s="193">
        <f t="shared" ref="S13:S24" ca="1" si="4">IF(POWERMODE="Active",(AVTTRX/1000)*$E13*IF($AA13&gt;1,OFFSET(GTP_DATA,5,$U$1)+OFFSET(GTP_DATA,6,$U$1),0),0)</f>
        <v>0</v>
      </c>
      <c r="T13" s="127"/>
      <c r="U13" s="127">
        <f>IF(OR($K13=$L13,$K13/$L13=2,$K13/$L13=4,$L13/$K13=2,$L13/$K13=4),1,0)</f>
        <v>1</v>
      </c>
      <c r="V13" s="136">
        <f t="shared" ref="V13:V24" si="5">IF($U13&lt;&gt;1,0,IF($G13="Yes",1,0))</f>
        <v>1</v>
      </c>
      <c r="W13" s="136">
        <f>IF($AA13&lt;&gt;1,$K13*1000/$AM13,0)</f>
        <v>250</v>
      </c>
      <c r="X13" s="136">
        <f>IF($AA13&lt;&gt;2,$L13*1000/$AM13,0)</f>
        <v>250</v>
      </c>
      <c r="Y13" s="180">
        <f>$H13</f>
        <v>1.25</v>
      </c>
      <c r="Z13" s="180">
        <f>$H13</f>
        <v>1.25</v>
      </c>
      <c r="AA13" s="136">
        <f t="shared" ref="AA13:AA24" si="6">IF($F13="Transmitter",1,IF($F13="Receiver",2,3))</f>
        <v>3</v>
      </c>
      <c r="AB13" s="136">
        <f t="shared" ref="AB13:AB24" ca="1" si="7">IF(ISERROR(MATCH($N13,INDIRECT($AC$12),0)),4,MATCH($N13,INDIRECT($AC$12),0)-1)</f>
        <v>8</v>
      </c>
      <c r="AC13" s="127"/>
      <c r="AD13" s="127">
        <f t="shared" ref="AD13:AD24" ca="1" si="8">IF(OR(AND($U13=1,$V13 = 1),AND($E13=1,$AL13=1)),(OFFSET(GTP_DATA,9,2+$U$1)*$Y13*1000) + OFFSET(GTP_DATA,9,$U$1),(OFFSET(GTP_DATA,10,2+$U$1)*$Y13*1000) + OFFSET(GTP_DATA,10,$U$1))</f>
        <v>28.687999999999999</v>
      </c>
      <c r="AE13" s="127">
        <f t="shared" ref="AE13:AE24" ca="1" si="9">IF(OR(AND($U13=1,$V13 = 1),AND($E13=1,$AL13=1)),OFFSET(GTP_DATA,7,$U$1)+OFFSET(GTP_DATA,7,2+$U$1)*$Z13*1000,OFFSET(GTP_DATA,8,$U$1)+OFFSET(GTP_DATA,8,2+$U$1)*$Z13*1000)</f>
        <v>28.687999999999999</v>
      </c>
      <c r="AF13" s="127">
        <f t="shared" ref="AF13:AF24" ca="1" si="10">IF($AA13&lt;&gt;1,MIN(OFFSET(GTP_DATA,3,5),(OFFSET(GTP_DATA,3,2+$U$1)*$Y13*1000+OFFSET(GTP_DATA,3,$U$1))),0)</f>
        <v>20.179625000000001</v>
      </c>
      <c r="AG13" s="127">
        <f t="shared" ref="AG13:AG24" ca="1" si="11">IF($AA13&lt;&gt;2,MIN(OFFSET(GTP_DATA,2,5),(OFFSET(GTP_DATA,2,2+$U$1)*$Z13*1000+OFFSET(GTP_DATA,2,$U$1))),0)</f>
        <v>20.179625000000001</v>
      </c>
      <c r="AH13" s="127">
        <f>IF($E13=1,1,0)</f>
        <v>0</v>
      </c>
      <c r="AI13" s="127" t="str">
        <f>IF(ISERROR(FIND("_",$B13)),"",IF(FIND("_",$B13)&gt;0,LEFT($B13,FIND("_",$B13)-1),""))</f>
        <v/>
      </c>
      <c r="AJ13" s="127">
        <f t="shared" ref="AJ13:AJ24" si="12">IF($AI13&lt;&gt;"",IF(EXACT($AI13,$AI14),1,0),0)</f>
        <v>0</v>
      </c>
      <c r="AK13" s="127" t="str">
        <f>IF(AND(AH13=1,$AH14&gt;0,$V13=$V14,IF($V13=1,$H13=$H14,TRUE),AJ13=1),IF((AH14=1),"Below","No"),"No")</f>
        <v>No</v>
      </c>
      <c r="AL13" s="127">
        <f t="shared" ref="AL13:AL24" si="13">IF(NOT(ISBLANK($E13)),IF(OR($AK13="Below",$AK13="Above"),0.5,INT(($E13+1)/2)),0)</f>
        <v>0</v>
      </c>
      <c r="AM13" s="127">
        <f>IF(INT($M13/10)*10=$M13,10,8)</f>
        <v>10</v>
      </c>
      <c r="AN13" s="127"/>
      <c r="AO13" s="127"/>
      <c r="AP13" s="127"/>
      <c r="AQ13" s="127"/>
    </row>
    <row r="14" spans="1:44" ht="12.75" customHeight="1" x14ac:dyDescent="0.25">
      <c r="A14" s="136"/>
      <c r="B14" s="677"/>
      <c r="C14" s="678"/>
      <c r="D14" s="678"/>
      <c r="E14" s="10"/>
      <c r="F14" s="10" t="s">
        <v>578</v>
      </c>
      <c r="G14" s="10" t="s">
        <v>774</v>
      </c>
      <c r="H14" s="181">
        <v>1.25</v>
      </c>
      <c r="I14" s="10">
        <v>1</v>
      </c>
      <c r="J14" s="10">
        <v>1</v>
      </c>
      <c r="K14" s="185">
        <f t="shared" ref="K14:K24" si="14">$H14*2/$I14</f>
        <v>2.5</v>
      </c>
      <c r="L14" s="185">
        <f t="shared" ref="L14:L24" si="15">$H14*2/$J14</f>
        <v>2.5</v>
      </c>
      <c r="M14" s="10">
        <v>10</v>
      </c>
      <c r="N14" s="10">
        <v>1025</v>
      </c>
      <c r="O14" s="194">
        <f t="shared" ca="1" si="0"/>
        <v>0</v>
      </c>
      <c r="P14" s="194">
        <f t="shared" ca="1" si="1"/>
        <v>0</v>
      </c>
      <c r="Q14" s="194">
        <f t="shared" ca="1" si="2"/>
        <v>0</v>
      </c>
      <c r="R14" s="194">
        <f t="shared" ca="1" si="3"/>
        <v>0</v>
      </c>
      <c r="S14" s="195">
        <f t="shared" ca="1" si="4"/>
        <v>0</v>
      </c>
      <c r="T14" s="127"/>
      <c r="U14" s="127">
        <f t="shared" ref="U14:U24" si="16">IF(OR($K14=$L14,$K14/$L14=2,$K14/$L14=4,$L14/$K14=2,$L14/$K14=4),1,0)</f>
        <v>1</v>
      </c>
      <c r="V14" s="136">
        <f t="shared" si="5"/>
        <v>1</v>
      </c>
      <c r="W14" s="136">
        <f t="shared" ref="W14:W24" si="17">IF($AA14&lt;&gt;1,$K14*1000/$AM14,0)</f>
        <v>250</v>
      </c>
      <c r="X14" s="136">
        <f t="shared" ref="X14:X24" si="18">IF($AA14&lt;&gt;2,$L14*1000/$AM14,0)</f>
        <v>250</v>
      </c>
      <c r="Y14" s="180">
        <f t="shared" ref="Y14:Z24" si="19">$H14</f>
        <v>1.25</v>
      </c>
      <c r="Z14" s="180">
        <f t="shared" si="19"/>
        <v>1.25</v>
      </c>
      <c r="AA14" s="136">
        <f t="shared" si="6"/>
        <v>3</v>
      </c>
      <c r="AB14" s="136">
        <f t="shared" ca="1" si="7"/>
        <v>8</v>
      </c>
      <c r="AC14" s="127"/>
      <c r="AD14" s="127">
        <f t="shared" ca="1" si="8"/>
        <v>28.687999999999999</v>
      </c>
      <c r="AE14" s="127">
        <f t="shared" ca="1" si="9"/>
        <v>28.687999999999999</v>
      </c>
      <c r="AF14" s="127">
        <f t="shared" ca="1" si="10"/>
        <v>20.179625000000001</v>
      </c>
      <c r="AG14" s="127">
        <f t="shared" ca="1" si="11"/>
        <v>20.179625000000001</v>
      </c>
      <c r="AH14" s="127">
        <f t="shared" ref="AH14:AH24" si="20">IF($E14=1,1,0)</f>
        <v>0</v>
      </c>
      <c r="AI14" s="127" t="str">
        <f t="shared" ref="AI14:AI24" si="21">IF(ISERROR(FIND("_",$B14)),"",IF(FIND("_",$B14)&gt;0,LEFT($B14,FIND("_",$B14)-1),""))</f>
        <v/>
      </c>
      <c r="AJ14" s="127">
        <f t="shared" si="12"/>
        <v>0</v>
      </c>
      <c r="AK14" s="127" t="str">
        <f>IF(AK13="Below","Above",IF(AND(AH14=1,$AH15&gt;0,$V14=$V15,IF($V14=1,$H14=$H15,TRUE),AJ14=1),IF((AH15=1),"Below","No"),"No"))</f>
        <v>No</v>
      </c>
      <c r="AL14" s="127">
        <f t="shared" si="13"/>
        <v>0</v>
      </c>
      <c r="AM14" s="127">
        <f t="shared" ref="AM14:AM24" si="22">IF(INT($M14/10)*10=$M14,10,8)</f>
        <v>10</v>
      </c>
      <c r="AN14" s="127"/>
      <c r="AO14" s="127"/>
      <c r="AP14" s="127"/>
      <c r="AQ14" s="127"/>
    </row>
    <row r="15" spans="1:44" x14ac:dyDescent="0.25">
      <c r="A15" s="136"/>
      <c r="B15" s="677"/>
      <c r="C15" s="678"/>
      <c r="D15" s="678"/>
      <c r="E15" s="10"/>
      <c r="F15" s="10" t="s">
        <v>578</v>
      </c>
      <c r="G15" s="10" t="s">
        <v>774</v>
      </c>
      <c r="H15" s="181">
        <v>1.25</v>
      </c>
      <c r="I15" s="10">
        <v>1</v>
      </c>
      <c r="J15" s="10">
        <v>1</v>
      </c>
      <c r="K15" s="185">
        <f t="shared" si="14"/>
        <v>2.5</v>
      </c>
      <c r="L15" s="185">
        <f t="shared" si="15"/>
        <v>2.5</v>
      </c>
      <c r="M15" s="10">
        <v>10</v>
      </c>
      <c r="N15" s="10">
        <v>1025</v>
      </c>
      <c r="O15" s="194">
        <f t="shared" ca="1" si="0"/>
        <v>0</v>
      </c>
      <c r="P15" s="194">
        <f t="shared" ca="1" si="1"/>
        <v>0</v>
      </c>
      <c r="Q15" s="194">
        <f t="shared" ca="1" si="2"/>
        <v>0</v>
      </c>
      <c r="R15" s="194">
        <f t="shared" ca="1" si="3"/>
        <v>0</v>
      </c>
      <c r="S15" s="195">
        <f t="shared" ca="1" si="4"/>
        <v>0</v>
      </c>
      <c r="T15" s="127"/>
      <c r="U15" s="127">
        <f t="shared" si="16"/>
        <v>1</v>
      </c>
      <c r="V15" s="136">
        <f t="shared" si="5"/>
        <v>1</v>
      </c>
      <c r="W15" s="136">
        <f t="shared" si="17"/>
        <v>250</v>
      </c>
      <c r="X15" s="136">
        <f t="shared" si="18"/>
        <v>250</v>
      </c>
      <c r="Y15" s="180">
        <f t="shared" si="19"/>
        <v>1.25</v>
      </c>
      <c r="Z15" s="180">
        <f t="shared" si="19"/>
        <v>1.25</v>
      </c>
      <c r="AA15" s="136">
        <f t="shared" si="6"/>
        <v>3</v>
      </c>
      <c r="AB15" s="136">
        <f t="shared" ca="1" si="7"/>
        <v>8</v>
      </c>
      <c r="AC15" s="127"/>
      <c r="AD15" s="127">
        <f t="shared" ca="1" si="8"/>
        <v>28.687999999999999</v>
      </c>
      <c r="AE15" s="127">
        <f t="shared" ca="1" si="9"/>
        <v>28.687999999999999</v>
      </c>
      <c r="AF15" s="127">
        <f t="shared" ca="1" si="10"/>
        <v>20.179625000000001</v>
      </c>
      <c r="AG15" s="127">
        <f t="shared" ca="1" si="11"/>
        <v>20.179625000000001</v>
      </c>
      <c r="AH15" s="127">
        <f t="shared" si="20"/>
        <v>0</v>
      </c>
      <c r="AI15" s="127" t="str">
        <f t="shared" si="21"/>
        <v/>
      </c>
      <c r="AJ15" s="127">
        <f t="shared" si="12"/>
        <v>0</v>
      </c>
      <c r="AK15" s="127" t="str">
        <f t="shared" ref="AK15:AK24" si="23">IF(AK14="Below","Above",IF(AND(AH15=1,$AH16&gt;0,$V15=$V16,IF($V15=1,$H15=$H16,TRUE),AJ15=1),IF((AH16=1),"Below","No"),"No"))</f>
        <v>No</v>
      </c>
      <c r="AL15" s="127">
        <f t="shared" si="13"/>
        <v>0</v>
      </c>
      <c r="AM15" s="127">
        <f t="shared" si="22"/>
        <v>10</v>
      </c>
      <c r="AN15" s="127"/>
      <c r="AO15" s="127"/>
      <c r="AP15" s="127"/>
      <c r="AQ15" s="127"/>
    </row>
    <row r="16" spans="1:44" x14ac:dyDescent="0.25">
      <c r="A16" s="136"/>
      <c r="B16" s="677"/>
      <c r="C16" s="678"/>
      <c r="D16" s="678"/>
      <c r="E16" s="10"/>
      <c r="F16" s="10" t="s">
        <v>578</v>
      </c>
      <c r="G16" s="10" t="s">
        <v>774</v>
      </c>
      <c r="H16" s="181">
        <v>1.25</v>
      </c>
      <c r="I16" s="10">
        <v>1</v>
      </c>
      <c r="J16" s="10">
        <v>1</v>
      </c>
      <c r="K16" s="185">
        <f t="shared" si="14"/>
        <v>2.5</v>
      </c>
      <c r="L16" s="185">
        <f t="shared" si="15"/>
        <v>2.5</v>
      </c>
      <c r="M16" s="10">
        <v>10</v>
      </c>
      <c r="N16" s="10">
        <v>1025</v>
      </c>
      <c r="O16" s="194">
        <f t="shared" ca="1" si="0"/>
        <v>0</v>
      </c>
      <c r="P16" s="194">
        <f t="shared" ca="1" si="1"/>
        <v>0</v>
      </c>
      <c r="Q16" s="194">
        <f t="shared" ca="1" si="2"/>
        <v>0</v>
      </c>
      <c r="R16" s="194">
        <f t="shared" ca="1" si="3"/>
        <v>0</v>
      </c>
      <c r="S16" s="195">
        <f t="shared" ca="1" si="4"/>
        <v>0</v>
      </c>
      <c r="T16" s="127"/>
      <c r="U16" s="127">
        <f t="shared" si="16"/>
        <v>1</v>
      </c>
      <c r="V16" s="136">
        <f t="shared" si="5"/>
        <v>1</v>
      </c>
      <c r="W16" s="136">
        <f t="shared" si="17"/>
        <v>250</v>
      </c>
      <c r="X16" s="136">
        <f t="shared" si="18"/>
        <v>250</v>
      </c>
      <c r="Y16" s="180">
        <f t="shared" si="19"/>
        <v>1.25</v>
      </c>
      <c r="Z16" s="180">
        <f t="shared" si="19"/>
        <v>1.25</v>
      </c>
      <c r="AA16" s="136">
        <f t="shared" si="6"/>
        <v>3</v>
      </c>
      <c r="AB16" s="136">
        <f t="shared" ca="1" si="7"/>
        <v>8</v>
      </c>
      <c r="AC16" s="127"/>
      <c r="AD16" s="127">
        <f t="shared" ca="1" si="8"/>
        <v>28.687999999999999</v>
      </c>
      <c r="AE16" s="127">
        <f t="shared" ca="1" si="9"/>
        <v>28.687999999999999</v>
      </c>
      <c r="AF16" s="127">
        <f t="shared" ca="1" si="10"/>
        <v>20.179625000000001</v>
      </c>
      <c r="AG16" s="127">
        <f t="shared" ca="1" si="11"/>
        <v>20.179625000000001</v>
      </c>
      <c r="AH16" s="127">
        <f t="shared" si="20"/>
        <v>0</v>
      </c>
      <c r="AI16" s="127" t="str">
        <f t="shared" si="21"/>
        <v/>
      </c>
      <c r="AJ16" s="127">
        <f t="shared" si="12"/>
        <v>0</v>
      </c>
      <c r="AK16" s="127" t="str">
        <f t="shared" si="23"/>
        <v>No</v>
      </c>
      <c r="AL16" s="127">
        <f t="shared" si="13"/>
        <v>0</v>
      </c>
      <c r="AM16" s="127">
        <f t="shared" si="22"/>
        <v>10</v>
      </c>
      <c r="AN16" s="127"/>
      <c r="AO16" s="127"/>
      <c r="AP16" s="127"/>
      <c r="AQ16" s="127"/>
    </row>
    <row r="17" spans="1:43" x14ac:dyDescent="0.25">
      <c r="A17" s="136"/>
      <c r="B17" s="677"/>
      <c r="C17" s="678"/>
      <c r="D17" s="678"/>
      <c r="E17" s="10"/>
      <c r="F17" s="10" t="s">
        <v>578</v>
      </c>
      <c r="G17" s="10" t="s">
        <v>774</v>
      </c>
      <c r="H17" s="181">
        <v>1.25</v>
      </c>
      <c r="I17" s="10">
        <v>1</v>
      </c>
      <c r="J17" s="10">
        <v>1</v>
      </c>
      <c r="K17" s="185">
        <f t="shared" si="14"/>
        <v>2.5</v>
      </c>
      <c r="L17" s="185">
        <f t="shared" si="15"/>
        <v>2.5</v>
      </c>
      <c r="M17" s="10">
        <v>10</v>
      </c>
      <c r="N17" s="10">
        <v>1025</v>
      </c>
      <c r="O17" s="194">
        <f t="shared" ca="1" si="0"/>
        <v>0</v>
      </c>
      <c r="P17" s="194">
        <f t="shared" ca="1" si="1"/>
        <v>0</v>
      </c>
      <c r="Q17" s="194">
        <f t="shared" ca="1" si="2"/>
        <v>0</v>
      </c>
      <c r="R17" s="194">
        <f t="shared" ca="1" si="3"/>
        <v>0</v>
      </c>
      <c r="S17" s="195">
        <f t="shared" ca="1" si="4"/>
        <v>0</v>
      </c>
      <c r="T17" s="127"/>
      <c r="U17" s="127">
        <f t="shared" si="16"/>
        <v>1</v>
      </c>
      <c r="V17" s="136">
        <f t="shared" si="5"/>
        <v>1</v>
      </c>
      <c r="W17" s="136">
        <f t="shared" si="17"/>
        <v>250</v>
      </c>
      <c r="X17" s="136">
        <f t="shared" si="18"/>
        <v>250</v>
      </c>
      <c r="Y17" s="180">
        <f t="shared" si="19"/>
        <v>1.25</v>
      </c>
      <c r="Z17" s="180">
        <f t="shared" si="19"/>
        <v>1.25</v>
      </c>
      <c r="AA17" s="136">
        <f t="shared" si="6"/>
        <v>3</v>
      </c>
      <c r="AB17" s="136">
        <f t="shared" ca="1" si="7"/>
        <v>8</v>
      </c>
      <c r="AC17" s="127"/>
      <c r="AD17" s="127">
        <f t="shared" ca="1" si="8"/>
        <v>28.687999999999999</v>
      </c>
      <c r="AE17" s="127">
        <f t="shared" ca="1" si="9"/>
        <v>28.687999999999999</v>
      </c>
      <c r="AF17" s="127">
        <f t="shared" ca="1" si="10"/>
        <v>20.179625000000001</v>
      </c>
      <c r="AG17" s="127">
        <f t="shared" ca="1" si="11"/>
        <v>20.179625000000001</v>
      </c>
      <c r="AH17" s="127">
        <f t="shared" si="20"/>
        <v>0</v>
      </c>
      <c r="AI17" s="127" t="str">
        <f t="shared" si="21"/>
        <v/>
      </c>
      <c r="AJ17" s="127">
        <f t="shared" si="12"/>
        <v>0</v>
      </c>
      <c r="AK17" s="127" t="str">
        <f t="shared" si="23"/>
        <v>No</v>
      </c>
      <c r="AL17" s="127">
        <f t="shared" si="13"/>
        <v>0</v>
      </c>
      <c r="AM17" s="127">
        <f t="shared" si="22"/>
        <v>10</v>
      </c>
      <c r="AN17" s="127"/>
      <c r="AO17" s="127"/>
      <c r="AP17" s="127"/>
      <c r="AQ17" s="127"/>
    </row>
    <row r="18" spans="1:43" x14ac:dyDescent="0.25">
      <c r="A18" s="136"/>
      <c r="B18" s="677"/>
      <c r="C18" s="678"/>
      <c r="D18" s="678"/>
      <c r="E18" s="10"/>
      <c r="F18" s="10" t="s">
        <v>578</v>
      </c>
      <c r="G18" s="10" t="s">
        <v>774</v>
      </c>
      <c r="H18" s="181">
        <v>1.25</v>
      </c>
      <c r="I18" s="10">
        <v>1</v>
      </c>
      <c r="J18" s="10">
        <v>1</v>
      </c>
      <c r="K18" s="185">
        <f t="shared" si="14"/>
        <v>2.5</v>
      </c>
      <c r="L18" s="185">
        <f t="shared" si="15"/>
        <v>2.5</v>
      </c>
      <c r="M18" s="10">
        <v>10</v>
      </c>
      <c r="N18" s="10">
        <v>1025</v>
      </c>
      <c r="O18" s="194">
        <f t="shared" ca="1" si="0"/>
        <v>0</v>
      </c>
      <c r="P18" s="194">
        <f t="shared" ca="1" si="1"/>
        <v>0</v>
      </c>
      <c r="Q18" s="194">
        <f t="shared" ca="1" si="2"/>
        <v>0</v>
      </c>
      <c r="R18" s="194">
        <f t="shared" ca="1" si="3"/>
        <v>0</v>
      </c>
      <c r="S18" s="195">
        <f t="shared" ca="1" si="4"/>
        <v>0</v>
      </c>
      <c r="T18" s="127"/>
      <c r="U18" s="127">
        <f t="shared" si="16"/>
        <v>1</v>
      </c>
      <c r="V18" s="136">
        <f t="shared" si="5"/>
        <v>1</v>
      </c>
      <c r="W18" s="136">
        <f t="shared" si="17"/>
        <v>250</v>
      </c>
      <c r="X18" s="136">
        <f t="shared" si="18"/>
        <v>250</v>
      </c>
      <c r="Y18" s="180">
        <f t="shared" si="19"/>
        <v>1.25</v>
      </c>
      <c r="Z18" s="180">
        <f t="shared" si="19"/>
        <v>1.25</v>
      </c>
      <c r="AA18" s="136">
        <f t="shared" si="6"/>
        <v>3</v>
      </c>
      <c r="AB18" s="136">
        <f t="shared" ca="1" si="7"/>
        <v>8</v>
      </c>
      <c r="AC18" s="127"/>
      <c r="AD18" s="127">
        <f t="shared" ca="1" si="8"/>
        <v>28.687999999999999</v>
      </c>
      <c r="AE18" s="127">
        <f t="shared" ca="1" si="9"/>
        <v>28.687999999999999</v>
      </c>
      <c r="AF18" s="127">
        <f t="shared" ca="1" si="10"/>
        <v>20.179625000000001</v>
      </c>
      <c r="AG18" s="127">
        <f t="shared" ca="1" si="11"/>
        <v>20.179625000000001</v>
      </c>
      <c r="AH18" s="127">
        <f t="shared" si="20"/>
        <v>0</v>
      </c>
      <c r="AI18" s="127" t="str">
        <f t="shared" si="21"/>
        <v/>
      </c>
      <c r="AJ18" s="127">
        <f t="shared" si="12"/>
        <v>0</v>
      </c>
      <c r="AK18" s="127" t="str">
        <f t="shared" si="23"/>
        <v>No</v>
      </c>
      <c r="AL18" s="127">
        <f t="shared" si="13"/>
        <v>0</v>
      </c>
      <c r="AM18" s="127">
        <f t="shared" si="22"/>
        <v>10</v>
      </c>
      <c r="AN18" s="127"/>
      <c r="AO18" s="127"/>
      <c r="AP18" s="127"/>
      <c r="AQ18" s="127"/>
    </row>
    <row r="19" spans="1:43" x14ac:dyDescent="0.25">
      <c r="A19" s="136"/>
      <c r="B19" s="677"/>
      <c r="C19" s="678"/>
      <c r="D19" s="678"/>
      <c r="E19" s="10"/>
      <c r="F19" s="10" t="s">
        <v>578</v>
      </c>
      <c r="G19" s="10" t="s">
        <v>774</v>
      </c>
      <c r="H19" s="181">
        <v>1.25</v>
      </c>
      <c r="I19" s="10">
        <v>1</v>
      </c>
      <c r="J19" s="10">
        <v>1</v>
      </c>
      <c r="K19" s="185">
        <f t="shared" si="14"/>
        <v>2.5</v>
      </c>
      <c r="L19" s="185">
        <f t="shared" si="15"/>
        <v>2.5</v>
      </c>
      <c r="M19" s="10">
        <v>10</v>
      </c>
      <c r="N19" s="10">
        <v>1025</v>
      </c>
      <c r="O19" s="194">
        <f t="shared" ca="1" si="0"/>
        <v>0</v>
      </c>
      <c r="P19" s="194">
        <f t="shared" ca="1" si="1"/>
        <v>0</v>
      </c>
      <c r="Q19" s="194">
        <f t="shared" ca="1" si="2"/>
        <v>0</v>
      </c>
      <c r="R19" s="194">
        <f t="shared" ca="1" si="3"/>
        <v>0</v>
      </c>
      <c r="S19" s="195">
        <f t="shared" ca="1" si="4"/>
        <v>0</v>
      </c>
      <c r="T19" s="127"/>
      <c r="U19" s="127">
        <f t="shared" si="16"/>
        <v>1</v>
      </c>
      <c r="V19" s="136">
        <f t="shared" si="5"/>
        <v>1</v>
      </c>
      <c r="W19" s="136">
        <f t="shared" si="17"/>
        <v>250</v>
      </c>
      <c r="X19" s="136">
        <f t="shared" si="18"/>
        <v>250</v>
      </c>
      <c r="Y19" s="180">
        <f t="shared" si="19"/>
        <v>1.25</v>
      </c>
      <c r="Z19" s="180">
        <f t="shared" si="19"/>
        <v>1.25</v>
      </c>
      <c r="AA19" s="136">
        <f t="shared" si="6"/>
        <v>3</v>
      </c>
      <c r="AB19" s="136">
        <f t="shared" ca="1" si="7"/>
        <v>8</v>
      </c>
      <c r="AC19" s="127"/>
      <c r="AD19" s="127">
        <f t="shared" ca="1" si="8"/>
        <v>28.687999999999999</v>
      </c>
      <c r="AE19" s="127">
        <f t="shared" ca="1" si="9"/>
        <v>28.687999999999999</v>
      </c>
      <c r="AF19" s="127">
        <f t="shared" ca="1" si="10"/>
        <v>20.179625000000001</v>
      </c>
      <c r="AG19" s="127">
        <f t="shared" ca="1" si="11"/>
        <v>20.179625000000001</v>
      </c>
      <c r="AH19" s="127">
        <f t="shared" si="20"/>
        <v>0</v>
      </c>
      <c r="AI19" s="127" t="str">
        <f t="shared" si="21"/>
        <v/>
      </c>
      <c r="AJ19" s="127">
        <f t="shared" si="12"/>
        <v>0</v>
      </c>
      <c r="AK19" s="127" t="str">
        <f t="shared" si="23"/>
        <v>No</v>
      </c>
      <c r="AL19" s="127">
        <f t="shared" si="13"/>
        <v>0</v>
      </c>
      <c r="AM19" s="127">
        <f t="shared" si="22"/>
        <v>10</v>
      </c>
      <c r="AN19" s="127"/>
      <c r="AO19" s="127"/>
      <c r="AP19" s="127"/>
      <c r="AQ19" s="127"/>
    </row>
    <row r="20" spans="1:43" x14ac:dyDescent="0.25">
      <c r="A20" s="136"/>
      <c r="B20" s="677"/>
      <c r="C20" s="678"/>
      <c r="D20" s="678"/>
      <c r="E20" s="10"/>
      <c r="F20" s="10" t="s">
        <v>578</v>
      </c>
      <c r="G20" s="10" t="s">
        <v>774</v>
      </c>
      <c r="H20" s="181">
        <v>1.25</v>
      </c>
      <c r="I20" s="10">
        <v>1</v>
      </c>
      <c r="J20" s="10">
        <v>1</v>
      </c>
      <c r="K20" s="185">
        <f t="shared" si="14"/>
        <v>2.5</v>
      </c>
      <c r="L20" s="185">
        <f t="shared" si="15"/>
        <v>2.5</v>
      </c>
      <c r="M20" s="10">
        <v>10</v>
      </c>
      <c r="N20" s="10">
        <v>1025</v>
      </c>
      <c r="O20" s="194">
        <f t="shared" ca="1" si="0"/>
        <v>0</v>
      </c>
      <c r="P20" s="194">
        <f t="shared" ca="1" si="1"/>
        <v>0</v>
      </c>
      <c r="Q20" s="194">
        <f t="shared" ca="1" si="2"/>
        <v>0</v>
      </c>
      <c r="R20" s="194">
        <f t="shared" ca="1" si="3"/>
        <v>0</v>
      </c>
      <c r="S20" s="195">
        <f t="shared" ca="1" si="4"/>
        <v>0</v>
      </c>
      <c r="T20" s="127"/>
      <c r="U20" s="127">
        <f t="shared" si="16"/>
        <v>1</v>
      </c>
      <c r="V20" s="136">
        <f t="shared" si="5"/>
        <v>1</v>
      </c>
      <c r="W20" s="136">
        <f t="shared" si="17"/>
        <v>250</v>
      </c>
      <c r="X20" s="136">
        <f t="shared" si="18"/>
        <v>250</v>
      </c>
      <c r="Y20" s="180">
        <f t="shared" si="19"/>
        <v>1.25</v>
      </c>
      <c r="Z20" s="180">
        <f t="shared" si="19"/>
        <v>1.25</v>
      </c>
      <c r="AA20" s="136">
        <f t="shared" si="6"/>
        <v>3</v>
      </c>
      <c r="AB20" s="136">
        <f t="shared" ca="1" si="7"/>
        <v>8</v>
      </c>
      <c r="AC20" s="127"/>
      <c r="AD20" s="127">
        <f t="shared" ca="1" si="8"/>
        <v>28.687999999999999</v>
      </c>
      <c r="AE20" s="127">
        <f t="shared" ca="1" si="9"/>
        <v>28.687999999999999</v>
      </c>
      <c r="AF20" s="127">
        <f t="shared" ca="1" si="10"/>
        <v>20.179625000000001</v>
      </c>
      <c r="AG20" s="127">
        <f t="shared" ca="1" si="11"/>
        <v>20.179625000000001</v>
      </c>
      <c r="AH20" s="127">
        <f t="shared" si="20"/>
        <v>0</v>
      </c>
      <c r="AI20" s="127" t="str">
        <f t="shared" si="21"/>
        <v/>
      </c>
      <c r="AJ20" s="127">
        <f t="shared" si="12"/>
        <v>0</v>
      </c>
      <c r="AK20" s="127" t="str">
        <f t="shared" si="23"/>
        <v>No</v>
      </c>
      <c r="AL20" s="127">
        <f t="shared" si="13"/>
        <v>0</v>
      </c>
      <c r="AM20" s="127">
        <f t="shared" si="22"/>
        <v>10</v>
      </c>
      <c r="AN20" s="127"/>
      <c r="AO20" s="127"/>
      <c r="AP20" s="127"/>
      <c r="AQ20" s="127"/>
    </row>
    <row r="21" spans="1:43" x14ac:dyDescent="0.25">
      <c r="A21" s="136"/>
      <c r="B21" s="677"/>
      <c r="C21" s="678"/>
      <c r="D21" s="678"/>
      <c r="E21" s="10"/>
      <c r="F21" s="10" t="s">
        <v>578</v>
      </c>
      <c r="G21" s="10" t="s">
        <v>774</v>
      </c>
      <c r="H21" s="181">
        <v>1.25</v>
      </c>
      <c r="I21" s="10">
        <v>1</v>
      </c>
      <c r="J21" s="10">
        <v>1</v>
      </c>
      <c r="K21" s="185">
        <f t="shared" si="14"/>
        <v>2.5</v>
      </c>
      <c r="L21" s="185">
        <f t="shared" si="15"/>
        <v>2.5</v>
      </c>
      <c r="M21" s="10">
        <v>10</v>
      </c>
      <c r="N21" s="10">
        <v>1025</v>
      </c>
      <c r="O21" s="194">
        <f t="shared" ca="1" si="0"/>
        <v>0</v>
      </c>
      <c r="P21" s="194">
        <f t="shared" ca="1" si="1"/>
        <v>0</v>
      </c>
      <c r="Q21" s="194">
        <f t="shared" ca="1" si="2"/>
        <v>0</v>
      </c>
      <c r="R21" s="194">
        <f t="shared" ca="1" si="3"/>
        <v>0</v>
      </c>
      <c r="S21" s="195">
        <f t="shared" ca="1" si="4"/>
        <v>0</v>
      </c>
      <c r="T21" s="127"/>
      <c r="U21" s="127">
        <f t="shared" si="16"/>
        <v>1</v>
      </c>
      <c r="V21" s="136">
        <f t="shared" si="5"/>
        <v>1</v>
      </c>
      <c r="W21" s="136">
        <f t="shared" si="17"/>
        <v>250</v>
      </c>
      <c r="X21" s="136">
        <f t="shared" si="18"/>
        <v>250</v>
      </c>
      <c r="Y21" s="180">
        <f t="shared" si="19"/>
        <v>1.25</v>
      </c>
      <c r="Z21" s="180">
        <f t="shared" si="19"/>
        <v>1.25</v>
      </c>
      <c r="AA21" s="136">
        <f t="shared" si="6"/>
        <v>3</v>
      </c>
      <c r="AB21" s="136">
        <f t="shared" ca="1" si="7"/>
        <v>8</v>
      </c>
      <c r="AC21" s="127"/>
      <c r="AD21" s="127">
        <f t="shared" ca="1" si="8"/>
        <v>28.687999999999999</v>
      </c>
      <c r="AE21" s="127">
        <f t="shared" ca="1" si="9"/>
        <v>28.687999999999999</v>
      </c>
      <c r="AF21" s="127">
        <f t="shared" ca="1" si="10"/>
        <v>20.179625000000001</v>
      </c>
      <c r="AG21" s="127">
        <f t="shared" ca="1" si="11"/>
        <v>20.179625000000001</v>
      </c>
      <c r="AH21" s="127">
        <f t="shared" si="20"/>
        <v>0</v>
      </c>
      <c r="AI21" s="127" t="str">
        <f t="shared" si="21"/>
        <v/>
      </c>
      <c r="AJ21" s="127">
        <f t="shared" si="12"/>
        <v>0</v>
      </c>
      <c r="AK21" s="127" t="str">
        <f t="shared" si="23"/>
        <v>No</v>
      </c>
      <c r="AL21" s="127">
        <f t="shared" si="13"/>
        <v>0</v>
      </c>
      <c r="AM21" s="127">
        <f t="shared" si="22"/>
        <v>10</v>
      </c>
      <c r="AN21" s="127"/>
      <c r="AO21" s="127"/>
      <c r="AP21" s="127"/>
      <c r="AQ21" s="127"/>
    </row>
    <row r="22" spans="1:43" x14ac:dyDescent="0.25">
      <c r="A22" s="136"/>
      <c r="B22" s="677"/>
      <c r="C22" s="678"/>
      <c r="D22" s="678"/>
      <c r="E22" s="10"/>
      <c r="F22" s="10" t="s">
        <v>578</v>
      </c>
      <c r="G22" s="10" t="s">
        <v>774</v>
      </c>
      <c r="H22" s="181">
        <v>1.25</v>
      </c>
      <c r="I22" s="10">
        <v>1</v>
      </c>
      <c r="J22" s="10">
        <v>1</v>
      </c>
      <c r="K22" s="185">
        <f t="shared" si="14"/>
        <v>2.5</v>
      </c>
      <c r="L22" s="185">
        <f t="shared" si="15"/>
        <v>2.5</v>
      </c>
      <c r="M22" s="10">
        <v>10</v>
      </c>
      <c r="N22" s="10">
        <v>1025</v>
      </c>
      <c r="O22" s="194">
        <f t="shared" ca="1" si="0"/>
        <v>0</v>
      </c>
      <c r="P22" s="194">
        <f t="shared" ca="1" si="1"/>
        <v>0</v>
      </c>
      <c r="Q22" s="194">
        <f t="shared" ca="1" si="2"/>
        <v>0</v>
      </c>
      <c r="R22" s="194">
        <f t="shared" ca="1" si="3"/>
        <v>0</v>
      </c>
      <c r="S22" s="195">
        <f t="shared" ca="1" si="4"/>
        <v>0</v>
      </c>
      <c r="T22" s="127"/>
      <c r="U22" s="127">
        <f t="shared" si="16"/>
        <v>1</v>
      </c>
      <c r="V22" s="136">
        <f t="shared" si="5"/>
        <v>1</v>
      </c>
      <c r="W22" s="136">
        <f t="shared" si="17"/>
        <v>250</v>
      </c>
      <c r="X22" s="136">
        <f t="shared" si="18"/>
        <v>250</v>
      </c>
      <c r="Y22" s="180">
        <f t="shared" si="19"/>
        <v>1.25</v>
      </c>
      <c r="Z22" s="180">
        <f t="shared" si="19"/>
        <v>1.25</v>
      </c>
      <c r="AA22" s="136">
        <f t="shared" si="6"/>
        <v>3</v>
      </c>
      <c r="AB22" s="136">
        <f t="shared" ca="1" si="7"/>
        <v>8</v>
      </c>
      <c r="AC22" s="127"/>
      <c r="AD22" s="127">
        <f t="shared" ca="1" si="8"/>
        <v>28.687999999999999</v>
      </c>
      <c r="AE22" s="127">
        <f t="shared" ca="1" si="9"/>
        <v>28.687999999999999</v>
      </c>
      <c r="AF22" s="127">
        <f t="shared" ca="1" si="10"/>
        <v>20.179625000000001</v>
      </c>
      <c r="AG22" s="127">
        <f t="shared" ca="1" si="11"/>
        <v>20.179625000000001</v>
      </c>
      <c r="AH22" s="127">
        <f t="shared" si="20"/>
        <v>0</v>
      </c>
      <c r="AI22" s="127" t="str">
        <f t="shared" si="21"/>
        <v/>
      </c>
      <c r="AJ22" s="127">
        <f t="shared" si="12"/>
        <v>0</v>
      </c>
      <c r="AK22" s="127" t="str">
        <f t="shared" si="23"/>
        <v>No</v>
      </c>
      <c r="AL22" s="127">
        <f t="shared" si="13"/>
        <v>0</v>
      </c>
      <c r="AM22" s="127">
        <f t="shared" si="22"/>
        <v>10</v>
      </c>
      <c r="AN22" s="127"/>
      <c r="AO22" s="127"/>
      <c r="AP22" s="127"/>
      <c r="AQ22" s="127"/>
    </row>
    <row r="23" spans="1:43" x14ac:dyDescent="0.25">
      <c r="A23" s="136"/>
      <c r="B23" s="677"/>
      <c r="C23" s="678"/>
      <c r="D23" s="678"/>
      <c r="E23" s="10"/>
      <c r="F23" s="10" t="s">
        <v>578</v>
      </c>
      <c r="G23" s="10" t="s">
        <v>774</v>
      </c>
      <c r="H23" s="181">
        <v>1.25</v>
      </c>
      <c r="I23" s="10">
        <v>1</v>
      </c>
      <c r="J23" s="10">
        <v>1</v>
      </c>
      <c r="K23" s="185">
        <f t="shared" si="14"/>
        <v>2.5</v>
      </c>
      <c r="L23" s="185">
        <f t="shared" si="15"/>
        <v>2.5</v>
      </c>
      <c r="M23" s="10">
        <v>10</v>
      </c>
      <c r="N23" s="10">
        <v>1025</v>
      </c>
      <c r="O23" s="194">
        <f t="shared" ca="1" si="0"/>
        <v>0</v>
      </c>
      <c r="P23" s="194">
        <f t="shared" ca="1" si="1"/>
        <v>0</v>
      </c>
      <c r="Q23" s="194">
        <f t="shared" ca="1" si="2"/>
        <v>0</v>
      </c>
      <c r="R23" s="194">
        <f t="shared" ca="1" si="3"/>
        <v>0</v>
      </c>
      <c r="S23" s="195">
        <f t="shared" ca="1" si="4"/>
        <v>0</v>
      </c>
      <c r="T23" s="127"/>
      <c r="U23" s="127">
        <f t="shared" si="16"/>
        <v>1</v>
      </c>
      <c r="V23" s="136">
        <f t="shared" si="5"/>
        <v>1</v>
      </c>
      <c r="W23" s="136">
        <f t="shared" si="17"/>
        <v>250</v>
      </c>
      <c r="X23" s="136">
        <f t="shared" si="18"/>
        <v>250</v>
      </c>
      <c r="Y23" s="180">
        <f t="shared" si="19"/>
        <v>1.25</v>
      </c>
      <c r="Z23" s="180">
        <f t="shared" si="19"/>
        <v>1.25</v>
      </c>
      <c r="AA23" s="136">
        <f t="shared" si="6"/>
        <v>3</v>
      </c>
      <c r="AB23" s="136">
        <f t="shared" ca="1" si="7"/>
        <v>8</v>
      </c>
      <c r="AC23" s="127"/>
      <c r="AD23" s="127">
        <f t="shared" ca="1" si="8"/>
        <v>28.687999999999999</v>
      </c>
      <c r="AE23" s="127">
        <f t="shared" ca="1" si="9"/>
        <v>28.687999999999999</v>
      </c>
      <c r="AF23" s="127">
        <f t="shared" ca="1" si="10"/>
        <v>20.179625000000001</v>
      </c>
      <c r="AG23" s="127">
        <f t="shared" ca="1" si="11"/>
        <v>20.179625000000001</v>
      </c>
      <c r="AH23" s="127">
        <f t="shared" si="20"/>
        <v>0</v>
      </c>
      <c r="AI23" s="127" t="str">
        <f t="shared" si="21"/>
        <v/>
      </c>
      <c r="AJ23" s="127">
        <f t="shared" si="12"/>
        <v>0</v>
      </c>
      <c r="AK23" s="127" t="str">
        <f t="shared" si="23"/>
        <v>No</v>
      </c>
      <c r="AL23" s="127">
        <f t="shared" si="13"/>
        <v>0</v>
      </c>
      <c r="AM23" s="127">
        <f t="shared" si="22"/>
        <v>10</v>
      </c>
      <c r="AN23" s="127"/>
      <c r="AO23" s="127"/>
      <c r="AP23" s="127"/>
      <c r="AQ23" s="127"/>
    </row>
    <row r="24" spans="1:43" ht="13.8" thickBot="1" x14ac:dyDescent="0.3">
      <c r="A24" s="136"/>
      <c r="B24" s="682"/>
      <c r="C24" s="683"/>
      <c r="D24" s="683"/>
      <c r="E24" s="121"/>
      <c r="F24" s="121" t="s">
        <v>578</v>
      </c>
      <c r="G24" s="121" t="s">
        <v>774</v>
      </c>
      <c r="H24" s="182">
        <v>1.25</v>
      </c>
      <c r="I24" s="121">
        <v>1</v>
      </c>
      <c r="J24" s="121">
        <v>1</v>
      </c>
      <c r="K24" s="186">
        <f t="shared" si="14"/>
        <v>2.5</v>
      </c>
      <c r="L24" s="186">
        <f t="shared" si="15"/>
        <v>2.5</v>
      </c>
      <c r="M24" s="121">
        <v>10</v>
      </c>
      <c r="N24" s="121">
        <v>1025</v>
      </c>
      <c r="O24" s="196">
        <f t="shared" ca="1" si="0"/>
        <v>0</v>
      </c>
      <c r="P24" s="196">
        <f t="shared" ca="1" si="1"/>
        <v>0</v>
      </c>
      <c r="Q24" s="196">
        <f t="shared" ca="1" si="2"/>
        <v>0</v>
      </c>
      <c r="R24" s="196">
        <f t="shared" ca="1" si="3"/>
        <v>0</v>
      </c>
      <c r="S24" s="197">
        <f t="shared" ca="1" si="4"/>
        <v>0</v>
      </c>
      <c r="T24" s="127"/>
      <c r="U24" s="127">
        <f t="shared" si="16"/>
        <v>1</v>
      </c>
      <c r="V24" s="136">
        <f t="shared" si="5"/>
        <v>1</v>
      </c>
      <c r="W24" s="136">
        <f t="shared" si="17"/>
        <v>250</v>
      </c>
      <c r="X24" s="136">
        <f t="shared" si="18"/>
        <v>250</v>
      </c>
      <c r="Y24" s="180">
        <f t="shared" si="19"/>
        <v>1.25</v>
      </c>
      <c r="Z24" s="180">
        <f t="shared" si="19"/>
        <v>1.25</v>
      </c>
      <c r="AA24" s="136">
        <f t="shared" si="6"/>
        <v>3</v>
      </c>
      <c r="AB24" s="136">
        <f t="shared" ca="1" si="7"/>
        <v>8</v>
      </c>
      <c r="AC24" s="127"/>
      <c r="AD24" s="127">
        <f t="shared" ca="1" si="8"/>
        <v>28.687999999999999</v>
      </c>
      <c r="AE24" s="127">
        <f t="shared" ca="1" si="9"/>
        <v>28.687999999999999</v>
      </c>
      <c r="AF24" s="127">
        <f t="shared" ca="1" si="10"/>
        <v>20.179625000000001</v>
      </c>
      <c r="AG24" s="127">
        <f t="shared" ca="1" si="11"/>
        <v>20.179625000000001</v>
      </c>
      <c r="AH24" s="127">
        <f t="shared" si="20"/>
        <v>0</v>
      </c>
      <c r="AI24" s="127" t="str">
        <f t="shared" si="21"/>
        <v/>
      </c>
      <c r="AJ24" s="127">
        <f t="shared" si="12"/>
        <v>0</v>
      </c>
      <c r="AK24" s="127" t="str">
        <f t="shared" si="23"/>
        <v>No</v>
      </c>
      <c r="AL24" s="127">
        <f t="shared" si="13"/>
        <v>0</v>
      </c>
      <c r="AM24" s="127">
        <f t="shared" si="22"/>
        <v>10</v>
      </c>
      <c r="AN24" s="127"/>
      <c r="AO24" s="127"/>
      <c r="AP24" s="127"/>
      <c r="AQ24" s="127"/>
    </row>
    <row r="25" spans="1:43" ht="15" customHeight="1" x14ac:dyDescent="0.25">
      <c r="A25" s="136"/>
      <c r="B25" s="150"/>
      <c r="C25" s="150"/>
      <c r="D25" s="150"/>
      <c r="E25" s="151"/>
      <c r="F25" s="150"/>
      <c r="G25" s="150"/>
      <c r="H25" s="150"/>
      <c r="I25" s="150"/>
      <c r="J25" s="150"/>
      <c r="K25" s="150"/>
      <c r="L25" s="150"/>
      <c r="M25" s="150"/>
      <c r="N25" s="150"/>
      <c r="O25" s="154"/>
      <c r="P25" s="154"/>
      <c r="Q25" s="154"/>
      <c r="R25" s="154"/>
      <c r="S25" s="154"/>
      <c r="T25" s="127"/>
      <c r="U25" s="127"/>
      <c r="V25" s="136"/>
      <c r="W25" s="136"/>
      <c r="X25" s="136"/>
      <c r="Y25" s="127"/>
      <c r="Z25" s="127"/>
      <c r="AA25" s="127"/>
      <c r="AB25" s="127"/>
      <c r="AC25" s="127"/>
      <c r="AD25" s="127"/>
      <c r="AE25" s="127"/>
      <c r="AF25" s="127"/>
      <c r="AG25" s="127"/>
      <c r="AH25" s="127"/>
      <c r="AI25" s="127"/>
      <c r="AJ25" s="127"/>
      <c r="AK25" s="127"/>
      <c r="AL25" s="127"/>
      <c r="AM25" s="127"/>
      <c r="AN25" s="127"/>
      <c r="AO25" s="127"/>
      <c r="AP25" s="127"/>
      <c r="AQ25" s="127"/>
    </row>
    <row r="26" spans="1:43" x14ac:dyDescent="0.25">
      <c r="A26" s="136"/>
      <c r="B26" s="136"/>
      <c r="C26" s="136"/>
      <c r="D26" s="136"/>
      <c r="E26" s="136"/>
      <c r="F26" s="136"/>
      <c r="G26" s="136"/>
      <c r="H26" s="136"/>
      <c r="I26" s="136"/>
      <c r="J26" s="136"/>
      <c r="K26" s="136"/>
      <c r="L26" s="136"/>
      <c r="M26" s="136"/>
      <c r="N26" s="136"/>
      <c r="O26" s="136"/>
      <c r="P26" s="136"/>
      <c r="Q26" s="152" t="str">
        <f>POWERMODE</f>
        <v>Active</v>
      </c>
      <c r="R26" s="136"/>
      <c r="S26" s="136"/>
      <c r="T26" s="136"/>
      <c r="U26" s="136"/>
      <c r="V26" s="127"/>
      <c r="W26" s="127"/>
      <c r="X26" s="127"/>
      <c r="Y26" s="127"/>
      <c r="Z26" s="127"/>
      <c r="AA26" s="127"/>
      <c r="AB26" s="127"/>
      <c r="AC26" s="127"/>
      <c r="AD26" s="127"/>
      <c r="AE26" s="127"/>
      <c r="AF26" s="127"/>
      <c r="AG26" s="127"/>
      <c r="AH26" s="127"/>
      <c r="AI26" s="127"/>
      <c r="AJ26" s="127"/>
      <c r="AK26" s="127"/>
      <c r="AL26" s="127"/>
      <c r="AM26" s="127"/>
      <c r="AN26" s="127"/>
      <c r="AO26" s="127"/>
      <c r="AP26" s="127"/>
      <c r="AQ26" s="127"/>
    </row>
    <row r="27" spans="1:43" ht="15" x14ac:dyDescent="0.25">
      <c r="A27" s="136"/>
      <c r="B27" s="890" t="s">
        <v>1241</v>
      </c>
      <c r="C27" s="890"/>
      <c r="D27" s="150"/>
      <c r="E27" s="153"/>
      <c r="F27" s="136"/>
      <c r="G27" s="136"/>
      <c r="H27" s="136"/>
      <c r="I27" s="136"/>
      <c r="J27" s="136"/>
      <c r="K27" s="136"/>
      <c r="L27" s="136"/>
      <c r="M27" s="136"/>
      <c r="N27" s="136"/>
      <c r="O27" s="136"/>
      <c r="P27" s="150"/>
      <c r="Q27" s="154"/>
      <c r="R27" s="136"/>
      <c r="S27" s="136"/>
      <c r="T27" s="136"/>
      <c r="U27" s="136" t="s">
        <v>579</v>
      </c>
      <c r="V27" s="136">
        <v>1</v>
      </c>
      <c r="W27" s="136"/>
      <c r="X27" s="127"/>
      <c r="Y27" s="127"/>
      <c r="Z27" s="127"/>
      <c r="AA27" s="127"/>
      <c r="AB27" s="127"/>
      <c r="AC27" s="127"/>
      <c r="AD27" s="127"/>
      <c r="AE27" s="127"/>
      <c r="AF27" s="127"/>
      <c r="AG27" s="127"/>
      <c r="AH27" s="127"/>
      <c r="AI27" s="127"/>
      <c r="AJ27" s="127"/>
      <c r="AK27" s="127"/>
      <c r="AL27" s="127"/>
      <c r="AM27" s="127"/>
      <c r="AN27" s="127"/>
      <c r="AO27" s="127"/>
      <c r="AP27" s="127"/>
      <c r="AQ27" s="127"/>
    </row>
    <row r="28" spans="1:43" ht="12.75" customHeight="1" x14ac:dyDescent="0.25">
      <c r="A28" s="136"/>
      <c r="B28" s="136"/>
      <c r="C28" s="136"/>
      <c r="D28" s="136"/>
      <c r="E28" s="136"/>
      <c r="F28" s="136"/>
      <c r="G28" s="136"/>
      <c r="H28" s="136"/>
      <c r="I28" s="136"/>
      <c r="J28" s="136"/>
      <c r="K28" s="136"/>
      <c r="L28" s="136"/>
      <c r="M28" s="136"/>
      <c r="N28" s="136"/>
      <c r="O28" s="136"/>
      <c r="P28" s="136"/>
      <c r="Q28" s="136"/>
      <c r="R28" s="136"/>
      <c r="S28" s="136"/>
      <c r="T28" s="136"/>
      <c r="U28" s="136" t="s">
        <v>580</v>
      </c>
      <c r="V28" s="136">
        <v>2</v>
      </c>
      <c r="W28" s="136"/>
      <c r="X28" s="127"/>
      <c r="Y28" s="127"/>
      <c r="Z28" s="127"/>
      <c r="AA28" s="127"/>
      <c r="AB28" s="127"/>
      <c r="AC28" s="127"/>
      <c r="AD28" s="127"/>
      <c r="AE28" s="127"/>
      <c r="AF28" s="127"/>
      <c r="AG28" s="127"/>
      <c r="AH28" s="127"/>
      <c r="AI28" s="127"/>
      <c r="AJ28" s="127"/>
      <c r="AK28" s="127"/>
      <c r="AL28" s="127"/>
      <c r="AM28" s="127"/>
      <c r="AN28" s="127"/>
      <c r="AO28" s="127"/>
      <c r="AP28" s="127"/>
      <c r="AQ28" s="127"/>
    </row>
    <row r="29" spans="1:43" ht="15" x14ac:dyDescent="0.25">
      <c r="A29" s="127"/>
      <c r="B29" s="150"/>
      <c r="C29" s="150"/>
      <c r="D29" s="150"/>
      <c r="E29" s="173"/>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c r="AE29" s="127"/>
      <c r="AF29" s="127"/>
      <c r="AG29" s="127"/>
      <c r="AH29" s="127"/>
      <c r="AI29" s="127"/>
      <c r="AJ29" s="127"/>
      <c r="AK29" s="127"/>
      <c r="AL29" s="127"/>
      <c r="AM29" s="127"/>
      <c r="AN29" s="127"/>
      <c r="AO29" s="127"/>
      <c r="AP29" s="127"/>
      <c r="AQ29" s="127"/>
    </row>
    <row r="30" spans="1:43" x14ac:dyDescent="0.25">
      <c r="A30" s="127"/>
      <c r="B30" s="136"/>
      <c r="C30" s="136"/>
      <c r="D30" s="136"/>
      <c r="E30" s="136"/>
      <c r="F30" s="136"/>
      <c r="G30" s="136"/>
      <c r="H30" s="136"/>
      <c r="I30" s="136"/>
      <c r="J30" s="136"/>
      <c r="K30" s="136"/>
      <c r="L30" s="136"/>
      <c r="M30" s="136"/>
      <c r="N30" s="136"/>
      <c r="O30" s="136"/>
      <c r="P30" s="136"/>
      <c r="Q30" s="127"/>
      <c r="R30" s="127"/>
      <c r="S30" s="127"/>
      <c r="T30" s="127"/>
      <c r="U30" s="127">
        <v>1</v>
      </c>
      <c r="V30" s="127">
        <v>280</v>
      </c>
      <c r="W30" s="127"/>
      <c r="X30" s="127"/>
      <c r="Y30" s="127"/>
      <c r="Z30" s="127"/>
      <c r="AA30" s="127"/>
      <c r="AB30" s="127"/>
      <c r="AC30" s="127"/>
      <c r="AD30" s="127"/>
      <c r="AE30" s="127"/>
      <c r="AF30" s="127"/>
      <c r="AG30" s="127"/>
      <c r="AH30" s="127"/>
      <c r="AI30" s="127"/>
      <c r="AJ30" s="127"/>
      <c r="AK30" s="127"/>
      <c r="AL30" s="127"/>
      <c r="AM30" s="127"/>
      <c r="AN30" s="127"/>
      <c r="AO30" s="127"/>
      <c r="AP30" s="127"/>
      <c r="AQ30" s="127"/>
    </row>
    <row r="31" spans="1:43" x14ac:dyDescent="0.25">
      <c r="A31" s="127"/>
      <c r="B31" s="127"/>
      <c r="C31" s="127"/>
      <c r="D31" s="127" t="s">
        <v>602</v>
      </c>
      <c r="E31" s="136">
        <f ca="1">OFFSET(GTP_DATA,2,6+$U$1)/1000</f>
        <v>3.5000000000000001E-3</v>
      </c>
      <c r="F31" s="136">
        <f>IF(NUM_GTS=0,0,IF(R6="Powered",NUM_GTS/2,Q4)*E31)</f>
        <v>0</v>
      </c>
      <c r="G31" s="174">
        <v>0</v>
      </c>
      <c r="H31" s="174"/>
      <c r="I31" s="174"/>
      <c r="J31" s="174"/>
      <c r="K31" s="127"/>
      <c r="L31" s="127"/>
      <c r="M31" s="127"/>
      <c r="N31" s="127"/>
      <c r="O31" s="127"/>
      <c r="P31" s="127"/>
      <c r="Q31" s="127"/>
      <c r="R31" s="127"/>
      <c r="S31" s="127"/>
      <c r="T31" s="127"/>
      <c r="U31" s="127">
        <v>1.25</v>
      </c>
      <c r="V31" s="127">
        <v>385</v>
      </c>
      <c r="W31" s="127"/>
      <c r="X31" s="127"/>
      <c r="Y31" s="127"/>
      <c r="Z31" s="127"/>
      <c r="AA31" s="127"/>
      <c r="AB31" s="127"/>
      <c r="AC31" s="127"/>
      <c r="AD31" s="127"/>
      <c r="AE31" s="127"/>
      <c r="AF31" s="127"/>
      <c r="AG31" s="127"/>
      <c r="AH31" s="127"/>
      <c r="AI31" s="127"/>
      <c r="AJ31" s="127"/>
      <c r="AK31" s="127"/>
      <c r="AL31" s="127"/>
      <c r="AM31" s="127"/>
      <c r="AN31" s="127"/>
      <c r="AO31" s="127"/>
      <c r="AP31" s="127"/>
      <c r="AQ31" s="127"/>
    </row>
    <row r="32" spans="1:43" x14ac:dyDescent="0.25">
      <c r="A32" s="127"/>
      <c r="B32" s="127"/>
      <c r="C32" s="127"/>
      <c r="D32" s="127" t="s">
        <v>582</v>
      </c>
      <c r="E32" s="136">
        <f ca="1">OFFSET(GTP_DATA,3,6+$U$1)/1000</f>
        <v>2E-3</v>
      </c>
      <c r="F32" s="136">
        <f>IF(NUM_GTS=0,0,IF(R6="Powered",NUM_GTS/2,Q4)*E32)</f>
        <v>0</v>
      </c>
      <c r="G32" s="174">
        <v>0</v>
      </c>
      <c r="H32" s="174"/>
      <c r="I32" s="174"/>
      <c r="J32" s="174"/>
      <c r="K32" s="127"/>
      <c r="L32" s="127"/>
      <c r="M32" s="127"/>
      <c r="N32" s="127"/>
      <c r="O32" s="127"/>
      <c r="P32" s="127"/>
      <c r="Q32" s="127"/>
      <c r="R32" s="127"/>
      <c r="S32" s="127"/>
      <c r="T32" s="127"/>
      <c r="U32" s="127">
        <v>2</v>
      </c>
      <c r="V32" s="127">
        <v>495</v>
      </c>
      <c r="W32" s="127"/>
      <c r="X32" s="127"/>
      <c r="Y32" s="127"/>
      <c r="Z32" s="127"/>
      <c r="AA32" s="127"/>
      <c r="AB32" s="127"/>
      <c r="AC32" s="127"/>
      <c r="AD32" s="127"/>
      <c r="AE32" s="127"/>
      <c r="AF32" s="127"/>
      <c r="AG32" s="127"/>
      <c r="AH32" s="127"/>
      <c r="AI32" s="127"/>
      <c r="AJ32" s="127"/>
      <c r="AK32" s="127"/>
      <c r="AL32" s="127"/>
      <c r="AM32" s="127"/>
      <c r="AN32" s="127"/>
      <c r="AO32" s="127"/>
      <c r="AP32" s="127"/>
      <c r="AQ32" s="127"/>
    </row>
    <row r="33" spans="1:43" x14ac:dyDescent="0.25">
      <c r="A33" s="127"/>
      <c r="B33" s="127"/>
      <c r="C33" s="127"/>
      <c r="D33" s="127" t="s">
        <v>583</v>
      </c>
      <c r="E33" s="136">
        <f ca="1">OFFSET(GTP_DATA,4,6+$U$1)/1000</f>
        <v>2.0000000000000001E-4</v>
      </c>
      <c r="F33" s="136">
        <f>IF(NUM_GTS=0,0,IF(R6="Powered",NUM_GTS/2,Q4)*E33)</f>
        <v>0</v>
      </c>
      <c r="G33" s="127"/>
      <c r="H33" s="127"/>
      <c r="I33" s="127"/>
      <c r="J33" s="127"/>
      <c r="K33" s="127"/>
      <c r="L33" s="127"/>
      <c r="M33" s="127"/>
      <c r="N33" s="127"/>
      <c r="O33" s="127"/>
      <c r="P33" s="127"/>
      <c r="Q33" s="127"/>
      <c r="R33" s="127"/>
      <c r="S33" s="127"/>
      <c r="T33" s="127"/>
      <c r="U33" s="127">
        <v>2.5</v>
      </c>
      <c r="V33" s="127">
        <v>595</v>
      </c>
      <c r="W33" s="127"/>
      <c r="X33" s="127"/>
      <c r="Y33" s="127"/>
      <c r="Z33" s="127"/>
      <c r="AA33" s="127"/>
      <c r="AB33" s="127"/>
      <c r="AC33" s="127"/>
      <c r="AD33" s="127"/>
      <c r="AE33" s="127"/>
      <c r="AF33" s="127"/>
      <c r="AG33" s="127"/>
      <c r="AH33" s="127"/>
      <c r="AI33" s="127"/>
      <c r="AJ33" s="127"/>
      <c r="AK33" s="127"/>
      <c r="AL33" s="127"/>
      <c r="AM33" s="127"/>
      <c r="AN33" s="127"/>
      <c r="AO33" s="127"/>
      <c r="AP33" s="127"/>
      <c r="AQ33" s="127"/>
    </row>
    <row r="34" spans="1:43" x14ac:dyDescent="0.25">
      <c r="A34" s="127"/>
      <c r="B34" s="127"/>
      <c r="C34" s="127"/>
      <c r="D34" s="127" t="s">
        <v>584</v>
      </c>
      <c r="E34" s="136">
        <f ca="1">OFFSET(GTP_DATA,5,6+$U$1)/1000</f>
        <v>2.5000000000000001E-3</v>
      </c>
      <c r="F34" s="136">
        <f>IF(NUM_GTS=0,0,IF(R6="Powered",NUM_GTS/2,Q4)*E34)</f>
        <v>0</v>
      </c>
      <c r="G34" s="127"/>
      <c r="H34" s="127"/>
      <c r="I34" s="127"/>
      <c r="J34" s="127"/>
      <c r="K34" s="127"/>
      <c r="L34" s="127"/>
      <c r="M34" s="127"/>
      <c r="N34" s="127"/>
      <c r="O34" s="127"/>
      <c r="P34" s="127"/>
      <c r="Q34" s="127"/>
      <c r="R34" s="127"/>
      <c r="S34" s="127"/>
      <c r="T34" s="127"/>
      <c r="U34" s="127">
        <v>3.125</v>
      </c>
      <c r="V34" s="127">
        <v>695</v>
      </c>
      <c r="W34" s="127"/>
      <c r="X34" s="127"/>
      <c r="Y34" s="127"/>
      <c r="Z34" s="127"/>
      <c r="AA34" s="127"/>
      <c r="AB34" s="127"/>
      <c r="AC34" s="127"/>
      <c r="AD34" s="127"/>
      <c r="AE34" s="127"/>
      <c r="AF34" s="127"/>
      <c r="AG34" s="127"/>
      <c r="AH34" s="127"/>
      <c r="AI34" s="127"/>
      <c r="AJ34" s="127"/>
      <c r="AK34" s="127"/>
      <c r="AL34" s="127"/>
      <c r="AM34" s="127"/>
      <c r="AN34" s="127"/>
      <c r="AO34" s="127"/>
      <c r="AP34" s="127"/>
      <c r="AQ34" s="127"/>
    </row>
    <row r="35" spans="1:43" x14ac:dyDescent="0.25">
      <c r="A35" s="127"/>
      <c r="B35" s="127"/>
      <c r="C35" s="127"/>
      <c r="D35" s="127"/>
      <c r="E35" s="127" t="s">
        <v>1323</v>
      </c>
      <c r="F35" s="127">
        <f>AVCCQ*AVCC+AVCCPLLQ*AVCCPLL+AVTTTXQ*AVTTTX+AVTTRXQ*AVTTRX</f>
        <v>0</v>
      </c>
      <c r="G35" s="127"/>
      <c r="H35" s="127"/>
      <c r="I35" s="127"/>
      <c r="J35" s="127"/>
      <c r="K35" s="127"/>
      <c r="L35" s="127"/>
      <c r="M35" s="127"/>
      <c r="N35" s="127"/>
      <c r="O35" s="127"/>
      <c r="P35" s="127"/>
      <c r="Q35" s="127"/>
      <c r="R35" s="127"/>
      <c r="S35" s="127"/>
      <c r="T35" s="127"/>
      <c r="U35" s="127">
        <v>3.75</v>
      </c>
      <c r="V35" s="127">
        <v>785</v>
      </c>
      <c r="W35" s="127"/>
      <c r="X35" s="127"/>
      <c r="Y35" s="127"/>
      <c r="Z35" s="127"/>
      <c r="AA35" s="127"/>
      <c r="AB35" s="127"/>
      <c r="AC35" s="127"/>
      <c r="AD35" s="127"/>
      <c r="AE35" s="127"/>
      <c r="AF35" s="127"/>
      <c r="AG35" s="127"/>
      <c r="AH35" s="127"/>
      <c r="AI35" s="127"/>
      <c r="AJ35" s="127"/>
      <c r="AK35" s="127"/>
      <c r="AL35" s="127"/>
      <c r="AM35" s="127"/>
      <c r="AN35" s="127"/>
      <c r="AO35" s="127"/>
      <c r="AP35" s="127"/>
      <c r="AQ35" s="127"/>
    </row>
    <row r="36" spans="1:43" x14ac:dyDescent="0.25">
      <c r="A36" s="127"/>
      <c r="B36" s="127"/>
      <c r="C36" s="127"/>
      <c r="D36" s="127"/>
      <c r="E36" s="127"/>
      <c r="F36" s="127"/>
      <c r="G36" s="127"/>
      <c r="H36" s="127"/>
      <c r="I36" s="127"/>
      <c r="J36" s="127"/>
      <c r="K36" s="127"/>
      <c r="L36" s="127"/>
      <c r="M36" s="127"/>
      <c r="N36" s="127"/>
      <c r="O36" s="127"/>
      <c r="P36" s="127"/>
      <c r="Q36" s="127"/>
      <c r="R36" s="127"/>
      <c r="S36" s="127"/>
      <c r="T36" s="127"/>
      <c r="U36" s="127">
        <v>5</v>
      </c>
      <c r="V36" s="127">
        <v>870</v>
      </c>
      <c r="W36" s="127"/>
      <c r="X36" s="127"/>
      <c r="Y36" s="127"/>
      <c r="Z36" s="127"/>
      <c r="AA36" s="127"/>
      <c r="AB36" s="127"/>
      <c r="AC36" s="127"/>
      <c r="AD36" s="127"/>
      <c r="AE36" s="127"/>
      <c r="AF36" s="127"/>
      <c r="AG36" s="127"/>
      <c r="AH36" s="127"/>
      <c r="AI36" s="127"/>
      <c r="AJ36" s="127"/>
      <c r="AK36" s="127"/>
      <c r="AL36" s="127"/>
      <c r="AM36" s="127"/>
      <c r="AN36" s="127"/>
      <c r="AO36" s="127"/>
      <c r="AP36" s="127"/>
      <c r="AQ36" s="127"/>
    </row>
    <row r="37" spans="1:43" x14ac:dyDescent="0.25">
      <c r="A37" s="127"/>
      <c r="B37" s="127"/>
      <c r="C37" s="127"/>
      <c r="D37" s="127"/>
      <c r="E37" s="127"/>
      <c r="F37" s="127"/>
      <c r="G37" s="127"/>
      <c r="H37" s="127"/>
      <c r="I37" s="127"/>
      <c r="J37" s="127"/>
      <c r="K37" s="127"/>
      <c r="L37" s="127"/>
      <c r="M37" s="127"/>
      <c r="N37" s="127"/>
      <c r="O37" s="127"/>
      <c r="P37" s="127"/>
      <c r="Q37" s="127"/>
      <c r="R37" s="127"/>
      <c r="S37" s="127"/>
      <c r="T37" s="127"/>
      <c r="U37" s="127">
        <v>6.5</v>
      </c>
      <c r="V37" s="127">
        <v>950</v>
      </c>
      <c r="W37" s="127"/>
      <c r="X37" s="127"/>
      <c r="Y37" s="127"/>
      <c r="Z37" s="127"/>
      <c r="AA37" s="127"/>
      <c r="AB37" s="127"/>
      <c r="AC37" s="127"/>
      <c r="AD37" s="127"/>
      <c r="AE37" s="127"/>
      <c r="AF37" s="127"/>
      <c r="AG37" s="127"/>
      <c r="AH37" s="127"/>
      <c r="AI37" s="127"/>
      <c r="AJ37" s="127"/>
      <c r="AK37" s="127"/>
      <c r="AL37" s="127"/>
      <c r="AM37" s="127"/>
      <c r="AN37" s="127"/>
      <c r="AO37" s="127"/>
      <c r="AP37" s="127"/>
      <c r="AQ37" s="127"/>
    </row>
    <row r="38" spans="1:43" x14ac:dyDescent="0.25">
      <c r="A38" s="127"/>
      <c r="B38" s="127"/>
      <c r="C38" s="127"/>
      <c r="D38" s="127"/>
      <c r="E38" s="175"/>
      <c r="F38" s="127"/>
      <c r="G38" s="127"/>
      <c r="H38" s="127"/>
      <c r="I38" s="127"/>
      <c r="J38" s="127"/>
      <c r="K38" s="127"/>
      <c r="L38" s="127"/>
      <c r="M38" s="127"/>
      <c r="N38" s="127"/>
      <c r="O38" s="127"/>
      <c r="P38" s="127"/>
      <c r="Q38" s="127"/>
      <c r="R38" s="127"/>
      <c r="S38" s="127"/>
      <c r="T38" s="127"/>
      <c r="U38" s="127"/>
      <c r="V38" s="127">
        <v>1025</v>
      </c>
      <c r="W38" s="127"/>
      <c r="X38" s="127"/>
      <c r="Y38" s="127"/>
      <c r="Z38" s="127"/>
      <c r="AA38" s="127"/>
      <c r="AB38" s="127"/>
      <c r="AC38" s="127"/>
      <c r="AD38" s="127"/>
      <c r="AE38" s="127"/>
      <c r="AF38" s="127"/>
      <c r="AG38" s="127"/>
      <c r="AH38" s="127"/>
      <c r="AI38" s="127"/>
      <c r="AJ38" s="127"/>
      <c r="AK38" s="127"/>
      <c r="AL38" s="127"/>
      <c r="AM38" s="127"/>
      <c r="AN38" s="127"/>
      <c r="AO38" s="127"/>
      <c r="AP38" s="127"/>
      <c r="AQ38" s="127"/>
    </row>
    <row r="39" spans="1:43"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v>1110</v>
      </c>
      <c r="W39" s="127"/>
      <c r="X39" s="127"/>
      <c r="Y39" s="127"/>
      <c r="Z39" s="127"/>
      <c r="AA39" s="127"/>
      <c r="AB39" s="127"/>
      <c r="AC39" s="127"/>
      <c r="AD39" s="127"/>
      <c r="AE39" s="127"/>
      <c r="AF39" s="127"/>
      <c r="AG39" s="127"/>
      <c r="AH39" s="127"/>
      <c r="AI39" s="127"/>
      <c r="AJ39" s="127"/>
      <c r="AK39" s="127"/>
      <c r="AL39" s="127"/>
      <c r="AM39" s="127"/>
      <c r="AN39" s="127"/>
      <c r="AO39" s="127"/>
      <c r="AP39" s="127"/>
      <c r="AQ39" s="127"/>
    </row>
    <row r="40" spans="1:43"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v>1180</v>
      </c>
      <c r="W40" s="127"/>
      <c r="X40" s="127"/>
      <c r="Y40" s="127"/>
      <c r="Z40" s="127"/>
      <c r="AA40" s="127"/>
      <c r="AB40" s="127"/>
      <c r="AC40" s="127"/>
      <c r="AD40" s="127"/>
      <c r="AE40" s="127"/>
      <c r="AF40" s="127"/>
      <c r="AG40" s="127"/>
      <c r="AH40" s="127"/>
      <c r="AI40" s="127"/>
      <c r="AJ40" s="127"/>
      <c r="AK40" s="127"/>
      <c r="AL40" s="127"/>
      <c r="AM40" s="127"/>
      <c r="AN40" s="127"/>
      <c r="AO40" s="127"/>
      <c r="AP40" s="127"/>
      <c r="AQ40" s="127"/>
    </row>
    <row r="41" spans="1:43"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v>1250</v>
      </c>
      <c r="W41" s="127"/>
      <c r="X41" s="127"/>
      <c r="Y41" s="127"/>
      <c r="Z41" s="127"/>
      <c r="AA41" s="127"/>
      <c r="AB41" s="127"/>
      <c r="AC41" s="127"/>
      <c r="AD41" s="127"/>
      <c r="AE41" s="127"/>
      <c r="AF41" s="127"/>
      <c r="AG41" s="127"/>
      <c r="AH41" s="127"/>
      <c r="AI41" s="127"/>
      <c r="AJ41" s="127"/>
      <c r="AK41" s="127"/>
      <c r="AL41" s="127"/>
      <c r="AM41" s="127"/>
      <c r="AN41" s="127"/>
      <c r="AO41" s="127"/>
      <c r="AP41" s="127"/>
      <c r="AQ41" s="127"/>
    </row>
    <row r="42" spans="1:43"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v>1325</v>
      </c>
      <c r="W42" s="127"/>
      <c r="X42" s="127"/>
      <c r="Y42" s="127"/>
      <c r="Z42" s="127"/>
      <c r="AA42" s="127"/>
      <c r="AB42" s="127"/>
      <c r="AC42" s="127"/>
      <c r="AD42" s="127"/>
      <c r="AE42" s="127"/>
      <c r="AF42" s="127"/>
      <c r="AG42" s="127"/>
      <c r="AH42" s="127"/>
      <c r="AI42" s="127"/>
      <c r="AJ42" s="127"/>
      <c r="AK42" s="127"/>
      <c r="AL42" s="127"/>
      <c r="AM42" s="127"/>
      <c r="AN42" s="127"/>
      <c r="AO42" s="127"/>
      <c r="AP42" s="127"/>
      <c r="AQ42" s="127"/>
    </row>
    <row r="43" spans="1:43"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v>1350</v>
      </c>
      <c r="W43" s="127"/>
      <c r="X43" s="127"/>
      <c r="Y43" s="127"/>
      <c r="Z43" s="127"/>
      <c r="AA43" s="127"/>
      <c r="AB43" s="127"/>
      <c r="AC43" s="127"/>
      <c r="AD43" s="127"/>
      <c r="AE43" s="127"/>
      <c r="AF43" s="127"/>
      <c r="AG43" s="127"/>
      <c r="AH43" s="127"/>
      <c r="AI43" s="127"/>
      <c r="AJ43" s="127"/>
      <c r="AK43" s="127"/>
      <c r="AL43" s="127"/>
      <c r="AM43" s="127"/>
      <c r="AN43" s="127"/>
      <c r="AO43" s="127"/>
      <c r="AP43" s="127"/>
      <c r="AQ43" s="127"/>
    </row>
    <row r="44" spans="1:43"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v>1360</v>
      </c>
      <c r="W44" s="127"/>
      <c r="X44" s="127"/>
      <c r="Y44" s="127"/>
      <c r="Z44" s="127"/>
      <c r="AA44" s="127"/>
      <c r="AB44" s="127"/>
      <c r="AC44" s="127"/>
      <c r="AD44" s="127"/>
      <c r="AE44" s="127"/>
      <c r="AF44" s="127"/>
      <c r="AG44" s="127"/>
      <c r="AH44" s="127"/>
      <c r="AI44" s="127"/>
      <c r="AJ44" s="127"/>
      <c r="AK44" s="127"/>
      <c r="AL44" s="127"/>
      <c r="AM44" s="127"/>
      <c r="AN44" s="127"/>
      <c r="AO44" s="127"/>
      <c r="AP44" s="127"/>
      <c r="AQ44" s="127"/>
    </row>
    <row r="45" spans="1:43"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v>1410</v>
      </c>
      <c r="W45" s="127"/>
      <c r="X45" s="127"/>
      <c r="Y45" s="127"/>
      <c r="Z45" s="127"/>
      <c r="AA45" s="127"/>
      <c r="AB45" s="127"/>
      <c r="AC45" s="127"/>
      <c r="AD45" s="127"/>
      <c r="AE45" s="127"/>
      <c r="AF45" s="127"/>
      <c r="AG45" s="127"/>
      <c r="AH45" s="127"/>
      <c r="AI45" s="127"/>
      <c r="AJ45" s="127"/>
      <c r="AK45" s="127"/>
      <c r="AL45" s="127"/>
      <c r="AM45" s="127"/>
      <c r="AN45" s="127"/>
      <c r="AO45" s="127"/>
      <c r="AP45" s="127"/>
      <c r="AQ45" s="127"/>
    </row>
    <row r="46" spans="1:43"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7"/>
      <c r="AL46" s="127"/>
      <c r="AM46" s="127"/>
      <c r="AN46" s="127"/>
      <c r="AO46" s="127"/>
      <c r="AP46" s="127"/>
      <c r="AQ46" s="127"/>
    </row>
    <row r="47" spans="1:43"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c r="AE47" s="127"/>
      <c r="AF47" s="127"/>
      <c r="AG47" s="127"/>
      <c r="AH47" s="127"/>
      <c r="AI47" s="127"/>
      <c r="AJ47" s="127"/>
      <c r="AK47" s="127"/>
      <c r="AL47" s="127"/>
      <c r="AM47" s="127"/>
      <c r="AN47" s="127"/>
      <c r="AO47" s="127"/>
      <c r="AP47" s="127"/>
      <c r="AQ47" s="127"/>
    </row>
    <row r="48" spans="1:43"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c r="AE48" s="127"/>
      <c r="AF48" s="127"/>
      <c r="AG48" s="127"/>
      <c r="AH48" s="127"/>
      <c r="AI48" s="127"/>
      <c r="AJ48" s="127"/>
      <c r="AK48" s="127"/>
      <c r="AL48" s="127"/>
      <c r="AM48" s="127"/>
      <c r="AN48" s="127"/>
      <c r="AO48" s="127"/>
      <c r="AP48" s="127"/>
      <c r="AQ48" s="127"/>
    </row>
    <row r="49" spans="1:43"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c r="AE49" s="127"/>
      <c r="AF49" s="127"/>
      <c r="AG49" s="127"/>
      <c r="AH49" s="127"/>
      <c r="AI49" s="127"/>
      <c r="AJ49" s="127"/>
      <c r="AK49" s="127"/>
      <c r="AL49" s="127"/>
      <c r="AM49" s="127"/>
      <c r="AN49" s="127"/>
      <c r="AO49" s="127"/>
      <c r="AP49" s="127"/>
      <c r="AQ49" s="127"/>
    </row>
    <row r="50" spans="1:43"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c r="AE50" s="127"/>
      <c r="AF50" s="127"/>
      <c r="AG50" s="127"/>
      <c r="AH50" s="127"/>
      <c r="AI50" s="127"/>
      <c r="AJ50" s="127"/>
      <c r="AK50" s="127"/>
      <c r="AL50" s="127"/>
      <c r="AM50" s="127"/>
      <c r="AN50" s="127"/>
      <c r="AO50" s="127"/>
      <c r="AP50" s="127"/>
      <c r="AQ50" s="127"/>
    </row>
    <row r="51" spans="1:43"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c r="AE51" s="127"/>
      <c r="AF51" s="127"/>
      <c r="AG51" s="127"/>
      <c r="AH51" s="127"/>
      <c r="AI51" s="127"/>
      <c r="AJ51" s="127"/>
      <c r="AK51" s="127"/>
      <c r="AL51" s="127"/>
      <c r="AM51" s="127"/>
      <c r="AN51" s="127"/>
      <c r="AO51" s="127"/>
      <c r="AP51" s="127"/>
      <c r="AQ51" s="127"/>
    </row>
    <row r="52" spans="1:43"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c r="AE52" s="127"/>
      <c r="AF52" s="127"/>
      <c r="AG52" s="127"/>
      <c r="AH52" s="127"/>
      <c r="AI52" s="127"/>
      <c r="AJ52" s="127"/>
      <c r="AK52" s="127"/>
      <c r="AL52" s="127"/>
      <c r="AM52" s="127"/>
      <c r="AN52" s="127"/>
      <c r="AO52" s="127"/>
      <c r="AP52" s="127"/>
      <c r="AQ52" s="127"/>
    </row>
    <row r="53" spans="1:43"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c r="AE53" s="127"/>
      <c r="AF53" s="127"/>
      <c r="AG53" s="127"/>
      <c r="AH53" s="127"/>
      <c r="AI53" s="127"/>
      <c r="AJ53" s="127"/>
      <c r="AK53" s="127"/>
      <c r="AL53" s="127"/>
      <c r="AM53" s="127"/>
      <c r="AN53" s="127"/>
      <c r="AO53" s="127"/>
      <c r="AP53" s="127"/>
      <c r="AQ53" s="127"/>
    </row>
    <row r="54" spans="1:43"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c r="AE54" s="127"/>
      <c r="AF54" s="127"/>
      <c r="AG54" s="127"/>
      <c r="AH54" s="127"/>
      <c r="AI54" s="127"/>
      <c r="AJ54" s="127"/>
      <c r="AK54" s="127"/>
      <c r="AL54" s="127"/>
      <c r="AM54" s="127"/>
      <c r="AN54" s="127"/>
      <c r="AO54" s="127"/>
      <c r="AP54" s="127"/>
      <c r="AQ54" s="127"/>
    </row>
    <row r="55" spans="1:43"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c r="AE55" s="127"/>
      <c r="AF55" s="127"/>
      <c r="AG55" s="127"/>
      <c r="AH55" s="127"/>
      <c r="AI55" s="127"/>
      <c r="AJ55" s="127"/>
      <c r="AK55" s="127"/>
      <c r="AL55" s="127"/>
      <c r="AM55" s="127"/>
      <c r="AN55" s="127"/>
      <c r="AO55" s="127"/>
      <c r="AP55" s="127"/>
      <c r="AQ55" s="127"/>
    </row>
    <row r="56" spans="1:43"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c r="AE56" s="127"/>
      <c r="AF56" s="127"/>
      <c r="AG56" s="127"/>
      <c r="AH56" s="127"/>
      <c r="AI56" s="127"/>
      <c r="AJ56" s="127"/>
      <c r="AK56" s="127"/>
      <c r="AL56" s="127"/>
      <c r="AM56" s="127"/>
      <c r="AN56" s="127"/>
      <c r="AO56" s="127"/>
      <c r="AP56" s="127"/>
      <c r="AQ56" s="127"/>
    </row>
    <row r="57" spans="1:43"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c r="AE57" s="127"/>
      <c r="AF57" s="127"/>
      <c r="AG57" s="127"/>
      <c r="AH57" s="127"/>
      <c r="AI57" s="127"/>
      <c r="AJ57" s="127"/>
      <c r="AK57" s="127"/>
      <c r="AL57" s="127"/>
      <c r="AM57" s="127"/>
      <c r="AN57" s="127"/>
      <c r="AO57" s="127"/>
      <c r="AP57" s="127"/>
      <c r="AQ57" s="127"/>
    </row>
    <row r="58" spans="1:43"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c r="AE58" s="127"/>
      <c r="AF58" s="127"/>
      <c r="AG58" s="127"/>
      <c r="AH58" s="127"/>
      <c r="AI58" s="127"/>
      <c r="AJ58" s="127"/>
      <c r="AK58" s="127"/>
      <c r="AL58" s="127"/>
      <c r="AM58" s="127"/>
      <c r="AN58" s="127"/>
      <c r="AO58" s="127"/>
      <c r="AP58" s="127"/>
      <c r="AQ58" s="127"/>
    </row>
    <row r="59" spans="1:43"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c r="AE59" s="127"/>
      <c r="AF59" s="127"/>
      <c r="AG59" s="127"/>
      <c r="AH59" s="127"/>
      <c r="AI59" s="127"/>
      <c r="AJ59" s="127"/>
      <c r="AK59" s="127"/>
      <c r="AL59" s="127"/>
      <c r="AM59" s="127"/>
      <c r="AN59" s="127"/>
      <c r="AO59" s="127"/>
      <c r="AP59" s="127"/>
      <c r="AQ59" s="127"/>
    </row>
    <row r="60" spans="1:43"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c r="AE60" s="127"/>
      <c r="AF60" s="127"/>
      <c r="AG60" s="127"/>
      <c r="AH60" s="127"/>
      <c r="AI60" s="127"/>
      <c r="AJ60" s="127"/>
      <c r="AK60" s="127"/>
      <c r="AL60" s="127"/>
      <c r="AM60" s="127"/>
      <c r="AN60" s="127"/>
      <c r="AO60" s="127"/>
      <c r="AP60" s="127"/>
      <c r="AQ60" s="127"/>
    </row>
    <row r="61" spans="1:43"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c r="AE61" s="127"/>
      <c r="AF61" s="127"/>
      <c r="AG61" s="127"/>
      <c r="AH61" s="127"/>
      <c r="AI61" s="127"/>
      <c r="AJ61" s="127"/>
      <c r="AK61" s="127"/>
      <c r="AL61" s="127"/>
      <c r="AM61" s="127"/>
      <c r="AN61" s="127"/>
      <c r="AO61" s="127"/>
      <c r="AP61" s="127"/>
      <c r="AQ61" s="127"/>
    </row>
    <row r="62" spans="1:43"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c r="AE62" s="127"/>
      <c r="AF62" s="127"/>
      <c r="AG62" s="127"/>
      <c r="AH62" s="127"/>
      <c r="AI62" s="127"/>
      <c r="AJ62" s="127"/>
      <c r="AK62" s="127"/>
      <c r="AL62" s="127"/>
      <c r="AM62" s="127"/>
      <c r="AN62" s="127"/>
      <c r="AO62" s="127"/>
      <c r="AP62" s="127"/>
      <c r="AQ62" s="127"/>
    </row>
    <row r="63" spans="1:43"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c r="AE63" s="127"/>
      <c r="AF63" s="127"/>
      <c r="AG63" s="127"/>
      <c r="AH63" s="127"/>
      <c r="AI63" s="127"/>
      <c r="AJ63" s="127"/>
      <c r="AK63" s="127"/>
      <c r="AL63" s="127"/>
      <c r="AM63" s="127"/>
      <c r="AN63" s="127"/>
      <c r="AO63" s="127"/>
      <c r="AP63" s="127"/>
      <c r="AQ63" s="127"/>
    </row>
    <row r="64" spans="1:43"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c r="AE64" s="127"/>
      <c r="AF64" s="127"/>
      <c r="AG64" s="127"/>
      <c r="AH64" s="127"/>
      <c r="AI64" s="127"/>
      <c r="AJ64" s="127"/>
      <c r="AK64" s="127"/>
      <c r="AL64" s="127"/>
      <c r="AM64" s="127"/>
      <c r="AN64" s="127"/>
      <c r="AO64" s="127"/>
      <c r="AP64" s="127"/>
      <c r="AQ64" s="127"/>
    </row>
    <row r="65" spans="1:43"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c r="AE65" s="127"/>
      <c r="AF65" s="127"/>
      <c r="AG65" s="127"/>
      <c r="AH65" s="127"/>
      <c r="AI65" s="127"/>
      <c r="AJ65" s="127"/>
      <c r="AK65" s="127"/>
      <c r="AL65" s="127"/>
      <c r="AM65" s="127"/>
      <c r="AN65" s="127"/>
      <c r="AO65" s="127"/>
      <c r="AP65" s="127"/>
      <c r="AQ65" s="127"/>
    </row>
    <row r="66" spans="1:43"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c r="AE66" s="127"/>
      <c r="AF66" s="127"/>
      <c r="AG66" s="127"/>
      <c r="AH66" s="127"/>
      <c r="AI66" s="127"/>
      <c r="AJ66" s="127"/>
      <c r="AK66" s="127"/>
      <c r="AL66" s="127"/>
      <c r="AM66" s="127"/>
      <c r="AN66" s="127"/>
      <c r="AO66" s="127"/>
      <c r="AP66" s="127"/>
      <c r="AQ66" s="127"/>
    </row>
    <row r="67" spans="1:43"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c r="AE67" s="127"/>
      <c r="AF67" s="127"/>
      <c r="AG67" s="127"/>
      <c r="AH67" s="127"/>
      <c r="AI67" s="127"/>
      <c r="AJ67" s="127"/>
      <c r="AK67" s="127"/>
      <c r="AL67" s="127"/>
      <c r="AM67" s="127"/>
      <c r="AN67" s="127"/>
      <c r="AO67" s="127"/>
      <c r="AP67" s="127"/>
      <c r="AQ67" s="127"/>
    </row>
    <row r="68" spans="1:43"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c r="AE68" s="127"/>
      <c r="AF68" s="127"/>
      <c r="AG68" s="127"/>
      <c r="AH68" s="127"/>
      <c r="AI68" s="127"/>
      <c r="AJ68" s="127"/>
      <c r="AK68" s="127"/>
      <c r="AL68" s="127"/>
      <c r="AM68" s="127"/>
      <c r="AN68" s="127"/>
      <c r="AO68" s="127"/>
      <c r="AP68" s="127"/>
      <c r="AQ68" s="127"/>
    </row>
    <row r="69" spans="1:43"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c r="AE69" s="127"/>
      <c r="AF69" s="127"/>
      <c r="AG69" s="127"/>
      <c r="AH69" s="127"/>
      <c r="AI69" s="127"/>
      <c r="AJ69" s="127"/>
      <c r="AK69" s="127"/>
      <c r="AL69" s="127"/>
      <c r="AM69" s="127"/>
      <c r="AN69" s="127"/>
      <c r="AO69" s="127"/>
      <c r="AP69" s="127"/>
      <c r="AQ69" s="127"/>
    </row>
    <row r="70" spans="1:43"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c r="AE70" s="127"/>
      <c r="AF70" s="127"/>
      <c r="AG70" s="127"/>
      <c r="AH70" s="127"/>
      <c r="AI70" s="127"/>
      <c r="AJ70" s="127"/>
      <c r="AK70" s="127"/>
      <c r="AL70" s="127"/>
      <c r="AM70" s="127"/>
      <c r="AN70" s="127"/>
      <c r="AO70" s="127"/>
      <c r="AP70" s="127"/>
      <c r="AQ70" s="127"/>
    </row>
    <row r="71" spans="1:43"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c r="AE71" s="127"/>
      <c r="AF71" s="127"/>
      <c r="AG71" s="127"/>
      <c r="AH71" s="127"/>
      <c r="AI71" s="127"/>
      <c r="AJ71" s="127"/>
      <c r="AK71" s="127"/>
      <c r="AL71" s="127"/>
      <c r="AM71" s="127"/>
      <c r="AN71" s="127"/>
      <c r="AO71" s="127"/>
      <c r="AP71" s="127"/>
      <c r="AQ71" s="127"/>
    </row>
    <row r="72" spans="1:43"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c r="AE72" s="127"/>
      <c r="AF72" s="127"/>
      <c r="AG72" s="127"/>
      <c r="AH72" s="127"/>
      <c r="AI72" s="127"/>
      <c r="AJ72" s="127"/>
      <c r="AK72" s="127"/>
      <c r="AL72" s="127"/>
      <c r="AM72" s="127"/>
      <c r="AN72" s="127"/>
      <c r="AO72" s="127"/>
      <c r="AP72" s="127"/>
      <c r="AQ72" s="127"/>
    </row>
    <row r="73" spans="1:43"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c r="AE73" s="127"/>
      <c r="AF73" s="127"/>
      <c r="AG73" s="127"/>
      <c r="AH73" s="127"/>
      <c r="AI73" s="127"/>
      <c r="AJ73" s="127"/>
      <c r="AK73" s="127"/>
      <c r="AL73" s="127"/>
      <c r="AM73" s="127"/>
      <c r="AN73" s="127"/>
      <c r="AO73" s="127"/>
      <c r="AP73" s="127"/>
      <c r="AQ73" s="127"/>
    </row>
    <row r="74" spans="1:43"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c r="AE74" s="127"/>
      <c r="AF74" s="127"/>
      <c r="AG74" s="127"/>
      <c r="AH74" s="127"/>
      <c r="AI74" s="127"/>
      <c r="AJ74" s="127"/>
      <c r="AK74" s="127"/>
      <c r="AL74" s="127"/>
      <c r="AM74" s="127"/>
      <c r="AN74" s="127"/>
      <c r="AO74" s="127"/>
      <c r="AP74" s="127"/>
      <c r="AQ74" s="127"/>
    </row>
    <row r="75" spans="1:43"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c r="AE75" s="127"/>
      <c r="AF75" s="127"/>
      <c r="AG75" s="127"/>
      <c r="AH75" s="127"/>
      <c r="AI75" s="127"/>
      <c r="AJ75" s="127"/>
      <c r="AK75" s="127"/>
      <c r="AL75" s="127"/>
      <c r="AM75" s="127"/>
      <c r="AN75" s="127"/>
      <c r="AO75" s="127"/>
      <c r="AP75" s="127"/>
      <c r="AQ75" s="127"/>
    </row>
    <row r="76" spans="1:43"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c r="AE76" s="127"/>
      <c r="AF76" s="127"/>
      <c r="AG76" s="127"/>
      <c r="AH76" s="127"/>
      <c r="AI76" s="127"/>
      <c r="AJ76" s="127"/>
      <c r="AK76" s="127"/>
      <c r="AL76" s="127"/>
      <c r="AM76" s="127"/>
      <c r="AN76" s="127"/>
      <c r="AO76" s="127"/>
      <c r="AP76" s="127"/>
      <c r="AQ76" s="127"/>
    </row>
    <row r="77" spans="1:43"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c r="AE77" s="127"/>
      <c r="AF77" s="127"/>
      <c r="AG77" s="127"/>
      <c r="AH77" s="127"/>
      <c r="AI77" s="127"/>
      <c r="AJ77" s="127"/>
      <c r="AK77" s="127"/>
      <c r="AL77" s="127"/>
      <c r="AM77" s="127"/>
      <c r="AN77" s="127"/>
      <c r="AO77" s="127"/>
      <c r="AP77" s="127"/>
      <c r="AQ77" s="127"/>
    </row>
    <row r="78" spans="1:43"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c r="AE78" s="127"/>
      <c r="AF78" s="127"/>
      <c r="AG78" s="127"/>
      <c r="AH78" s="127"/>
      <c r="AI78" s="127"/>
      <c r="AJ78" s="127"/>
      <c r="AK78" s="127"/>
      <c r="AL78" s="127"/>
      <c r="AM78" s="127"/>
      <c r="AN78" s="127"/>
      <c r="AO78" s="127"/>
      <c r="AP78" s="127"/>
      <c r="AQ78" s="127"/>
    </row>
    <row r="79" spans="1:43"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c r="AE79" s="127"/>
      <c r="AF79" s="127"/>
      <c r="AG79" s="127"/>
      <c r="AH79" s="127"/>
      <c r="AI79" s="127"/>
      <c r="AJ79" s="127"/>
      <c r="AK79" s="127"/>
      <c r="AL79" s="127"/>
      <c r="AM79" s="127"/>
      <c r="AN79" s="127"/>
      <c r="AO79" s="127"/>
      <c r="AP79" s="127"/>
      <c r="AQ79" s="127"/>
    </row>
    <row r="80" spans="1:43"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c r="AE80" s="127"/>
      <c r="AF80" s="127"/>
      <c r="AG80" s="127"/>
      <c r="AH80" s="127"/>
      <c r="AI80" s="127"/>
      <c r="AJ80" s="127"/>
      <c r="AK80" s="127"/>
      <c r="AL80" s="127"/>
      <c r="AM80" s="127"/>
      <c r="AN80" s="127"/>
      <c r="AO80" s="127"/>
      <c r="AP80" s="127"/>
      <c r="AQ80" s="127"/>
    </row>
    <row r="81" spans="1:43"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c r="AE81" s="127"/>
      <c r="AF81" s="127"/>
      <c r="AG81" s="127"/>
      <c r="AH81" s="127"/>
      <c r="AI81" s="127"/>
      <c r="AJ81" s="127"/>
      <c r="AK81" s="127"/>
      <c r="AL81" s="127"/>
      <c r="AM81" s="127"/>
      <c r="AN81" s="127"/>
      <c r="AO81" s="127"/>
      <c r="AP81" s="127"/>
      <c r="AQ81" s="127"/>
    </row>
    <row r="82" spans="1:43"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c r="AE82" s="127"/>
      <c r="AF82" s="127"/>
      <c r="AG82" s="127"/>
      <c r="AH82" s="127"/>
      <c r="AI82" s="127"/>
      <c r="AJ82" s="127"/>
      <c r="AK82" s="127"/>
      <c r="AL82" s="127"/>
      <c r="AM82" s="127"/>
      <c r="AN82" s="127"/>
      <c r="AO82" s="127"/>
      <c r="AP82" s="127"/>
      <c r="AQ82" s="127"/>
    </row>
    <row r="83" spans="1:43"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c r="AE83" s="127"/>
      <c r="AF83" s="127"/>
      <c r="AG83" s="127"/>
      <c r="AH83" s="127"/>
      <c r="AI83" s="127"/>
      <c r="AJ83" s="127"/>
      <c r="AK83" s="127"/>
      <c r="AL83" s="127"/>
      <c r="AM83" s="127"/>
      <c r="AN83" s="127"/>
      <c r="AO83" s="127"/>
      <c r="AP83" s="127"/>
      <c r="AQ83" s="127"/>
    </row>
    <row r="84" spans="1:43"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c r="AE84" s="127"/>
      <c r="AF84" s="127"/>
      <c r="AG84" s="127"/>
      <c r="AH84" s="127"/>
      <c r="AI84" s="127"/>
      <c r="AJ84" s="127"/>
      <c r="AK84" s="127"/>
      <c r="AL84" s="127"/>
      <c r="AM84" s="127"/>
      <c r="AN84" s="127"/>
      <c r="AO84" s="127"/>
      <c r="AP84" s="127"/>
      <c r="AQ84" s="127"/>
    </row>
    <row r="85" spans="1:43"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c r="AE85" s="127"/>
      <c r="AF85" s="127"/>
      <c r="AG85" s="127"/>
      <c r="AH85" s="127"/>
      <c r="AI85" s="127"/>
      <c r="AJ85" s="127"/>
      <c r="AK85" s="127"/>
      <c r="AL85" s="127"/>
      <c r="AM85" s="127"/>
      <c r="AN85" s="127"/>
      <c r="AO85" s="127"/>
      <c r="AP85" s="127"/>
      <c r="AQ85" s="127"/>
    </row>
    <row r="86" spans="1:43"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c r="AE86" s="127"/>
      <c r="AF86" s="127"/>
      <c r="AG86" s="127"/>
      <c r="AH86" s="127"/>
      <c r="AI86" s="127"/>
      <c r="AJ86" s="127"/>
      <c r="AK86" s="127"/>
      <c r="AL86" s="127"/>
      <c r="AM86" s="127"/>
      <c r="AN86" s="127"/>
      <c r="AO86" s="127"/>
      <c r="AP86" s="127"/>
      <c r="AQ86" s="127"/>
    </row>
    <row r="87" spans="1:43"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c r="AE87" s="127"/>
      <c r="AF87" s="127"/>
      <c r="AG87" s="127"/>
      <c r="AH87" s="127"/>
      <c r="AI87" s="127"/>
      <c r="AJ87" s="127"/>
      <c r="AK87" s="127"/>
      <c r="AL87" s="127"/>
      <c r="AM87" s="127"/>
      <c r="AN87" s="127"/>
      <c r="AO87" s="127"/>
      <c r="AP87" s="127"/>
      <c r="AQ87" s="127"/>
    </row>
    <row r="88" spans="1:43"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c r="AE88" s="127"/>
      <c r="AF88" s="127"/>
      <c r="AG88" s="127"/>
      <c r="AH88" s="127"/>
      <c r="AI88" s="127"/>
      <c r="AJ88" s="127"/>
      <c r="AK88" s="127"/>
      <c r="AL88" s="127"/>
      <c r="AM88" s="127"/>
      <c r="AN88" s="127"/>
      <c r="AO88" s="127"/>
      <c r="AP88" s="127"/>
      <c r="AQ88" s="127"/>
    </row>
    <row r="89" spans="1:43"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c r="AE89" s="127"/>
      <c r="AF89" s="127"/>
      <c r="AG89" s="127"/>
      <c r="AH89" s="127"/>
      <c r="AI89" s="127"/>
      <c r="AJ89" s="127"/>
      <c r="AK89" s="127"/>
      <c r="AL89" s="127"/>
      <c r="AM89" s="127"/>
      <c r="AN89" s="127"/>
      <c r="AO89" s="127"/>
      <c r="AP89" s="127"/>
      <c r="AQ89" s="127"/>
    </row>
    <row r="90" spans="1:43"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c r="AE90" s="127"/>
      <c r="AF90" s="127"/>
      <c r="AG90" s="127"/>
      <c r="AH90" s="127"/>
      <c r="AI90" s="127"/>
      <c r="AJ90" s="127"/>
      <c r="AK90" s="127"/>
      <c r="AL90" s="127"/>
      <c r="AM90" s="127"/>
      <c r="AN90" s="127"/>
      <c r="AO90" s="127"/>
      <c r="AP90" s="127"/>
      <c r="AQ90" s="127"/>
    </row>
    <row r="91" spans="1:43"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c r="AE91" s="127"/>
      <c r="AF91" s="127"/>
      <c r="AG91" s="127"/>
      <c r="AH91" s="127"/>
      <c r="AI91" s="127"/>
      <c r="AJ91" s="127"/>
      <c r="AK91" s="127"/>
      <c r="AL91" s="127"/>
      <c r="AM91" s="127"/>
      <c r="AN91" s="127"/>
      <c r="AO91" s="127"/>
      <c r="AP91" s="127"/>
      <c r="AQ91" s="127"/>
    </row>
    <row r="92" spans="1:43"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c r="AE92" s="127"/>
      <c r="AF92" s="127"/>
      <c r="AG92" s="127"/>
      <c r="AH92" s="127"/>
      <c r="AI92" s="127"/>
      <c r="AJ92" s="127"/>
      <c r="AK92" s="127"/>
      <c r="AL92" s="127"/>
      <c r="AM92" s="127"/>
      <c r="AN92" s="127"/>
      <c r="AO92" s="127"/>
      <c r="AP92" s="127"/>
      <c r="AQ92" s="127"/>
    </row>
    <row r="93" spans="1:43"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c r="AE93" s="127"/>
      <c r="AF93" s="127"/>
      <c r="AG93" s="127"/>
      <c r="AH93" s="127"/>
      <c r="AI93" s="127"/>
      <c r="AJ93" s="127"/>
      <c r="AK93" s="127"/>
      <c r="AL93" s="127"/>
      <c r="AM93" s="127"/>
      <c r="AN93" s="127"/>
      <c r="AO93" s="127"/>
      <c r="AP93" s="127"/>
      <c r="AQ93" s="127"/>
    </row>
    <row r="94" spans="1:43"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c r="AE94" s="127"/>
      <c r="AF94" s="127"/>
      <c r="AG94" s="127"/>
      <c r="AH94" s="127"/>
      <c r="AI94" s="127"/>
      <c r="AJ94" s="127"/>
      <c r="AK94" s="127"/>
      <c r="AL94" s="127"/>
      <c r="AM94" s="127"/>
      <c r="AN94" s="127"/>
      <c r="AO94" s="127"/>
      <c r="AP94" s="127"/>
      <c r="AQ94" s="127"/>
    </row>
    <row r="95" spans="1:43"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c r="AE95" s="127"/>
      <c r="AF95" s="127"/>
      <c r="AG95" s="127"/>
      <c r="AH95" s="127"/>
      <c r="AI95" s="127"/>
      <c r="AJ95" s="127"/>
      <c r="AK95" s="127"/>
      <c r="AL95" s="127"/>
      <c r="AM95" s="127"/>
      <c r="AN95" s="127"/>
      <c r="AO95" s="127"/>
      <c r="AP95" s="127"/>
      <c r="AQ95" s="127"/>
    </row>
    <row r="96" spans="1:43"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c r="AE96" s="127"/>
      <c r="AF96" s="127"/>
      <c r="AG96" s="127"/>
      <c r="AH96" s="127"/>
      <c r="AI96" s="127"/>
      <c r="AJ96" s="127"/>
      <c r="AK96" s="127"/>
      <c r="AL96" s="127"/>
      <c r="AM96" s="127"/>
      <c r="AN96" s="127"/>
      <c r="AO96" s="127"/>
      <c r="AP96" s="127"/>
      <c r="AQ96" s="127"/>
    </row>
    <row r="97" spans="1:43"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c r="AE97" s="127"/>
      <c r="AF97" s="127"/>
      <c r="AG97" s="127"/>
      <c r="AH97" s="127"/>
      <c r="AI97" s="127"/>
      <c r="AJ97" s="127"/>
      <c r="AK97" s="127"/>
      <c r="AL97" s="127"/>
      <c r="AM97" s="127"/>
      <c r="AN97" s="127"/>
      <c r="AO97" s="127"/>
      <c r="AP97" s="127"/>
      <c r="AQ97" s="127"/>
    </row>
    <row r="98" spans="1:43"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c r="AE98" s="127"/>
      <c r="AF98" s="127"/>
      <c r="AG98" s="127"/>
      <c r="AH98" s="127"/>
      <c r="AI98" s="127"/>
      <c r="AJ98" s="127"/>
      <c r="AK98" s="127"/>
      <c r="AL98" s="127"/>
      <c r="AM98" s="127"/>
      <c r="AN98" s="127"/>
      <c r="AO98" s="127"/>
      <c r="AP98" s="127"/>
      <c r="AQ98" s="127"/>
    </row>
    <row r="99" spans="1:43"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c r="AE99" s="127"/>
      <c r="AF99" s="127"/>
      <c r="AG99" s="127"/>
      <c r="AH99" s="127"/>
      <c r="AI99" s="127"/>
      <c r="AJ99" s="127"/>
      <c r="AK99" s="127"/>
      <c r="AL99" s="127"/>
      <c r="AM99" s="127"/>
      <c r="AN99" s="127"/>
      <c r="AO99" s="127"/>
      <c r="AP99" s="127"/>
      <c r="AQ99" s="127"/>
    </row>
    <row r="100" spans="1:43"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c r="AI100" s="127"/>
      <c r="AJ100" s="127"/>
      <c r="AK100" s="127"/>
      <c r="AL100" s="127"/>
      <c r="AM100" s="127"/>
      <c r="AN100" s="127"/>
      <c r="AO100" s="127"/>
      <c r="AP100" s="127"/>
      <c r="AQ100" s="127"/>
    </row>
    <row r="101" spans="1:43"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c r="AI101" s="127"/>
      <c r="AJ101" s="127"/>
      <c r="AK101" s="127"/>
      <c r="AL101" s="127"/>
      <c r="AM101" s="127"/>
      <c r="AN101" s="127"/>
      <c r="AO101" s="127"/>
      <c r="AP101" s="127"/>
      <c r="AQ101" s="127"/>
    </row>
    <row r="102" spans="1:43"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c r="AI102" s="127"/>
      <c r="AJ102" s="127"/>
      <c r="AK102" s="127"/>
      <c r="AL102" s="127"/>
      <c r="AM102" s="127"/>
      <c r="AN102" s="127"/>
      <c r="AO102" s="127"/>
      <c r="AP102" s="127"/>
      <c r="AQ102" s="127"/>
    </row>
    <row r="103" spans="1:43"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c r="AI103" s="127"/>
      <c r="AJ103" s="127"/>
      <c r="AK103" s="127"/>
      <c r="AL103" s="127"/>
      <c r="AM103" s="127"/>
      <c r="AN103" s="127"/>
      <c r="AO103" s="127"/>
      <c r="AP103" s="127"/>
      <c r="AQ103" s="127"/>
    </row>
    <row r="104" spans="1:43"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c r="AI104" s="127"/>
      <c r="AJ104" s="127"/>
      <c r="AK104" s="127"/>
      <c r="AL104" s="127"/>
      <c r="AM104" s="127"/>
      <c r="AN104" s="127"/>
      <c r="AO104" s="127"/>
      <c r="AP104" s="127"/>
      <c r="AQ104" s="127"/>
    </row>
    <row r="105" spans="1:43"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c r="AI105" s="127"/>
      <c r="AJ105" s="127"/>
      <c r="AK105" s="127"/>
      <c r="AL105" s="127"/>
      <c r="AM105" s="127"/>
      <c r="AN105" s="127"/>
      <c r="AO105" s="127"/>
      <c r="AP105" s="127"/>
      <c r="AQ105" s="127"/>
    </row>
    <row r="106" spans="1:43"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c r="AI106" s="127"/>
      <c r="AJ106" s="127"/>
      <c r="AK106" s="127"/>
      <c r="AL106" s="127"/>
      <c r="AM106" s="127"/>
      <c r="AN106" s="127"/>
      <c r="AO106" s="127"/>
      <c r="AP106" s="127"/>
      <c r="AQ106" s="127"/>
    </row>
    <row r="107" spans="1:43" x14ac:dyDescent="0.25">
      <c r="A107" s="127"/>
      <c r="B107" s="127"/>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c r="AI107" s="127"/>
      <c r="AJ107" s="127"/>
      <c r="AK107" s="127"/>
      <c r="AL107" s="127"/>
      <c r="AM107" s="127"/>
      <c r="AN107" s="127"/>
      <c r="AO107" s="127"/>
      <c r="AP107" s="127"/>
      <c r="AQ107" s="127"/>
    </row>
    <row r="108" spans="1:43" x14ac:dyDescent="0.25">
      <c r="A108" s="127"/>
      <c r="B108" s="127"/>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c r="AI108" s="127"/>
      <c r="AJ108" s="127"/>
      <c r="AK108" s="127"/>
      <c r="AL108" s="127"/>
      <c r="AM108" s="127"/>
      <c r="AN108" s="127"/>
      <c r="AO108" s="127"/>
      <c r="AP108" s="127"/>
      <c r="AQ108" s="127"/>
    </row>
    <row r="109" spans="1:43" x14ac:dyDescent="0.25">
      <c r="A109" s="127"/>
      <c r="B109" s="127"/>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c r="AI109" s="127"/>
      <c r="AJ109" s="127"/>
      <c r="AK109" s="127"/>
      <c r="AL109" s="127"/>
      <c r="AM109" s="127"/>
      <c r="AN109" s="127"/>
      <c r="AO109" s="127"/>
      <c r="AP109" s="127"/>
      <c r="AQ109" s="127"/>
    </row>
    <row r="110" spans="1:43" x14ac:dyDescent="0.25">
      <c r="A110" s="127"/>
      <c r="B110" s="127"/>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c r="AI110" s="127"/>
      <c r="AJ110" s="127"/>
      <c r="AK110" s="127"/>
      <c r="AL110" s="127"/>
      <c r="AM110" s="127"/>
      <c r="AN110" s="127"/>
      <c r="AO110" s="127"/>
      <c r="AP110" s="127"/>
      <c r="AQ110" s="127"/>
    </row>
  </sheetData>
  <sheetProtection password="CF7D" sheet="1"/>
  <mergeCells count="33">
    <mergeCell ref="B1:S1"/>
    <mergeCell ref="B3:D3"/>
    <mergeCell ref="B4:C4"/>
    <mergeCell ref="O3:R3"/>
    <mergeCell ref="O4:P4"/>
    <mergeCell ref="F3:K3"/>
    <mergeCell ref="L3:M3"/>
    <mergeCell ref="B17:D17"/>
    <mergeCell ref="I10:M10"/>
    <mergeCell ref="O6:Q6"/>
    <mergeCell ref="J5:K5"/>
    <mergeCell ref="B12:D12"/>
    <mergeCell ref="G10:H10"/>
    <mergeCell ref="J6:K6"/>
    <mergeCell ref="G5:H5"/>
    <mergeCell ref="L5:M5"/>
    <mergeCell ref="L6:M6"/>
    <mergeCell ref="B27:C27"/>
    <mergeCell ref="B23:D23"/>
    <mergeCell ref="G6:H6"/>
    <mergeCell ref="G7:H7"/>
    <mergeCell ref="B20:D20"/>
    <mergeCell ref="B21:D21"/>
    <mergeCell ref="B13:D13"/>
    <mergeCell ref="B22:D22"/>
    <mergeCell ref="G8:H8"/>
    <mergeCell ref="G9:H9"/>
    <mergeCell ref="B24:D24"/>
    <mergeCell ref="B18:D18"/>
    <mergeCell ref="B19:D19"/>
    <mergeCell ref="B14:D14"/>
    <mergeCell ref="B15:D15"/>
    <mergeCell ref="B16:D16"/>
  </mergeCells>
  <phoneticPr fontId="2" type="noConversion"/>
  <conditionalFormatting sqref="G13:G24">
    <cfRule type="expression" dxfId="102" priority="5" stopIfTrue="1">
      <formula>$U13&lt;&gt;1</formula>
    </cfRule>
  </conditionalFormatting>
  <conditionalFormatting sqref="E13">
    <cfRule type="expression" dxfId="101" priority="6" stopIfTrue="1">
      <formula>$AK13="Below"</formula>
    </cfRule>
  </conditionalFormatting>
  <conditionalFormatting sqref="E14:E23">
    <cfRule type="expression" dxfId="100" priority="7" stopIfTrue="1">
      <formula>$AK14="Above"</formula>
    </cfRule>
    <cfRule type="expression" dxfId="99" priority="8" stopIfTrue="1">
      <formula>$AK14="Below"</formula>
    </cfRule>
  </conditionalFormatting>
  <conditionalFormatting sqref="E24">
    <cfRule type="expression" dxfId="98" priority="9" stopIfTrue="1">
      <formula>$AK24="Above"</formula>
    </cfRule>
  </conditionalFormatting>
  <conditionalFormatting sqref="I13:I24">
    <cfRule type="expression" dxfId="97" priority="12" stopIfTrue="1">
      <formula>NOT(OR($AA13=2, $AA13=3))</formula>
    </cfRule>
  </conditionalFormatting>
  <conditionalFormatting sqref="J13:J24">
    <cfRule type="expression" dxfId="96" priority="13" stopIfTrue="1">
      <formula>NOT(OR($AA13=1,$AA13=3))</formula>
    </cfRule>
  </conditionalFormatting>
  <conditionalFormatting sqref="N13:N24">
    <cfRule type="expression" dxfId="95" priority="14" stopIfTrue="1">
      <formula>ISERROR(MATCH($N13,INDIRECT($AC$12),0))</formula>
    </cfRule>
    <cfRule type="expression" dxfId="94" priority="15" stopIfTrue="1">
      <formula>$AA13=2</formula>
    </cfRule>
  </conditionalFormatting>
  <conditionalFormatting sqref="R4">
    <cfRule type="cellIs" dxfId="93" priority="2" stopIfTrue="1" operator="greaterThan">
      <formula>1</formula>
    </cfRule>
  </conditionalFormatting>
  <conditionalFormatting sqref="O13:S24">
    <cfRule type="cellIs" dxfId="92" priority="1" stopIfTrue="1" operator="lessThanOrEqual">
      <formula>0</formula>
    </cfRule>
  </conditionalFormatting>
  <conditionalFormatting sqref="H13:H24">
    <cfRule type="expression" dxfId="91" priority="27" stopIfTrue="1">
      <formula>OR($H13&lt;0.94,$H13&gt;1.62)</formula>
    </cfRule>
  </conditionalFormatting>
  <conditionalFormatting sqref="K13:K24">
    <cfRule type="expression" dxfId="90" priority="28" stopIfTrue="1">
      <formula>NOT(OR($AA13=2, $AA13=3))</formula>
    </cfRule>
    <cfRule type="expression" dxfId="89" priority="29" stopIfTrue="1">
      <formula>$K13&gt;$W$1</formula>
    </cfRule>
  </conditionalFormatting>
  <conditionalFormatting sqref="L13:L24">
    <cfRule type="expression" dxfId="88" priority="30" stopIfTrue="1">
      <formula>NOT(OR($AA13=1, $AA13=3))</formula>
    </cfRule>
    <cfRule type="expression" dxfId="87" priority="31" stopIfTrue="1">
      <formula>$L13&gt;$W$1</formula>
    </cfRule>
  </conditionalFormatting>
  <dataValidations count="11">
    <dataValidation type="list" allowBlank="1" showInputMessage="1" showErrorMessage="1" errorTitle="Invalid Swing Voltage" error="Select a valid swing voltage from the drop down list." sqref="N13:N24" xr:uid="{00000000-0002-0000-0900-000000000000}">
      <formula1>INDIRECT($AC$12)</formula1>
    </dataValidation>
    <dataValidation type="list" allowBlank="1" showInputMessage="1" showErrorMessage="1" errorTitle="Invalid Operational Mode" error="Use the drop down or enter a valid operational mode. Allowed values are: Transmitter, Receiver, Transceiver" sqref="F13:F24" xr:uid="{00000000-0002-0000-0900-000001000000}">
      <formula1>"Transmitter,Receiver,Transceiver"</formula1>
    </dataValidation>
    <dataValidation type="whole" operator="greaterThanOrEqual" allowBlank="1" showInputMessage="1" showErrorMessage="1" errorTitle="Invalid Number of GTPA1s" error="The number of GTPA1 channels must be an integer greater than 0." sqref="E13:E24" xr:uid="{00000000-0002-0000-0900-000002000000}">
      <formula1>0</formula1>
    </dataValidation>
    <dataValidation type="list" allowBlank="1" showInputMessage="1" showErrorMessage="1" sqref="E29 R6" xr:uid="{00000000-0002-0000-0900-000003000000}">
      <formula1>"Powered,Grounded"</formula1>
    </dataValidation>
    <dataValidation type="list" allowBlank="1" showInputMessage="1" showErrorMessage="1" errorTitle="Invalid Shared PLL Setting" error="User the drop down list or enter valid setting. Allowed values are Yes or No." sqref="G13:G24" xr:uid="{00000000-0002-0000-0900-000004000000}">
      <formula1>"Yes,No"</formula1>
    </dataValidation>
    <dataValidation showInputMessage="1" showErrorMessage="1" errorTitle="Invalid GTP Data Rate" error="Data rate must be within the range of 0.622 to 3.125 Gb/s (2.75 for -1 speed grade),  and must be an integer multiple of the TX data rate if the PLL is shared." sqref="K13:K24" xr:uid="{00000000-0002-0000-0900-000005000000}"/>
    <dataValidation showInputMessage="1" showErrorMessage="1" errorTitle="Invalid GTP Data Rate" error="Data rate must be within the range of 0.622 to 3.2 Gb/s, and must be an integer multiple of the RX data rate if the PLL is shared.." sqref="L13:L24" xr:uid="{00000000-0002-0000-0900-000006000000}"/>
    <dataValidation type="decimal" allowBlank="1" showInputMessage="1" showErrorMessage="1" errorTitle="Invalid VCO Frequency" error="The VCO frequency must be within the range of 0.94 to 1.62 GHz." sqref="H13:H24" xr:uid="{00000000-0002-0000-0900-000007000000}">
      <formula1>0.94</formula1>
      <formula2>1.62</formula2>
    </dataValidation>
    <dataValidation type="list" allowBlank="1" showInputMessage="1" showErrorMessage="1" errorTitle="Invalid Divide Factor" error="Divide factor must be 1, 2, or 4." sqref="I13:I24" xr:uid="{00000000-0002-0000-0900-000008000000}">
      <formula1>"1,2,4"</formula1>
    </dataValidation>
    <dataValidation type="list" allowBlank="1" showInputMessage="1" showErrorMessage="1" errorTitle="Invalid Divide Factor" error="Divide factor must be 1, 2, or 4" sqref="J13:J24" xr:uid="{00000000-0002-0000-0900-000009000000}">
      <formula1>"1,2,4"</formula1>
    </dataValidation>
    <dataValidation type="list" allowBlank="1" showInputMessage="1" showErrorMessage="1" errorTitle="Invalid GTP Data Path Width" error="Use the drop down or enter a valid data path width of 8, 10, 16, 20, 32, or 40 bits." sqref="M13:M24" xr:uid="{00000000-0002-0000-0900-00000A000000}">
      <formula1>"8,10,16,20,32,40"</formula1>
    </dataValidation>
  </dataValidations>
  <hyperlinks>
    <hyperlink ref="B27:C27" r:id="rId1" display="GTP User Guide" xr:uid="{00000000-0004-0000-0900-000000000000}"/>
  </hyperlinks>
  <pageMargins left="0.75" right="0.75" top="1" bottom="1" header="0.5" footer="0.5"/>
  <pageSetup orientation="portrait" horizontalDpi="300" verticalDpi="300" r:id="rId2"/>
  <headerFooter alignWithMargins="0"/>
  <drawing r:id="rId3"/>
  <legacyDrawing r:id="rId4"/>
  <controls>
    <mc:AlternateContent xmlns:mc="http://schemas.openxmlformats.org/markup-compatibility/2006">
      <mc:Choice Requires="x14">
        <control shapeId="37889" r:id="rId5" name="Summary">
          <controlPr defaultSize="0" autoLine="0" r:id="rId6">
            <anchor moveWithCells="1">
              <from>
                <xdr:col>1</xdr:col>
                <xdr:colOff>22860</xdr:colOff>
                <xdr:row>0</xdr:row>
                <xdr:rowOff>38100</xdr:rowOff>
              </from>
              <to>
                <xdr:col>2</xdr:col>
                <xdr:colOff>266700</xdr:colOff>
                <xdr:row>0</xdr:row>
                <xdr:rowOff>312420</xdr:rowOff>
              </to>
            </anchor>
          </controlPr>
        </control>
      </mc:Choice>
      <mc:Fallback>
        <control shapeId="37889" r:id="rId5" name="Summary"/>
      </mc:Fallback>
    </mc:AlternateContent>
  </control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5"/>
  <dimension ref="A1:AD106"/>
  <sheetViews>
    <sheetView workbookViewId="0">
      <selection activeCell="B8" sqref="B8:D8"/>
    </sheetView>
  </sheetViews>
  <sheetFormatPr baseColWidth="10" defaultColWidth="9" defaultRowHeight="13.2" x14ac:dyDescent="0.25"/>
  <cols>
    <col min="1" max="1" width="2.77734375" customWidth="1"/>
    <col min="2" max="3" width="9.33203125" customWidth="1"/>
    <col min="4" max="4" width="11.21875" customWidth="1"/>
    <col min="5" max="5" width="16.6640625" customWidth="1"/>
    <col min="6" max="8" width="10.77734375" customWidth="1"/>
    <col min="9" max="9" width="2.77734375" customWidth="1"/>
  </cols>
  <sheetData>
    <row r="1" spans="1:30" ht="27.9" customHeight="1" x14ac:dyDescent="0.25">
      <c r="A1" s="127"/>
      <c r="B1" s="687" t="s">
        <v>596</v>
      </c>
      <c r="C1" s="687"/>
      <c r="D1" s="687"/>
      <c r="E1" s="687"/>
      <c r="F1" s="687"/>
      <c r="G1" s="687"/>
      <c r="H1" s="687"/>
      <c r="I1" s="127"/>
      <c r="J1" s="127"/>
      <c r="K1" s="127"/>
      <c r="L1" s="127"/>
      <c r="M1" s="127"/>
      <c r="N1" s="127"/>
      <c r="O1" s="126"/>
      <c r="P1" s="126"/>
      <c r="Q1" s="127"/>
      <c r="R1" s="127"/>
      <c r="S1" s="127"/>
      <c r="T1" s="127"/>
      <c r="U1" s="127"/>
      <c r="V1" s="127"/>
      <c r="W1" s="127"/>
      <c r="X1" s="127"/>
      <c r="Y1" s="127"/>
      <c r="Z1" s="127"/>
      <c r="AA1" s="127"/>
      <c r="AB1" s="127"/>
      <c r="AC1" s="127"/>
      <c r="AD1" s="127"/>
    </row>
    <row r="2" spans="1:30" ht="13.65" customHeight="1" thickBot="1" x14ac:dyDescent="0.3">
      <c r="A2" s="126"/>
      <c r="B2" s="126"/>
      <c r="C2" s="126"/>
      <c r="D2" s="126"/>
      <c r="E2" s="126"/>
      <c r="F2" s="126"/>
      <c r="G2" s="126"/>
      <c r="H2" s="126"/>
      <c r="I2" s="126"/>
      <c r="J2" s="127"/>
      <c r="K2" s="127"/>
      <c r="L2" s="127"/>
      <c r="M2" s="127"/>
      <c r="N2" s="127"/>
      <c r="O2" s="127"/>
      <c r="P2" s="127"/>
      <c r="Q2" s="127"/>
      <c r="R2" s="127"/>
      <c r="S2" s="127"/>
      <c r="T2" s="127"/>
      <c r="U2" s="127"/>
      <c r="V2" s="127"/>
      <c r="W2" s="127"/>
      <c r="X2" s="127"/>
      <c r="Y2" s="127"/>
      <c r="Z2" s="127"/>
      <c r="AA2" s="127"/>
      <c r="AB2" s="127"/>
      <c r="AC2" s="127"/>
      <c r="AD2" s="127"/>
    </row>
    <row r="3" spans="1:30" ht="17.25" customHeight="1" x14ac:dyDescent="0.25">
      <c r="A3" s="126"/>
      <c r="B3" s="715" t="s">
        <v>1115</v>
      </c>
      <c r="C3" s="716"/>
      <c r="D3" s="717"/>
      <c r="E3" s="126"/>
      <c r="F3" s="691" t="s">
        <v>140</v>
      </c>
      <c r="G3" s="692"/>
      <c r="H3" s="693"/>
      <c r="I3" s="126"/>
      <c r="J3" s="127"/>
      <c r="K3" s="127"/>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3">
      <c r="A4" s="126"/>
      <c r="B4" s="407" t="s">
        <v>1217</v>
      </c>
      <c r="C4" s="523">
        <f>VCCINT</f>
        <v>1.2</v>
      </c>
      <c r="D4" s="117">
        <f>IF(NUM_PCIES&gt;0,SUM(F8:F11),0)</f>
        <v>0</v>
      </c>
      <c r="E4" s="152" t="str">
        <f>POWERMODE</f>
        <v>Active</v>
      </c>
      <c r="F4" s="116" t="s">
        <v>220</v>
      </c>
      <c r="G4" s="141" t="str">
        <f>IF(NUM_PCIES&gt;0,COUNTIF(E8:E11,"&gt;0"),"N/A")</f>
        <v>N/A</v>
      </c>
      <c r="H4" s="404" t="str">
        <f>IF(NUM_PCIES&gt;0,G4/NUM_PCIES,"N/A")</f>
        <v>N/A</v>
      </c>
      <c r="I4" s="126"/>
      <c r="J4" s="127"/>
      <c r="K4" s="127"/>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3">
      <c r="A5" s="126"/>
      <c r="B5" s="718" t="str">
        <f ca="1">TEXT(IF(TOTAL_POWER&gt;0,PCIE_POWER/TOTAL_POWER,0),"0%")&amp;" of total on-chip power "&amp;TEXT(TOTAL_POWER,"#.###")&amp;"W"</f>
        <v>0% of total on-chip power .488W</v>
      </c>
      <c r="C5" s="879"/>
      <c r="D5" s="880"/>
      <c r="E5" s="126"/>
      <c r="F5" s="126"/>
      <c r="G5" s="126"/>
      <c r="H5" s="126"/>
      <c r="I5" s="126"/>
      <c r="J5" s="127"/>
      <c r="K5" s="127"/>
      <c r="L5" s="127"/>
      <c r="M5" s="127"/>
      <c r="N5" s="127"/>
      <c r="O5" s="127"/>
      <c r="P5" s="127"/>
      <c r="Q5" s="127"/>
      <c r="R5" s="127"/>
      <c r="S5" s="127"/>
      <c r="T5" s="127"/>
      <c r="U5" s="127"/>
      <c r="V5" s="127"/>
      <c r="W5" s="127"/>
      <c r="X5" s="127"/>
      <c r="Y5" s="127"/>
      <c r="Z5" s="127"/>
      <c r="AA5" s="127"/>
      <c r="AB5" s="127"/>
      <c r="AC5" s="127"/>
      <c r="AD5" s="127"/>
    </row>
    <row r="6" spans="1:30" ht="17.25" customHeight="1" thickBot="1" x14ac:dyDescent="0.3">
      <c r="A6" s="126"/>
      <c r="B6" s="126"/>
      <c r="C6" s="126"/>
      <c r="D6" s="126"/>
      <c r="E6" s="126"/>
      <c r="F6" s="126"/>
      <c r="G6" s="126"/>
      <c r="H6" s="126"/>
      <c r="I6" s="126"/>
      <c r="J6" s="127"/>
      <c r="K6" s="127"/>
      <c r="L6" s="127"/>
      <c r="M6" s="127"/>
      <c r="N6" s="127"/>
      <c r="O6" s="127"/>
      <c r="P6" s="127"/>
      <c r="Q6" s="127"/>
      <c r="R6" s="127"/>
      <c r="S6" s="127"/>
      <c r="T6" s="127"/>
      <c r="U6" s="127"/>
      <c r="V6" s="127"/>
      <c r="W6" s="127"/>
      <c r="X6" s="127"/>
      <c r="Y6" s="127"/>
      <c r="Z6" s="127"/>
      <c r="AA6" s="127"/>
      <c r="AB6" s="127"/>
      <c r="AC6" s="127"/>
      <c r="AD6" s="127"/>
    </row>
    <row r="7" spans="1:30" ht="30.6" thickBot="1" x14ac:dyDescent="0.3">
      <c r="A7" s="136"/>
      <c r="B7" s="883" t="s">
        <v>41</v>
      </c>
      <c r="C7" s="878"/>
      <c r="D7" s="878"/>
      <c r="E7" s="421" t="s">
        <v>1109</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5">
      <c r="A8" s="136"/>
      <c r="B8" s="873"/>
      <c r="C8" s="874"/>
      <c r="D8" s="874"/>
      <c r="E8" s="11"/>
      <c r="F8" s="145">
        <f ca="1">(($E8 * OFFSET(PCIE_DATA,3,1)) + ($E8 * OFFSET(PCIE_DATA,1,1)) + (IF($E8&gt;0,62.5,0) * OFFSET(PCIE_DATA,2,1))) *(VCCINT/1000)*VCCINT_N</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5">
      <c r="A9" s="136"/>
      <c r="B9" s="677"/>
      <c r="C9" s="678"/>
      <c r="D9" s="678"/>
      <c r="E9" s="11"/>
      <c r="F9" s="145">
        <f ca="1">(($E9 * OFFSET(PCIE_DATA,3,1)) + ($E9 * OFFSET(PCIE_DATA,1,1)) + (IF($E9&gt;0,62.5,0) * OFFSET(PCIE_DATA,2,1))) *(VCCINT/1000)*VCCINT_N</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5">
      <c r="A10" s="136"/>
      <c r="B10" s="677"/>
      <c r="C10" s="678"/>
      <c r="D10" s="678"/>
      <c r="E10" s="11"/>
      <c r="F10" s="145">
        <f ca="1">(($E10 * OFFSET(PCIE_DATA,3,1)) + ($E10 * OFFSET(PCIE_DATA,1,1)) + (IF($E10&gt;0,62.5,0) * OFFSET(PCIE_DATA,2,1))) *(VCCINT/1000)*VCCINT_N</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8" thickBot="1" x14ac:dyDescent="0.3">
      <c r="A11" s="136"/>
      <c r="B11" s="682"/>
      <c r="C11" s="683"/>
      <c r="D11" s="683"/>
      <c r="E11" s="120"/>
      <c r="F11" s="146">
        <f ca="1">(($E11 * OFFSET(PCIE_DATA,3,1)) + ($E11 * OFFSET(PCIE_DATA,1,1)) + (IF($E11&gt;0,62.5,0) * OFFSET(PCIE_DATA,2,1))) *(VCCINT/1000)*VCCINT_N</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5">
      <c r="A12" s="136"/>
      <c r="B12" s="136"/>
      <c r="C12" s="136"/>
      <c r="D12" s="136"/>
      <c r="E12" s="136"/>
      <c r="F12" s="136"/>
      <c r="G12" s="127"/>
      <c r="H12" s="136"/>
      <c r="I12" s="127"/>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5">
      <c r="A13" s="136"/>
      <c r="B13" s="150"/>
      <c r="C13" s="150"/>
      <c r="D13" s="150"/>
      <c r="E13" s="153"/>
      <c r="F13" s="136"/>
      <c r="G13" s="152"/>
      <c r="H13" s="136"/>
      <c r="I13" s="127"/>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136"/>
      <c r="B14" s="136"/>
      <c r="C14" s="136"/>
      <c r="D14" s="136"/>
      <c r="E14" s="136"/>
      <c r="F14" s="127"/>
      <c r="G14" s="127"/>
      <c r="H14" s="136"/>
      <c r="I14" s="136"/>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5">
      <c r="A15" s="127"/>
      <c r="B15" s="127"/>
      <c r="C15" s="127"/>
      <c r="D15" s="127"/>
      <c r="E15" s="150"/>
      <c r="F15" s="154"/>
      <c r="G15" s="127"/>
      <c r="H15" s="127"/>
      <c r="I15" s="127"/>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5">
      <c r="A16" s="127"/>
      <c r="B16" s="127"/>
      <c r="C16" s="127"/>
      <c r="D16" s="127"/>
      <c r="E16" s="127"/>
      <c r="F16" s="127"/>
      <c r="G16" s="127"/>
      <c r="H16" s="127"/>
      <c r="I16" s="127"/>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5">
      <c r="A17" s="127"/>
      <c r="B17" s="127"/>
      <c r="C17" s="127"/>
      <c r="D17" s="127"/>
      <c r="E17" s="127"/>
      <c r="F17" s="127"/>
      <c r="G17" s="127"/>
      <c r="H17" s="127"/>
      <c r="I17" s="127"/>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5">
      <c r="A18" s="127"/>
      <c r="B18" s="127"/>
      <c r="C18" s="127"/>
      <c r="D18" s="127"/>
      <c r="E18" s="127"/>
      <c r="F18" s="127"/>
      <c r="G18" s="127"/>
      <c r="H18" s="127"/>
      <c r="I18" s="127"/>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5">
      <c r="A19" s="127"/>
      <c r="B19" s="127"/>
      <c r="C19" s="127"/>
      <c r="D19" s="127"/>
      <c r="E19" s="127"/>
      <c r="F19" s="127"/>
      <c r="G19" s="127"/>
      <c r="H19" s="127"/>
      <c r="I19" s="127"/>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5">
      <c r="A20" s="127"/>
      <c r="B20" s="127"/>
      <c r="C20" s="127"/>
      <c r="D20" s="127"/>
      <c r="E20" s="127"/>
      <c r="F20" s="127"/>
      <c r="G20" s="127"/>
      <c r="H20" s="127"/>
      <c r="I20" s="127"/>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5">
      <c r="A21" s="127"/>
      <c r="B21" s="127"/>
      <c r="C21" s="127"/>
      <c r="D21" s="127"/>
      <c r="E21" s="127"/>
      <c r="F21" s="127"/>
      <c r="G21" s="127"/>
      <c r="H21" s="127"/>
      <c r="I21" s="127"/>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5">
      <c r="A22" s="127"/>
      <c r="B22" s="127"/>
      <c r="C22" s="127"/>
      <c r="D22" s="127"/>
      <c r="E22" s="127"/>
      <c r="F22" s="127"/>
      <c r="G22" s="127"/>
      <c r="H22" s="127"/>
      <c r="I22" s="127"/>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5">
      <c r="A23" s="127"/>
      <c r="B23" s="127"/>
      <c r="C23" s="127"/>
      <c r="D23" s="127"/>
      <c r="E23" s="127"/>
      <c r="F23" s="127"/>
      <c r="G23" s="127"/>
      <c r="H23" s="127"/>
      <c r="I23" s="127"/>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5">
      <c r="A24" s="127"/>
      <c r="B24" s="127"/>
      <c r="C24" s="127"/>
      <c r="D24" s="127"/>
      <c r="E24" s="127"/>
      <c r="F24" s="127"/>
      <c r="G24" s="127"/>
      <c r="H24" s="127"/>
      <c r="I24" s="127"/>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5">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5">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5">
      <c r="A28" s="127"/>
      <c r="B28" s="127"/>
      <c r="C28" s="127"/>
      <c r="D28" s="127"/>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5">
      <c r="A29" s="127"/>
      <c r="B29" s="127"/>
      <c r="C29" s="127"/>
      <c r="D29" s="127"/>
      <c r="E29" s="127"/>
      <c r="F29" s="127"/>
      <c r="G29" s="127"/>
      <c r="H29" s="127"/>
      <c r="I29" s="127"/>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5">
      <c r="A30" s="127"/>
      <c r="B30" s="127"/>
      <c r="C30" s="127"/>
      <c r="D30" s="127"/>
      <c r="E30" s="127"/>
      <c r="F30" s="127"/>
      <c r="G30" s="127"/>
      <c r="H30" s="127"/>
      <c r="I30" s="127"/>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5">
      <c r="A31" s="127"/>
      <c r="B31" s="127"/>
      <c r="C31" s="127"/>
      <c r="D31" s="127"/>
      <c r="E31" s="127"/>
      <c r="F31" s="127"/>
      <c r="G31" s="127"/>
      <c r="H31" s="127"/>
      <c r="I31" s="127"/>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5">
      <c r="A32" s="127"/>
      <c r="B32" s="127"/>
      <c r="C32" s="127"/>
      <c r="D32" s="127"/>
      <c r="E32" s="127"/>
      <c r="F32" s="127"/>
      <c r="G32" s="127"/>
      <c r="H32" s="127"/>
      <c r="I32" s="127"/>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5">
      <c r="A33" s="127"/>
      <c r="B33" s="127"/>
      <c r="C33" s="127"/>
      <c r="D33" s="127"/>
      <c r="E33" s="127"/>
      <c r="F33" s="127"/>
      <c r="G33" s="127"/>
      <c r="H33" s="127"/>
      <c r="I33" s="127"/>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5">
      <c r="A34" s="127"/>
      <c r="B34" s="127"/>
      <c r="C34" s="127"/>
      <c r="D34" s="127"/>
      <c r="E34" s="127"/>
      <c r="F34" s="127"/>
      <c r="G34" s="127"/>
      <c r="H34" s="127"/>
      <c r="I34" s="127"/>
      <c r="J34" s="127"/>
      <c r="K34" s="127"/>
      <c r="L34" s="127"/>
      <c r="M34" s="127"/>
      <c r="N34" s="127"/>
      <c r="O34" s="127"/>
      <c r="P34" s="127"/>
      <c r="Q34" s="127"/>
      <c r="R34" s="127"/>
      <c r="S34" s="127"/>
      <c r="T34" s="127"/>
      <c r="U34" s="127"/>
      <c r="V34" s="127"/>
      <c r="W34" s="127"/>
      <c r="X34" s="127"/>
      <c r="Y34" s="127"/>
      <c r="Z34" s="127"/>
      <c r="AA34" s="127"/>
      <c r="AB34" s="127"/>
      <c r="AC34" s="127"/>
      <c r="AD34" s="127"/>
    </row>
    <row r="35" spans="1:30" x14ac:dyDescent="0.25">
      <c r="A35" s="127"/>
      <c r="B35" s="127"/>
      <c r="C35" s="127"/>
      <c r="D35" s="127"/>
      <c r="E35" s="127"/>
      <c r="F35" s="127"/>
      <c r="G35" s="127"/>
      <c r="H35" s="127"/>
      <c r="I35" s="127"/>
      <c r="J35" s="127"/>
      <c r="K35" s="127"/>
      <c r="L35" s="127"/>
      <c r="M35" s="127"/>
      <c r="N35" s="127"/>
      <c r="O35" s="127"/>
      <c r="P35" s="127"/>
      <c r="Q35" s="127"/>
      <c r="R35" s="127"/>
      <c r="S35" s="127"/>
      <c r="T35" s="127"/>
      <c r="U35" s="127"/>
      <c r="V35" s="127"/>
      <c r="W35" s="127"/>
      <c r="X35" s="127"/>
      <c r="Y35" s="127"/>
      <c r="Z35" s="127"/>
      <c r="AA35" s="127"/>
      <c r="AB35" s="127"/>
      <c r="AC35" s="127"/>
      <c r="AD35" s="127"/>
    </row>
    <row r="36" spans="1:30" x14ac:dyDescent="0.25">
      <c r="A36" s="127"/>
      <c r="B36" s="127"/>
      <c r="C36" s="127"/>
      <c r="D36" s="127"/>
      <c r="E36" s="127"/>
      <c r="F36" s="127"/>
      <c r="G36" s="127"/>
      <c r="H36" s="127"/>
      <c r="I36" s="127"/>
      <c r="J36" s="127"/>
      <c r="K36" s="127"/>
      <c r="L36" s="127"/>
      <c r="M36" s="127"/>
      <c r="N36" s="127"/>
      <c r="O36" s="127"/>
      <c r="P36" s="127"/>
      <c r="Q36" s="127"/>
      <c r="R36" s="127"/>
      <c r="S36" s="127"/>
      <c r="T36" s="127"/>
      <c r="U36" s="127"/>
      <c r="V36" s="127"/>
      <c r="W36" s="127"/>
      <c r="X36" s="127"/>
      <c r="Y36" s="127"/>
      <c r="Z36" s="127"/>
      <c r="AA36" s="127"/>
      <c r="AB36" s="127"/>
      <c r="AC36" s="127"/>
      <c r="AD36" s="127"/>
    </row>
    <row r="37" spans="1:30" x14ac:dyDescent="0.25">
      <c r="A37" s="127"/>
      <c r="B37" s="127"/>
      <c r="C37" s="127"/>
      <c r="D37" s="127"/>
      <c r="E37" s="127"/>
      <c r="F37" s="127"/>
      <c r="G37" s="127"/>
      <c r="H37" s="127"/>
      <c r="I37" s="127"/>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5">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5">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5">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5">
      <c r="A41" s="127"/>
      <c r="B41" s="127"/>
      <c r="C41" s="127"/>
      <c r="D41" s="127"/>
      <c r="E41" s="127"/>
      <c r="F41" s="127"/>
      <c r="G41" s="127"/>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5">
      <c r="A42" s="127"/>
      <c r="B42" s="127"/>
      <c r="C42" s="127"/>
      <c r="D42" s="127"/>
      <c r="E42" s="127"/>
      <c r="F42" s="127"/>
      <c r="G42" s="127"/>
      <c r="H42" s="127"/>
      <c r="I42" s="127"/>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5">
      <c r="A43" s="127"/>
      <c r="B43" s="127"/>
      <c r="C43" s="127"/>
      <c r="D43" s="127"/>
      <c r="E43" s="127"/>
      <c r="F43" s="127"/>
      <c r="G43" s="127"/>
      <c r="H43" s="127"/>
      <c r="I43" s="127"/>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5">
      <c r="A44" s="127"/>
      <c r="B44" s="127"/>
      <c r="C44" s="127"/>
      <c r="D44" s="127"/>
      <c r="E44" s="127"/>
      <c r="F44" s="127"/>
      <c r="G44" s="127"/>
      <c r="H44" s="127"/>
      <c r="I44" s="127"/>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5">
      <c r="A45" s="127"/>
      <c r="B45" s="127"/>
      <c r="C45" s="127"/>
      <c r="D45" s="127"/>
      <c r="E45" s="127"/>
      <c r="F45" s="127"/>
      <c r="G45" s="127"/>
      <c r="H45" s="127"/>
      <c r="I45" s="127"/>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5">
      <c r="A46" s="127"/>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5">
      <c r="A47" s="127"/>
      <c r="B47" s="127"/>
      <c r="C47" s="127"/>
      <c r="D47" s="127"/>
      <c r="E47" s="127"/>
      <c r="F47" s="127"/>
      <c r="G47" s="127"/>
      <c r="H47" s="127"/>
      <c r="I47" s="127"/>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5">
      <c r="A48" s="127"/>
      <c r="B48" s="127"/>
      <c r="C48" s="127"/>
      <c r="D48" s="127"/>
      <c r="E48" s="127"/>
      <c r="F48" s="127"/>
      <c r="G48" s="127"/>
      <c r="H48" s="127"/>
      <c r="I48" s="127"/>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5">
      <c r="A49" s="127"/>
      <c r="B49" s="127"/>
      <c r="C49" s="127"/>
      <c r="D49" s="127"/>
      <c r="E49" s="127"/>
      <c r="F49" s="127"/>
      <c r="G49" s="127"/>
      <c r="H49" s="127"/>
      <c r="I49" s="127"/>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5">
      <c r="A50" s="127"/>
      <c r="B50" s="127"/>
      <c r="C50" s="127"/>
      <c r="D50" s="127"/>
      <c r="E50" s="127"/>
      <c r="F50" s="127"/>
      <c r="G50" s="127"/>
      <c r="H50" s="127"/>
      <c r="I50" s="127"/>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5">
      <c r="A51" s="127"/>
      <c r="B51" s="127"/>
      <c r="C51" s="127"/>
      <c r="D51" s="127"/>
      <c r="E51" s="127"/>
      <c r="F51" s="127"/>
      <c r="G51" s="127"/>
      <c r="H51" s="127"/>
      <c r="I51" s="127"/>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5">
      <c r="A52" s="127"/>
      <c r="B52" s="127"/>
      <c r="C52" s="127"/>
      <c r="D52" s="127"/>
      <c r="E52" s="127"/>
      <c r="F52" s="127"/>
      <c r="G52" s="127"/>
      <c r="H52" s="127"/>
      <c r="I52" s="127"/>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5">
      <c r="A53" s="127"/>
      <c r="B53" s="127"/>
      <c r="C53" s="127"/>
      <c r="D53" s="127"/>
      <c r="E53" s="127"/>
      <c r="F53" s="127"/>
      <c r="G53" s="127"/>
      <c r="H53" s="127"/>
      <c r="I53" s="127"/>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5">
      <c r="A54" s="127"/>
      <c r="B54" s="127"/>
      <c r="C54" s="127"/>
      <c r="D54" s="127"/>
      <c r="E54" s="127"/>
      <c r="F54" s="127"/>
      <c r="G54" s="127"/>
      <c r="H54" s="127"/>
      <c r="I54" s="127"/>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5">
      <c r="A55" s="127"/>
      <c r="B55" s="127"/>
      <c r="C55" s="127"/>
      <c r="D55" s="127"/>
      <c r="E55" s="127"/>
      <c r="F55" s="127"/>
      <c r="G55" s="127"/>
      <c r="H55" s="127"/>
      <c r="I55" s="127"/>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5">
      <c r="A56" s="127"/>
      <c r="B56" s="127"/>
      <c r="C56" s="127"/>
      <c r="D56" s="127"/>
      <c r="E56" s="127"/>
      <c r="F56" s="127"/>
      <c r="G56" s="127"/>
      <c r="H56" s="127"/>
      <c r="I56" s="127"/>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5">
      <c r="A57" s="127"/>
      <c r="B57" s="127"/>
      <c r="C57" s="127"/>
      <c r="D57" s="127"/>
      <c r="E57" s="127"/>
      <c r="F57" s="127"/>
      <c r="G57" s="127"/>
      <c r="H57" s="127"/>
      <c r="I57" s="127"/>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5">
      <c r="A58" s="127"/>
      <c r="B58" s="127"/>
      <c r="C58" s="127"/>
      <c r="D58" s="127"/>
      <c r="E58" s="127"/>
      <c r="F58" s="127"/>
      <c r="G58" s="127"/>
      <c r="H58" s="127"/>
      <c r="I58" s="127"/>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5">
      <c r="A59" s="127"/>
      <c r="B59" s="127"/>
      <c r="C59" s="127"/>
      <c r="D59" s="127"/>
      <c r="E59" s="127"/>
      <c r="F59" s="127"/>
      <c r="G59" s="127"/>
      <c r="H59" s="127"/>
      <c r="I59" s="127"/>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5">
      <c r="A60" s="127"/>
      <c r="B60" s="127"/>
      <c r="C60" s="127"/>
      <c r="D60" s="127"/>
      <c r="E60" s="127"/>
      <c r="F60" s="127"/>
      <c r="G60" s="127"/>
      <c r="H60" s="127"/>
      <c r="I60" s="127"/>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5">
      <c r="A61" s="127"/>
      <c r="B61" s="127"/>
      <c r="C61" s="127"/>
      <c r="D61" s="127"/>
      <c r="E61" s="127"/>
      <c r="F61" s="127"/>
      <c r="G61" s="127"/>
      <c r="H61" s="127"/>
      <c r="I61" s="127"/>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5">
      <c r="A62" s="127"/>
      <c r="B62" s="127"/>
      <c r="C62" s="127"/>
      <c r="D62" s="127"/>
      <c r="E62" s="127"/>
      <c r="F62" s="127"/>
      <c r="G62" s="127"/>
      <c r="H62" s="127"/>
      <c r="I62" s="127"/>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5">
      <c r="A63" s="127"/>
      <c r="B63" s="127"/>
      <c r="C63" s="127"/>
      <c r="D63" s="127"/>
      <c r="E63" s="127"/>
      <c r="F63" s="127"/>
      <c r="G63" s="127"/>
      <c r="H63" s="127"/>
      <c r="I63" s="127"/>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5">
      <c r="A64" s="127"/>
      <c r="B64" s="127"/>
      <c r="C64" s="127"/>
      <c r="D64" s="127"/>
      <c r="E64" s="127"/>
      <c r="F64" s="127"/>
      <c r="G64" s="127"/>
      <c r="H64" s="127"/>
      <c r="I64" s="127"/>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5">
      <c r="A65" s="127"/>
      <c r="B65" s="127"/>
      <c r="C65" s="127"/>
      <c r="D65" s="127"/>
      <c r="E65" s="127"/>
      <c r="F65" s="127"/>
      <c r="G65" s="127"/>
      <c r="H65" s="127"/>
      <c r="I65" s="127"/>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5">
      <c r="A66" s="127"/>
      <c r="B66" s="127"/>
      <c r="C66" s="127"/>
      <c r="D66" s="127"/>
      <c r="E66" s="127"/>
      <c r="F66" s="127"/>
      <c r="G66" s="127"/>
      <c r="H66" s="127"/>
      <c r="I66" s="127"/>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5">
      <c r="A67" s="127"/>
      <c r="B67" s="127"/>
      <c r="C67" s="127"/>
      <c r="D67" s="127"/>
      <c r="E67" s="127"/>
      <c r="F67" s="127"/>
      <c r="G67" s="127"/>
      <c r="H67" s="127"/>
      <c r="I67" s="127"/>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5">
      <c r="A68" s="127"/>
      <c r="B68" s="127"/>
      <c r="C68" s="127"/>
      <c r="D68" s="127"/>
      <c r="E68" s="127"/>
      <c r="F68" s="127"/>
      <c r="G68" s="127"/>
      <c r="H68" s="127"/>
      <c r="I68" s="127"/>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5">
      <c r="A69" s="127"/>
      <c r="B69" s="127"/>
      <c r="C69" s="127"/>
      <c r="D69" s="127"/>
      <c r="E69" s="127"/>
      <c r="F69" s="127"/>
      <c r="G69" s="127"/>
      <c r="H69" s="127"/>
      <c r="I69" s="127"/>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5">
      <c r="A70" s="127"/>
      <c r="B70" s="127"/>
      <c r="C70" s="127"/>
      <c r="D70" s="127"/>
      <c r="E70" s="127"/>
      <c r="F70" s="127"/>
      <c r="G70" s="127"/>
      <c r="H70" s="127"/>
      <c r="I70" s="127"/>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5">
      <c r="A71" s="127"/>
      <c r="B71" s="127"/>
      <c r="C71" s="127"/>
      <c r="D71" s="127"/>
      <c r="E71" s="127"/>
      <c r="F71" s="127"/>
      <c r="G71" s="127"/>
      <c r="H71" s="127"/>
      <c r="I71" s="127"/>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5">
      <c r="A72" s="127"/>
      <c r="B72" s="127"/>
      <c r="C72" s="127"/>
      <c r="D72" s="127"/>
      <c r="E72" s="127"/>
      <c r="F72" s="127"/>
      <c r="G72" s="127"/>
      <c r="H72" s="127"/>
      <c r="I72" s="127"/>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5">
      <c r="A73" s="127"/>
      <c r="B73" s="127"/>
      <c r="C73" s="127"/>
      <c r="D73" s="127"/>
      <c r="E73" s="127"/>
      <c r="F73" s="127"/>
      <c r="G73" s="127"/>
      <c r="H73" s="127"/>
      <c r="I73" s="127"/>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5">
      <c r="A74" s="127"/>
      <c r="B74" s="127"/>
      <c r="C74" s="127"/>
      <c r="D74" s="127"/>
      <c r="E74" s="127"/>
      <c r="F74" s="127"/>
      <c r="G74" s="127"/>
      <c r="H74" s="127"/>
      <c r="I74" s="127"/>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5">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5">
      <c r="A76" s="127"/>
      <c r="B76" s="127"/>
      <c r="C76" s="127"/>
      <c r="D76" s="127"/>
      <c r="E76" s="127"/>
      <c r="F76" s="127"/>
      <c r="G76" s="127"/>
      <c r="H76" s="127"/>
      <c r="I76" s="127"/>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5">
      <c r="A77" s="127"/>
      <c r="B77" s="127"/>
      <c r="C77" s="127"/>
      <c r="D77" s="127"/>
      <c r="E77" s="127"/>
      <c r="F77" s="127"/>
      <c r="G77" s="127"/>
      <c r="H77" s="127"/>
      <c r="I77" s="127"/>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5">
      <c r="A78" s="127"/>
      <c r="B78" s="127"/>
      <c r="C78" s="127"/>
      <c r="D78" s="127"/>
      <c r="E78" s="127"/>
      <c r="F78" s="127"/>
      <c r="G78" s="127"/>
      <c r="H78" s="127"/>
      <c r="I78" s="127"/>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5">
      <c r="A79" s="127"/>
      <c r="B79" s="127"/>
      <c r="C79" s="127"/>
      <c r="D79" s="127"/>
      <c r="E79" s="127"/>
      <c r="F79" s="127"/>
      <c r="G79" s="127"/>
      <c r="H79" s="127"/>
      <c r="I79" s="127"/>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5">
      <c r="A80" s="127"/>
      <c r="B80" s="127"/>
      <c r="C80" s="127"/>
      <c r="D80" s="127"/>
      <c r="E80" s="127"/>
      <c r="F80" s="127"/>
      <c r="G80" s="127"/>
      <c r="H80" s="127"/>
      <c r="I80" s="127"/>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5">
      <c r="A81" s="127"/>
      <c r="B81" s="127"/>
      <c r="C81" s="127"/>
      <c r="D81" s="127"/>
      <c r="E81" s="127"/>
      <c r="F81" s="127"/>
      <c r="G81" s="127"/>
      <c r="H81" s="127"/>
      <c r="I81" s="127"/>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5">
      <c r="A82" s="127"/>
      <c r="B82" s="127"/>
      <c r="C82" s="127"/>
      <c r="D82" s="127"/>
      <c r="E82" s="127"/>
      <c r="F82" s="127"/>
      <c r="G82" s="127"/>
      <c r="H82" s="127"/>
      <c r="I82" s="127"/>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5">
      <c r="A83" s="127"/>
      <c r="B83" s="127"/>
      <c r="C83" s="127"/>
      <c r="D83" s="127"/>
      <c r="E83" s="127"/>
      <c r="F83" s="127"/>
      <c r="G83" s="127"/>
      <c r="H83" s="127"/>
      <c r="I83" s="127"/>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5">
      <c r="A84" s="127"/>
      <c r="B84" s="127"/>
      <c r="C84" s="127"/>
      <c r="D84" s="127"/>
      <c r="E84" s="127"/>
      <c r="F84" s="127"/>
      <c r="G84" s="127"/>
      <c r="H84" s="127"/>
      <c r="I84" s="127"/>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5">
      <c r="A85" s="127"/>
      <c r="B85" s="127"/>
      <c r="C85" s="127"/>
      <c r="D85" s="127"/>
      <c r="E85" s="127"/>
      <c r="F85" s="127"/>
      <c r="G85" s="127"/>
      <c r="H85" s="127"/>
      <c r="I85" s="127"/>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5">
      <c r="A86" s="127"/>
      <c r="B86" s="127"/>
      <c r="C86" s="127"/>
      <c r="D86" s="127"/>
      <c r="E86" s="127"/>
      <c r="F86" s="127"/>
      <c r="G86" s="127"/>
      <c r="H86" s="127"/>
      <c r="I86" s="127"/>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5">
      <c r="A87" s="127"/>
      <c r="B87" s="127"/>
      <c r="C87" s="127"/>
      <c r="D87" s="127"/>
      <c r="E87" s="127"/>
      <c r="F87" s="127"/>
      <c r="G87" s="127"/>
      <c r="H87" s="127"/>
      <c r="I87" s="127"/>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5">
      <c r="A88" s="127"/>
      <c r="B88" s="127"/>
      <c r="C88" s="127"/>
      <c r="D88" s="127"/>
      <c r="E88" s="127"/>
      <c r="F88" s="127"/>
      <c r="G88" s="127"/>
      <c r="H88" s="127"/>
      <c r="I88" s="127"/>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5">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5">
      <c r="A90" s="127"/>
      <c r="B90" s="127"/>
      <c r="C90" s="127"/>
      <c r="D90" s="127"/>
      <c r="E90" s="127"/>
      <c r="F90" s="127"/>
      <c r="G90" s="127"/>
      <c r="H90" s="127"/>
      <c r="I90" s="127"/>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5">
      <c r="A91" s="127"/>
      <c r="B91" s="127"/>
      <c r="C91" s="127"/>
      <c r="D91" s="127"/>
      <c r="E91" s="127"/>
      <c r="F91" s="127"/>
      <c r="G91" s="127"/>
      <c r="H91" s="127"/>
      <c r="I91" s="127"/>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5">
      <c r="A92" s="127"/>
      <c r="B92" s="127"/>
      <c r="C92" s="127"/>
      <c r="D92" s="127"/>
      <c r="E92" s="127"/>
      <c r="F92" s="127"/>
      <c r="G92" s="127"/>
      <c r="H92" s="127"/>
      <c r="I92" s="127"/>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5">
      <c r="A93" s="127"/>
      <c r="B93" s="127"/>
      <c r="C93" s="127"/>
      <c r="D93" s="127"/>
      <c r="E93" s="127"/>
      <c r="F93" s="127"/>
      <c r="G93" s="127"/>
      <c r="H93" s="127"/>
      <c r="I93" s="127"/>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5">
      <c r="A94" s="127"/>
      <c r="B94" s="127"/>
      <c r="C94" s="127"/>
      <c r="D94" s="127"/>
      <c r="E94" s="127"/>
      <c r="F94" s="127"/>
      <c r="G94" s="127"/>
      <c r="H94" s="127"/>
      <c r="I94" s="127"/>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5">
      <c r="A95" s="127"/>
      <c r="B95" s="127"/>
      <c r="C95" s="127"/>
      <c r="D95" s="127"/>
      <c r="E95" s="127"/>
      <c r="F95" s="127"/>
      <c r="G95" s="127"/>
      <c r="H95" s="127"/>
      <c r="I95" s="127"/>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127"/>
      <c r="B96" s="127"/>
      <c r="C96" s="127"/>
      <c r="D96" s="127"/>
      <c r="E96" s="127"/>
      <c r="F96" s="127"/>
      <c r="G96" s="127"/>
      <c r="H96" s="127"/>
      <c r="I96" s="127"/>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5">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5">
      <c r="A98" s="127"/>
      <c r="B98" s="127"/>
      <c r="C98" s="127"/>
      <c r="D98" s="127"/>
      <c r="E98" s="127"/>
      <c r="F98" s="127"/>
      <c r="G98" s="127"/>
      <c r="H98" s="127"/>
      <c r="I98" s="127"/>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5">
      <c r="A99" s="127"/>
      <c r="B99" s="127"/>
      <c r="C99" s="127"/>
      <c r="D99" s="127"/>
      <c r="E99" s="127"/>
      <c r="F99" s="127"/>
      <c r="G99" s="127"/>
      <c r="H99" s="127"/>
      <c r="I99" s="127"/>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5">
      <c r="A100" s="127"/>
      <c r="B100" s="127"/>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5">
      <c r="A101" s="127"/>
      <c r="B101" s="127"/>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5">
      <c r="A102" s="127"/>
      <c r="B102" s="127"/>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5">
      <c r="A103" s="127"/>
      <c r="B103" s="127"/>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5">
      <c r="A104" s="127"/>
      <c r="B104" s="127"/>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5">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row r="106" spans="1:30" x14ac:dyDescent="0.25">
      <c r="A106" s="127"/>
      <c r="B106" s="127"/>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row>
  </sheetData>
  <sheetProtection password="CF7D" sheet="1" objects="1" scenarios="1"/>
  <mergeCells count="9">
    <mergeCell ref="B11:D11"/>
    <mergeCell ref="B7:D7"/>
    <mergeCell ref="B3:D3"/>
    <mergeCell ref="B5:D5"/>
    <mergeCell ref="B1:H1"/>
    <mergeCell ref="B8:D8"/>
    <mergeCell ref="B9:D9"/>
    <mergeCell ref="B10:D10"/>
    <mergeCell ref="F3:H3"/>
  </mergeCells>
  <phoneticPr fontId="2" type="noConversion"/>
  <conditionalFormatting sqref="F8:F11">
    <cfRule type="cellIs" dxfId="10" priority="1" stopIfTrue="1" operator="lessThanOrEqual">
      <formula>0</formula>
    </cfRule>
  </conditionalFormatting>
  <conditionalFormatting sqref="H4">
    <cfRule type="cellIs" dxfId="9" priority="5" stopIfTrue="1" operator="greaterThan">
      <formula>1</formula>
    </cfRule>
  </conditionalFormatting>
  <dataValidations count="1">
    <dataValidation type="list" allowBlank="1" showInputMessage="1" showErrorMessage="1" errorTitle="Invalid Reference Clock" error="The allowed reference clock frequency is 100 or 125 MHz." sqref="E8:E11" xr:uid="{00000000-0002-0000-0A00-000000000000}">
      <formula1>"100,125"</formula1>
    </dataValidation>
  </dataValidations>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38913" r:id="rId4" name="Summary">
          <controlPr defaultSize="0" autoLine="0" r:id="rId5">
            <anchor moveWithCells="1">
              <from>
                <xdr:col>1</xdr:col>
                <xdr:colOff>22860</xdr:colOff>
                <xdr:row>0</xdr:row>
                <xdr:rowOff>38100</xdr:rowOff>
              </from>
              <to>
                <xdr:col>2</xdr:col>
                <xdr:colOff>495300</xdr:colOff>
                <xdr:row>0</xdr:row>
                <xdr:rowOff>312420</xdr:rowOff>
              </to>
            </anchor>
          </controlPr>
        </control>
      </mc:Choice>
      <mc:Fallback>
        <control shapeId="38913" r:id="rId4" name="Summary"/>
      </mc:Fallback>
    </mc:AlternateContent>
  </control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6"/>
  <dimension ref="A1:AD105"/>
  <sheetViews>
    <sheetView workbookViewId="0">
      <selection activeCell="B8" sqref="B8:D8"/>
    </sheetView>
  </sheetViews>
  <sheetFormatPr baseColWidth="10" defaultColWidth="9" defaultRowHeight="13.2" x14ac:dyDescent="0.25"/>
  <cols>
    <col min="1" max="1" width="2.77734375" customWidth="1"/>
    <col min="2" max="3" width="9.33203125" customWidth="1"/>
    <col min="4" max="4" width="11.109375" customWidth="1"/>
    <col min="5" max="5" width="14.33203125" customWidth="1"/>
    <col min="6" max="10" width="10.77734375" customWidth="1"/>
    <col min="11" max="11" width="2.77734375" customWidth="1"/>
    <col min="12" max="12" width="10.77734375" customWidth="1"/>
  </cols>
  <sheetData>
    <row r="1" spans="1:30" ht="27.9" customHeight="1" x14ac:dyDescent="0.25">
      <c r="A1" s="269"/>
      <c r="B1" s="687" t="s">
        <v>756</v>
      </c>
      <c r="C1" s="687"/>
      <c r="D1" s="687"/>
      <c r="E1" s="687"/>
      <c r="F1" s="687"/>
      <c r="G1" s="687"/>
      <c r="H1" s="687"/>
      <c r="I1" s="127"/>
      <c r="J1" s="127"/>
      <c r="K1" s="127"/>
      <c r="L1" s="127"/>
      <c r="M1" s="127"/>
      <c r="N1" s="127"/>
      <c r="O1" s="127"/>
      <c r="P1" s="126"/>
      <c r="Q1" s="155"/>
      <c r="R1" s="127"/>
      <c r="S1" s="127"/>
      <c r="T1" s="127"/>
      <c r="U1" s="127"/>
      <c r="V1" s="127"/>
      <c r="W1" s="127"/>
      <c r="X1" s="127"/>
      <c r="Y1" s="127"/>
      <c r="Z1" s="127"/>
      <c r="AA1" s="127"/>
      <c r="AB1" s="127"/>
      <c r="AC1" s="127"/>
      <c r="AD1" s="127"/>
    </row>
    <row r="2" spans="1:30" ht="15" customHeight="1" thickBot="1" x14ac:dyDescent="0.3">
      <c r="A2" s="314"/>
      <c r="B2" s="126"/>
      <c r="C2" s="126"/>
      <c r="D2" s="126"/>
      <c r="E2" s="126"/>
      <c r="F2" s="126"/>
      <c r="G2" s="126"/>
      <c r="H2" s="155"/>
      <c r="I2" s="126"/>
      <c r="J2" s="126"/>
      <c r="K2" s="323"/>
      <c r="L2" s="127"/>
      <c r="M2" s="127"/>
      <c r="N2" s="127"/>
      <c r="O2" s="127"/>
      <c r="P2" s="127"/>
      <c r="Q2" s="127"/>
      <c r="R2" s="127"/>
      <c r="S2" s="127"/>
      <c r="T2" s="127"/>
      <c r="U2" s="127"/>
      <c r="V2" s="127"/>
      <c r="W2" s="127"/>
      <c r="X2" s="127"/>
      <c r="Y2" s="127"/>
      <c r="Z2" s="127"/>
      <c r="AA2" s="127"/>
      <c r="AB2" s="127"/>
      <c r="AC2" s="127"/>
      <c r="AD2" s="127"/>
    </row>
    <row r="3" spans="1:30" ht="17.25" customHeight="1" x14ac:dyDescent="0.25">
      <c r="A3" s="314"/>
      <c r="B3" s="715" t="s">
        <v>1115</v>
      </c>
      <c r="C3" s="716"/>
      <c r="D3" s="717"/>
      <c r="E3" s="126"/>
      <c r="F3" s="691" t="s">
        <v>140</v>
      </c>
      <c r="G3" s="692"/>
      <c r="H3" s="693"/>
      <c r="I3" s="126"/>
      <c r="J3" s="126"/>
      <c r="K3" s="323"/>
      <c r="L3" s="127"/>
      <c r="M3" s="127"/>
      <c r="N3" s="127"/>
      <c r="O3" s="127"/>
      <c r="P3" s="127"/>
      <c r="Q3" s="127"/>
      <c r="R3" s="127"/>
      <c r="S3" s="127"/>
      <c r="T3" s="127"/>
      <c r="U3" s="127"/>
      <c r="V3" s="127"/>
      <c r="W3" s="127"/>
      <c r="X3" s="127"/>
      <c r="Y3" s="127"/>
      <c r="Z3" s="127"/>
      <c r="AA3" s="127"/>
      <c r="AB3" s="127"/>
      <c r="AC3" s="127"/>
      <c r="AD3" s="127"/>
    </row>
    <row r="4" spans="1:30" ht="17.25" customHeight="1" thickBot="1" x14ac:dyDescent="0.3">
      <c r="A4" s="314"/>
      <c r="B4" s="407" t="s">
        <v>1217</v>
      </c>
      <c r="C4" s="523">
        <f>VCCINT</f>
        <v>1.2</v>
      </c>
      <c r="D4" s="117">
        <f ca="1">IF(AND(NUM_MCBS&gt;0,SPEEDGRADE&lt;&gt;"-3N"),SUM(F8:F11),0)</f>
        <v>0</v>
      </c>
      <c r="E4" s="322" t="str">
        <f>POWERMODE</f>
        <v>Active</v>
      </c>
      <c r="F4" s="116" t="s">
        <v>558</v>
      </c>
      <c r="G4" s="141">
        <f>COUNTIF(E8:E11,"&gt;0")</f>
        <v>0</v>
      </c>
      <c r="H4" s="404">
        <f>G4/NUM_MCBS</f>
        <v>0</v>
      </c>
      <c r="I4" s="126"/>
      <c r="J4" s="126"/>
      <c r="K4" s="323"/>
      <c r="L4" s="127"/>
      <c r="M4" s="127"/>
      <c r="N4" s="127"/>
      <c r="O4" s="127"/>
      <c r="P4" s="127"/>
      <c r="Q4" s="127"/>
      <c r="R4" s="127"/>
      <c r="S4" s="127"/>
      <c r="T4" s="127"/>
      <c r="U4" s="127"/>
      <c r="V4" s="127"/>
      <c r="W4" s="127"/>
      <c r="X4" s="127"/>
      <c r="Y4" s="127"/>
      <c r="Z4" s="127"/>
      <c r="AA4" s="127"/>
      <c r="AB4" s="127"/>
      <c r="AC4" s="127"/>
      <c r="AD4" s="127"/>
    </row>
    <row r="5" spans="1:30" ht="17.25" customHeight="1" thickBot="1" x14ac:dyDescent="0.3">
      <c r="A5" s="314"/>
      <c r="B5" s="718" t="str">
        <f ca="1">TEXT(IF(TOTAL_POWER&gt;0,MCB_POWER/TOTAL_POWER,0),"0%")&amp;" of total on-chip power "&amp;TEXT(TOTAL_POWER,"#.###")&amp;"W"</f>
        <v>0% of total on-chip power .488W</v>
      </c>
      <c r="C5" s="719"/>
      <c r="D5" s="720"/>
      <c r="E5" s="126"/>
      <c r="F5" s="126"/>
      <c r="G5" s="126"/>
      <c r="H5" s="155"/>
      <c r="I5" s="126"/>
      <c r="J5" s="126"/>
      <c r="K5" s="323"/>
      <c r="L5" s="127"/>
      <c r="M5" s="127"/>
      <c r="N5" s="127"/>
      <c r="O5" s="127"/>
      <c r="P5" s="127"/>
      <c r="Q5" s="127"/>
      <c r="R5" s="127"/>
      <c r="S5" s="127"/>
      <c r="T5" s="127"/>
      <c r="U5" s="127"/>
      <c r="V5" s="127"/>
      <c r="W5" s="127"/>
      <c r="X5" s="127"/>
      <c r="Y5" s="127"/>
      <c r="Z5" s="127"/>
      <c r="AA5" s="127"/>
      <c r="AB5" s="127"/>
      <c r="AC5" s="127"/>
      <c r="AD5" s="127"/>
    </row>
    <row r="6" spans="1:30" ht="15" customHeight="1" thickBot="1" x14ac:dyDescent="0.3">
      <c r="A6" s="314"/>
      <c r="B6" s="126"/>
      <c r="C6" s="126"/>
      <c r="D6" s="126"/>
      <c r="E6" s="126"/>
      <c r="F6" s="126"/>
      <c r="G6" s="126"/>
      <c r="H6" s="155"/>
      <c r="I6" s="126"/>
      <c r="J6" s="126"/>
      <c r="K6" s="323"/>
      <c r="L6" s="127"/>
      <c r="M6" s="127"/>
      <c r="N6" s="127"/>
      <c r="O6" s="127"/>
      <c r="P6" s="127"/>
      <c r="Q6" s="127"/>
      <c r="R6" s="127"/>
      <c r="S6" s="127"/>
      <c r="T6" s="127"/>
      <c r="U6" s="127"/>
      <c r="V6" s="127"/>
      <c r="W6" s="127"/>
      <c r="X6" s="127"/>
      <c r="Y6" s="127"/>
      <c r="Z6" s="127"/>
      <c r="AA6" s="127"/>
      <c r="AB6" s="127"/>
      <c r="AC6" s="127"/>
      <c r="AD6" s="127"/>
    </row>
    <row r="7" spans="1:30" ht="30.6" thickBot="1" x14ac:dyDescent="0.3">
      <c r="A7" s="304"/>
      <c r="B7" s="883" t="s">
        <v>41</v>
      </c>
      <c r="C7" s="878"/>
      <c r="D7" s="878"/>
      <c r="E7" s="421" t="s">
        <v>1110</v>
      </c>
      <c r="F7" s="422" t="s">
        <v>17</v>
      </c>
      <c r="G7" s="136"/>
      <c r="H7" s="127"/>
      <c r="I7" s="127"/>
      <c r="J7" s="127"/>
      <c r="K7" s="127"/>
      <c r="L7" s="127"/>
      <c r="M7" s="127"/>
      <c r="N7" s="127"/>
      <c r="O7" s="127"/>
      <c r="P7" s="127"/>
      <c r="Q7" s="127"/>
      <c r="R7" s="127"/>
      <c r="S7" s="127"/>
      <c r="T7" s="127"/>
      <c r="U7" s="127"/>
      <c r="V7" s="127"/>
      <c r="W7" s="127"/>
      <c r="X7" s="127"/>
      <c r="Y7" s="127"/>
      <c r="Z7" s="127"/>
      <c r="AA7" s="127"/>
      <c r="AB7" s="127"/>
      <c r="AC7" s="127"/>
      <c r="AD7" s="127"/>
    </row>
    <row r="8" spans="1:30" x14ac:dyDescent="0.25">
      <c r="A8" s="304"/>
      <c r="B8" s="873"/>
      <c r="C8" s="874"/>
      <c r="D8" s="874"/>
      <c r="E8" s="11">
        <v>0</v>
      </c>
      <c r="F8" s="149">
        <f ca="1">$E8*OFFSET(MCB_DATA,1,1)*VCCINT/1000</f>
        <v>0</v>
      </c>
      <c r="G8" s="136"/>
      <c r="H8" s="127"/>
      <c r="I8" s="127"/>
      <c r="J8" s="127"/>
      <c r="K8" s="127"/>
      <c r="L8" s="127"/>
      <c r="M8" s="127"/>
      <c r="N8" s="127"/>
      <c r="O8" s="127"/>
      <c r="P8" s="127"/>
      <c r="Q8" s="127"/>
      <c r="R8" s="127"/>
      <c r="S8" s="127"/>
      <c r="T8" s="127"/>
      <c r="U8" s="127"/>
      <c r="V8" s="127"/>
      <c r="W8" s="127"/>
      <c r="X8" s="127"/>
      <c r="Y8" s="127"/>
      <c r="Z8" s="127"/>
      <c r="AA8" s="127"/>
      <c r="AB8" s="127"/>
      <c r="AC8" s="127"/>
      <c r="AD8" s="127"/>
    </row>
    <row r="9" spans="1:30" x14ac:dyDescent="0.25">
      <c r="A9" s="304"/>
      <c r="B9" s="677"/>
      <c r="C9" s="678"/>
      <c r="D9" s="678"/>
      <c r="E9" s="11">
        <v>0</v>
      </c>
      <c r="F9" s="147">
        <f ca="1">$E9*OFFSET(MCB_DATA,1,1)*VCCINT/1000</f>
        <v>0</v>
      </c>
      <c r="G9" s="136"/>
      <c r="H9" s="127"/>
      <c r="I9" s="127"/>
      <c r="J9" s="127"/>
      <c r="K9" s="127"/>
      <c r="L9" s="127"/>
      <c r="M9" s="127"/>
      <c r="N9" s="127"/>
      <c r="O9" s="127"/>
      <c r="P9" s="127"/>
      <c r="Q9" s="127"/>
      <c r="R9" s="127"/>
      <c r="S9" s="127"/>
      <c r="T9" s="127"/>
      <c r="U9" s="127"/>
      <c r="V9" s="127"/>
      <c r="W9" s="127"/>
      <c r="X9" s="127"/>
      <c r="Y9" s="127"/>
      <c r="Z9" s="127"/>
      <c r="AA9" s="127"/>
      <c r="AB9" s="127"/>
      <c r="AC9" s="127"/>
      <c r="AD9" s="127"/>
    </row>
    <row r="10" spans="1:30" x14ac:dyDescent="0.25">
      <c r="A10" s="304"/>
      <c r="B10" s="677"/>
      <c r="C10" s="678"/>
      <c r="D10" s="678"/>
      <c r="E10" s="11">
        <v>0</v>
      </c>
      <c r="F10" s="147">
        <f ca="1">$E10*OFFSET(MCB_DATA,1,1)*VCCINT/1000</f>
        <v>0</v>
      </c>
      <c r="G10" s="136"/>
      <c r="H10" s="127"/>
      <c r="I10" s="127"/>
      <c r="J10" s="127"/>
      <c r="K10" s="127"/>
      <c r="L10" s="127"/>
      <c r="M10" s="127"/>
      <c r="N10" s="127"/>
      <c r="O10" s="127"/>
      <c r="P10" s="127"/>
      <c r="Q10" s="127"/>
      <c r="R10" s="127"/>
      <c r="S10" s="127"/>
      <c r="T10" s="127"/>
      <c r="U10" s="127"/>
      <c r="V10" s="127"/>
      <c r="W10" s="127"/>
      <c r="X10" s="127"/>
      <c r="Y10" s="127"/>
      <c r="Z10" s="127"/>
      <c r="AA10" s="127"/>
      <c r="AB10" s="127"/>
      <c r="AC10" s="127"/>
      <c r="AD10" s="127"/>
    </row>
    <row r="11" spans="1:30" ht="13.8" thickBot="1" x14ac:dyDescent="0.3">
      <c r="A11" s="304"/>
      <c r="B11" s="682"/>
      <c r="C11" s="683"/>
      <c r="D11" s="683"/>
      <c r="E11" s="120">
        <v>0</v>
      </c>
      <c r="F11" s="189">
        <f ca="1">$E11*OFFSET(MCB_DATA,1,1)*VCCINT/1000</f>
        <v>0</v>
      </c>
      <c r="G11" s="136"/>
      <c r="H11" s="127"/>
      <c r="I11" s="127"/>
      <c r="J11" s="127"/>
      <c r="K11" s="127"/>
      <c r="L11" s="127"/>
      <c r="M11" s="127"/>
      <c r="N11" s="127"/>
      <c r="O11" s="127"/>
      <c r="P11" s="127"/>
      <c r="Q11" s="127"/>
      <c r="R11" s="127"/>
      <c r="S11" s="127"/>
      <c r="T11" s="127"/>
      <c r="U11" s="127"/>
      <c r="V11" s="127"/>
      <c r="W11" s="127"/>
      <c r="X11" s="127"/>
      <c r="Y11" s="127"/>
      <c r="Z11" s="127"/>
      <c r="AA11" s="127"/>
      <c r="AB11" s="127"/>
      <c r="AC11" s="127"/>
      <c r="AD11" s="127"/>
    </row>
    <row r="12" spans="1:30" x14ac:dyDescent="0.25">
      <c r="A12" s="304"/>
      <c r="B12" s="324"/>
      <c r="C12" s="324"/>
      <c r="D12" s="324"/>
      <c r="E12" s="325"/>
      <c r="F12" s="269"/>
      <c r="G12" s="304"/>
      <c r="H12" s="269"/>
      <c r="I12" s="269"/>
      <c r="J12" s="127"/>
      <c r="K12" s="127"/>
      <c r="L12" s="127"/>
      <c r="M12" s="127"/>
      <c r="N12" s="127"/>
      <c r="O12" s="127"/>
      <c r="P12" s="127"/>
      <c r="Q12" s="127"/>
      <c r="R12" s="127"/>
      <c r="S12" s="127"/>
      <c r="T12" s="127"/>
      <c r="U12" s="127"/>
      <c r="V12" s="127"/>
      <c r="W12" s="127"/>
      <c r="X12" s="127"/>
      <c r="Y12" s="127"/>
      <c r="Z12" s="127"/>
      <c r="AA12" s="127"/>
      <c r="AB12" s="127"/>
      <c r="AC12" s="127"/>
      <c r="AD12" s="127"/>
    </row>
    <row r="13" spans="1:30" ht="15" x14ac:dyDescent="0.25">
      <c r="A13" s="304"/>
      <c r="B13" s="305"/>
      <c r="C13" s="305"/>
      <c r="D13" s="305"/>
      <c r="E13" s="326"/>
      <c r="F13" s="304"/>
      <c r="G13" s="304"/>
      <c r="H13" s="269"/>
      <c r="I13" s="269"/>
      <c r="J13" s="127"/>
      <c r="K13" s="127"/>
      <c r="L13" s="127"/>
      <c r="M13" s="127"/>
      <c r="N13" s="127"/>
      <c r="O13" s="127"/>
      <c r="P13" s="127"/>
      <c r="Q13" s="127"/>
      <c r="R13" s="127"/>
      <c r="S13" s="127"/>
      <c r="T13" s="127"/>
      <c r="U13" s="127"/>
      <c r="V13" s="127"/>
      <c r="W13" s="127"/>
      <c r="X13" s="127"/>
      <c r="Y13" s="127"/>
      <c r="Z13" s="127"/>
      <c r="AA13" s="127"/>
      <c r="AB13" s="127"/>
      <c r="AC13" s="127"/>
      <c r="AD13" s="127"/>
    </row>
    <row r="14" spans="1:30" x14ac:dyDescent="0.25">
      <c r="A14" s="304"/>
      <c r="B14" s="304"/>
      <c r="C14" s="304"/>
      <c r="D14" s="304"/>
      <c r="E14" s="304"/>
      <c r="F14" s="304"/>
      <c r="G14" s="304"/>
      <c r="H14" s="269"/>
      <c r="I14" s="269"/>
      <c r="J14" s="127"/>
      <c r="K14" s="127"/>
      <c r="L14" s="127"/>
      <c r="M14" s="127"/>
      <c r="N14" s="127"/>
      <c r="O14" s="127"/>
      <c r="P14" s="127"/>
      <c r="Q14" s="127"/>
      <c r="R14" s="127"/>
      <c r="S14" s="127"/>
      <c r="T14" s="127"/>
      <c r="U14" s="127"/>
      <c r="V14" s="127"/>
      <c r="W14" s="127"/>
      <c r="X14" s="127"/>
      <c r="Y14" s="127"/>
      <c r="Z14" s="127"/>
      <c r="AA14" s="127"/>
      <c r="AB14" s="127"/>
      <c r="AC14" s="127"/>
      <c r="AD14" s="127"/>
    </row>
    <row r="15" spans="1:30" ht="15" x14ac:dyDescent="0.25">
      <c r="A15" s="304"/>
      <c r="B15" s="269"/>
      <c r="C15" s="269"/>
      <c r="D15" s="269"/>
      <c r="E15" s="305"/>
      <c r="F15" s="306"/>
      <c r="G15" s="304"/>
      <c r="H15" s="269"/>
      <c r="I15" s="269"/>
      <c r="J15" s="127"/>
      <c r="K15" s="127"/>
      <c r="L15" s="127"/>
      <c r="M15" s="127"/>
      <c r="N15" s="127"/>
      <c r="O15" s="127"/>
      <c r="P15" s="127"/>
      <c r="Q15" s="127"/>
      <c r="R15" s="127"/>
      <c r="S15" s="127"/>
      <c r="T15" s="127"/>
      <c r="U15" s="127"/>
      <c r="V15" s="127"/>
      <c r="W15" s="127"/>
      <c r="X15" s="127"/>
      <c r="Y15" s="127"/>
      <c r="Z15" s="127"/>
      <c r="AA15" s="127"/>
      <c r="AB15" s="127"/>
      <c r="AC15" s="127"/>
      <c r="AD15" s="127"/>
    </row>
    <row r="16" spans="1:30" x14ac:dyDescent="0.25">
      <c r="A16" s="304"/>
      <c r="B16" s="269"/>
      <c r="C16" s="269"/>
      <c r="D16" s="269"/>
      <c r="E16" s="269"/>
      <c r="F16" s="304"/>
      <c r="G16" s="304"/>
      <c r="H16" s="269"/>
      <c r="I16" s="269"/>
      <c r="J16" s="127"/>
      <c r="K16" s="127"/>
      <c r="L16" s="127"/>
      <c r="M16" s="127"/>
      <c r="N16" s="127"/>
      <c r="O16" s="127"/>
      <c r="P16" s="127"/>
      <c r="Q16" s="127"/>
      <c r="R16" s="127"/>
      <c r="S16" s="127"/>
      <c r="T16" s="127"/>
      <c r="U16" s="127"/>
      <c r="V16" s="127"/>
      <c r="W16" s="127"/>
      <c r="X16" s="127"/>
      <c r="Y16" s="127"/>
      <c r="Z16" s="127"/>
      <c r="AA16" s="127"/>
      <c r="AB16" s="127"/>
      <c r="AC16" s="127"/>
      <c r="AD16" s="127"/>
    </row>
    <row r="17" spans="1:30" x14ac:dyDescent="0.25">
      <c r="A17" s="304"/>
      <c r="B17" s="269"/>
      <c r="C17" s="269"/>
      <c r="D17" s="269"/>
      <c r="E17" s="269"/>
      <c r="F17" s="269"/>
      <c r="G17" s="304"/>
      <c r="H17" s="269"/>
      <c r="I17" s="269"/>
      <c r="J17" s="127"/>
      <c r="K17" s="127"/>
      <c r="L17" s="127"/>
      <c r="M17" s="127"/>
      <c r="N17" s="127"/>
      <c r="O17" s="127"/>
      <c r="P17" s="127"/>
      <c r="Q17" s="127"/>
      <c r="R17" s="127"/>
      <c r="S17" s="127"/>
      <c r="T17" s="127"/>
      <c r="U17" s="127"/>
      <c r="V17" s="127"/>
      <c r="W17" s="127"/>
      <c r="X17" s="127"/>
      <c r="Y17" s="127"/>
      <c r="Z17" s="127"/>
      <c r="AA17" s="127"/>
      <c r="AB17" s="127"/>
      <c r="AC17" s="127"/>
      <c r="AD17" s="127"/>
    </row>
    <row r="18" spans="1:30" x14ac:dyDescent="0.25">
      <c r="A18" s="304"/>
      <c r="B18" s="269"/>
      <c r="C18" s="269"/>
      <c r="D18" s="269"/>
      <c r="E18" s="269"/>
      <c r="F18" s="269"/>
      <c r="G18" s="304"/>
      <c r="H18" s="269"/>
      <c r="I18" s="269"/>
      <c r="J18" s="127"/>
      <c r="K18" s="127"/>
      <c r="L18" s="127"/>
      <c r="M18" s="127"/>
      <c r="N18" s="127"/>
      <c r="O18" s="127"/>
      <c r="P18" s="127"/>
      <c r="Q18" s="127"/>
      <c r="R18" s="127"/>
      <c r="S18" s="127"/>
      <c r="T18" s="127"/>
      <c r="U18" s="127"/>
      <c r="V18" s="127"/>
      <c r="W18" s="127"/>
      <c r="X18" s="127"/>
      <c r="Y18" s="127"/>
      <c r="Z18" s="127"/>
      <c r="AA18" s="127"/>
      <c r="AB18" s="127"/>
      <c r="AC18" s="127"/>
      <c r="AD18" s="127"/>
    </row>
    <row r="19" spans="1:30" x14ac:dyDescent="0.25">
      <c r="A19" s="304"/>
      <c r="B19" s="269"/>
      <c r="C19" s="269"/>
      <c r="D19" s="269"/>
      <c r="E19" s="269"/>
      <c r="F19" s="269"/>
      <c r="G19" s="304"/>
      <c r="H19" s="269"/>
      <c r="I19" s="269"/>
      <c r="J19" s="127"/>
      <c r="K19" s="127"/>
      <c r="L19" s="127"/>
      <c r="M19" s="127"/>
      <c r="N19" s="127"/>
      <c r="O19" s="127"/>
      <c r="P19" s="127"/>
      <c r="Q19" s="127"/>
      <c r="R19" s="127"/>
      <c r="S19" s="127"/>
      <c r="T19" s="127"/>
      <c r="U19" s="127"/>
      <c r="V19" s="127"/>
      <c r="W19" s="127"/>
      <c r="X19" s="127"/>
      <c r="Y19" s="127"/>
      <c r="Z19" s="127"/>
      <c r="AA19" s="127"/>
      <c r="AB19" s="127"/>
      <c r="AC19" s="127"/>
      <c r="AD19" s="127"/>
    </row>
    <row r="20" spans="1:30" x14ac:dyDescent="0.25">
      <c r="A20" s="304"/>
      <c r="B20" s="269"/>
      <c r="C20" s="269"/>
      <c r="D20" s="269"/>
      <c r="E20" s="269"/>
      <c r="F20" s="269"/>
      <c r="G20" s="304"/>
      <c r="H20" s="269"/>
      <c r="I20" s="269"/>
      <c r="J20" s="127"/>
      <c r="K20" s="127"/>
      <c r="L20" s="127"/>
      <c r="M20" s="127"/>
      <c r="N20" s="127"/>
      <c r="O20" s="127"/>
      <c r="P20" s="127"/>
      <c r="Q20" s="127"/>
      <c r="R20" s="127"/>
      <c r="S20" s="127"/>
      <c r="T20" s="127"/>
      <c r="U20" s="127"/>
      <c r="V20" s="127"/>
      <c r="W20" s="127"/>
      <c r="X20" s="127"/>
      <c r="Y20" s="127"/>
      <c r="Z20" s="127"/>
      <c r="AA20" s="127"/>
      <c r="AB20" s="127"/>
      <c r="AC20" s="127"/>
      <c r="AD20" s="127"/>
    </row>
    <row r="21" spans="1:30" x14ac:dyDescent="0.25">
      <c r="A21" s="304"/>
      <c r="B21" s="269"/>
      <c r="C21" s="269"/>
      <c r="D21" s="269"/>
      <c r="E21" s="269"/>
      <c r="F21" s="269"/>
      <c r="G21" s="304"/>
      <c r="H21" s="269"/>
      <c r="I21" s="269"/>
      <c r="J21" s="127"/>
      <c r="K21" s="127"/>
      <c r="L21" s="127"/>
      <c r="M21" s="127"/>
      <c r="N21" s="127"/>
      <c r="O21" s="127"/>
      <c r="P21" s="127"/>
      <c r="Q21" s="127"/>
      <c r="R21" s="127"/>
      <c r="S21" s="127"/>
      <c r="T21" s="127"/>
      <c r="U21" s="127"/>
      <c r="V21" s="127"/>
      <c r="W21" s="127"/>
      <c r="X21" s="127"/>
      <c r="Y21" s="127"/>
      <c r="Z21" s="127"/>
      <c r="AA21" s="127"/>
      <c r="AB21" s="127"/>
      <c r="AC21" s="127"/>
      <c r="AD21" s="127"/>
    </row>
    <row r="22" spans="1:30" x14ac:dyDescent="0.25">
      <c r="A22" s="304"/>
      <c r="B22" s="269"/>
      <c r="C22" s="269"/>
      <c r="D22" s="269"/>
      <c r="E22" s="269"/>
      <c r="F22" s="269"/>
      <c r="G22" s="304"/>
      <c r="H22" s="269"/>
      <c r="I22" s="269"/>
      <c r="J22" s="127"/>
      <c r="K22" s="127"/>
      <c r="L22" s="127"/>
      <c r="M22" s="127"/>
      <c r="N22" s="127"/>
      <c r="O22" s="127"/>
      <c r="P22" s="127"/>
      <c r="Q22" s="127"/>
      <c r="R22" s="127"/>
      <c r="S22" s="127"/>
      <c r="T22" s="127"/>
      <c r="U22" s="127"/>
      <c r="V22" s="127"/>
      <c r="W22" s="127"/>
      <c r="X22" s="127"/>
      <c r="Y22" s="127"/>
      <c r="Z22" s="127"/>
      <c r="AA22" s="127"/>
      <c r="AB22" s="127"/>
      <c r="AC22" s="127"/>
      <c r="AD22" s="127"/>
    </row>
    <row r="23" spans="1:30" x14ac:dyDescent="0.25">
      <c r="A23" s="304"/>
      <c r="B23" s="269"/>
      <c r="C23" s="269"/>
      <c r="D23" s="269"/>
      <c r="E23" s="269"/>
      <c r="F23" s="269"/>
      <c r="G23" s="304"/>
      <c r="H23" s="269"/>
      <c r="I23" s="269"/>
      <c r="J23" s="127"/>
      <c r="K23" s="127"/>
      <c r="L23" s="127"/>
      <c r="M23" s="127"/>
      <c r="N23" s="127"/>
      <c r="O23" s="127"/>
      <c r="P23" s="127"/>
      <c r="Q23" s="127"/>
      <c r="R23" s="127"/>
      <c r="S23" s="127"/>
      <c r="T23" s="127"/>
      <c r="U23" s="127"/>
      <c r="V23" s="127"/>
      <c r="W23" s="127"/>
      <c r="X23" s="127"/>
      <c r="Y23" s="127"/>
      <c r="Z23" s="127"/>
      <c r="AA23" s="127"/>
      <c r="AB23" s="127"/>
      <c r="AC23" s="127"/>
      <c r="AD23" s="127"/>
    </row>
    <row r="24" spans="1:30" x14ac:dyDescent="0.25">
      <c r="A24" s="304"/>
      <c r="B24" s="269"/>
      <c r="C24" s="269"/>
      <c r="D24" s="269"/>
      <c r="E24" s="269"/>
      <c r="F24" s="269"/>
      <c r="G24" s="304"/>
      <c r="H24" s="269"/>
      <c r="I24" s="269"/>
      <c r="J24" s="127"/>
      <c r="K24" s="127"/>
      <c r="L24" s="127"/>
      <c r="M24" s="127"/>
      <c r="N24" s="127"/>
      <c r="O24" s="127"/>
      <c r="P24" s="127"/>
      <c r="Q24" s="127"/>
      <c r="R24" s="127"/>
      <c r="S24" s="127"/>
      <c r="T24" s="127"/>
      <c r="U24" s="127"/>
      <c r="V24" s="127"/>
      <c r="W24" s="127"/>
      <c r="X24" s="127"/>
      <c r="Y24" s="127"/>
      <c r="Z24" s="127"/>
      <c r="AA24" s="127"/>
      <c r="AB24" s="127"/>
      <c r="AC24" s="127"/>
      <c r="AD24" s="127"/>
    </row>
    <row r="25" spans="1:30" x14ac:dyDescent="0.25">
      <c r="A25" s="304"/>
      <c r="B25" s="269"/>
      <c r="C25" s="269"/>
      <c r="D25" s="269"/>
      <c r="E25" s="269"/>
      <c r="F25" s="269"/>
      <c r="G25" s="304"/>
      <c r="H25" s="269"/>
      <c r="I25" s="269"/>
      <c r="J25" s="127"/>
      <c r="K25" s="127"/>
      <c r="L25" s="127"/>
      <c r="M25" s="127"/>
      <c r="N25" s="127"/>
      <c r="O25" s="127"/>
      <c r="P25" s="127"/>
      <c r="Q25" s="127"/>
      <c r="R25" s="127"/>
      <c r="S25" s="127"/>
      <c r="T25" s="127"/>
      <c r="U25" s="127"/>
      <c r="V25" s="127"/>
      <c r="W25" s="127"/>
      <c r="X25" s="127"/>
      <c r="Y25" s="127"/>
      <c r="Z25" s="127"/>
      <c r="AA25" s="127"/>
      <c r="AB25" s="127"/>
      <c r="AC25" s="127"/>
      <c r="AD25" s="127"/>
    </row>
    <row r="26" spans="1:30" x14ac:dyDescent="0.25">
      <c r="A26" s="304"/>
      <c r="B26" s="269"/>
      <c r="C26" s="269"/>
      <c r="D26" s="269"/>
      <c r="E26" s="269"/>
      <c r="F26" s="269"/>
      <c r="G26" s="304"/>
      <c r="H26" s="269"/>
      <c r="I26" s="269"/>
      <c r="J26" s="127"/>
      <c r="K26" s="127"/>
      <c r="L26" s="127"/>
      <c r="M26" s="127"/>
      <c r="N26" s="127"/>
      <c r="O26" s="127"/>
      <c r="P26" s="127"/>
      <c r="Q26" s="127"/>
      <c r="R26" s="127"/>
      <c r="S26" s="127"/>
      <c r="T26" s="127"/>
      <c r="U26" s="127"/>
      <c r="V26" s="127"/>
      <c r="W26" s="127"/>
      <c r="X26" s="127"/>
      <c r="Y26" s="127"/>
      <c r="Z26" s="127"/>
      <c r="AA26" s="127"/>
      <c r="AB26" s="127"/>
      <c r="AC26" s="127"/>
      <c r="AD26" s="127"/>
    </row>
    <row r="27" spans="1:30" x14ac:dyDescent="0.25">
      <c r="A27" s="304"/>
      <c r="B27" s="269"/>
      <c r="C27" s="269"/>
      <c r="D27" s="269"/>
      <c r="E27" s="269"/>
      <c r="F27" s="269"/>
      <c r="G27" s="304"/>
      <c r="H27" s="269"/>
      <c r="I27" s="269"/>
      <c r="J27" s="127"/>
      <c r="K27" s="127"/>
      <c r="L27" s="127"/>
      <c r="M27" s="127"/>
      <c r="N27" s="127"/>
      <c r="O27" s="127"/>
      <c r="P27" s="127"/>
      <c r="Q27" s="127"/>
      <c r="R27" s="127"/>
      <c r="S27" s="127"/>
      <c r="T27" s="127"/>
      <c r="U27" s="127"/>
      <c r="V27" s="127"/>
      <c r="W27" s="127"/>
      <c r="X27" s="127"/>
      <c r="Y27" s="127"/>
      <c r="Z27" s="127"/>
      <c r="AA27" s="127"/>
      <c r="AB27" s="127"/>
      <c r="AC27" s="127"/>
      <c r="AD27" s="127"/>
    </row>
    <row r="28" spans="1:30" x14ac:dyDescent="0.25">
      <c r="A28" s="304"/>
      <c r="B28" s="269"/>
      <c r="C28" s="269"/>
      <c r="D28" s="269"/>
      <c r="E28" s="269"/>
      <c r="F28" s="269"/>
      <c r="G28" s="304"/>
      <c r="H28" s="269"/>
      <c r="I28" s="269"/>
      <c r="J28" s="127"/>
      <c r="K28" s="127"/>
      <c r="L28" s="127"/>
      <c r="M28" s="127"/>
      <c r="N28" s="127"/>
      <c r="O28" s="127"/>
      <c r="P28" s="127"/>
      <c r="Q28" s="127"/>
      <c r="R28" s="127"/>
      <c r="S28" s="127"/>
      <c r="T28" s="127"/>
      <c r="U28" s="127"/>
      <c r="V28" s="127"/>
      <c r="W28" s="127"/>
      <c r="X28" s="127"/>
      <c r="Y28" s="127"/>
      <c r="Z28" s="127"/>
      <c r="AA28" s="127"/>
      <c r="AB28" s="127"/>
      <c r="AC28" s="127"/>
      <c r="AD28" s="127"/>
    </row>
    <row r="29" spans="1:30" x14ac:dyDescent="0.25">
      <c r="A29" s="304"/>
      <c r="B29" s="269"/>
      <c r="C29" s="269"/>
      <c r="D29" s="269"/>
      <c r="E29" s="269"/>
      <c r="F29" s="269"/>
      <c r="G29" s="304"/>
      <c r="H29" s="269"/>
      <c r="I29" s="269"/>
      <c r="J29" s="127"/>
      <c r="K29" s="127"/>
      <c r="L29" s="127"/>
      <c r="M29" s="127"/>
      <c r="N29" s="127"/>
      <c r="O29" s="127"/>
      <c r="P29" s="127"/>
      <c r="Q29" s="127"/>
      <c r="R29" s="127"/>
      <c r="S29" s="127"/>
      <c r="T29" s="127"/>
      <c r="U29" s="127"/>
      <c r="V29" s="127"/>
      <c r="W29" s="127"/>
      <c r="X29" s="127"/>
      <c r="Y29" s="127"/>
      <c r="Z29" s="127"/>
      <c r="AA29" s="127"/>
      <c r="AB29" s="127"/>
      <c r="AC29" s="127"/>
      <c r="AD29" s="127"/>
    </row>
    <row r="30" spans="1:30" x14ac:dyDescent="0.25">
      <c r="A30" s="304"/>
      <c r="B30" s="269"/>
      <c r="C30" s="269"/>
      <c r="D30" s="269"/>
      <c r="E30" s="269"/>
      <c r="F30" s="269"/>
      <c r="G30" s="304"/>
      <c r="H30" s="269"/>
      <c r="I30" s="269"/>
      <c r="J30" s="127"/>
      <c r="K30" s="127"/>
      <c r="L30" s="127"/>
      <c r="M30" s="127"/>
      <c r="N30" s="127"/>
      <c r="O30" s="127"/>
      <c r="P30" s="127"/>
      <c r="Q30" s="127"/>
      <c r="R30" s="127"/>
      <c r="S30" s="127"/>
      <c r="T30" s="127"/>
      <c r="U30" s="127"/>
      <c r="V30" s="127"/>
      <c r="W30" s="127"/>
      <c r="X30" s="127"/>
      <c r="Y30" s="127"/>
      <c r="Z30" s="127"/>
      <c r="AA30" s="127"/>
      <c r="AB30" s="127"/>
      <c r="AC30" s="127"/>
      <c r="AD30" s="127"/>
    </row>
    <row r="31" spans="1:30" x14ac:dyDescent="0.25">
      <c r="A31" s="304"/>
      <c r="B31" s="269"/>
      <c r="C31" s="269"/>
      <c r="D31" s="269"/>
      <c r="E31" s="269"/>
      <c r="F31" s="269"/>
      <c r="G31" s="304"/>
      <c r="H31" s="269"/>
      <c r="I31" s="269"/>
      <c r="J31" s="127"/>
      <c r="K31" s="127"/>
      <c r="L31" s="127"/>
      <c r="M31" s="127"/>
      <c r="N31" s="127"/>
      <c r="O31" s="127"/>
      <c r="P31" s="127"/>
      <c r="Q31" s="127"/>
      <c r="R31" s="127"/>
      <c r="S31" s="127"/>
      <c r="T31" s="127"/>
      <c r="U31" s="127"/>
      <c r="V31" s="127"/>
      <c r="W31" s="127"/>
      <c r="X31" s="127"/>
      <c r="Y31" s="127"/>
      <c r="Z31" s="127"/>
      <c r="AA31" s="127"/>
      <c r="AB31" s="127"/>
      <c r="AC31" s="127"/>
      <c r="AD31" s="127"/>
    </row>
    <row r="32" spans="1:30" x14ac:dyDescent="0.25">
      <c r="A32" s="304"/>
      <c r="B32" s="269"/>
      <c r="C32" s="269"/>
      <c r="D32" s="269"/>
      <c r="E32" s="269"/>
      <c r="F32" s="269"/>
      <c r="G32" s="304"/>
      <c r="H32" s="269"/>
      <c r="I32" s="269"/>
      <c r="J32" s="127"/>
      <c r="K32" s="127"/>
      <c r="L32" s="127"/>
      <c r="M32" s="127"/>
      <c r="N32" s="127"/>
      <c r="O32" s="127"/>
      <c r="P32" s="127"/>
      <c r="Q32" s="127"/>
      <c r="R32" s="127"/>
      <c r="S32" s="127"/>
      <c r="T32" s="127"/>
      <c r="U32" s="127"/>
      <c r="V32" s="127"/>
      <c r="W32" s="127"/>
      <c r="X32" s="127"/>
      <c r="Y32" s="127"/>
      <c r="Z32" s="127"/>
      <c r="AA32" s="127"/>
      <c r="AB32" s="127"/>
      <c r="AC32" s="127"/>
      <c r="AD32" s="127"/>
    </row>
    <row r="33" spans="1:30" x14ac:dyDescent="0.25">
      <c r="A33" s="304"/>
      <c r="B33" s="269"/>
      <c r="C33" s="269"/>
      <c r="D33" s="269"/>
      <c r="E33" s="269"/>
      <c r="F33" s="269"/>
      <c r="G33" s="304"/>
      <c r="H33" s="304"/>
      <c r="I33" s="269"/>
      <c r="J33" s="127"/>
      <c r="K33" s="127"/>
      <c r="L33" s="127"/>
      <c r="M33" s="127"/>
      <c r="N33" s="127"/>
      <c r="O33" s="127"/>
      <c r="P33" s="127"/>
      <c r="Q33" s="127"/>
      <c r="R33" s="127"/>
      <c r="S33" s="127"/>
      <c r="T33" s="127"/>
      <c r="U33" s="127"/>
      <c r="V33" s="127"/>
      <c r="W33" s="127"/>
      <c r="X33" s="127"/>
      <c r="Y33" s="127"/>
      <c r="Z33" s="127"/>
      <c r="AA33" s="127"/>
      <c r="AB33" s="127"/>
      <c r="AC33" s="127"/>
      <c r="AD33" s="127"/>
    </row>
    <row r="34" spans="1:30" x14ac:dyDescent="0.25">
      <c r="A34" s="304"/>
      <c r="B34" s="269"/>
      <c r="C34" s="269"/>
      <c r="D34" s="269"/>
      <c r="E34" s="269"/>
      <c r="F34" s="269"/>
      <c r="G34" s="304"/>
      <c r="H34" s="304"/>
      <c r="I34" s="304"/>
      <c r="J34" s="136"/>
      <c r="K34" s="136"/>
      <c r="L34" s="127"/>
      <c r="M34" s="127"/>
      <c r="N34" s="127"/>
      <c r="O34" s="127"/>
      <c r="P34" s="127"/>
      <c r="Q34" s="127"/>
      <c r="R34" s="127"/>
      <c r="S34" s="127"/>
      <c r="T34" s="127"/>
      <c r="U34" s="127"/>
      <c r="V34" s="127"/>
      <c r="W34" s="127"/>
      <c r="X34" s="127"/>
      <c r="Y34" s="127"/>
      <c r="Z34" s="127"/>
      <c r="AA34" s="127"/>
      <c r="AB34" s="127"/>
      <c r="AC34" s="127"/>
      <c r="AD34" s="127"/>
    </row>
    <row r="35" spans="1:30" x14ac:dyDescent="0.25">
      <c r="A35" s="304"/>
      <c r="B35" s="269"/>
      <c r="C35" s="269"/>
      <c r="D35" s="269"/>
      <c r="E35" s="269"/>
      <c r="F35" s="269"/>
      <c r="G35" s="304"/>
      <c r="H35" s="269"/>
      <c r="I35" s="269"/>
      <c r="J35" s="127"/>
      <c r="K35" s="136"/>
      <c r="L35" s="127"/>
      <c r="M35" s="127"/>
      <c r="N35" s="127"/>
      <c r="O35" s="127"/>
      <c r="P35" s="127"/>
      <c r="Q35" s="127"/>
      <c r="R35" s="127"/>
      <c r="S35" s="127"/>
      <c r="T35" s="127"/>
      <c r="U35" s="127"/>
      <c r="V35" s="127"/>
      <c r="W35" s="127"/>
      <c r="X35" s="127"/>
      <c r="Y35" s="127"/>
      <c r="Z35" s="127"/>
      <c r="AA35" s="127"/>
      <c r="AB35" s="127"/>
      <c r="AC35" s="127"/>
      <c r="AD35" s="127"/>
    </row>
    <row r="36" spans="1:30" x14ac:dyDescent="0.25">
      <c r="A36" s="304"/>
      <c r="B36" s="269"/>
      <c r="C36" s="269"/>
      <c r="D36" s="269"/>
      <c r="E36" s="269"/>
      <c r="F36" s="269"/>
      <c r="G36" s="304"/>
      <c r="H36" s="304"/>
      <c r="I36" s="304"/>
      <c r="J36" s="136"/>
      <c r="K36" s="136"/>
      <c r="L36" s="127"/>
      <c r="M36" s="127"/>
      <c r="N36" s="127"/>
      <c r="O36" s="127"/>
      <c r="P36" s="127"/>
      <c r="Q36" s="127"/>
      <c r="R36" s="127"/>
      <c r="S36" s="127"/>
      <c r="T36" s="127"/>
      <c r="U36" s="127"/>
      <c r="V36" s="127"/>
      <c r="W36" s="127"/>
      <c r="X36" s="127"/>
      <c r="Y36" s="127"/>
      <c r="Z36" s="127"/>
      <c r="AA36" s="127"/>
      <c r="AB36" s="127"/>
      <c r="AC36" s="127"/>
      <c r="AD36" s="127"/>
    </row>
    <row r="37" spans="1:30" x14ac:dyDescent="0.25">
      <c r="A37" s="269"/>
      <c r="B37" s="269"/>
      <c r="C37" s="269"/>
      <c r="D37" s="269"/>
      <c r="E37" s="269"/>
      <c r="F37" s="269"/>
      <c r="G37" s="269"/>
      <c r="H37" s="269"/>
      <c r="I37" s="269"/>
      <c r="J37" s="127"/>
      <c r="K37" s="127"/>
      <c r="L37" s="127"/>
      <c r="M37" s="127"/>
      <c r="N37" s="127"/>
      <c r="O37" s="127"/>
      <c r="P37" s="127"/>
      <c r="Q37" s="127"/>
      <c r="R37" s="127"/>
      <c r="S37" s="127"/>
      <c r="T37" s="127"/>
      <c r="U37" s="127"/>
      <c r="V37" s="127"/>
      <c r="W37" s="127"/>
      <c r="X37" s="127"/>
      <c r="Y37" s="127"/>
      <c r="Z37" s="127"/>
      <c r="AA37" s="127"/>
      <c r="AB37" s="127"/>
      <c r="AC37" s="127"/>
      <c r="AD37" s="127"/>
    </row>
    <row r="38" spans="1:30" x14ac:dyDescent="0.25">
      <c r="A38" s="269"/>
      <c r="B38" s="269"/>
      <c r="C38" s="269"/>
      <c r="D38" s="269"/>
      <c r="E38" s="269"/>
      <c r="F38" s="269"/>
      <c r="G38" s="269"/>
      <c r="H38" s="269"/>
      <c r="I38" s="269"/>
      <c r="J38" s="127"/>
      <c r="K38" s="127"/>
      <c r="L38" s="127"/>
      <c r="M38" s="127"/>
      <c r="N38" s="127"/>
      <c r="O38" s="127"/>
      <c r="P38" s="127"/>
      <c r="Q38" s="127"/>
      <c r="R38" s="127"/>
      <c r="S38" s="127"/>
      <c r="T38" s="127"/>
      <c r="U38" s="127"/>
      <c r="V38" s="127"/>
      <c r="W38" s="127"/>
      <c r="X38" s="127"/>
      <c r="Y38" s="127"/>
      <c r="Z38" s="127"/>
      <c r="AA38" s="127"/>
      <c r="AB38" s="127"/>
      <c r="AC38" s="127"/>
      <c r="AD38" s="127"/>
    </row>
    <row r="39" spans="1:30" x14ac:dyDescent="0.25">
      <c r="A39" s="269"/>
      <c r="B39" s="269"/>
      <c r="C39" s="269"/>
      <c r="D39" s="269"/>
      <c r="E39" s="269"/>
      <c r="F39" s="269"/>
      <c r="G39" s="269"/>
      <c r="H39" s="269"/>
      <c r="I39" s="269"/>
      <c r="J39" s="127"/>
      <c r="K39" s="127"/>
      <c r="L39" s="127"/>
      <c r="M39" s="127"/>
      <c r="N39" s="127"/>
      <c r="O39" s="127"/>
      <c r="P39" s="127"/>
      <c r="Q39" s="127"/>
      <c r="R39" s="127"/>
      <c r="S39" s="127"/>
      <c r="T39" s="127"/>
      <c r="U39" s="127"/>
      <c r="V39" s="127"/>
      <c r="W39" s="127"/>
      <c r="X39" s="127"/>
      <c r="Y39" s="127"/>
      <c r="Z39" s="127"/>
      <c r="AA39" s="127"/>
      <c r="AB39" s="127"/>
      <c r="AC39" s="127"/>
      <c r="AD39" s="127"/>
    </row>
    <row r="40" spans="1:30" x14ac:dyDescent="0.25">
      <c r="A40" s="269"/>
      <c r="B40" s="269"/>
      <c r="C40" s="269"/>
      <c r="D40" s="269"/>
      <c r="E40" s="269"/>
      <c r="F40" s="269"/>
      <c r="G40" s="269"/>
      <c r="H40" s="269"/>
      <c r="I40" s="269"/>
      <c r="J40" s="127"/>
      <c r="K40" s="127"/>
      <c r="L40" s="127"/>
      <c r="M40" s="127"/>
      <c r="N40" s="127"/>
      <c r="O40" s="127"/>
      <c r="P40" s="127"/>
      <c r="Q40" s="127"/>
      <c r="R40" s="127"/>
      <c r="S40" s="127"/>
      <c r="T40" s="127"/>
      <c r="U40" s="127"/>
      <c r="V40" s="127"/>
      <c r="W40" s="127"/>
      <c r="X40" s="127"/>
      <c r="Y40" s="127"/>
      <c r="Z40" s="127"/>
      <c r="AA40" s="127"/>
      <c r="AB40" s="127"/>
      <c r="AC40" s="127"/>
      <c r="AD40" s="127"/>
    </row>
    <row r="41" spans="1:30" x14ac:dyDescent="0.25">
      <c r="A41" s="269"/>
      <c r="B41" s="269"/>
      <c r="C41" s="269"/>
      <c r="D41" s="269"/>
      <c r="E41" s="269"/>
      <c r="F41" s="269"/>
      <c r="G41" s="269"/>
      <c r="H41" s="269"/>
      <c r="I41" s="269"/>
      <c r="J41" s="127"/>
      <c r="K41" s="127"/>
      <c r="L41" s="127"/>
      <c r="M41" s="127"/>
      <c r="N41" s="127"/>
      <c r="O41" s="127"/>
      <c r="P41" s="127"/>
      <c r="Q41" s="127"/>
      <c r="R41" s="127"/>
      <c r="S41" s="127"/>
      <c r="T41" s="127"/>
      <c r="U41" s="127"/>
      <c r="V41" s="127"/>
      <c r="W41" s="127"/>
      <c r="X41" s="127"/>
      <c r="Y41" s="127"/>
      <c r="Z41" s="127"/>
      <c r="AA41" s="127"/>
      <c r="AB41" s="127"/>
      <c r="AC41" s="127"/>
      <c r="AD41" s="127"/>
    </row>
    <row r="42" spans="1:30" x14ac:dyDescent="0.25">
      <c r="A42" s="269"/>
      <c r="B42" s="269"/>
      <c r="C42" s="269"/>
      <c r="D42" s="269"/>
      <c r="E42" s="269"/>
      <c r="F42" s="269"/>
      <c r="G42" s="269"/>
      <c r="H42" s="269"/>
      <c r="I42" s="269"/>
      <c r="J42" s="127"/>
      <c r="K42" s="127"/>
      <c r="L42" s="127"/>
      <c r="M42" s="127"/>
      <c r="N42" s="127"/>
      <c r="O42" s="127"/>
      <c r="P42" s="127"/>
      <c r="Q42" s="127"/>
      <c r="R42" s="127"/>
      <c r="S42" s="127"/>
      <c r="T42" s="127"/>
      <c r="U42" s="127"/>
      <c r="V42" s="127"/>
      <c r="W42" s="127"/>
      <c r="X42" s="127"/>
      <c r="Y42" s="127"/>
      <c r="Z42" s="127"/>
      <c r="AA42" s="127"/>
      <c r="AB42" s="127"/>
      <c r="AC42" s="127"/>
      <c r="AD42" s="127"/>
    </row>
    <row r="43" spans="1:30" x14ac:dyDescent="0.25">
      <c r="A43" s="269"/>
      <c r="B43" s="269"/>
      <c r="C43" s="269"/>
      <c r="D43" s="269"/>
      <c r="E43" s="269"/>
      <c r="F43" s="269"/>
      <c r="G43" s="269"/>
      <c r="H43" s="269"/>
      <c r="I43" s="269"/>
      <c r="J43" s="127"/>
      <c r="K43" s="127"/>
      <c r="L43" s="127"/>
      <c r="M43" s="127"/>
      <c r="N43" s="127"/>
      <c r="O43" s="127"/>
      <c r="P43" s="127"/>
      <c r="Q43" s="127"/>
      <c r="R43" s="127"/>
      <c r="S43" s="127"/>
      <c r="T43" s="127"/>
      <c r="U43" s="127"/>
      <c r="V43" s="127"/>
      <c r="W43" s="127"/>
      <c r="X43" s="127"/>
      <c r="Y43" s="127"/>
      <c r="Z43" s="127"/>
      <c r="AA43" s="127"/>
      <c r="AB43" s="127"/>
      <c r="AC43" s="127"/>
      <c r="AD43" s="127"/>
    </row>
    <row r="44" spans="1:30" x14ac:dyDescent="0.25">
      <c r="A44" s="269"/>
      <c r="B44" s="269"/>
      <c r="C44" s="269"/>
      <c r="D44" s="269"/>
      <c r="E44" s="269"/>
      <c r="F44" s="269"/>
      <c r="G44" s="269"/>
      <c r="H44" s="269"/>
      <c r="I44" s="269"/>
      <c r="J44" s="127"/>
      <c r="K44" s="127"/>
      <c r="L44" s="127"/>
      <c r="M44" s="127"/>
      <c r="N44" s="127"/>
      <c r="O44" s="127"/>
      <c r="P44" s="127"/>
      <c r="Q44" s="127"/>
      <c r="R44" s="127"/>
      <c r="S44" s="127"/>
      <c r="T44" s="127"/>
      <c r="U44" s="127"/>
      <c r="V44" s="127"/>
      <c r="W44" s="127"/>
      <c r="X44" s="127"/>
      <c r="Y44" s="127"/>
      <c r="Z44" s="127"/>
      <c r="AA44" s="127"/>
      <c r="AB44" s="127"/>
      <c r="AC44" s="127"/>
      <c r="AD44" s="127"/>
    </row>
    <row r="45" spans="1:30" x14ac:dyDescent="0.25">
      <c r="A45" s="269"/>
      <c r="B45" s="269"/>
      <c r="C45" s="269"/>
      <c r="D45" s="269"/>
      <c r="E45" s="269"/>
      <c r="F45" s="269"/>
      <c r="G45" s="269"/>
      <c r="H45" s="269"/>
      <c r="I45" s="269"/>
      <c r="J45" s="127"/>
      <c r="K45" s="127"/>
      <c r="L45" s="127"/>
      <c r="M45" s="127"/>
      <c r="N45" s="127"/>
      <c r="O45" s="127"/>
      <c r="P45" s="127"/>
      <c r="Q45" s="127"/>
      <c r="R45" s="127"/>
      <c r="S45" s="127"/>
      <c r="T45" s="127"/>
      <c r="U45" s="127"/>
      <c r="V45" s="127"/>
      <c r="W45" s="127"/>
      <c r="X45" s="127"/>
      <c r="Y45" s="127"/>
      <c r="Z45" s="127"/>
      <c r="AA45" s="127"/>
      <c r="AB45" s="127"/>
      <c r="AC45" s="127"/>
      <c r="AD45" s="127"/>
    </row>
    <row r="46" spans="1:30" x14ac:dyDescent="0.25">
      <c r="A46" s="269"/>
      <c r="B46" s="269"/>
      <c r="C46" s="269"/>
      <c r="D46" s="269"/>
      <c r="E46" s="269"/>
      <c r="F46" s="269"/>
      <c r="G46" s="269"/>
      <c r="H46" s="269"/>
      <c r="I46" s="269"/>
      <c r="J46" s="127"/>
      <c r="K46" s="127"/>
      <c r="L46" s="127"/>
      <c r="M46" s="127"/>
      <c r="N46" s="127"/>
      <c r="O46" s="127"/>
      <c r="P46" s="127"/>
      <c r="Q46" s="127"/>
      <c r="R46" s="127"/>
      <c r="S46" s="127"/>
      <c r="T46" s="127"/>
      <c r="U46" s="127"/>
      <c r="V46" s="127"/>
      <c r="W46" s="127"/>
      <c r="X46" s="127"/>
      <c r="Y46" s="127"/>
      <c r="Z46" s="127"/>
      <c r="AA46" s="127"/>
      <c r="AB46" s="127"/>
      <c r="AC46" s="127"/>
      <c r="AD46" s="127"/>
    </row>
    <row r="47" spans="1:30" x14ac:dyDescent="0.25">
      <c r="A47" s="269"/>
      <c r="B47" s="269"/>
      <c r="C47" s="269"/>
      <c r="D47" s="269"/>
      <c r="E47" s="269"/>
      <c r="F47" s="269"/>
      <c r="G47" s="269"/>
      <c r="H47" s="269"/>
      <c r="I47" s="269"/>
      <c r="J47" s="127"/>
      <c r="K47" s="127"/>
      <c r="L47" s="127"/>
      <c r="M47" s="127"/>
      <c r="N47" s="127"/>
      <c r="O47" s="127"/>
      <c r="P47" s="127"/>
      <c r="Q47" s="127"/>
      <c r="R47" s="127"/>
      <c r="S47" s="127"/>
      <c r="T47" s="127"/>
      <c r="U47" s="127"/>
      <c r="V47" s="127"/>
      <c r="W47" s="127"/>
      <c r="X47" s="127"/>
      <c r="Y47" s="127"/>
      <c r="Z47" s="127"/>
      <c r="AA47" s="127"/>
      <c r="AB47" s="127"/>
      <c r="AC47" s="127"/>
      <c r="AD47" s="127"/>
    </row>
    <row r="48" spans="1:30" x14ac:dyDescent="0.25">
      <c r="A48" s="269"/>
      <c r="B48" s="269"/>
      <c r="C48" s="269"/>
      <c r="D48" s="269"/>
      <c r="E48" s="269"/>
      <c r="F48" s="269"/>
      <c r="G48" s="269"/>
      <c r="H48" s="269"/>
      <c r="I48" s="269"/>
      <c r="J48" s="127"/>
      <c r="K48" s="127"/>
      <c r="L48" s="127"/>
      <c r="M48" s="127"/>
      <c r="N48" s="127"/>
      <c r="O48" s="127"/>
      <c r="P48" s="127"/>
      <c r="Q48" s="127"/>
      <c r="R48" s="127"/>
      <c r="S48" s="127"/>
      <c r="T48" s="127"/>
      <c r="U48" s="127"/>
      <c r="V48" s="127"/>
      <c r="W48" s="127"/>
      <c r="X48" s="127"/>
      <c r="Y48" s="127"/>
      <c r="Z48" s="127"/>
      <c r="AA48" s="127"/>
      <c r="AB48" s="127"/>
      <c r="AC48" s="127"/>
      <c r="AD48" s="127"/>
    </row>
    <row r="49" spans="1:30" x14ac:dyDescent="0.25">
      <c r="A49" s="269"/>
      <c r="B49" s="269"/>
      <c r="C49" s="269"/>
      <c r="D49" s="269"/>
      <c r="E49" s="269"/>
      <c r="F49" s="269"/>
      <c r="G49" s="269"/>
      <c r="H49" s="269"/>
      <c r="I49" s="269"/>
      <c r="J49" s="127"/>
      <c r="K49" s="127"/>
      <c r="L49" s="127"/>
      <c r="M49" s="127"/>
      <c r="N49" s="127"/>
      <c r="O49" s="127"/>
      <c r="P49" s="127"/>
      <c r="Q49" s="127"/>
      <c r="R49" s="127"/>
      <c r="S49" s="127"/>
      <c r="T49" s="127"/>
      <c r="U49" s="127"/>
      <c r="V49" s="127"/>
      <c r="W49" s="127"/>
      <c r="X49" s="127"/>
      <c r="Y49" s="127"/>
      <c r="Z49" s="127"/>
      <c r="AA49" s="127"/>
      <c r="AB49" s="127"/>
      <c r="AC49" s="127"/>
      <c r="AD49" s="127"/>
    </row>
    <row r="50" spans="1:30" x14ac:dyDescent="0.25">
      <c r="A50" s="269"/>
      <c r="B50" s="269"/>
      <c r="C50" s="269"/>
      <c r="D50" s="269"/>
      <c r="E50" s="269"/>
      <c r="F50" s="269"/>
      <c r="G50" s="269"/>
      <c r="H50" s="269"/>
      <c r="I50" s="269"/>
      <c r="J50" s="127"/>
      <c r="K50" s="127"/>
      <c r="L50" s="127"/>
      <c r="M50" s="127"/>
      <c r="N50" s="127"/>
      <c r="O50" s="127"/>
      <c r="P50" s="127"/>
      <c r="Q50" s="127"/>
      <c r="R50" s="127"/>
      <c r="S50" s="127"/>
      <c r="T50" s="127"/>
      <c r="U50" s="127"/>
      <c r="V50" s="127"/>
      <c r="W50" s="127"/>
      <c r="X50" s="127"/>
      <c r="Y50" s="127"/>
      <c r="Z50" s="127"/>
      <c r="AA50" s="127"/>
      <c r="AB50" s="127"/>
      <c r="AC50" s="127"/>
      <c r="AD50" s="127"/>
    </row>
    <row r="51" spans="1:30" x14ac:dyDescent="0.25">
      <c r="A51" s="269"/>
      <c r="B51" s="269"/>
      <c r="C51" s="269"/>
      <c r="D51" s="269"/>
      <c r="E51" s="269"/>
      <c r="F51" s="269"/>
      <c r="G51" s="269"/>
      <c r="H51" s="269"/>
      <c r="I51" s="269"/>
      <c r="J51" s="127"/>
      <c r="K51" s="127"/>
      <c r="L51" s="127"/>
      <c r="M51" s="127"/>
      <c r="N51" s="127"/>
      <c r="O51" s="127"/>
      <c r="P51" s="127"/>
      <c r="Q51" s="127"/>
      <c r="R51" s="127"/>
      <c r="S51" s="127"/>
      <c r="T51" s="127"/>
      <c r="U51" s="127"/>
      <c r="V51" s="127"/>
      <c r="W51" s="127"/>
      <c r="X51" s="127"/>
      <c r="Y51" s="127"/>
      <c r="Z51" s="127"/>
      <c r="AA51" s="127"/>
      <c r="AB51" s="127"/>
      <c r="AC51" s="127"/>
      <c r="AD51" s="127"/>
    </row>
    <row r="52" spans="1:30" x14ac:dyDescent="0.25">
      <c r="A52" s="269"/>
      <c r="B52" s="269"/>
      <c r="C52" s="269"/>
      <c r="D52" s="269"/>
      <c r="E52" s="269"/>
      <c r="F52" s="269"/>
      <c r="G52" s="269"/>
      <c r="H52" s="269"/>
      <c r="I52" s="269"/>
      <c r="J52" s="127"/>
      <c r="K52" s="127"/>
      <c r="L52" s="127"/>
      <c r="M52" s="127"/>
      <c r="N52" s="127"/>
      <c r="O52" s="127"/>
      <c r="P52" s="127"/>
      <c r="Q52" s="127"/>
      <c r="R52" s="127"/>
      <c r="S52" s="127"/>
      <c r="T52" s="127"/>
      <c r="U52" s="127"/>
      <c r="V52" s="127"/>
      <c r="W52" s="127"/>
      <c r="X52" s="127"/>
      <c r="Y52" s="127"/>
      <c r="Z52" s="127"/>
      <c r="AA52" s="127"/>
      <c r="AB52" s="127"/>
      <c r="AC52" s="127"/>
      <c r="AD52" s="127"/>
    </row>
    <row r="53" spans="1:30" x14ac:dyDescent="0.25">
      <c r="A53" s="269"/>
      <c r="B53" s="269"/>
      <c r="C53" s="269"/>
      <c r="D53" s="269"/>
      <c r="E53" s="269"/>
      <c r="F53" s="269"/>
      <c r="G53" s="269"/>
      <c r="H53" s="269"/>
      <c r="I53" s="269"/>
      <c r="J53" s="127"/>
      <c r="K53" s="127"/>
      <c r="L53" s="127"/>
      <c r="M53" s="127"/>
      <c r="N53" s="127"/>
      <c r="O53" s="127"/>
      <c r="P53" s="127"/>
      <c r="Q53" s="127"/>
      <c r="R53" s="127"/>
      <c r="S53" s="127"/>
      <c r="T53" s="127"/>
      <c r="U53" s="127"/>
      <c r="V53" s="127"/>
      <c r="W53" s="127"/>
      <c r="X53" s="127"/>
      <c r="Y53" s="127"/>
      <c r="Z53" s="127"/>
      <c r="AA53" s="127"/>
      <c r="AB53" s="127"/>
      <c r="AC53" s="127"/>
      <c r="AD53" s="127"/>
    </row>
    <row r="54" spans="1:30" x14ac:dyDescent="0.25">
      <c r="A54" s="269"/>
      <c r="B54" s="269"/>
      <c r="C54" s="269"/>
      <c r="D54" s="269"/>
      <c r="E54" s="269"/>
      <c r="F54" s="269"/>
      <c r="G54" s="269"/>
      <c r="H54" s="269"/>
      <c r="I54" s="269"/>
      <c r="J54" s="127"/>
      <c r="K54" s="127"/>
      <c r="L54" s="127"/>
      <c r="M54" s="127"/>
      <c r="N54" s="127"/>
      <c r="O54" s="127"/>
      <c r="P54" s="127"/>
      <c r="Q54" s="127"/>
      <c r="R54" s="127"/>
      <c r="S54" s="127"/>
      <c r="T54" s="127"/>
      <c r="U54" s="127"/>
      <c r="V54" s="127"/>
      <c r="W54" s="127"/>
      <c r="X54" s="127"/>
      <c r="Y54" s="127"/>
      <c r="Z54" s="127"/>
      <c r="AA54" s="127"/>
      <c r="AB54" s="127"/>
      <c r="AC54" s="127"/>
      <c r="AD54" s="127"/>
    </row>
    <row r="55" spans="1:30" x14ac:dyDescent="0.25">
      <c r="A55" s="269"/>
      <c r="B55" s="269"/>
      <c r="C55" s="269"/>
      <c r="D55" s="269"/>
      <c r="E55" s="269"/>
      <c r="F55" s="269"/>
      <c r="G55" s="269"/>
      <c r="H55" s="269"/>
      <c r="I55" s="269"/>
      <c r="J55" s="127"/>
      <c r="K55" s="127"/>
      <c r="L55" s="127"/>
      <c r="M55" s="127"/>
      <c r="N55" s="127"/>
      <c r="O55" s="127"/>
      <c r="P55" s="127"/>
      <c r="Q55" s="127"/>
      <c r="R55" s="127"/>
      <c r="S55" s="127"/>
      <c r="T55" s="127"/>
      <c r="U55" s="127"/>
      <c r="V55" s="127"/>
      <c r="W55" s="127"/>
      <c r="X55" s="127"/>
      <c r="Y55" s="127"/>
      <c r="Z55" s="127"/>
      <c r="AA55" s="127"/>
      <c r="AB55" s="127"/>
      <c r="AC55" s="127"/>
      <c r="AD55" s="127"/>
    </row>
    <row r="56" spans="1:30" x14ac:dyDescent="0.25">
      <c r="A56" s="269"/>
      <c r="B56" s="269"/>
      <c r="C56" s="269"/>
      <c r="D56" s="269"/>
      <c r="E56" s="269"/>
      <c r="F56" s="269"/>
      <c r="G56" s="269"/>
      <c r="H56" s="269"/>
      <c r="I56" s="269"/>
      <c r="J56" s="127"/>
      <c r="K56" s="127"/>
      <c r="L56" s="127"/>
      <c r="M56" s="127"/>
      <c r="N56" s="127"/>
      <c r="O56" s="127"/>
      <c r="P56" s="127"/>
      <c r="Q56" s="127"/>
      <c r="R56" s="127"/>
      <c r="S56" s="127"/>
      <c r="T56" s="127"/>
      <c r="U56" s="127"/>
      <c r="V56" s="127"/>
      <c r="W56" s="127"/>
      <c r="X56" s="127"/>
      <c r="Y56" s="127"/>
      <c r="Z56" s="127"/>
      <c r="AA56" s="127"/>
      <c r="AB56" s="127"/>
      <c r="AC56" s="127"/>
      <c r="AD56" s="127"/>
    </row>
    <row r="57" spans="1:30" x14ac:dyDescent="0.25">
      <c r="A57" s="269"/>
      <c r="B57" s="269"/>
      <c r="C57" s="269"/>
      <c r="D57" s="269"/>
      <c r="E57" s="269"/>
      <c r="F57" s="269"/>
      <c r="G57" s="269"/>
      <c r="H57" s="269"/>
      <c r="I57" s="269"/>
      <c r="J57" s="127"/>
      <c r="K57" s="127"/>
      <c r="L57" s="127"/>
      <c r="M57" s="127"/>
      <c r="N57" s="127"/>
      <c r="O57" s="127"/>
      <c r="P57" s="127"/>
      <c r="Q57" s="127"/>
      <c r="R57" s="127"/>
      <c r="S57" s="127"/>
      <c r="T57" s="127"/>
      <c r="U57" s="127"/>
      <c r="V57" s="127"/>
      <c r="W57" s="127"/>
      <c r="X57" s="127"/>
      <c r="Y57" s="127"/>
      <c r="Z57" s="127"/>
      <c r="AA57" s="127"/>
      <c r="AB57" s="127"/>
      <c r="AC57" s="127"/>
      <c r="AD57" s="127"/>
    </row>
    <row r="58" spans="1:30" x14ac:dyDescent="0.25">
      <c r="A58" s="269"/>
      <c r="B58" s="269"/>
      <c r="C58" s="269"/>
      <c r="D58" s="269"/>
      <c r="E58" s="269"/>
      <c r="F58" s="269"/>
      <c r="G58" s="269"/>
      <c r="H58" s="269"/>
      <c r="I58" s="269"/>
      <c r="J58" s="127"/>
      <c r="K58" s="127"/>
      <c r="L58" s="127"/>
      <c r="M58" s="127"/>
      <c r="N58" s="127"/>
      <c r="O58" s="127"/>
      <c r="P58" s="127"/>
      <c r="Q58" s="127"/>
      <c r="R58" s="127"/>
      <c r="S58" s="127"/>
      <c r="T58" s="127"/>
      <c r="U58" s="127"/>
      <c r="V58" s="127"/>
      <c r="W58" s="127"/>
      <c r="X58" s="127"/>
      <c r="Y58" s="127"/>
      <c r="Z58" s="127"/>
      <c r="AA58" s="127"/>
      <c r="AB58" s="127"/>
      <c r="AC58" s="127"/>
      <c r="AD58" s="127"/>
    </row>
    <row r="59" spans="1:30" x14ac:dyDescent="0.25">
      <c r="A59" s="269"/>
      <c r="B59" s="269"/>
      <c r="C59" s="269"/>
      <c r="D59" s="269"/>
      <c r="E59" s="269"/>
      <c r="F59" s="269"/>
      <c r="G59" s="269"/>
      <c r="H59" s="269"/>
      <c r="I59" s="269"/>
      <c r="J59" s="127"/>
      <c r="K59" s="127"/>
      <c r="L59" s="127"/>
      <c r="M59" s="127"/>
      <c r="N59" s="127"/>
      <c r="O59" s="127"/>
      <c r="P59" s="127"/>
      <c r="Q59" s="127"/>
      <c r="R59" s="127"/>
      <c r="S59" s="127"/>
      <c r="T59" s="127"/>
      <c r="U59" s="127"/>
      <c r="V59" s="127"/>
      <c r="W59" s="127"/>
      <c r="X59" s="127"/>
      <c r="Y59" s="127"/>
      <c r="Z59" s="127"/>
      <c r="AA59" s="127"/>
      <c r="AB59" s="127"/>
      <c r="AC59" s="127"/>
      <c r="AD59" s="127"/>
    </row>
    <row r="60" spans="1:30" x14ac:dyDescent="0.25">
      <c r="A60" s="269"/>
      <c r="B60" s="269"/>
      <c r="C60" s="269"/>
      <c r="D60" s="269"/>
      <c r="E60" s="269"/>
      <c r="F60" s="269"/>
      <c r="G60" s="269"/>
      <c r="H60" s="269"/>
      <c r="I60" s="269"/>
      <c r="J60" s="127"/>
      <c r="K60" s="127"/>
      <c r="L60" s="127"/>
      <c r="M60" s="127"/>
      <c r="N60" s="127"/>
      <c r="O60" s="127"/>
      <c r="P60" s="127"/>
      <c r="Q60" s="127"/>
      <c r="R60" s="127"/>
      <c r="S60" s="127"/>
      <c r="T60" s="127"/>
      <c r="U60" s="127"/>
      <c r="V60" s="127"/>
      <c r="W60" s="127"/>
      <c r="X60" s="127"/>
      <c r="Y60" s="127"/>
      <c r="Z60" s="127"/>
      <c r="AA60" s="127"/>
      <c r="AB60" s="127"/>
      <c r="AC60" s="127"/>
      <c r="AD60" s="127"/>
    </row>
    <row r="61" spans="1:30" x14ac:dyDescent="0.25">
      <c r="A61" s="269"/>
      <c r="B61" s="269"/>
      <c r="C61" s="269"/>
      <c r="D61" s="269"/>
      <c r="E61" s="269"/>
      <c r="F61" s="269"/>
      <c r="G61" s="269"/>
      <c r="H61" s="269"/>
      <c r="I61" s="269"/>
      <c r="J61" s="127"/>
      <c r="K61" s="127"/>
      <c r="L61" s="127"/>
      <c r="M61" s="127"/>
      <c r="N61" s="127"/>
      <c r="O61" s="127"/>
      <c r="P61" s="127"/>
      <c r="Q61" s="127"/>
      <c r="R61" s="127"/>
      <c r="S61" s="127"/>
      <c r="T61" s="127"/>
      <c r="U61" s="127"/>
      <c r="V61" s="127"/>
      <c r="W61" s="127"/>
      <c r="X61" s="127"/>
      <c r="Y61" s="127"/>
      <c r="Z61" s="127"/>
      <c r="AA61" s="127"/>
      <c r="AB61" s="127"/>
      <c r="AC61" s="127"/>
      <c r="AD61" s="127"/>
    </row>
    <row r="62" spans="1:30" x14ac:dyDescent="0.25">
      <c r="A62" s="269"/>
      <c r="B62" s="269"/>
      <c r="C62" s="269"/>
      <c r="D62" s="269"/>
      <c r="E62" s="269"/>
      <c r="F62" s="269"/>
      <c r="G62" s="269"/>
      <c r="H62" s="269"/>
      <c r="I62" s="269"/>
      <c r="J62" s="127"/>
      <c r="K62" s="127"/>
      <c r="L62" s="127"/>
      <c r="M62" s="127"/>
      <c r="N62" s="127"/>
      <c r="O62" s="127"/>
      <c r="P62" s="127"/>
      <c r="Q62" s="127"/>
      <c r="R62" s="127"/>
      <c r="S62" s="127"/>
      <c r="T62" s="127"/>
      <c r="U62" s="127"/>
      <c r="V62" s="127"/>
      <c r="W62" s="127"/>
      <c r="X62" s="127"/>
      <c r="Y62" s="127"/>
      <c r="Z62" s="127"/>
      <c r="AA62" s="127"/>
      <c r="AB62" s="127"/>
      <c r="AC62" s="127"/>
      <c r="AD62" s="127"/>
    </row>
    <row r="63" spans="1:30" x14ac:dyDescent="0.25">
      <c r="A63" s="269"/>
      <c r="B63" s="269"/>
      <c r="C63" s="269"/>
      <c r="D63" s="269"/>
      <c r="E63" s="269"/>
      <c r="F63" s="269"/>
      <c r="G63" s="269"/>
      <c r="H63" s="269"/>
      <c r="I63" s="269"/>
      <c r="J63" s="127"/>
      <c r="K63" s="127"/>
      <c r="L63" s="127"/>
      <c r="M63" s="127"/>
      <c r="N63" s="127"/>
      <c r="O63" s="127"/>
      <c r="P63" s="127"/>
      <c r="Q63" s="127"/>
      <c r="R63" s="127"/>
      <c r="S63" s="127"/>
      <c r="T63" s="127"/>
      <c r="U63" s="127"/>
      <c r="V63" s="127"/>
      <c r="W63" s="127"/>
      <c r="X63" s="127"/>
      <c r="Y63" s="127"/>
      <c r="Z63" s="127"/>
      <c r="AA63" s="127"/>
      <c r="AB63" s="127"/>
      <c r="AC63" s="127"/>
      <c r="AD63" s="127"/>
    </row>
    <row r="64" spans="1:30" x14ac:dyDescent="0.25">
      <c r="A64" s="269"/>
      <c r="B64" s="269"/>
      <c r="C64" s="269"/>
      <c r="D64" s="269"/>
      <c r="E64" s="269"/>
      <c r="F64" s="269"/>
      <c r="G64" s="269"/>
      <c r="H64" s="269"/>
      <c r="I64" s="269"/>
      <c r="J64" s="127"/>
      <c r="K64" s="127"/>
      <c r="L64" s="127"/>
      <c r="M64" s="127"/>
      <c r="N64" s="127"/>
      <c r="O64" s="127"/>
      <c r="P64" s="127"/>
      <c r="Q64" s="127"/>
      <c r="R64" s="127"/>
      <c r="S64" s="127"/>
      <c r="T64" s="127"/>
      <c r="U64" s="127"/>
      <c r="V64" s="127"/>
      <c r="W64" s="127"/>
      <c r="X64" s="127"/>
      <c r="Y64" s="127"/>
      <c r="Z64" s="127"/>
      <c r="AA64" s="127"/>
      <c r="AB64" s="127"/>
      <c r="AC64" s="127"/>
      <c r="AD64" s="127"/>
    </row>
    <row r="65" spans="1:30" x14ac:dyDescent="0.25">
      <c r="A65" s="269"/>
      <c r="B65" s="269"/>
      <c r="C65" s="269"/>
      <c r="D65" s="269"/>
      <c r="E65" s="269"/>
      <c r="F65" s="269"/>
      <c r="G65" s="269"/>
      <c r="H65" s="269"/>
      <c r="I65" s="269"/>
      <c r="J65" s="127"/>
      <c r="K65" s="127"/>
      <c r="L65" s="127"/>
      <c r="M65" s="127"/>
      <c r="N65" s="127"/>
      <c r="O65" s="127"/>
      <c r="P65" s="127"/>
      <c r="Q65" s="127"/>
      <c r="R65" s="127"/>
      <c r="S65" s="127"/>
      <c r="T65" s="127"/>
      <c r="U65" s="127"/>
      <c r="V65" s="127"/>
      <c r="W65" s="127"/>
      <c r="X65" s="127"/>
      <c r="Y65" s="127"/>
      <c r="Z65" s="127"/>
      <c r="AA65" s="127"/>
      <c r="AB65" s="127"/>
      <c r="AC65" s="127"/>
      <c r="AD65" s="127"/>
    </row>
    <row r="66" spans="1:30" x14ac:dyDescent="0.25">
      <c r="A66" s="269"/>
      <c r="B66" s="269"/>
      <c r="C66" s="269"/>
      <c r="D66" s="269"/>
      <c r="E66" s="269"/>
      <c r="F66" s="269"/>
      <c r="G66" s="269"/>
      <c r="H66" s="269"/>
      <c r="I66" s="269"/>
      <c r="J66" s="127"/>
      <c r="K66" s="127"/>
      <c r="L66" s="127"/>
      <c r="M66" s="127"/>
      <c r="N66" s="127"/>
      <c r="O66" s="127"/>
      <c r="P66" s="127"/>
      <c r="Q66" s="127"/>
      <c r="R66" s="127"/>
      <c r="S66" s="127"/>
      <c r="T66" s="127"/>
      <c r="U66" s="127"/>
      <c r="V66" s="127"/>
      <c r="W66" s="127"/>
      <c r="X66" s="127"/>
      <c r="Y66" s="127"/>
      <c r="Z66" s="127"/>
      <c r="AA66" s="127"/>
      <c r="AB66" s="127"/>
      <c r="AC66" s="127"/>
      <c r="AD66" s="127"/>
    </row>
    <row r="67" spans="1:30" x14ac:dyDescent="0.25">
      <c r="A67" s="269"/>
      <c r="B67" s="269"/>
      <c r="C67" s="269"/>
      <c r="D67" s="269"/>
      <c r="E67" s="269"/>
      <c r="F67" s="269"/>
      <c r="G67" s="269"/>
      <c r="H67" s="269"/>
      <c r="I67" s="269"/>
      <c r="J67" s="127"/>
      <c r="K67" s="127"/>
      <c r="L67" s="127"/>
      <c r="M67" s="127"/>
      <c r="N67" s="127"/>
      <c r="O67" s="127"/>
      <c r="P67" s="127"/>
      <c r="Q67" s="127"/>
      <c r="R67" s="127"/>
      <c r="S67" s="127"/>
      <c r="T67" s="127"/>
      <c r="U67" s="127"/>
      <c r="V67" s="127"/>
      <c r="W67" s="127"/>
      <c r="X67" s="127"/>
      <c r="Y67" s="127"/>
      <c r="Z67" s="127"/>
      <c r="AA67" s="127"/>
      <c r="AB67" s="127"/>
      <c r="AC67" s="127"/>
      <c r="AD67" s="127"/>
    </row>
    <row r="68" spans="1:30" x14ac:dyDescent="0.25">
      <c r="A68" s="269"/>
      <c r="B68" s="269"/>
      <c r="C68" s="269"/>
      <c r="D68" s="269"/>
      <c r="E68" s="269"/>
      <c r="F68" s="269"/>
      <c r="G68" s="269"/>
      <c r="H68" s="269"/>
      <c r="I68" s="269"/>
      <c r="J68" s="127"/>
      <c r="K68" s="127"/>
      <c r="L68" s="127"/>
      <c r="M68" s="127"/>
      <c r="N68" s="127"/>
      <c r="O68" s="127"/>
      <c r="P68" s="127"/>
      <c r="Q68" s="127"/>
      <c r="R68" s="127"/>
      <c r="S68" s="127"/>
      <c r="T68" s="127"/>
      <c r="U68" s="127"/>
      <c r="V68" s="127"/>
      <c r="W68" s="127"/>
      <c r="X68" s="127"/>
      <c r="Y68" s="127"/>
      <c r="Z68" s="127"/>
      <c r="AA68" s="127"/>
      <c r="AB68" s="127"/>
      <c r="AC68" s="127"/>
      <c r="AD68" s="127"/>
    </row>
    <row r="69" spans="1:30" x14ac:dyDescent="0.25">
      <c r="A69" s="269"/>
      <c r="B69" s="269"/>
      <c r="C69" s="269"/>
      <c r="D69" s="269"/>
      <c r="E69" s="269"/>
      <c r="F69" s="269"/>
      <c r="G69" s="269"/>
      <c r="H69" s="269"/>
      <c r="I69" s="269"/>
      <c r="J69" s="127"/>
      <c r="K69" s="127"/>
      <c r="L69" s="127"/>
      <c r="M69" s="127"/>
      <c r="N69" s="127"/>
      <c r="O69" s="127"/>
      <c r="P69" s="127"/>
      <c r="Q69" s="127"/>
      <c r="R69" s="127"/>
      <c r="S69" s="127"/>
      <c r="T69" s="127"/>
      <c r="U69" s="127"/>
      <c r="V69" s="127"/>
      <c r="W69" s="127"/>
      <c r="X69" s="127"/>
      <c r="Y69" s="127"/>
      <c r="Z69" s="127"/>
      <c r="AA69" s="127"/>
      <c r="AB69" s="127"/>
      <c r="AC69" s="127"/>
      <c r="AD69" s="127"/>
    </row>
    <row r="70" spans="1:30" x14ac:dyDescent="0.25">
      <c r="A70" s="269"/>
      <c r="B70" s="269"/>
      <c r="C70" s="269"/>
      <c r="D70" s="269"/>
      <c r="E70" s="269"/>
      <c r="F70" s="269"/>
      <c r="G70" s="269"/>
      <c r="H70" s="269"/>
      <c r="I70" s="269"/>
      <c r="J70" s="127"/>
      <c r="K70" s="127"/>
      <c r="L70" s="127"/>
      <c r="M70" s="127"/>
      <c r="N70" s="127"/>
      <c r="O70" s="127"/>
      <c r="P70" s="127"/>
      <c r="Q70" s="127"/>
      <c r="R70" s="127"/>
      <c r="S70" s="127"/>
      <c r="T70" s="127"/>
      <c r="U70" s="127"/>
      <c r="V70" s="127"/>
      <c r="W70" s="127"/>
      <c r="X70" s="127"/>
      <c r="Y70" s="127"/>
      <c r="Z70" s="127"/>
      <c r="AA70" s="127"/>
      <c r="AB70" s="127"/>
      <c r="AC70" s="127"/>
      <c r="AD70" s="127"/>
    </row>
    <row r="71" spans="1:30" x14ac:dyDescent="0.25">
      <c r="A71" s="269"/>
      <c r="B71" s="269"/>
      <c r="C71" s="269"/>
      <c r="D71" s="269"/>
      <c r="E71" s="269"/>
      <c r="F71" s="269"/>
      <c r="G71" s="269"/>
      <c r="H71" s="269"/>
      <c r="I71" s="269"/>
      <c r="J71" s="127"/>
      <c r="K71" s="127"/>
      <c r="L71" s="127"/>
      <c r="M71" s="127"/>
      <c r="N71" s="127"/>
      <c r="O71" s="127"/>
      <c r="P71" s="127"/>
      <c r="Q71" s="127"/>
      <c r="R71" s="127"/>
      <c r="S71" s="127"/>
      <c r="T71" s="127"/>
      <c r="U71" s="127"/>
      <c r="V71" s="127"/>
      <c r="W71" s="127"/>
      <c r="X71" s="127"/>
      <c r="Y71" s="127"/>
      <c r="Z71" s="127"/>
      <c r="AA71" s="127"/>
      <c r="AB71" s="127"/>
      <c r="AC71" s="127"/>
      <c r="AD71" s="127"/>
    </row>
    <row r="72" spans="1:30" x14ac:dyDescent="0.25">
      <c r="A72" s="269"/>
      <c r="B72" s="269"/>
      <c r="C72" s="269"/>
      <c r="D72" s="269"/>
      <c r="E72" s="269"/>
      <c r="F72" s="269"/>
      <c r="G72" s="269"/>
      <c r="H72" s="269"/>
      <c r="I72" s="269"/>
      <c r="J72" s="127"/>
      <c r="K72" s="127"/>
      <c r="L72" s="127"/>
      <c r="M72" s="127"/>
      <c r="N72" s="127"/>
      <c r="O72" s="127"/>
      <c r="P72" s="127"/>
      <c r="Q72" s="127"/>
      <c r="R72" s="127"/>
      <c r="S72" s="127"/>
      <c r="T72" s="127"/>
      <c r="U72" s="127"/>
      <c r="V72" s="127"/>
      <c r="W72" s="127"/>
      <c r="X72" s="127"/>
      <c r="Y72" s="127"/>
      <c r="Z72" s="127"/>
      <c r="AA72" s="127"/>
      <c r="AB72" s="127"/>
      <c r="AC72" s="127"/>
      <c r="AD72" s="127"/>
    </row>
    <row r="73" spans="1:30" x14ac:dyDescent="0.25">
      <c r="A73" s="269"/>
      <c r="B73" s="269"/>
      <c r="C73" s="269"/>
      <c r="D73" s="269"/>
      <c r="E73" s="269"/>
      <c r="F73" s="269"/>
      <c r="G73" s="269"/>
      <c r="H73" s="269"/>
      <c r="I73" s="269"/>
      <c r="J73" s="127"/>
      <c r="K73" s="127"/>
      <c r="L73" s="127"/>
      <c r="M73" s="127"/>
      <c r="N73" s="127"/>
      <c r="O73" s="127"/>
      <c r="P73" s="127"/>
      <c r="Q73" s="127"/>
      <c r="R73" s="127"/>
      <c r="S73" s="127"/>
      <c r="T73" s="127"/>
      <c r="U73" s="127"/>
      <c r="V73" s="127"/>
      <c r="W73" s="127"/>
      <c r="X73" s="127"/>
      <c r="Y73" s="127"/>
      <c r="Z73" s="127"/>
      <c r="AA73" s="127"/>
      <c r="AB73" s="127"/>
      <c r="AC73" s="127"/>
      <c r="AD73" s="127"/>
    </row>
    <row r="74" spans="1:30" x14ac:dyDescent="0.25">
      <c r="A74" s="269"/>
      <c r="B74" s="269"/>
      <c r="C74" s="269"/>
      <c r="D74" s="269"/>
      <c r="E74" s="269"/>
      <c r="F74" s="269"/>
      <c r="G74" s="269"/>
      <c r="H74" s="269"/>
      <c r="I74" s="269"/>
      <c r="J74" s="127"/>
      <c r="K74" s="127"/>
      <c r="L74" s="127"/>
      <c r="M74" s="127"/>
      <c r="N74" s="127"/>
      <c r="O74" s="127"/>
      <c r="P74" s="127"/>
      <c r="Q74" s="127"/>
      <c r="R74" s="127"/>
      <c r="S74" s="127"/>
      <c r="T74" s="127"/>
      <c r="U74" s="127"/>
      <c r="V74" s="127"/>
      <c r="W74" s="127"/>
      <c r="X74" s="127"/>
      <c r="Y74" s="127"/>
      <c r="Z74" s="127"/>
      <c r="AA74" s="127"/>
      <c r="AB74" s="127"/>
      <c r="AC74" s="127"/>
      <c r="AD74" s="127"/>
    </row>
    <row r="75" spans="1:30" x14ac:dyDescent="0.25">
      <c r="A75" s="269"/>
      <c r="B75" s="269"/>
      <c r="C75" s="269"/>
      <c r="D75" s="269"/>
      <c r="E75" s="269"/>
      <c r="F75" s="269"/>
      <c r="G75" s="269"/>
      <c r="H75" s="269"/>
      <c r="I75" s="269"/>
      <c r="J75" s="127"/>
      <c r="K75" s="127"/>
      <c r="L75" s="127"/>
      <c r="M75" s="127"/>
      <c r="N75" s="127"/>
      <c r="O75" s="127"/>
      <c r="P75" s="127"/>
      <c r="Q75" s="127"/>
      <c r="R75" s="127"/>
      <c r="S75" s="127"/>
      <c r="T75" s="127"/>
      <c r="U75" s="127"/>
      <c r="V75" s="127"/>
      <c r="W75" s="127"/>
      <c r="X75" s="127"/>
      <c r="Y75" s="127"/>
      <c r="Z75" s="127"/>
      <c r="AA75" s="127"/>
      <c r="AB75" s="127"/>
      <c r="AC75" s="127"/>
      <c r="AD75" s="127"/>
    </row>
    <row r="76" spans="1:30" x14ac:dyDescent="0.25">
      <c r="A76" s="269"/>
      <c r="B76" s="269"/>
      <c r="C76" s="269"/>
      <c r="D76" s="269"/>
      <c r="E76" s="269"/>
      <c r="F76" s="269"/>
      <c r="G76" s="269"/>
      <c r="H76" s="269"/>
      <c r="I76" s="269"/>
      <c r="J76" s="127"/>
      <c r="K76" s="127"/>
      <c r="L76" s="127"/>
      <c r="M76" s="127"/>
      <c r="N76" s="127"/>
      <c r="O76" s="127"/>
      <c r="P76" s="127"/>
      <c r="Q76" s="127"/>
      <c r="R76" s="127"/>
      <c r="S76" s="127"/>
      <c r="T76" s="127"/>
      <c r="U76" s="127"/>
      <c r="V76" s="127"/>
      <c r="W76" s="127"/>
      <c r="X76" s="127"/>
      <c r="Y76" s="127"/>
      <c r="Z76" s="127"/>
      <c r="AA76" s="127"/>
      <c r="AB76" s="127"/>
      <c r="AC76" s="127"/>
      <c r="AD76" s="127"/>
    </row>
    <row r="77" spans="1:30" x14ac:dyDescent="0.25">
      <c r="A77" s="269"/>
      <c r="B77" s="269"/>
      <c r="C77" s="269"/>
      <c r="D77" s="269"/>
      <c r="E77" s="269"/>
      <c r="F77" s="269"/>
      <c r="G77" s="269"/>
      <c r="H77" s="269"/>
      <c r="I77" s="269"/>
      <c r="J77" s="127"/>
      <c r="K77" s="127"/>
      <c r="L77" s="127"/>
      <c r="M77" s="127"/>
      <c r="N77" s="127"/>
      <c r="O77" s="127"/>
      <c r="P77" s="127"/>
      <c r="Q77" s="127"/>
      <c r="R77" s="127"/>
      <c r="S77" s="127"/>
      <c r="T77" s="127"/>
      <c r="U77" s="127"/>
      <c r="V77" s="127"/>
      <c r="W77" s="127"/>
      <c r="X77" s="127"/>
      <c r="Y77" s="127"/>
      <c r="Z77" s="127"/>
      <c r="AA77" s="127"/>
      <c r="AB77" s="127"/>
      <c r="AC77" s="127"/>
      <c r="AD77" s="127"/>
    </row>
    <row r="78" spans="1:30" x14ac:dyDescent="0.25">
      <c r="A78" s="269"/>
      <c r="B78" s="269"/>
      <c r="C78" s="269"/>
      <c r="D78" s="269"/>
      <c r="E78" s="269"/>
      <c r="F78" s="269"/>
      <c r="G78" s="269"/>
      <c r="H78" s="269"/>
      <c r="I78" s="269"/>
      <c r="J78" s="127"/>
      <c r="K78" s="127"/>
      <c r="L78" s="127"/>
      <c r="M78" s="127"/>
      <c r="N78" s="127"/>
      <c r="O78" s="127"/>
      <c r="P78" s="127"/>
      <c r="Q78" s="127"/>
      <c r="R78" s="127"/>
      <c r="S78" s="127"/>
      <c r="T78" s="127"/>
      <c r="U78" s="127"/>
      <c r="V78" s="127"/>
      <c r="W78" s="127"/>
      <c r="X78" s="127"/>
      <c r="Y78" s="127"/>
      <c r="Z78" s="127"/>
      <c r="AA78" s="127"/>
      <c r="AB78" s="127"/>
      <c r="AC78" s="127"/>
      <c r="AD78" s="127"/>
    </row>
    <row r="79" spans="1:30" x14ac:dyDescent="0.25">
      <c r="A79" s="269"/>
      <c r="B79" s="269"/>
      <c r="C79" s="269"/>
      <c r="D79" s="269"/>
      <c r="E79" s="269"/>
      <c r="F79" s="269"/>
      <c r="G79" s="269"/>
      <c r="H79" s="269"/>
      <c r="I79" s="269"/>
      <c r="J79" s="127"/>
      <c r="K79" s="127"/>
      <c r="L79" s="127"/>
      <c r="M79" s="127"/>
      <c r="N79" s="127"/>
      <c r="O79" s="127"/>
      <c r="P79" s="127"/>
      <c r="Q79" s="127"/>
      <c r="R79" s="127"/>
      <c r="S79" s="127"/>
      <c r="T79" s="127"/>
      <c r="U79" s="127"/>
      <c r="V79" s="127"/>
      <c r="W79" s="127"/>
      <c r="X79" s="127"/>
      <c r="Y79" s="127"/>
      <c r="Z79" s="127"/>
      <c r="AA79" s="127"/>
      <c r="AB79" s="127"/>
      <c r="AC79" s="127"/>
      <c r="AD79" s="127"/>
    </row>
    <row r="80" spans="1:30" x14ac:dyDescent="0.25">
      <c r="A80" s="269"/>
      <c r="B80" s="269"/>
      <c r="C80" s="269"/>
      <c r="D80" s="269"/>
      <c r="E80" s="269"/>
      <c r="F80" s="269"/>
      <c r="G80" s="269"/>
      <c r="H80" s="269"/>
      <c r="I80" s="269"/>
      <c r="J80" s="127"/>
      <c r="K80" s="127"/>
      <c r="L80" s="127"/>
      <c r="M80" s="127"/>
      <c r="N80" s="127"/>
      <c r="O80" s="127"/>
      <c r="P80" s="127"/>
      <c r="Q80" s="127"/>
      <c r="R80" s="127"/>
      <c r="S80" s="127"/>
      <c r="T80" s="127"/>
      <c r="U80" s="127"/>
      <c r="V80" s="127"/>
      <c r="W80" s="127"/>
      <c r="X80" s="127"/>
      <c r="Y80" s="127"/>
      <c r="Z80" s="127"/>
      <c r="AA80" s="127"/>
      <c r="AB80" s="127"/>
      <c r="AC80" s="127"/>
      <c r="AD80" s="127"/>
    </row>
    <row r="81" spans="1:30" x14ac:dyDescent="0.25">
      <c r="A81" s="269"/>
      <c r="B81" s="269"/>
      <c r="C81" s="269"/>
      <c r="D81" s="269"/>
      <c r="E81" s="269"/>
      <c r="F81" s="269"/>
      <c r="G81" s="269"/>
      <c r="H81" s="269"/>
      <c r="I81" s="269"/>
      <c r="J81" s="127"/>
      <c r="K81" s="127"/>
      <c r="L81" s="127"/>
      <c r="M81" s="127"/>
      <c r="N81" s="127"/>
      <c r="O81" s="127"/>
      <c r="P81" s="127"/>
      <c r="Q81" s="127"/>
      <c r="R81" s="127"/>
      <c r="S81" s="127"/>
      <c r="T81" s="127"/>
      <c r="U81" s="127"/>
      <c r="V81" s="127"/>
      <c r="W81" s="127"/>
      <c r="X81" s="127"/>
      <c r="Y81" s="127"/>
      <c r="Z81" s="127"/>
      <c r="AA81" s="127"/>
      <c r="AB81" s="127"/>
      <c r="AC81" s="127"/>
      <c r="AD81" s="127"/>
    </row>
    <row r="82" spans="1:30" x14ac:dyDescent="0.25">
      <c r="A82" s="269"/>
      <c r="B82" s="269"/>
      <c r="C82" s="269"/>
      <c r="D82" s="269"/>
      <c r="E82" s="269"/>
      <c r="F82" s="269"/>
      <c r="G82" s="269"/>
      <c r="H82" s="269"/>
      <c r="I82" s="269"/>
      <c r="J82" s="127"/>
      <c r="K82" s="127"/>
      <c r="L82" s="127"/>
      <c r="M82" s="127"/>
      <c r="N82" s="127"/>
      <c r="O82" s="127"/>
      <c r="P82" s="127"/>
      <c r="Q82" s="127"/>
      <c r="R82" s="127"/>
      <c r="S82" s="127"/>
      <c r="T82" s="127"/>
      <c r="U82" s="127"/>
      <c r="V82" s="127"/>
      <c r="W82" s="127"/>
      <c r="X82" s="127"/>
      <c r="Y82" s="127"/>
      <c r="Z82" s="127"/>
      <c r="AA82" s="127"/>
      <c r="AB82" s="127"/>
      <c r="AC82" s="127"/>
      <c r="AD82" s="127"/>
    </row>
    <row r="83" spans="1:30" x14ac:dyDescent="0.25">
      <c r="A83" s="269"/>
      <c r="B83" s="269"/>
      <c r="C83" s="269"/>
      <c r="D83" s="269"/>
      <c r="E83" s="269"/>
      <c r="F83" s="269"/>
      <c r="G83" s="269"/>
      <c r="H83" s="269"/>
      <c r="I83" s="269"/>
      <c r="J83" s="127"/>
      <c r="K83" s="127"/>
      <c r="L83" s="127"/>
      <c r="M83" s="127"/>
      <c r="N83" s="127"/>
      <c r="O83" s="127"/>
      <c r="P83" s="127"/>
      <c r="Q83" s="127"/>
      <c r="R83" s="127"/>
      <c r="S83" s="127"/>
      <c r="T83" s="127"/>
      <c r="U83" s="127"/>
      <c r="V83" s="127"/>
      <c r="W83" s="127"/>
      <c r="X83" s="127"/>
      <c r="Y83" s="127"/>
      <c r="Z83" s="127"/>
      <c r="AA83" s="127"/>
      <c r="AB83" s="127"/>
      <c r="AC83" s="127"/>
      <c r="AD83" s="127"/>
    </row>
    <row r="84" spans="1:30" x14ac:dyDescent="0.25">
      <c r="A84" s="269"/>
      <c r="B84" s="269"/>
      <c r="C84" s="269"/>
      <c r="D84" s="269"/>
      <c r="E84" s="269"/>
      <c r="F84" s="269"/>
      <c r="G84" s="269"/>
      <c r="H84" s="269"/>
      <c r="I84" s="269"/>
      <c r="J84" s="127"/>
      <c r="K84" s="127"/>
      <c r="L84" s="127"/>
      <c r="M84" s="127"/>
      <c r="N84" s="127"/>
      <c r="O84" s="127"/>
      <c r="P84" s="127"/>
      <c r="Q84" s="127"/>
      <c r="R84" s="127"/>
      <c r="S84" s="127"/>
      <c r="T84" s="127"/>
      <c r="U84" s="127"/>
      <c r="V84" s="127"/>
      <c r="W84" s="127"/>
      <c r="X84" s="127"/>
      <c r="Y84" s="127"/>
      <c r="Z84" s="127"/>
      <c r="AA84" s="127"/>
      <c r="AB84" s="127"/>
      <c r="AC84" s="127"/>
      <c r="AD84" s="127"/>
    </row>
    <row r="85" spans="1:30" x14ac:dyDescent="0.25">
      <c r="A85" s="269"/>
      <c r="B85" s="269"/>
      <c r="C85" s="269"/>
      <c r="D85" s="269"/>
      <c r="E85" s="269"/>
      <c r="F85" s="269"/>
      <c r="G85" s="269"/>
      <c r="H85" s="269"/>
      <c r="I85" s="269"/>
      <c r="J85" s="127"/>
      <c r="K85" s="127"/>
      <c r="L85" s="127"/>
      <c r="M85" s="127"/>
      <c r="N85" s="127"/>
      <c r="O85" s="127"/>
      <c r="P85" s="127"/>
      <c r="Q85" s="127"/>
      <c r="R85" s="127"/>
      <c r="S85" s="127"/>
      <c r="T85" s="127"/>
      <c r="U85" s="127"/>
      <c r="V85" s="127"/>
      <c r="W85" s="127"/>
      <c r="X85" s="127"/>
      <c r="Y85" s="127"/>
      <c r="Z85" s="127"/>
      <c r="AA85" s="127"/>
      <c r="AB85" s="127"/>
      <c r="AC85" s="127"/>
      <c r="AD85" s="127"/>
    </row>
    <row r="86" spans="1:30" x14ac:dyDescent="0.25">
      <c r="A86" s="269"/>
      <c r="B86" s="269"/>
      <c r="C86" s="269"/>
      <c r="D86" s="269"/>
      <c r="E86" s="269"/>
      <c r="F86" s="269"/>
      <c r="G86" s="269"/>
      <c r="H86" s="269"/>
      <c r="I86" s="269"/>
      <c r="J86" s="127"/>
      <c r="K86" s="127"/>
      <c r="L86" s="127"/>
      <c r="M86" s="127"/>
      <c r="N86" s="127"/>
      <c r="O86" s="127"/>
      <c r="P86" s="127"/>
      <c r="Q86" s="127"/>
      <c r="R86" s="127"/>
      <c r="S86" s="127"/>
      <c r="T86" s="127"/>
      <c r="U86" s="127"/>
      <c r="V86" s="127"/>
      <c r="W86" s="127"/>
      <c r="X86" s="127"/>
      <c r="Y86" s="127"/>
      <c r="Z86" s="127"/>
      <c r="AA86" s="127"/>
      <c r="AB86" s="127"/>
      <c r="AC86" s="127"/>
      <c r="AD86" s="127"/>
    </row>
    <row r="87" spans="1:30" x14ac:dyDescent="0.25">
      <c r="A87" s="269"/>
      <c r="B87" s="269"/>
      <c r="C87" s="269"/>
      <c r="D87" s="269"/>
      <c r="E87" s="269"/>
      <c r="F87" s="269"/>
      <c r="G87" s="269"/>
      <c r="H87" s="269"/>
      <c r="I87" s="269"/>
      <c r="J87" s="127"/>
      <c r="K87" s="127"/>
      <c r="L87" s="127"/>
      <c r="M87" s="127"/>
      <c r="N87" s="127"/>
      <c r="O87" s="127"/>
      <c r="P87" s="127"/>
      <c r="Q87" s="127"/>
      <c r="R87" s="127"/>
      <c r="S87" s="127"/>
      <c r="T87" s="127"/>
      <c r="U87" s="127"/>
      <c r="V87" s="127"/>
      <c r="W87" s="127"/>
      <c r="X87" s="127"/>
      <c r="Y87" s="127"/>
      <c r="Z87" s="127"/>
      <c r="AA87" s="127"/>
      <c r="AB87" s="127"/>
      <c r="AC87" s="127"/>
      <c r="AD87" s="127"/>
    </row>
    <row r="88" spans="1:30" x14ac:dyDescent="0.25">
      <c r="A88" s="269"/>
      <c r="B88" s="269"/>
      <c r="C88" s="269"/>
      <c r="D88" s="269"/>
      <c r="E88" s="269"/>
      <c r="F88" s="269"/>
      <c r="G88" s="269"/>
      <c r="H88" s="269"/>
      <c r="I88" s="269"/>
      <c r="J88" s="127"/>
      <c r="K88" s="127"/>
      <c r="L88" s="127"/>
      <c r="M88" s="127"/>
      <c r="N88" s="127"/>
      <c r="O88" s="127"/>
      <c r="P88" s="127"/>
      <c r="Q88" s="127"/>
      <c r="R88" s="127"/>
      <c r="S88" s="127"/>
      <c r="T88" s="127"/>
      <c r="U88" s="127"/>
      <c r="V88" s="127"/>
      <c r="W88" s="127"/>
      <c r="X88" s="127"/>
      <c r="Y88" s="127"/>
      <c r="Z88" s="127"/>
      <c r="AA88" s="127"/>
      <c r="AB88" s="127"/>
      <c r="AC88" s="127"/>
      <c r="AD88" s="127"/>
    </row>
    <row r="89" spans="1:30" x14ac:dyDescent="0.25">
      <c r="A89" s="269"/>
      <c r="B89" s="269"/>
      <c r="C89" s="269"/>
      <c r="D89" s="269"/>
      <c r="E89" s="269"/>
      <c r="F89" s="269"/>
      <c r="G89" s="269"/>
      <c r="H89" s="269"/>
      <c r="I89" s="269"/>
      <c r="J89" s="127"/>
      <c r="K89" s="127"/>
      <c r="L89" s="127"/>
      <c r="M89" s="127"/>
      <c r="N89" s="127"/>
      <c r="O89" s="127"/>
      <c r="P89" s="127"/>
      <c r="Q89" s="127"/>
      <c r="R89" s="127"/>
      <c r="S89" s="127"/>
      <c r="T89" s="127"/>
      <c r="U89" s="127"/>
      <c r="V89" s="127"/>
      <c r="W89" s="127"/>
      <c r="X89" s="127"/>
      <c r="Y89" s="127"/>
      <c r="Z89" s="127"/>
      <c r="AA89" s="127"/>
      <c r="AB89" s="127"/>
      <c r="AC89" s="127"/>
      <c r="AD89" s="127"/>
    </row>
    <row r="90" spans="1:30" x14ac:dyDescent="0.25">
      <c r="A90" s="269"/>
      <c r="B90" s="269"/>
      <c r="C90" s="269"/>
      <c r="D90" s="269"/>
      <c r="E90" s="269"/>
      <c r="F90" s="269"/>
      <c r="G90" s="269"/>
      <c r="H90" s="269"/>
      <c r="I90" s="269"/>
      <c r="J90" s="127"/>
      <c r="K90" s="127"/>
      <c r="L90" s="127"/>
      <c r="M90" s="127"/>
      <c r="N90" s="127"/>
      <c r="O90" s="127"/>
      <c r="P90" s="127"/>
      <c r="Q90" s="127"/>
      <c r="R90" s="127"/>
      <c r="S90" s="127"/>
      <c r="T90" s="127"/>
      <c r="U90" s="127"/>
      <c r="V90" s="127"/>
      <c r="W90" s="127"/>
      <c r="X90" s="127"/>
      <c r="Y90" s="127"/>
      <c r="Z90" s="127"/>
      <c r="AA90" s="127"/>
      <c r="AB90" s="127"/>
      <c r="AC90" s="127"/>
      <c r="AD90" s="127"/>
    </row>
    <row r="91" spans="1:30" x14ac:dyDescent="0.25">
      <c r="A91" s="269"/>
      <c r="B91" s="269"/>
      <c r="C91" s="269"/>
      <c r="D91" s="269"/>
      <c r="E91" s="269"/>
      <c r="F91" s="269"/>
      <c r="G91" s="269"/>
      <c r="H91" s="269"/>
      <c r="I91" s="269"/>
      <c r="J91" s="127"/>
      <c r="K91" s="127"/>
      <c r="L91" s="127"/>
      <c r="M91" s="127"/>
      <c r="N91" s="127"/>
      <c r="O91" s="127"/>
      <c r="P91" s="127"/>
      <c r="Q91" s="127"/>
      <c r="R91" s="127"/>
      <c r="S91" s="127"/>
      <c r="T91" s="127"/>
      <c r="U91" s="127"/>
      <c r="V91" s="127"/>
      <c r="W91" s="127"/>
      <c r="X91" s="127"/>
      <c r="Y91" s="127"/>
      <c r="Z91" s="127"/>
      <c r="AA91" s="127"/>
      <c r="AB91" s="127"/>
      <c r="AC91" s="127"/>
      <c r="AD91" s="127"/>
    </row>
    <row r="92" spans="1:30" x14ac:dyDescent="0.25">
      <c r="A92" s="269"/>
      <c r="B92" s="269"/>
      <c r="C92" s="269"/>
      <c r="D92" s="269"/>
      <c r="E92" s="269"/>
      <c r="F92" s="269"/>
      <c r="G92" s="269"/>
      <c r="H92" s="269"/>
      <c r="I92" s="269"/>
      <c r="J92" s="127"/>
      <c r="K92" s="127"/>
      <c r="L92" s="127"/>
      <c r="M92" s="127"/>
      <c r="N92" s="127"/>
      <c r="O92" s="127"/>
      <c r="P92" s="127"/>
      <c r="Q92" s="127"/>
      <c r="R92" s="127"/>
      <c r="S92" s="127"/>
      <c r="T92" s="127"/>
      <c r="U92" s="127"/>
      <c r="V92" s="127"/>
      <c r="W92" s="127"/>
      <c r="X92" s="127"/>
      <c r="Y92" s="127"/>
      <c r="Z92" s="127"/>
      <c r="AA92" s="127"/>
      <c r="AB92" s="127"/>
      <c r="AC92" s="127"/>
      <c r="AD92" s="127"/>
    </row>
    <row r="93" spans="1:30" x14ac:dyDescent="0.25">
      <c r="A93" s="269"/>
      <c r="B93" s="269"/>
      <c r="C93" s="269"/>
      <c r="D93" s="269"/>
      <c r="E93" s="269"/>
      <c r="F93" s="269"/>
      <c r="G93" s="269"/>
      <c r="H93" s="269"/>
      <c r="I93" s="269"/>
      <c r="J93" s="127"/>
      <c r="K93" s="127"/>
      <c r="L93" s="127"/>
      <c r="M93" s="127"/>
      <c r="N93" s="127"/>
      <c r="O93" s="127"/>
      <c r="P93" s="127"/>
      <c r="Q93" s="127"/>
      <c r="R93" s="127"/>
      <c r="S93" s="127"/>
      <c r="T93" s="127"/>
      <c r="U93" s="127"/>
      <c r="V93" s="127"/>
      <c r="W93" s="127"/>
      <c r="X93" s="127"/>
      <c r="Y93" s="127"/>
      <c r="Z93" s="127"/>
      <c r="AA93" s="127"/>
      <c r="AB93" s="127"/>
      <c r="AC93" s="127"/>
      <c r="AD93" s="127"/>
    </row>
    <row r="94" spans="1:30" x14ac:dyDescent="0.25">
      <c r="A94" s="269"/>
      <c r="B94" s="269"/>
      <c r="C94" s="269"/>
      <c r="D94" s="269"/>
      <c r="E94" s="269"/>
      <c r="F94" s="269"/>
      <c r="G94" s="269"/>
      <c r="H94" s="269"/>
      <c r="I94" s="269"/>
      <c r="J94" s="127"/>
      <c r="K94" s="127"/>
      <c r="L94" s="127"/>
      <c r="M94" s="127"/>
      <c r="N94" s="127"/>
      <c r="O94" s="127"/>
      <c r="P94" s="127"/>
      <c r="Q94" s="127"/>
      <c r="R94" s="127"/>
      <c r="S94" s="127"/>
      <c r="T94" s="127"/>
      <c r="U94" s="127"/>
      <c r="V94" s="127"/>
      <c r="W94" s="127"/>
      <c r="X94" s="127"/>
      <c r="Y94" s="127"/>
      <c r="Z94" s="127"/>
      <c r="AA94" s="127"/>
      <c r="AB94" s="127"/>
      <c r="AC94" s="127"/>
      <c r="AD94" s="127"/>
    </row>
    <row r="95" spans="1:30" x14ac:dyDescent="0.25">
      <c r="A95" s="269"/>
      <c r="B95" s="269"/>
      <c r="C95" s="269"/>
      <c r="D95" s="269"/>
      <c r="E95" s="269"/>
      <c r="F95" s="269"/>
      <c r="G95" s="269"/>
      <c r="H95" s="269"/>
      <c r="I95" s="269"/>
      <c r="J95" s="127"/>
      <c r="K95" s="127"/>
      <c r="L95" s="127"/>
      <c r="M95" s="127"/>
      <c r="N95" s="127"/>
      <c r="O95" s="127"/>
      <c r="P95" s="127"/>
      <c r="Q95" s="127"/>
      <c r="R95" s="127"/>
      <c r="S95" s="127"/>
      <c r="T95" s="127"/>
      <c r="U95" s="127"/>
      <c r="V95" s="127"/>
      <c r="W95" s="127"/>
      <c r="X95" s="127"/>
      <c r="Y95" s="127"/>
      <c r="Z95" s="127"/>
      <c r="AA95" s="127"/>
      <c r="AB95" s="127"/>
      <c r="AC95" s="127"/>
      <c r="AD95" s="127"/>
    </row>
    <row r="96" spans="1:30" x14ac:dyDescent="0.25">
      <c r="A96" s="269"/>
      <c r="B96" s="269"/>
      <c r="C96" s="269"/>
      <c r="D96" s="269"/>
      <c r="E96" s="269"/>
      <c r="F96" s="269"/>
      <c r="G96" s="269"/>
      <c r="H96" s="269"/>
      <c r="I96" s="269"/>
      <c r="J96" s="127"/>
      <c r="K96" s="127"/>
      <c r="L96" s="127"/>
      <c r="M96" s="127"/>
      <c r="N96" s="127"/>
      <c r="O96" s="127"/>
      <c r="P96" s="127"/>
      <c r="Q96" s="127"/>
      <c r="R96" s="127"/>
      <c r="S96" s="127"/>
      <c r="T96" s="127"/>
      <c r="U96" s="127"/>
      <c r="V96" s="127"/>
      <c r="W96" s="127"/>
      <c r="X96" s="127"/>
      <c r="Y96" s="127"/>
      <c r="Z96" s="127"/>
      <c r="AA96" s="127"/>
      <c r="AB96" s="127"/>
      <c r="AC96" s="127"/>
      <c r="AD96" s="127"/>
    </row>
    <row r="97" spans="1:30" x14ac:dyDescent="0.25">
      <c r="A97" s="269"/>
      <c r="B97" s="269"/>
      <c r="C97" s="269"/>
      <c r="D97" s="269"/>
      <c r="E97" s="269"/>
      <c r="F97" s="269"/>
      <c r="G97" s="269"/>
      <c r="H97" s="269"/>
      <c r="I97" s="269"/>
      <c r="J97" s="127"/>
      <c r="K97" s="127"/>
      <c r="L97" s="127"/>
      <c r="M97" s="127"/>
      <c r="N97" s="127"/>
      <c r="O97" s="127"/>
      <c r="P97" s="127"/>
      <c r="Q97" s="127"/>
      <c r="R97" s="127"/>
      <c r="S97" s="127"/>
      <c r="T97" s="127"/>
      <c r="U97" s="127"/>
      <c r="V97" s="127"/>
      <c r="W97" s="127"/>
      <c r="X97" s="127"/>
      <c r="Y97" s="127"/>
      <c r="Z97" s="127"/>
      <c r="AA97" s="127"/>
      <c r="AB97" s="127"/>
      <c r="AC97" s="127"/>
      <c r="AD97" s="127"/>
    </row>
    <row r="98" spans="1:30" x14ac:dyDescent="0.25">
      <c r="A98" s="269"/>
      <c r="B98" s="269"/>
      <c r="C98" s="269"/>
      <c r="D98" s="269"/>
      <c r="E98" s="269"/>
      <c r="F98" s="269"/>
      <c r="G98" s="269"/>
      <c r="H98" s="269"/>
      <c r="I98" s="269"/>
      <c r="J98" s="127"/>
      <c r="K98" s="127"/>
      <c r="L98" s="127"/>
      <c r="M98" s="127"/>
      <c r="N98" s="127"/>
      <c r="O98" s="127"/>
      <c r="P98" s="127"/>
      <c r="Q98" s="127"/>
      <c r="R98" s="127"/>
      <c r="S98" s="127"/>
      <c r="T98" s="127"/>
      <c r="U98" s="127"/>
      <c r="V98" s="127"/>
      <c r="W98" s="127"/>
      <c r="X98" s="127"/>
      <c r="Y98" s="127"/>
      <c r="Z98" s="127"/>
      <c r="AA98" s="127"/>
      <c r="AB98" s="127"/>
      <c r="AC98" s="127"/>
      <c r="AD98" s="127"/>
    </row>
    <row r="99" spans="1:30" x14ac:dyDescent="0.25">
      <c r="A99" s="269"/>
      <c r="B99" s="269"/>
      <c r="C99" s="269"/>
      <c r="D99" s="269"/>
      <c r="E99" s="269"/>
      <c r="F99" s="269"/>
      <c r="G99" s="269"/>
      <c r="H99" s="269"/>
      <c r="I99" s="269"/>
      <c r="J99" s="127"/>
      <c r="K99" s="127"/>
      <c r="L99" s="127"/>
      <c r="M99" s="127"/>
      <c r="N99" s="127"/>
      <c r="O99" s="127"/>
      <c r="P99" s="127"/>
      <c r="Q99" s="127"/>
      <c r="R99" s="127"/>
      <c r="S99" s="127"/>
      <c r="T99" s="127"/>
      <c r="U99" s="127"/>
      <c r="V99" s="127"/>
      <c r="W99" s="127"/>
      <c r="X99" s="127"/>
      <c r="Y99" s="127"/>
      <c r="Z99" s="127"/>
      <c r="AA99" s="127"/>
      <c r="AB99" s="127"/>
      <c r="AC99" s="127"/>
      <c r="AD99" s="127"/>
    </row>
    <row r="100" spans="1:30" x14ac:dyDescent="0.25">
      <c r="A100" s="269"/>
      <c r="B100" s="269"/>
      <c r="C100" s="269"/>
      <c r="D100" s="269"/>
      <c r="E100" s="269"/>
      <c r="F100" s="269"/>
      <c r="G100" s="269"/>
      <c r="H100" s="269"/>
      <c r="I100" s="269"/>
      <c r="J100" s="127"/>
      <c r="K100" s="127"/>
      <c r="L100" s="127"/>
      <c r="M100" s="127"/>
      <c r="N100" s="127"/>
      <c r="O100" s="127"/>
      <c r="P100" s="127"/>
      <c r="Q100" s="127"/>
      <c r="R100" s="127"/>
      <c r="S100" s="127"/>
      <c r="T100" s="127"/>
      <c r="U100" s="127"/>
      <c r="V100" s="127"/>
      <c r="W100" s="127"/>
      <c r="X100" s="127"/>
      <c r="Y100" s="127"/>
      <c r="Z100" s="127"/>
      <c r="AA100" s="127"/>
      <c r="AB100" s="127"/>
      <c r="AC100" s="127"/>
      <c r="AD100" s="127"/>
    </row>
    <row r="101" spans="1:30" x14ac:dyDescent="0.25">
      <c r="A101" s="269"/>
      <c r="B101" s="269"/>
      <c r="C101" s="269"/>
      <c r="D101" s="269"/>
      <c r="E101" s="269"/>
      <c r="F101" s="269"/>
      <c r="G101" s="269"/>
      <c r="H101" s="269"/>
      <c r="I101" s="269"/>
      <c r="J101" s="127"/>
      <c r="K101" s="127"/>
      <c r="L101" s="127"/>
      <c r="M101" s="127"/>
      <c r="N101" s="127"/>
      <c r="O101" s="127"/>
      <c r="P101" s="127"/>
      <c r="Q101" s="127"/>
      <c r="R101" s="127"/>
      <c r="S101" s="127"/>
      <c r="T101" s="127"/>
      <c r="U101" s="127"/>
      <c r="V101" s="127"/>
      <c r="W101" s="127"/>
      <c r="X101" s="127"/>
      <c r="Y101" s="127"/>
      <c r="Z101" s="127"/>
      <c r="AA101" s="127"/>
      <c r="AB101" s="127"/>
      <c r="AC101" s="127"/>
      <c r="AD101" s="127"/>
    </row>
    <row r="102" spans="1:30" x14ac:dyDescent="0.25">
      <c r="A102" s="269"/>
      <c r="B102" s="269"/>
      <c r="C102" s="269"/>
      <c r="D102" s="269"/>
      <c r="E102" s="269"/>
      <c r="F102" s="269"/>
      <c r="G102" s="269"/>
      <c r="H102" s="269"/>
      <c r="I102" s="269"/>
      <c r="J102" s="127"/>
      <c r="K102" s="127"/>
      <c r="L102" s="127"/>
      <c r="M102" s="127"/>
      <c r="N102" s="127"/>
      <c r="O102" s="127"/>
      <c r="P102" s="127"/>
      <c r="Q102" s="127"/>
      <c r="R102" s="127"/>
      <c r="S102" s="127"/>
      <c r="T102" s="127"/>
      <c r="U102" s="127"/>
      <c r="V102" s="127"/>
      <c r="W102" s="127"/>
      <c r="X102" s="127"/>
      <c r="Y102" s="127"/>
      <c r="Z102" s="127"/>
      <c r="AA102" s="127"/>
      <c r="AB102" s="127"/>
      <c r="AC102" s="127"/>
      <c r="AD102" s="127"/>
    </row>
    <row r="103" spans="1:30" x14ac:dyDescent="0.25">
      <c r="A103" s="269"/>
      <c r="B103" s="269"/>
      <c r="C103" s="269"/>
      <c r="D103" s="269"/>
      <c r="E103" s="269"/>
      <c r="F103" s="269"/>
      <c r="G103" s="269"/>
      <c r="H103" s="269"/>
      <c r="I103" s="269"/>
      <c r="J103" s="127"/>
      <c r="K103" s="127"/>
      <c r="L103" s="127"/>
      <c r="M103" s="127"/>
      <c r="N103" s="127"/>
      <c r="O103" s="127"/>
      <c r="P103" s="127"/>
      <c r="Q103" s="127"/>
      <c r="R103" s="127"/>
      <c r="S103" s="127"/>
      <c r="T103" s="127"/>
      <c r="U103" s="127"/>
      <c r="V103" s="127"/>
      <c r="W103" s="127"/>
      <c r="X103" s="127"/>
      <c r="Y103" s="127"/>
      <c r="Z103" s="127"/>
      <c r="AA103" s="127"/>
      <c r="AB103" s="127"/>
      <c r="AC103" s="127"/>
      <c r="AD103" s="127"/>
    </row>
    <row r="104" spans="1:30" x14ac:dyDescent="0.25">
      <c r="A104" s="269"/>
      <c r="B104" s="269"/>
      <c r="C104" s="269"/>
      <c r="D104" s="269"/>
      <c r="E104" s="269"/>
      <c r="F104" s="269"/>
      <c r="G104" s="269"/>
      <c r="H104" s="269"/>
      <c r="I104" s="269"/>
      <c r="J104" s="127"/>
      <c r="K104" s="127"/>
      <c r="L104" s="127"/>
      <c r="M104" s="127"/>
      <c r="N104" s="127"/>
      <c r="O104" s="127"/>
      <c r="P104" s="127"/>
      <c r="Q104" s="127"/>
      <c r="R104" s="127"/>
      <c r="S104" s="127"/>
      <c r="T104" s="127"/>
      <c r="U104" s="127"/>
      <c r="V104" s="127"/>
      <c r="W104" s="127"/>
      <c r="X104" s="127"/>
      <c r="Y104" s="127"/>
      <c r="Z104" s="127"/>
      <c r="AA104" s="127"/>
      <c r="AB104" s="127"/>
      <c r="AC104" s="127"/>
      <c r="AD104" s="127"/>
    </row>
    <row r="105" spans="1:30" x14ac:dyDescent="0.25">
      <c r="A105" s="269"/>
      <c r="B105" s="269"/>
      <c r="C105" s="269"/>
      <c r="D105" s="269"/>
      <c r="E105" s="269"/>
      <c r="F105" s="269"/>
      <c r="G105" s="269"/>
      <c r="H105" s="269"/>
      <c r="I105" s="269"/>
      <c r="J105" s="127"/>
      <c r="K105" s="127"/>
      <c r="L105" s="127"/>
      <c r="M105" s="127"/>
      <c r="N105" s="127"/>
      <c r="O105" s="127"/>
      <c r="P105" s="127"/>
      <c r="Q105" s="127"/>
      <c r="R105" s="127"/>
      <c r="S105" s="127"/>
      <c r="T105" s="127"/>
      <c r="U105" s="127"/>
      <c r="V105" s="127"/>
      <c r="W105" s="127"/>
      <c r="X105" s="127"/>
      <c r="Y105" s="127"/>
      <c r="Z105" s="127"/>
      <c r="AA105" s="127"/>
      <c r="AB105" s="127"/>
      <c r="AC105" s="127"/>
      <c r="AD105" s="127"/>
    </row>
  </sheetData>
  <sheetProtection password="CF7D" sheet="1" objects="1" scenarios="1"/>
  <mergeCells count="9">
    <mergeCell ref="B1:H1"/>
    <mergeCell ref="B7:D7"/>
    <mergeCell ref="B8:D8"/>
    <mergeCell ref="B9:D9"/>
    <mergeCell ref="B11:D11"/>
    <mergeCell ref="B3:D3"/>
    <mergeCell ref="B5:D5"/>
    <mergeCell ref="F3:H3"/>
    <mergeCell ref="B10:D10"/>
  </mergeCells>
  <phoneticPr fontId="2" type="noConversion"/>
  <conditionalFormatting sqref="E8:E11">
    <cfRule type="cellIs" dxfId="8" priority="5" stopIfTrue="1" operator="greaterThan">
      <formula>550</formula>
    </cfRule>
  </conditionalFormatting>
  <conditionalFormatting sqref="F8:F11">
    <cfRule type="cellIs" dxfId="7" priority="1" stopIfTrue="1" operator="lessThanOrEqual">
      <formula>0</formula>
    </cfRule>
  </conditionalFormatting>
  <conditionalFormatting sqref="H4">
    <cfRule type="cellIs" dxfId="6" priority="2" stopIfTrue="1" operator="greaterThan">
      <formula>1</formula>
    </cfRule>
  </conditionalFormatting>
  <dataValidations count="1">
    <dataValidation type="decimal" operator="greaterThanOrEqual" allowBlank="1" showInputMessage="1" showErrorMessage="1" errorTitle="Invalid Clock Frequency" error="The clock frequency must be a decimal number greater than 0.0." sqref="E8:E12" xr:uid="{00000000-0002-0000-0B00-000000000000}">
      <formula1>0</formula1>
    </dataValidation>
  </dataValidations>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39937" r:id="rId4" name="Summary">
          <controlPr defaultSize="0" autoLine="0" r:id="rId5">
            <anchor moveWithCells="1">
              <from>
                <xdr:col>1</xdr:col>
                <xdr:colOff>38100</xdr:colOff>
                <xdr:row>0</xdr:row>
                <xdr:rowOff>38100</xdr:rowOff>
              </from>
              <to>
                <xdr:col>2</xdr:col>
                <xdr:colOff>510540</xdr:colOff>
                <xdr:row>0</xdr:row>
                <xdr:rowOff>312420</xdr:rowOff>
              </to>
            </anchor>
          </controlPr>
        </control>
      </mc:Choice>
      <mc:Fallback>
        <control shapeId="39937" r:id="rId4" name="Summary"/>
      </mc:Fallback>
    </mc:AlternateContent>
  </control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tabColor indexed="51"/>
  </sheetPr>
  <dimension ref="A1:AJ669"/>
  <sheetViews>
    <sheetView topLeftCell="A45" workbookViewId="0">
      <selection activeCell="A55" sqref="A55"/>
    </sheetView>
  </sheetViews>
  <sheetFormatPr baseColWidth="10" defaultColWidth="9" defaultRowHeight="13.2" x14ac:dyDescent="0.25"/>
  <cols>
    <col min="1" max="1" width="25.21875" customWidth="1"/>
    <col min="2" max="2" width="11.88671875" customWidth="1"/>
    <col min="3" max="3" width="9" customWidth="1"/>
    <col min="4" max="4" width="9.77734375" customWidth="1"/>
    <col min="5" max="7" width="9" customWidth="1"/>
    <col min="8" max="8" width="10" customWidth="1"/>
    <col min="9" max="11" width="9" customWidth="1"/>
    <col min="12" max="12" width="9.77734375" customWidth="1"/>
    <col min="13" max="13" width="9.6640625" customWidth="1"/>
    <col min="14" max="14" width="9.33203125" customWidth="1"/>
    <col min="15" max="15" width="10" customWidth="1"/>
    <col min="16" max="16" width="10.77734375" customWidth="1"/>
    <col min="17" max="17" width="9.33203125" customWidth="1"/>
    <col min="18" max="24" width="9" customWidth="1"/>
    <col min="25" max="25" width="8.21875" customWidth="1"/>
    <col min="26" max="26" width="8.109375" customWidth="1"/>
  </cols>
  <sheetData>
    <row r="1" spans="1:36" x14ac:dyDescent="0.25">
      <c r="A1" s="7" t="s">
        <v>82</v>
      </c>
      <c r="B1" s="7" t="s">
        <v>48</v>
      </c>
      <c r="C1" s="7" t="s">
        <v>49</v>
      </c>
      <c r="D1" s="7" t="s">
        <v>50</v>
      </c>
      <c r="E1" s="7" t="s">
        <v>1306</v>
      </c>
      <c r="F1" s="7" t="s">
        <v>94</v>
      </c>
      <c r="G1" s="7" t="s">
        <v>105</v>
      </c>
      <c r="I1" s="7" t="s">
        <v>95</v>
      </c>
      <c r="J1" s="7" t="s">
        <v>685</v>
      </c>
      <c r="K1" s="7" t="s">
        <v>122</v>
      </c>
      <c r="L1" s="7" t="s">
        <v>790</v>
      </c>
      <c r="N1" s="7" t="s">
        <v>1063</v>
      </c>
    </row>
    <row r="2" spans="1:36" x14ac:dyDescent="0.25">
      <c r="A2" t="s">
        <v>51</v>
      </c>
      <c r="B2">
        <v>1.2</v>
      </c>
      <c r="C2">
        <v>0.94</v>
      </c>
      <c r="D2">
        <v>1.06</v>
      </c>
      <c r="E2">
        <v>0</v>
      </c>
      <c r="F2" t="s">
        <v>118</v>
      </c>
      <c r="G2" t="s">
        <v>382</v>
      </c>
      <c r="I2" t="s">
        <v>120</v>
      </c>
      <c r="J2" s="62" t="s">
        <v>1361</v>
      </c>
      <c r="K2" t="s">
        <v>123</v>
      </c>
      <c r="L2" t="s">
        <v>791</v>
      </c>
      <c r="N2" t="s">
        <v>458</v>
      </c>
    </row>
    <row r="3" spans="1:36" x14ac:dyDescent="0.25">
      <c r="A3" t="s">
        <v>52</v>
      </c>
      <c r="B3">
        <v>2.5</v>
      </c>
      <c r="C3">
        <v>2.375</v>
      </c>
      <c r="D3">
        <v>2.625</v>
      </c>
      <c r="E3">
        <v>85</v>
      </c>
      <c r="F3" t="s">
        <v>119</v>
      </c>
      <c r="G3" t="s">
        <v>378</v>
      </c>
      <c r="I3" t="s">
        <v>121</v>
      </c>
      <c r="J3" s="525" t="s">
        <v>1300</v>
      </c>
      <c r="K3" t="s">
        <v>124</v>
      </c>
      <c r="L3" t="s">
        <v>560</v>
      </c>
      <c r="N3" t="s">
        <v>1083</v>
      </c>
    </row>
    <row r="4" spans="1:36" x14ac:dyDescent="0.25">
      <c r="A4" t="s">
        <v>21</v>
      </c>
      <c r="B4">
        <v>3.3</v>
      </c>
      <c r="C4">
        <v>3.15</v>
      </c>
      <c r="D4">
        <v>3.45</v>
      </c>
      <c r="G4" t="s">
        <v>379</v>
      </c>
      <c r="J4" s="525" t="s">
        <v>1301</v>
      </c>
      <c r="L4" t="s">
        <v>812</v>
      </c>
      <c r="N4" t="s">
        <v>1360</v>
      </c>
    </row>
    <row r="5" spans="1:36" x14ac:dyDescent="0.25">
      <c r="A5" t="s">
        <v>22</v>
      </c>
      <c r="B5">
        <v>2.5</v>
      </c>
      <c r="C5">
        <v>2.38</v>
      </c>
      <c r="D5">
        <v>2.63</v>
      </c>
      <c r="J5" s="62" t="s">
        <v>1305</v>
      </c>
      <c r="L5" s="498" t="s">
        <v>1270</v>
      </c>
    </row>
    <row r="6" spans="1:36" x14ac:dyDescent="0.25">
      <c r="A6" t="s">
        <v>23</v>
      </c>
      <c r="B6">
        <v>1.8</v>
      </c>
      <c r="J6" s="62"/>
      <c r="L6" s="498" t="s">
        <v>1322</v>
      </c>
    </row>
    <row r="7" spans="1:36" x14ac:dyDescent="0.25">
      <c r="A7" t="s">
        <v>24</v>
      </c>
      <c r="B7">
        <v>1.5</v>
      </c>
      <c r="L7" s="498" t="s">
        <v>1286</v>
      </c>
    </row>
    <row r="8" spans="1:36" x14ac:dyDescent="0.25">
      <c r="A8" t="s">
        <v>25</v>
      </c>
      <c r="B8">
        <v>1.2</v>
      </c>
    </row>
    <row r="9" spans="1:36" x14ac:dyDescent="0.25">
      <c r="A9" t="s">
        <v>597</v>
      </c>
      <c r="B9">
        <v>1</v>
      </c>
      <c r="C9">
        <v>0.95</v>
      </c>
      <c r="D9">
        <v>1.05</v>
      </c>
    </row>
    <row r="10" spans="1:36" x14ac:dyDescent="0.25">
      <c r="A10" t="s">
        <v>600</v>
      </c>
      <c r="B10">
        <v>1</v>
      </c>
      <c r="C10">
        <v>0.95</v>
      </c>
      <c r="D10">
        <v>1.05</v>
      </c>
    </row>
    <row r="11" spans="1:36" x14ac:dyDescent="0.25">
      <c r="A11" t="s">
        <v>601</v>
      </c>
      <c r="B11">
        <v>1</v>
      </c>
      <c r="C11">
        <v>0.95</v>
      </c>
      <c r="D11">
        <v>1.05</v>
      </c>
    </row>
    <row r="12" spans="1:36" x14ac:dyDescent="0.25">
      <c r="A12" t="s">
        <v>598</v>
      </c>
      <c r="B12">
        <v>1.2</v>
      </c>
    </row>
    <row r="13" spans="1:36" x14ac:dyDescent="0.25">
      <c r="A13" t="s">
        <v>599</v>
      </c>
      <c r="B13">
        <v>1.2</v>
      </c>
    </row>
    <row r="15" spans="1:36" x14ac:dyDescent="0.25">
      <c r="C15" s="919" t="s">
        <v>118</v>
      </c>
      <c r="D15" s="920"/>
      <c r="E15" s="919" t="s">
        <v>1271</v>
      </c>
      <c r="F15" s="920"/>
      <c r="G15" s="923" t="s">
        <v>119</v>
      </c>
      <c r="H15" s="920"/>
      <c r="I15" s="919" t="s">
        <v>1272</v>
      </c>
      <c r="J15" s="920"/>
      <c r="L15" s="916" t="s">
        <v>118</v>
      </c>
      <c r="M15" s="916"/>
      <c r="N15" s="916" t="s">
        <v>119</v>
      </c>
      <c r="O15" s="916"/>
    </row>
    <row r="16" spans="1:36" ht="26.25" customHeight="1" x14ac:dyDescent="0.25">
      <c r="A16" s="7" t="s">
        <v>81</v>
      </c>
      <c r="B16" s="7" t="s">
        <v>53</v>
      </c>
      <c r="C16" s="105" t="s">
        <v>95</v>
      </c>
      <c r="D16" s="516" t="s">
        <v>383</v>
      </c>
      <c r="E16" s="105" t="s">
        <v>95</v>
      </c>
      <c r="F16" s="516" t="s">
        <v>383</v>
      </c>
      <c r="G16" s="105" t="s">
        <v>95</v>
      </c>
      <c r="H16" s="516" t="s">
        <v>383</v>
      </c>
      <c r="I16" s="105" t="s">
        <v>95</v>
      </c>
      <c r="J16" s="516" t="s">
        <v>383</v>
      </c>
      <c r="K16" s="7" t="s">
        <v>54</v>
      </c>
      <c r="L16" s="7" t="s">
        <v>95</v>
      </c>
      <c r="M16" s="519" t="s">
        <v>1277</v>
      </c>
      <c r="N16" s="7" t="s">
        <v>95</v>
      </c>
      <c r="O16" s="519" t="s">
        <v>1276</v>
      </c>
      <c r="P16" s="7" t="s">
        <v>55</v>
      </c>
      <c r="Q16" s="7" t="s">
        <v>320</v>
      </c>
      <c r="R16" s="7" t="s">
        <v>119</v>
      </c>
      <c r="S16" s="7" t="s">
        <v>1334</v>
      </c>
      <c r="T16" s="7" t="s">
        <v>1335</v>
      </c>
      <c r="U16" s="7" t="s">
        <v>648</v>
      </c>
      <c r="V16" s="7" t="s">
        <v>649</v>
      </c>
      <c r="W16" s="7" t="s">
        <v>56</v>
      </c>
      <c r="X16" s="7" t="s">
        <v>57</v>
      </c>
      <c r="Y16" s="7" t="s">
        <v>58</v>
      </c>
      <c r="Z16" s="7" t="s">
        <v>59</v>
      </c>
      <c r="AA16" s="7" t="s">
        <v>683</v>
      </c>
      <c r="AB16" s="7" t="s">
        <v>219</v>
      </c>
      <c r="AC16" s="7" t="s">
        <v>556</v>
      </c>
      <c r="AD16" s="7" t="s">
        <v>557</v>
      </c>
      <c r="AE16" s="7" t="s">
        <v>558</v>
      </c>
      <c r="AF16" s="7" t="s">
        <v>63</v>
      </c>
      <c r="AJ16" s="7"/>
    </row>
    <row r="17" spans="1:36" x14ac:dyDescent="0.25">
      <c r="A17" t="s">
        <v>322</v>
      </c>
      <c r="B17">
        <v>2</v>
      </c>
      <c r="C17" s="507">
        <v>3.55</v>
      </c>
      <c r="D17" s="512">
        <v>20</v>
      </c>
      <c r="E17" s="507">
        <v>3.55</v>
      </c>
      <c r="F17" s="512">
        <v>20</v>
      </c>
      <c r="G17" s="507">
        <v>3.2000000000000003E-4</v>
      </c>
      <c r="H17" s="512">
        <v>30</v>
      </c>
      <c r="I17" s="507">
        <v>3.2000000000000003E-4</v>
      </c>
      <c r="J17" s="512">
        <v>30</v>
      </c>
      <c r="K17">
        <v>3</v>
      </c>
      <c r="L17" s="6">
        <v>7.8E-2</v>
      </c>
      <c r="M17">
        <v>8</v>
      </c>
      <c r="N17">
        <v>0.15</v>
      </c>
      <c r="O17">
        <v>10</v>
      </c>
      <c r="P17">
        <v>0.2</v>
      </c>
      <c r="Q17">
        <v>2</v>
      </c>
      <c r="R17">
        <v>3</v>
      </c>
      <c r="S17">
        <v>1</v>
      </c>
      <c r="T17">
        <v>1</v>
      </c>
      <c r="U17">
        <v>7</v>
      </c>
      <c r="V17">
        <v>5</v>
      </c>
      <c r="W17">
        <v>1408</v>
      </c>
      <c r="X17">
        <v>1408</v>
      </c>
      <c r="Y17">
        <v>3</v>
      </c>
      <c r="Z17">
        <v>2</v>
      </c>
      <c r="AA17">
        <v>3</v>
      </c>
      <c r="AB17">
        <v>0</v>
      </c>
      <c r="AC17">
        <v>0</v>
      </c>
      <c r="AD17">
        <v>0</v>
      </c>
      <c r="AE17">
        <v>0</v>
      </c>
      <c r="AF17" t="s">
        <v>428</v>
      </c>
      <c r="AG17" t="s">
        <v>224</v>
      </c>
      <c r="AH17" t="s">
        <v>225</v>
      </c>
    </row>
    <row r="18" spans="1:36" x14ac:dyDescent="0.25">
      <c r="A18" t="s">
        <v>384</v>
      </c>
      <c r="B18">
        <v>2</v>
      </c>
      <c r="C18" s="507">
        <v>3.55</v>
      </c>
      <c r="D18" s="512">
        <v>20</v>
      </c>
      <c r="E18" s="507">
        <v>3.55</v>
      </c>
      <c r="F18" s="512">
        <v>20</v>
      </c>
      <c r="G18" s="507">
        <v>3.2000000000000003E-4</v>
      </c>
      <c r="H18" s="512">
        <v>30</v>
      </c>
      <c r="I18" s="507">
        <v>3.2000000000000003E-4</v>
      </c>
      <c r="J18" s="512">
        <v>30</v>
      </c>
      <c r="K18">
        <v>3.1</v>
      </c>
      <c r="L18" s="6">
        <v>7.8E-2</v>
      </c>
      <c r="M18">
        <v>8.1</v>
      </c>
      <c r="N18">
        <v>0.15</v>
      </c>
      <c r="O18">
        <v>10.1</v>
      </c>
      <c r="P18">
        <v>0.2</v>
      </c>
      <c r="Q18">
        <v>2</v>
      </c>
      <c r="R18">
        <v>3</v>
      </c>
      <c r="S18">
        <v>1</v>
      </c>
      <c r="T18">
        <v>1</v>
      </c>
      <c r="U18">
        <v>7</v>
      </c>
      <c r="V18">
        <v>5</v>
      </c>
      <c r="W18">
        <v>1408</v>
      </c>
      <c r="X18">
        <v>1408</v>
      </c>
      <c r="Y18">
        <v>3</v>
      </c>
      <c r="Z18">
        <v>2</v>
      </c>
      <c r="AA18">
        <v>3</v>
      </c>
      <c r="AB18">
        <v>0</v>
      </c>
      <c r="AC18">
        <v>0</v>
      </c>
      <c r="AD18">
        <v>0</v>
      </c>
      <c r="AE18">
        <v>0</v>
      </c>
      <c r="AF18" t="s">
        <v>224</v>
      </c>
      <c r="AG18" t="s">
        <v>225</v>
      </c>
    </row>
    <row r="19" spans="1:36" x14ac:dyDescent="0.25">
      <c r="A19" t="s">
        <v>323</v>
      </c>
      <c r="B19">
        <v>7</v>
      </c>
      <c r="C19" s="507">
        <v>2.58</v>
      </c>
      <c r="D19" s="512">
        <v>50</v>
      </c>
      <c r="E19" s="507">
        <v>2.58</v>
      </c>
      <c r="F19" s="512">
        <v>50</v>
      </c>
      <c r="G19" s="508">
        <v>4.8999999999999998E-4</v>
      </c>
      <c r="H19" s="512">
        <v>70</v>
      </c>
      <c r="I19" s="508">
        <v>4.8999999999999998E-4</v>
      </c>
      <c r="J19" s="512">
        <v>70</v>
      </c>
      <c r="K19">
        <v>5</v>
      </c>
      <c r="L19" s="6">
        <v>0.115</v>
      </c>
      <c r="M19">
        <v>12</v>
      </c>
      <c r="N19">
        <v>0.25</v>
      </c>
      <c r="O19">
        <v>15</v>
      </c>
      <c r="P19">
        <v>0.2</v>
      </c>
      <c r="Q19">
        <v>2</v>
      </c>
      <c r="R19">
        <v>3</v>
      </c>
      <c r="S19">
        <v>1</v>
      </c>
      <c r="T19">
        <v>1</v>
      </c>
      <c r="U19">
        <v>9</v>
      </c>
      <c r="V19">
        <v>6</v>
      </c>
      <c r="W19">
        <v>3584</v>
      </c>
      <c r="X19">
        <v>3584</v>
      </c>
      <c r="Y19">
        <v>16</v>
      </c>
      <c r="Z19">
        <v>4</v>
      </c>
      <c r="AA19">
        <v>16</v>
      </c>
      <c r="AB19">
        <v>0</v>
      </c>
      <c r="AC19">
        <v>0</v>
      </c>
      <c r="AD19">
        <v>0</v>
      </c>
      <c r="AE19">
        <v>0</v>
      </c>
      <c r="AF19" t="s">
        <v>428</v>
      </c>
      <c r="AG19" t="s">
        <v>225</v>
      </c>
      <c r="AH19" t="s">
        <v>226</v>
      </c>
    </row>
    <row r="20" spans="1:36" x14ac:dyDescent="0.25">
      <c r="A20" t="s">
        <v>385</v>
      </c>
      <c r="B20">
        <v>7</v>
      </c>
      <c r="C20" s="507">
        <v>2.58</v>
      </c>
      <c r="D20" s="512">
        <v>50</v>
      </c>
      <c r="E20" s="507">
        <v>2.58</v>
      </c>
      <c r="F20" s="512">
        <v>50</v>
      </c>
      <c r="G20" s="508">
        <v>4.8999999999999998E-4</v>
      </c>
      <c r="H20" s="512">
        <v>70</v>
      </c>
      <c r="I20" s="508">
        <v>4.8999999999999998E-4</v>
      </c>
      <c r="J20" s="512">
        <v>70</v>
      </c>
      <c r="K20">
        <v>5.0999999999999996</v>
      </c>
      <c r="L20" s="6">
        <v>0.115</v>
      </c>
      <c r="M20">
        <v>12.1</v>
      </c>
      <c r="N20">
        <v>0.25</v>
      </c>
      <c r="O20">
        <v>15.1</v>
      </c>
      <c r="P20">
        <v>0.2</v>
      </c>
      <c r="Q20">
        <v>2</v>
      </c>
      <c r="R20">
        <v>3</v>
      </c>
      <c r="S20">
        <v>1</v>
      </c>
      <c r="T20">
        <v>1</v>
      </c>
      <c r="U20">
        <v>9</v>
      </c>
      <c r="V20">
        <v>6</v>
      </c>
      <c r="W20">
        <v>3584</v>
      </c>
      <c r="X20">
        <v>3584</v>
      </c>
      <c r="Y20">
        <v>16</v>
      </c>
      <c r="Z20">
        <v>4</v>
      </c>
      <c r="AA20">
        <v>16</v>
      </c>
      <c r="AB20">
        <v>0</v>
      </c>
      <c r="AC20">
        <v>0</v>
      </c>
      <c r="AD20">
        <v>0</v>
      </c>
      <c r="AE20">
        <v>0</v>
      </c>
      <c r="AF20" t="s">
        <v>225</v>
      </c>
    </row>
    <row r="21" spans="1:36" x14ac:dyDescent="0.25">
      <c r="A21" t="s">
        <v>324</v>
      </c>
      <c r="B21">
        <v>10</v>
      </c>
      <c r="C21" s="507">
        <v>3.1</v>
      </c>
      <c r="D21" s="512">
        <v>85</v>
      </c>
      <c r="E21" s="507">
        <v>3.1</v>
      </c>
      <c r="F21" s="512">
        <v>85</v>
      </c>
      <c r="G21" s="507">
        <v>1.24E-3</v>
      </c>
      <c r="H21" s="512">
        <v>125</v>
      </c>
      <c r="I21" s="507">
        <v>1.24E-3</v>
      </c>
      <c r="J21" s="512">
        <v>125</v>
      </c>
      <c r="K21">
        <v>5</v>
      </c>
      <c r="L21" s="6">
        <v>0.222</v>
      </c>
      <c r="M21">
        <v>18</v>
      </c>
      <c r="N21">
        <v>0.56000000000000005</v>
      </c>
      <c r="O21">
        <v>24</v>
      </c>
      <c r="P21">
        <v>0.3</v>
      </c>
      <c r="Q21">
        <v>3</v>
      </c>
      <c r="R21">
        <v>4</v>
      </c>
      <c r="S21">
        <v>1</v>
      </c>
      <c r="T21">
        <v>1</v>
      </c>
      <c r="U21">
        <v>12</v>
      </c>
      <c r="V21">
        <v>7</v>
      </c>
      <c r="W21">
        <v>7168</v>
      </c>
      <c r="X21">
        <v>7168</v>
      </c>
      <c r="Y21">
        <v>20</v>
      </c>
      <c r="Z21">
        <v>4</v>
      </c>
      <c r="AA21">
        <v>20</v>
      </c>
      <c r="AB21">
        <v>0</v>
      </c>
      <c r="AC21">
        <v>0</v>
      </c>
      <c r="AD21">
        <v>0</v>
      </c>
      <c r="AE21">
        <v>0</v>
      </c>
      <c r="AF21" t="s">
        <v>225</v>
      </c>
      <c r="AG21" t="s">
        <v>226</v>
      </c>
      <c r="AH21" t="s">
        <v>227</v>
      </c>
    </row>
    <row r="22" spans="1:36" x14ac:dyDescent="0.25">
      <c r="A22" t="s">
        <v>386</v>
      </c>
      <c r="B22">
        <v>10</v>
      </c>
      <c r="C22" s="507">
        <v>3.1</v>
      </c>
      <c r="D22" s="512">
        <v>85</v>
      </c>
      <c r="E22" s="507">
        <v>3.1</v>
      </c>
      <c r="F22" s="512">
        <v>85</v>
      </c>
      <c r="G22" s="507">
        <v>1.24E-3</v>
      </c>
      <c r="H22" s="512">
        <v>125</v>
      </c>
      <c r="I22" s="507">
        <v>1.24E-3</v>
      </c>
      <c r="J22" s="512">
        <v>125</v>
      </c>
      <c r="K22">
        <v>5.0999999999999996</v>
      </c>
      <c r="L22" s="6">
        <v>0.222</v>
      </c>
      <c r="M22">
        <v>18.100000000000001</v>
      </c>
      <c r="N22">
        <v>0.56000000000000005</v>
      </c>
      <c r="O22">
        <v>24.1</v>
      </c>
      <c r="P22">
        <v>0.3</v>
      </c>
      <c r="Q22">
        <v>3</v>
      </c>
      <c r="R22">
        <v>4</v>
      </c>
      <c r="S22">
        <v>1</v>
      </c>
      <c r="T22">
        <v>1</v>
      </c>
      <c r="U22">
        <v>12</v>
      </c>
      <c r="V22">
        <v>7</v>
      </c>
      <c r="W22">
        <v>7168</v>
      </c>
      <c r="X22">
        <v>7168</v>
      </c>
      <c r="Y22">
        <v>20</v>
      </c>
      <c r="Z22">
        <v>4</v>
      </c>
      <c r="AA22">
        <v>20</v>
      </c>
      <c r="AB22">
        <v>0</v>
      </c>
      <c r="AC22">
        <v>0</v>
      </c>
      <c r="AD22">
        <v>0</v>
      </c>
      <c r="AE22">
        <v>0</v>
      </c>
      <c r="AF22" t="s">
        <v>225</v>
      </c>
      <c r="AG22" t="s">
        <v>227</v>
      </c>
    </row>
    <row r="23" spans="1:36" x14ac:dyDescent="0.25">
      <c r="A23" t="s">
        <v>325</v>
      </c>
      <c r="B23">
        <v>13</v>
      </c>
      <c r="C23" s="507">
        <v>3.37</v>
      </c>
      <c r="D23" s="512">
        <v>120</v>
      </c>
      <c r="E23" s="507">
        <v>3.37</v>
      </c>
      <c r="F23" s="512">
        <v>120</v>
      </c>
      <c r="G23" s="508">
        <v>2.5999999999999999E-3</v>
      </c>
      <c r="H23" s="512">
        <v>185</v>
      </c>
      <c r="I23" s="508">
        <v>2.5999999999999999E-3</v>
      </c>
      <c r="J23" s="512">
        <v>185</v>
      </c>
      <c r="K23">
        <v>6</v>
      </c>
      <c r="L23" s="6">
        <v>0.39100000000000001</v>
      </c>
      <c r="M23">
        <v>28</v>
      </c>
      <c r="N23" s="6">
        <v>0.56999999999999995</v>
      </c>
      <c r="O23">
        <v>34</v>
      </c>
      <c r="P23">
        <v>0.3</v>
      </c>
      <c r="Q23">
        <v>3</v>
      </c>
      <c r="R23">
        <v>4</v>
      </c>
      <c r="S23">
        <v>1</v>
      </c>
      <c r="T23">
        <v>1</v>
      </c>
      <c r="U23">
        <v>15</v>
      </c>
      <c r="V23">
        <v>9</v>
      </c>
      <c r="W23">
        <v>11776</v>
      </c>
      <c r="X23">
        <v>11776</v>
      </c>
      <c r="Y23">
        <v>20</v>
      </c>
      <c r="Z23">
        <v>8</v>
      </c>
      <c r="AA23">
        <v>20</v>
      </c>
      <c r="AB23">
        <v>0</v>
      </c>
      <c r="AC23">
        <v>0</v>
      </c>
      <c r="AD23">
        <v>0</v>
      </c>
      <c r="AE23">
        <v>0</v>
      </c>
      <c r="AF23" t="s">
        <v>225</v>
      </c>
      <c r="AG23" t="s">
        <v>227</v>
      </c>
      <c r="AH23" t="s">
        <v>228</v>
      </c>
    </row>
    <row r="24" spans="1:36" x14ac:dyDescent="0.25">
      <c r="A24" t="s">
        <v>387</v>
      </c>
      <c r="B24">
        <v>13</v>
      </c>
      <c r="C24" s="507">
        <v>3.37</v>
      </c>
      <c r="D24" s="512">
        <v>120</v>
      </c>
      <c r="E24" s="507">
        <v>3.37</v>
      </c>
      <c r="F24" s="512">
        <v>120</v>
      </c>
      <c r="G24" s="508">
        <v>2.5999999999999999E-3</v>
      </c>
      <c r="H24" s="512">
        <v>185</v>
      </c>
      <c r="I24" s="508">
        <v>2.5999999999999999E-3</v>
      </c>
      <c r="J24" s="512">
        <v>185</v>
      </c>
      <c r="K24">
        <v>6.1</v>
      </c>
      <c r="L24" s="6">
        <v>0.39100000000000001</v>
      </c>
      <c r="M24">
        <v>28.1</v>
      </c>
      <c r="N24" s="6">
        <v>0.56999999999999995</v>
      </c>
      <c r="O24">
        <v>34.1</v>
      </c>
      <c r="P24">
        <v>0.3</v>
      </c>
      <c r="Q24">
        <v>3</v>
      </c>
      <c r="R24">
        <v>4</v>
      </c>
      <c r="S24">
        <v>1</v>
      </c>
      <c r="T24">
        <v>1</v>
      </c>
      <c r="U24">
        <v>15</v>
      </c>
      <c r="V24">
        <v>9</v>
      </c>
      <c r="W24">
        <v>11776</v>
      </c>
      <c r="X24">
        <v>11776</v>
      </c>
      <c r="Y24">
        <v>20</v>
      </c>
      <c r="Z24">
        <v>8</v>
      </c>
      <c r="AA24">
        <v>20</v>
      </c>
      <c r="AB24">
        <v>0</v>
      </c>
      <c r="AC24">
        <v>0</v>
      </c>
      <c r="AD24">
        <v>0</v>
      </c>
      <c r="AE24">
        <v>0</v>
      </c>
      <c r="AF24" t="s">
        <v>228</v>
      </c>
    </row>
    <row r="25" spans="1:36" x14ac:dyDescent="0.25">
      <c r="A25" t="s">
        <v>326</v>
      </c>
      <c r="B25">
        <v>24</v>
      </c>
      <c r="C25" s="508">
        <v>3.355</v>
      </c>
      <c r="D25" s="512">
        <v>220</v>
      </c>
      <c r="E25" s="508">
        <v>3.355</v>
      </c>
      <c r="F25" s="512">
        <v>220</v>
      </c>
      <c r="G25" s="508">
        <v>2.7200000000000002E-3</v>
      </c>
      <c r="H25" s="512">
        <v>310</v>
      </c>
      <c r="I25" s="508">
        <v>2.7200000000000002E-3</v>
      </c>
      <c r="J25" s="512">
        <v>310</v>
      </c>
      <c r="K25">
        <v>10</v>
      </c>
      <c r="L25" s="6">
        <v>0.75600000000000001</v>
      </c>
      <c r="M25">
        <v>50</v>
      </c>
      <c r="N25" s="6">
        <v>0.6</v>
      </c>
      <c r="O25">
        <v>58</v>
      </c>
      <c r="P25">
        <v>0.3</v>
      </c>
      <c r="Q25">
        <v>3</v>
      </c>
      <c r="R25">
        <v>4</v>
      </c>
      <c r="S25">
        <v>1</v>
      </c>
      <c r="T25">
        <v>1</v>
      </c>
      <c r="U25">
        <v>24</v>
      </c>
      <c r="V25">
        <v>12</v>
      </c>
      <c r="W25">
        <v>22528</v>
      </c>
      <c r="X25">
        <v>22528</v>
      </c>
      <c r="Y25">
        <v>32</v>
      </c>
      <c r="Z25">
        <v>8</v>
      </c>
      <c r="AA25">
        <v>32</v>
      </c>
      <c r="AB25">
        <v>0</v>
      </c>
      <c r="AC25">
        <v>0</v>
      </c>
      <c r="AD25">
        <v>0</v>
      </c>
      <c r="AE25">
        <v>0</v>
      </c>
      <c r="AF25" t="s">
        <v>225</v>
      </c>
      <c r="AG25" t="s">
        <v>228</v>
      </c>
      <c r="AH25" t="s">
        <v>321</v>
      </c>
    </row>
    <row r="26" spans="1:36" x14ac:dyDescent="0.25">
      <c r="A26" t="s">
        <v>388</v>
      </c>
      <c r="B26">
        <v>24</v>
      </c>
      <c r="C26" s="508">
        <v>3.355</v>
      </c>
      <c r="D26" s="512">
        <v>220</v>
      </c>
      <c r="E26" s="508">
        <v>3.355</v>
      </c>
      <c r="F26" s="512">
        <v>220</v>
      </c>
      <c r="G26" s="508">
        <v>2.7200000000000002E-3</v>
      </c>
      <c r="H26" s="512">
        <v>310</v>
      </c>
      <c r="I26" s="508">
        <v>2.7200000000000002E-3</v>
      </c>
      <c r="J26" s="512">
        <v>310</v>
      </c>
      <c r="K26">
        <v>10.1</v>
      </c>
      <c r="L26" s="6">
        <v>0.75600000000000001</v>
      </c>
      <c r="M26">
        <v>50.1</v>
      </c>
      <c r="N26" s="6">
        <v>0.6</v>
      </c>
      <c r="O26">
        <v>58.1</v>
      </c>
      <c r="P26">
        <v>0.3</v>
      </c>
      <c r="Q26">
        <v>3</v>
      </c>
      <c r="R26">
        <v>4</v>
      </c>
      <c r="S26">
        <v>1</v>
      </c>
      <c r="T26">
        <v>1</v>
      </c>
      <c r="U26">
        <v>24</v>
      </c>
      <c r="V26">
        <v>12</v>
      </c>
      <c r="W26">
        <v>22528</v>
      </c>
      <c r="X26">
        <v>22528</v>
      </c>
      <c r="Y26">
        <v>32</v>
      </c>
      <c r="Z26">
        <v>8</v>
      </c>
      <c r="AA26">
        <v>32</v>
      </c>
      <c r="AB26">
        <v>0</v>
      </c>
      <c r="AC26">
        <v>0</v>
      </c>
      <c r="AD26">
        <v>0</v>
      </c>
      <c r="AE26">
        <v>0</v>
      </c>
      <c r="AF26" t="s">
        <v>228</v>
      </c>
      <c r="AG26" t="s">
        <v>321</v>
      </c>
    </row>
    <row r="27" spans="1:36" x14ac:dyDescent="0.25">
      <c r="A27" s="27" t="s">
        <v>499</v>
      </c>
      <c r="B27" s="556">
        <v>41</v>
      </c>
      <c r="C27" s="508">
        <v>3.45</v>
      </c>
      <c r="D27" s="41">
        <v>390</v>
      </c>
      <c r="E27" s="508">
        <v>3.45</v>
      </c>
      <c r="F27" s="41">
        <v>390</v>
      </c>
      <c r="G27" s="508">
        <v>6.8999999999999997E-4</v>
      </c>
      <c r="H27" s="41">
        <v>500</v>
      </c>
      <c r="I27" s="508">
        <v>6.8999999999999997E-4</v>
      </c>
      <c r="J27" s="41">
        <v>500</v>
      </c>
      <c r="K27" s="27">
        <v>25</v>
      </c>
      <c r="L27" s="6">
        <v>1.2150000000000001</v>
      </c>
      <c r="M27" s="27">
        <v>90</v>
      </c>
      <c r="N27" s="6">
        <v>1.845</v>
      </c>
      <c r="O27" s="27">
        <v>110</v>
      </c>
      <c r="P27" s="557">
        <v>0.4</v>
      </c>
      <c r="Q27" s="27">
        <v>4</v>
      </c>
      <c r="R27" s="27">
        <v>5</v>
      </c>
      <c r="S27">
        <v>1</v>
      </c>
      <c r="T27">
        <v>1</v>
      </c>
      <c r="U27" s="27">
        <v>33</v>
      </c>
      <c r="V27" s="27">
        <v>16</v>
      </c>
      <c r="W27" s="27">
        <v>33280</v>
      </c>
      <c r="X27" s="27">
        <v>33280</v>
      </c>
      <c r="Y27" s="27">
        <v>84</v>
      </c>
      <c r="Z27" s="27">
        <v>8</v>
      </c>
      <c r="AA27" s="27">
        <v>84</v>
      </c>
      <c r="AB27" s="27">
        <v>0</v>
      </c>
      <c r="AC27" s="27">
        <v>0</v>
      </c>
      <c r="AD27" s="27">
        <v>0</v>
      </c>
      <c r="AE27" s="27">
        <v>0</v>
      </c>
      <c r="AF27" s="27" t="s">
        <v>500</v>
      </c>
      <c r="AG27" s="27" t="s">
        <v>321</v>
      </c>
    </row>
    <row r="28" spans="1:36" x14ac:dyDescent="0.25">
      <c r="A28" t="s">
        <v>501</v>
      </c>
      <c r="B28" s="504">
        <v>64</v>
      </c>
      <c r="C28" s="508">
        <v>3.12</v>
      </c>
      <c r="D28" s="512">
        <v>550</v>
      </c>
      <c r="E28" s="508">
        <v>3.12</v>
      </c>
      <c r="F28" s="512">
        <v>550</v>
      </c>
      <c r="G28" s="508">
        <v>2.8500000000000001E-3</v>
      </c>
      <c r="H28" s="512">
        <v>725</v>
      </c>
      <c r="I28" s="508">
        <v>2.8500000000000001E-3</v>
      </c>
      <c r="J28" s="512">
        <v>725</v>
      </c>
      <c r="K28">
        <v>39</v>
      </c>
      <c r="L28" s="6">
        <v>1.7450000000000001</v>
      </c>
      <c r="M28">
        <v>130</v>
      </c>
      <c r="N28" s="6">
        <v>3.87</v>
      </c>
      <c r="O28">
        <v>160</v>
      </c>
      <c r="P28" s="68">
        <v>0.4</v>
      </c>
      <c r="Q28">
        <v>4</v>
      </c>
      <c r="R28">
        <v>5</v>
      </c>
      <c r="S28">
        <v>1</v>
      </c>
      <c r="T28">
        <v>1</v>
      </c>
      <c r="U28">
        <v>45</v>
      </c>
      <c r="V28">
        <v>21</v>
      </c>
      <c r="W28">
        <v>47744</v>
      </c>
      <c r="X28">
        <v>47744</v>
      </c>
      <c r="Y28">
        <v>126</v>
      </c>
      <c r="Z28">
        <v>8</v>
      </c>
      <c r="AA28">
        <v>126</v>
      </c>
      <c r="AB28">
        <v>0</v>
      </c>
      <c r="AC28">
        <v>0</v>
      </c>
      <c r="AD28">
        <v>0</v>
      </c>
      <c r="AE28">
        <v>0</v>
      </c>
      <c r="AF28" t="s">
        <v>500</v>
      </c>
      <c r="AG28" t="s">
        <v>321</v>
      </c>
    </row>
    <row r="29" spans="1:36" x14ac:dyDescent="0.25">
      <c r="A29" s="564" t="s">
        <v>606</v>
      </c>
      <c r="B29" s="565">
        <v>4</v>
      </c>
      <c r="C29" s="566">
        <v>2.27</v>
      </c>
      <c r="D29" s="567">
        <v>100</v>
      </c>
      <c r="E29" s="566">
        <v>2.27</v>
      </c>
      <c r="F29" s="567">
        <v>100</v>
      </c>
      <c r="G29" s="566">
        <v>-8.4999999999999995E-4</v>
      </c>
      <c r="H29" s="567">
        <v>142</v>
      </c>
      <c r="I29" s="566">
        <v>-8.4999999999999995E-4</v>
      </c>
      <c r="J29" s="567">
        <v>142</v>
      </c>
      <c r="K29" s="564">
        <v>2.5</v>
      </c>
      <c r="L29" s="568"/>
      <c r="M29" s="569">
        <v>3.6</v>
      </c>
      <c r="N29" s="568"/>
      <c r="O29" s="569">
        <v>3.6</v>
      </c>
      <c r="P29" s="569">
        <v>1</v>
      </c>
      <c r="Q29" s="569">
        <v>1</v>
      </c>
      <c r="R29" s="569">
        <v>1</v>
      </c>
      <c r="S29" s="570">
        <v>1</v>
      </c>
      <c r="T29" s="570">
        <v>1</v>
      </c>
      <c r="U29" s="569">
        <v>4</v>
      </c>
      <c r="V29" s="569">
        <v>9</v>
      </c>
      <c r="W29" s="569">
        <v>2400</v>
      </c>
      <c r="X29" s="569">
        <v>4800</v>
      </c>
      <c r="Y29" s="569">
        <v>12</v>
      </c>
      <c r="Z29" s="569">
        <v>4</v>
      </c>
      <c r="AA29" s="569">
        <v>8</v>
      </c>
      <c r="AB29" s="569">
        <v>2</v>
      </c>
      <c r="AC29" s="569">
        <v>0</v>
      </c>
      <c r="AD29" s="569">
        <v>0</v>
      </c>
      <c r="AE29" s="569">
        <v>0</v>
      </c>
      <c r="AF29" s="569" t="s">
        <v>615</v>
      </c>
      <c r="AG29" s="569" t="s">
        <v>1065</v>
      </c>
      <c r="AH29" s="496" t="s">
        <v>616</v>
      </c>
      <c r="AI29" s="570"/>
      <c r="AJ29" s="570"/>
    </row>
    <row r="30" spans="1:36" x14ac:dyDescent="0.25">
      <c r="A30" s="558" t="s">
        <v>607</v>
      </c>
      <c r="B30" s="559">
        <v>4</v>
      </c>
      <c r="C30" s="560">
        <v>2.27</v>
      </c>
      <c r="D30" s="561">
        <v>100</v>
      </c>
      <c r="E30" s="560">
        <v>2.27</v>
      </c>
      <c r="F30" s="561">
        <v>100</v>
      </c>
      <c r="G30" s="560">
        <v>-8.4999999999999995E-4</v>
      </c>
      <c r="H30" s="561">
        <v>142</v>
      </c>
      <c r="I30" s="560">
        <v>-8.4999999999999995E-4</v>
      </c>
      <c r="J30" s="561">
        <v>142</v>
      </c>
      <c r="K30" s="562">
        <v>2.5</v>
      </c>
      <c r="L30" s="563"/>
      <c r="M30" s="558">
        <v>3.6</v>
      </c>
      <c r="N30" s="563"/>
      <c r="O30" s="558">
        <v>3.6</v>
      </c>
      <c r="P30" s="558">
        <v>1</v>
      </c>
      <c r="Q30" s="558">
        <v>1</v>
      </c>
      <c r="R30" s="558">
        <v>1</v>
      </c>
      <c r="S30">
        <v>1</v>
      </c>
      <c r="T30">
        <v>1</v>
      </c>
      <c r="U30" s="558">
        <v>8</v>
      </c>
      <c r="V30" s="558">
        <v>11</v>
      </c>
      <c r="W30" s="558">
        <v>5720</v>
      </c>
      <c r="X30" s="558">
        <v>11440</v>
      </c>
      <c r="Y30" s="558">
        <v>32</v>
      </c>
      <c r="Z30" s="558">
        <v>4</v>
      </c>
      <c r="AA30" s="558">
        <v>16</v>
      </c>
      <c r="AB30" s="558">
        <v>2</v>
      </c>
      <c r="AC30" s="558">
        <v>0</v>
      </c>
      <c r="AD30" s="558">
        <v>0</v>
      </c>
      <c r="AE30" s="558">
        <v>2</v>
      </c>
      <c r="AF30" s="558" t="s">
        <v>615</v>
      </c>
      <c r="AG30" s="558" t="s">
        <v>1065</v>
      </c>
      <c r="AH30" s="558" t="s">
        <v>616</v>
      </c>
      <c r="AI30" s="558" t="s">
        <v>618</v>
      </c>
      <c r="AJ30" s="558" t="s">
        <v>617</v>
      </c>
    </row>
    <row r="31" spans="1:36" x14ac:dyDescent="0.25">
      <c r="A31" s="500" t="s">
        <v>608</v>
      </c>
      <c r="B31" s="505">
        <v>6</v>
      </c>
      <c r="C31" s="509">
        <v>2.17</v>
      </c>
      <c r="D31" s="513">
        <v>160</v>
      </c>
      <c r="E31" s="509">
        <v>2.17</v>
      </c>
      <c r="F31" s="513">
        <v>160</v>
      </c>
      <c r="G31" s="509">
        <v>-1.2999999999999999E-3</v>
      </c>
      <c r="H31" s="513">
        <v>228</v>
      </c>
      <c r="I31" s="509">
        <v>-1.2999999999999999E-3</v>
      </c>
      <c r="J31" s="513">
        <v>228</v>
      </c>
      <c r="K31" s="517">
        <v>3</v>
      </c>
      <c r="L31" s="501"/>
      <c r="M31" s="500">
        <v>4.0999999999999996</v>
      </c>
      <c r="N31" s="501"/>
      <c r="O31" s="500">
        <v>4.0999999999999996</v>
      </c>
      <c r="P31" s="500">
        <v>2</v>
      </c>
      <c r="Q31" s="500">
        <v>2</v>
      </c>
      <c r="R31" s="500">
        <v>2</v>
      </c>
      <c r="S31">
        <v>1</v>
      </c>
      <c r="T31">
        <v>1</v>
      </c>
      <c r="U31" s="500">
        <v>8</v>
      </c>
      <c r="V31" s="500">
        <v>13</v>
      </c>
      <c r="W31" s="500">
        <v>9112</v>
      </c>
      <c r="X31" s="500">
        <v>18224</v>
      </c>
      <c r="Y31" s="500">
        <v>32</v>
      </c>
      <c r="Z31" s="500">
        <v>4</v>
      </c>
      <c r="AA31" s="500">
        <v>32</v>
      </c>
      <c r="AB31" s="500">
        <v>2</v>
      </c>
      <c r="AC31" s="500">
        <v>0</v>
      </c>
      <c r="AD31" s="500">
        <v>0</v>
      </c>
      <c r="AE31" s="500">
        <v>2</v>
      </c>
      <c r="AF31" s="500" t="s">
        <v>1065</v>
      </c>
      <c r="AG31" s="500" t="s">
        <v>616</v>
      </c>
      <c r="AH31" s="500" t="s">
        <v>618</v>
      </c>
      <c r="AI31" s="500" t="s">
        <v>617</v>
      </c>
    </row>
    <row r="32" spans="1:36" x14ac:dyDescent="0.25">
      <c r="A32" s="500" t="s">
        <v>609</v>
      </c>
      <c r="B32" s="505">
        <v>11</v>
      </c>
      <c r="C32" s="509">
        <v>1.89</v>
      </c>
      <c r="D32" s="513">
        <v>261</v>
      </c>
      <c r="E32" s="509">
        <v>1.89</v>
      </c>
      <c r="F32" s="513">
        <v>261</v>
      </c>
      <c r="G32" s="509">
        <v>-1.9E-3</v>
      </c>
      <c r="H32" s="513">
        <v>372</v>
      </c>
      <c r="I32" s="509">
        <v>-1.9E-3</v>
      </c>
      <c r="J32" s="513">
        <v>429</v>
      </c>
      <c r="K32" s="517">
        <v>4</v>
      </c>
      <c r="L32" s="501"/>
      <c r="M32" s="500">
        <v>6.9</v>
      </c>
      <c r="N32" s="501"/>
      <c r="O32" s="500">
        <v>6.9</v>
      </c>
      <c r="P32" s="500">
        <v>2</v>
      </c>
      <c r="Q32" s="500">
        <v>2</v>
      </c>
      <c r="R32" s="500">
        <v>2</v>
      </c>
      <c r="S32">
        <v>1</v>
      </c>
      <c r="T32">
        <v>1</v>
      </c>
      <c r="U32" s="500">
        <v>11</v>
      </c>
      <c r="V32" s="500">
        <v>16</v>
      </c>
      <c r="W32" s="500">
        <v>15032</v>
      </c>
      <c r="X32" s="500">
        <v>30064</v>
      </c>
      <c r="Y32" s="500">
        <v>52</v>
      </c>
      <c r="Z32" s="500">
        <v>4</v>
      </c>
      <c r="AA32" s="500">
        <v>38</v>
      </c>
      <c r="AB32" s="500">
        <v>2</v>
      </c>
      <c r="AC32" s="500">
        <v>0</v>
      </c>
      <c r="AD32" s="500">
        <v>0</v>
      </c>
      <c r="AE32" s="500">
        <v>2</v>
      </c>
      <c r="AF32" s="500" t="s">
        <v>618</v>
      </c>
      <c r="AG32" s="500" t="s">
        <v>617</v>
      </c>
      <c r="AH32" s="500" t="s">
        <v>619</v>
      </c>
    </row>
    <row r="33" spans="1:36" x14ac:dyDescent="0.25">
      <c r="A33" s="500" t="s">
        <v>610</v>
      </c>
      <c r="B33" s="505">
        <v>15</v>
      </c>
      <c r="C33" s="509">
        <v>2.56</v>
      </c>
      <c r="D33" s="513">
        <v>480</v>
      </c>
      <c r="E33" s="509">
        <v>2.56</v>
      </c>
      <c r="F33" s="513">
        <v>480</v>
      </c>
      <c r="G33" s="509">
        <v>-3.5999999999999999E-3</v>
      </c>
      <c r="H33" s="513">
        <v>684</v>
      </c>
      <c r="I33" s="509">
        <v>-3.5999999999999999E-3</v>
      </c>
      <c r="J33" s="513">
        <v>788.32</v>
      </c>
      <c r="K33" s="517">
        <v>5</v>
      </c>
      <c r="L33" s="501"/>
      <c r="M33" s="500">
        <v>12.5</v>
      </c>
      <c r="N33" s="501"/>
      <c r="O33" s="500">
        <v>12.5</v>
      </c>
      <c r="P33" s="500">
        <v>2</v>
      </c>
      <c r="Q33" s="500">
        <v>2</v>
      </c>
      <c r="R33" s="500">
        <v>2</v>
      </c>
      <c r="S33">
        <v>1</v>
      </c>
      <c r="T33">
        <v>1</v>
      </c>
      <c r="U33" s="500">
        <v>16</v>
      </c>
      <c r="V33" s="500">
        <v>20</v>
      </c>
      <c r="W33" s="500">
        <v>27288</v>
      </c>
      <c r="X33" s="500">
        <v>54576</v>
      </c>
      <c r="Y33" s="500">
        <v>116</v>
      </c>
      <c r="Z33" s="500">
        <v>8</v>
      </c>
      <c r="AA33" s="500">
        <v>58</v>
      </c>
      <c r="AB33" s="500">
        <v>4</v>
      </c>
      <c r="AC33" s="500">
        <v>0</v>
      </c>
      <c r="AD33" s="500">
        <v>0</v>
      </c>
      <c r="AE33" s="500">
        <v>2</v>
      </c>
      <c r="AF33" s="500" t="s">
        <v>617</v>
      </c>
      <c r="AG33" s="500" t="s">
        <v>1024</v>
      </c>
      <c r="AH33" s="500" t="s">
        <v>619</v>
      </c>
      <c r="AI33" s="500" t="s">
        <v>620</v>
      </c>
    </row>
    <row r="34" spans="1:36" x14ac:dyDescent="0.25">
      <c r="A34" s="500" t="s">
        <v>930</v>
      </c>
      <c r="B34" s="505">
        <v>29</v>
      </c>
      <c r="C34" s="509">
        <v>2.2749999999999999</v>
      </c>
      <c r="D34" s="513">
        <v>819</v>
      </c>
      <c r="E34" s="509">
        <v>2.2749999999999999</v>
      </c>
      <c r="F34" s="513">
        <v>819</v>
      </c>
      <c r="G34" s="509">
        <v>-6.1999999999999998E-3</v>
      </c>
      <c r="H34" s="513">
        <v>1167</v>
      </c>
      <c r="I34" s="509">
        <v>-6.1999999999999998E-3</v>
      </c>
      <c r="J34" s="513">
        <v>1335</v>
      </c>
      <c r="K34" s="517">
        <v>7</v>
      </c>
      <c r="L34" s="501"/>
      <c r="M34" s="500">
        <v>21.3</v>
      </c>
      <c r="N34" s="501"/>
      <c r="O34" s="500">
        <v>21.3</v>
      </c>
      <c r="P34" s="500">
        <v>4</v>
      </c>
      <c r="Q34" s="500">
        <v>4</v>
      </c>
      <c r="R34" s="500">
        <v>4</v>
      </c>
      <c r="S34">
        <v>1</v>
      </c>
      <c r="T34">
        <v>1</v>
      </c>
      <c r="U34" s="500">
        <v>20</v>
      </c>
      <c r="V34" s="500">
        <v>24</v>
      </c>
      <c r="W34" s="500">
        <v>46648</v>
      </c>
      <c r="X34" s="500">
        <v>93296</v>
      </c>
      <c r="Y34" s="500">
        <v>172</v>
      </c>
      <c r="Z34" s="500">
        <v>12</v>
      </c>
      <c r="AA34" s="500">
        <v>132</v>
      </c>
      <c r="AB34" s="500">
        <v>6</v>
      </c>
      <c r="AC34" s="500">
        <v>0</v>
      </c>
      <c r="AD34" s="500">
        <v>0</v>
      </c>
      <c r="AE34" s="500">
        <v>4</v>
      </c>
      <c r="AF34" s="500" t="s">
        <v>1024</v>
      </c>
      <c r="AG34" s="500" t="s">
        <v>619</v>
      </c>
      <c r="AH34" s="500" t="s">
        <v>620</v>
      </c>
    </row>
    <row r="35" spans="1:36" x14ac:dyDescent="0.25">
      <c r="A35" s="500" t="s">
        <v>642</v>
      </c>
      <c r="B35" s="505">
        <v>36</v>
      </c>
      <c r="C35" s="509">
        <v>2.3650000000000002</v>
      </c>
      <c r="D35" s="513">
        <v>1108</v>
      </c>
      <c r="E35" s="509">
        <v>2.3650000000000002</v>
      </c>
      <c r="F35" s="513">
        <v>1108</v>
      </c>
      <c r="G35" s="509">
        <v>-8.0000000000000002E-3</v>
      </c>
      <c r="H35" s="513">
        <v>1580</v>
      </c>
      <c r="I35" s="509">
        <v>-8.0000000000000002E-3</v>
      </c>
      <c r="J35" s="513">
        <v>1846.2</v>
      </c>
      <c r="K35" s="517">
        <v>9</v>
      </c>
      <c r="L35" s="501"/>
      <c r="M35" s="500">
        <v>36</v>
      </c>
      <c r="N35" s="501"/>
      <c r="O35" s="500">
        <v>36</v>
      </c>
      <c r="P35" s="500">
        <v>5</v>
      </c>
      <c r="Q35" s="500">
        <v>5</v>
      </c>
      <c r="R35" s="500">
        <v>5</v>
      </c>
      <c r="S35">
        <v>1</v>
      </c>
      <c r="T35">
        <v>1</v>
      </c>
      <c r="U35" s="500">
        <v>24</v>
      </c>
      <c r="V35" s="500">
        <v>28</v>
      </c>
      <c r="W35" s="500">
        <v>63288</v>
      </c>
      <c r="X35" s="500">
        <v>126576</v>
      </c>
      <c r="Y35" s="500">
        <v>268</v>
      </c>
      <c r="Z35" s="500">
        <v>12</v>
      </c>
      <c r="AA35" s="500">
        <v>180</v>
      </c>
      <c r="AB35" s="500">
        <v>6</v>
      </c>
      <c r="AC35" s="500">
        <v>0</v>
      </c>
      <c r="AD35" s="500">
        <v>0</v>
      </c>
      <c r="AE35" s="500">
        <v>4</v>
      </c>
      <c r="AF35" s="500" t="s">
        <v>1024</v>
      </c>
      <c r="AG35" s="500" t="s">
        <v>619</v>
      </c>
      <c r="AH35" s="500" t="s">
        <v>620</v>
      </c>
    </row>
    <row r="36" spans="1:36" x14ac:dyDescent="0.25">
      <c r="A36" s="500" t="s">
        <v>611</v>
      </c>
      <c r="B36" s="505">
        <v>51</v>
      </c>
      <c r="C36" s="509">
        <v>2.2909999999999999</v>
      </c>
      <c r="D36" s="513">
        <v>1618</v>
      </c>
      <c r="E36" s="509">
        <v>2.2909999999999999</v>
      </c>
      <c r="F36" s="513">
        <v>1618</v>
      </c>
      <c r="G36" s="509">
        <v>-1.095E-2</v>
      </c>
      <c r="H36" s="513">
        <v>2306</v>
      </c>
      <c r="I36" s="509">
        <v>-1.095E-2</v>
      </c>
      <c r="J36" s="513">
        <v>2641.98</v>
      </c>
      <c r="K36" s="517">
        <v>12</v>
      </c>
      <c r="L36" s="501"/>
      <c r="M36" s="500">
        <v>65.7</v>
      </c>
      <c r="N36" s="501"/>
      <c r="O36" s="500">
        <v>65.7</v>
      </c>
      <c r="P36" s="500">
        <v>7</v>
      </c>
      <c r="Q36" s="500">
        <v>7</v>
      </c>
      <c r="R36" s="500">
        <v>7</v>
      </c>
      <c r="S36">
        <v>1</v>
      </c>
      <c r="T36">
        <v>1</v>
      </c>
      <c r="U36" s="500">
        <v>24</v>
      </c>
      <c r="V36" s="500">
        <v>39</v>
      </c>
      <c r="W36" s="500">
        <v>92152</v>
      </c>
      <c r="X36" s="500">
        <v>184304</v>
      </c>
      <c r="Y36" s="500">
        <v>268</v>
      </c>
      <c r="Z36" s="500">
        <v>12</v>
      </c>
      <c r="AA36" s="500">
        <v>180</v>
      </c>
      <c r="AB36" s="500">
        <v>6</v>
      </c>
      <c r="AC36" s="500">
        <v>0</v>
      </c>
      <c r="AD36" s="500">
        <v>0</v>
      </c>
      <c r="AE36" s="500">
        <v>4</v>
      </c>
      <c r="AF36" s="500" t="s">
        <v>1024</v>
      </c>
      <c r="AG36" s="500" t="s">
        <v>619</v>
      </c>
      <c r="AH36" s="500" t="s">
        <v>620</v>
      </c>
      <c r="AI36" s="500" t="s">
        <v>1029</v>
      </c>
    </row>
    <row r="37" spans="1:36" x14ac:dyDescent="0.25">
      <c r="A37" s="500" t="s">
        <v>612</v>
      </c>
      <c r="B37" s="505">
        <v>11</v>
      </c>
      <c r="C37" s="509">
        <v>1.89</v>
      </c>
      <c r="D37" s="513">
        <v>261</v>
      </c>
      <c r="E37" s="509">
        <v>1.89</v>
      </c>
      <c r="F37" s="513">
        <v>261</v>
      </c>
      <c r="G37" s="509">
        <v>-1.9E-3</v>
      </c>
      <c r="H37" s="513">
        <v>372</v>
      </c>
      <c r="I37" s="509">
        <v>-1.9E-3</v>
      </c>
      <c r="J37" s="513">
        <v>429</v>
      </c>
      <c r="K37" s="517">
        <v>4</v>
      </c>
      <c r="L37" s="501"/>
      <c r="M37" s="500">
        <v>6.9</v>
      </c>
      <c r="N37" s="501"/>
      <c r="O37" s="500">
        <v>6.9</v>
      </c>
      <c r="P37" s="500">
        <v>2</v>
      </c>
      <c r="Q37" s="500">
        <v>2</v>
      </c>
      <c r="R37" s="500">
        <v>2</v>
      </c>
      <c r="S37">
        <v>1</v>
      </c>
      <c r="T37">
        <v>1</v>
      </c>
      <c r="U37" s="500">
        <v>11</v>
      </c>
      <c r="V37" s="500">
        <v>16</v>
      </c>
      <c r="W37" s="500">
        <v>15032</v>
      </c>
      <c r="X37" s="500">
        <v>30064</v>
      </c>
      <c r="Y37" s="500">
        <v>52</v>
      </c>
      <c r="Z37" s="500">
        <v>4</v>
      </c>
      <c r="AA37" s="500">
        <v>38</v>
      </c>
      <c r="AB37" s="500">
        <v>2</v>
      </c>
      <c r="AC37" s="500">
        <v>2</v>
      </c>
      <c r="AD37" s="500">
        <v>1</v>
      </c>
      <c r="AE37" s="500">
        <v>2</v>
      </c>
      <c r="AF37" s="500" t="s">
        <v>617</v>
      </c>
      <c r="AG37" s="500" t="s">
        <v>619</v>
      </c>
    </row>
    <row r="38" spans="1:36" x14ac:dyDescent="0.25">
      <c r="A38" s="500" t="s">
        <v>613</v>
      </c>
      <c r="B38" s="505">
        <v>15</v>
      </c>
      <c r="C38" s="509">
        <v>2.56</v>
      </c>
      <c r="D38" s="513">
        <v>480</v>
      </c>
      <c r="E38" s="509">
        <v>2.56</v>
      </c>
      <c r="F38" s="513">
        <v>480</v>
      </c>
      <c r="G38" s="509">
        <v>-3.5999999999999999E-3</v>
      </c>
      <c r="H38" s="513">
        <v>684</v>
      </c>
      <c r="I38" s="509">
        <v>-3.5999999999999999E-3</v>
      </c>
      <c r="J38" s="513">
        <v>788.32</v>
      </c>
      <c r="K38" s="517">
        <v>5</v>
      </c>
      <c r="L38" s="501"/>
      <c r="M38" s="500">
        <v>12.5</v>
      </c>
      <c r="N38" s="501"/>
      <c r="O38" s="500">
        <v>12.5</v>
      </c>
      <c r="P38" s="500">
        <v>2</v>
      </c>
      <c r="Q38" s="500">
        <v>2</v>
      </c>
      <c r="R38" s="500">
        <v>2</v>
      </c>
      <c r="S38">
        <v>1</v>
      </c>
      <c r="T38">
        <v>1</v>
      </c>
      <c r="U38" s="500">
        <v>16</v>
      </c>
      <c r="V38" s="500">
        <v>20</v>
      </c>
      <c r="W38" s="500">
        <v>27288</v>
      </c>
      <c r="X38" s="500">
        <v>54576</v>
      </c>
      <c r="Y38" s="500">
        <v>116</v>
      </c>
      <c r="Z38" s="500">
        <v>8</v>
      </c>
      <c r="AA38" s="500">
        <v>58</v>
      </c>
      <c r="AB38" s="500">
        <v>4</v>
      </c>
      <c r="AC38" s="500">
        <v>4</v>
      </c>
      <c r="AD38" s="500">
        <v>1</v>
      </c>
      <c r="AE38" s="500">
        <v>2</v>
      </c>
      <c r="AF38" s="500" t="s">
        <v>617</v>
      </c>
      <c r="AG38" s="500" t="s">
        <v>1024</v>
      </c>
      <c r="AH38" s="500" t="s">
        <v>619</v>
      </c>
    </row>
    <row r="39" spans="1:36" x14ac:dyDescent="0.25">
      <c r="A39" s="500" t="s">
        <v>931</v>
      </c>
      <c r="B39" s="505">
        <v>29</v>
      </c>
      <c r="C39" s="509">
        <v>2.2749999999999999</v>
      </c>
      <c r="D39" s="513">
        <v>819</v>
      </c>
      <c r="E39" s="509">
        <v>2.2749999999999999</v>
      </c>
      <c r="F39" s="513">
        <v>819</v>
      </c>
      <c r="G39" s="509">
        <v>-6.1999999999999998E-3</v>
      </c>
      <c r="H39" s="513">
        <v>1167</v>
      </c>
      <c r="I39" s="509">
        <v>-6.1999999999999998E-3</v>
      </c>
      <c r="J39" s="513">
        <v>1335</v>
      </c>
      <c r="K39" s="517">
        <v>7</v>
      </c>
      <c r="L39" s="501"/>
      <c r="M39" s="500">
        <v>21.3</v>
      </c>
      <c r="N39" s="501"/>
      <c r="O39" s="500">
        <v>21.3</v>
      </c>
      <c r="P39" s="500">
        <v>4</v>
      </c>
      <c r="Q39" s="500">
        <v>4</v>
      </c>
      <c r="R39" s="500">
        <v>4</v>
      </c>
      <c r="S39">
        <v>1</v>
      </c>
      <c r="T39">
        <v>1</v>
      </c>
      <c r="U39" s="500">
        <v>20</v>
      </c>
      <c r="V39" s="500">
        <v>24</v>
      </c>
      <c r="W39" s="500">
        <v>46648</v>
      </c>
      <c r="X39" s="500">
        <v>93296</v>
      </c>
      <c r="Y39" s="500">
        <v>172</v>
      </c>
      <c r="Z39" s="500">
        <v>12</v>
      </c>
      <c r="AA39" s="500">
        <v>132</v>
      </c>
      <c r="AB39" s="500">
        <v>6</v>
      </c>
      <c r="AC39" s="500">
        <v>8</v>
      </c>
      <c r="AD39" s="500">
        <v>1</v>
      </c>
      <c r="AE39" s="500">
        <v>4</v>
      </c>
      <c r="AF39" s="500" t="s">
        <v>1024</v>
      </c>
      <c r="AG39" s="500" t="s">
        <v>619</v>
      </c>
      <c r="AH39" s="500" t="s">
        <v>620</v>
      </c>
    </row>
    <row r="40" spans="1:36" x14ac:dyDescent="0.25">
      <c r="A40" s="500" t="s">
        <v>643</v>
      </c>
      <c r="B40" s="505">
        <v>36</v>
      </c>
      <c r="C40" s="509">
        <v>2.3650000000000002</v>
      </c>
      <c r="D40" s="513">
        <v>1108</v>
      </c>
      <c r="E40" s="509">
        <v>2.3650000000000002</v>
      </c>
      <c r="F40" s="513">
        <v>1108</v>
      </c>
      <c r="G40" s="509">
        <v>-8.0000000000000002E-3</v>
      </c>
      <c r="H40" s="513">
        <v>1580</v>
      </c>
      <c r="I40" s="509">
        <v>-8.0000000000000002E-3</v>
      </c>
      <c r="J40" s="513">
        <v>1846.2</v>
      </c>
      <c r="K40" s="517">
        <v>9</v>
      </c>
      <c r="L40" s="501"/>
      <c r="M40" s="500">
        <v>36</v>
      </c>
      <c r="N40" s="501"/>
      <c r="O40" s="500">
        <v>36</v>
      </c>
      <c r="P40" s="500">
        <v>5</v>
      </c>
      <c r="Q40" s="500">
        <v>5</v>
      </c>
      <c r="R40" s="500">
        <v>5</v>
      </c>
      <c r="S40">
        <v>1</v>
      </c>
      <c r="T40">
        <v>1</v>
      </c>
      <c r="U40" s="500">
        <v>24</v>
      </c>
      <c r="V40" s="500">
        <v>28</v>
      </c>
      <c r="W40" s="500">
        <v>63288</v>
      </c>
      <c r="X40" s="500">
        <v>126576</v>
      </c>
      <c r="Y40" s="500">
        <v>268</v>
      </c>
      <c r="Z40" s="500">
        <v>12</v>
      </c>
      <c r="AA40" s="500">
        <v>180</v>
      </c>
      <c r="AB40" s="500">
        <v>6</v>
      </c>
      <c r="AC40" s="500">
        <v>8</v>
      </c>
      <c r="AD40" s="500">
        <v>1</v>
      </c>
      <c r="AE40" s="500">
        <v>4</v>
      </c>
      <c r="AF40" s="500" t="s">
        <v>1024</v>
      </c>
      <c r="AG40" s="500" t="s">
        <v>619</v>
      </c>
      <c r="AH40" s="500" t="s">
        <v>620</v>
      </c>
      <c r="AI40" s="500" t="s">
        <v>1029</v>
      </c>
    </row>
    <row r="41" spans="1:36" x14ac:dyDescent="0.25">
      <c r="A41" s="502" t="s">
        <v>614</v>
      </c>
      <c r="B41" s="506">
        <v>51</v>
      </c>
      <c r="C41" s="510">
        <v>2.2909999999999999</v>
      </c>
      <c r="D41" s="514">
        <v>1618</v>
      </c>
      <c r="E41" s="510">
        <v>2.2909999999999999</v>
      </c>
      <c r="F41" s="514">
        <v>1618</v>
      </c>
      <c r="G41" s="510">
        <v>-1.095E-2</v>
      </c>
      <c r="H41" s="514">
        <v>2306</v>
      </c>
      <c r="I41" s="510">
        <v>-1.095E-2</v>
      </c>
      <c r="J41" s="514">
        <v>2641.98</v>
      </c>
      <c r="K41" s="518">
        <v>12</v>
      </c>
      <c r="L41" s="503"/>
      <c r="M41" s="502">
        <v>65.7</v>
      </c>
      <c r="N41" s="503"/>
      <c r="O41" s="502">
        <v>65.7</v>
      </c>
      <c r="P41" s="502">
        <v>7</v>
      </c>
      <c r="Q41" s="502">
        <v>7</v>
      </c>
      <c r="R41" s="502">
        <v>7</v>
      </c>
      <c r="S41">
        <v>1</v>
      </c>
      <c r="T41">
        <v>1</v>
      </c>
      <c r="U41" s="502">
        <v>24</v>
      </c>
      <c r="V41" s="502">
        <v>39</v>
      </c>
      <c r="W41" s="502">
        <v>92152</v>
      </c>
      <c r="X41" s="502">
        <v>184304</v>
      </c>
      <c r="Y41" s="502">
        <v>268</v>
      </c>
      <c r="Z41" s="502">
        <v>12</v>
      </c>
      <c r="AA41" s="502">
        <v>180</v>
      </c>
      <c r="AB41" s="502">
        <v>6</v>
      </c>
      <c r="AC41" s="502">
        <v>8</v>
      </c>
      <c r="AD41" s="502">
        <v>1</v>
      </c>
      <c r="AE41" s="502">
        <v>4</v>
      </c>
      <c r="AF41" s="502" t="s">
        <v>1024</v>
      </c>
      <c r="AG41" s="502" t="s">
        <v>619</v>
      </c>
      <c r="AH41" s="502" t="s">
        <v>620</v>
      </c>
      <c r="AI41" s="502" t="s">
        <v>1029</v>
      </c>
    </row>
    <row r="42" spans="1:36" x14ac:dyDescent="0.25">
      <c r="A42" s="564" t="s">
        <v>792</v>
      </c>
      <c r="B42" s="565">
        <v>4.4000000000000004</v>
      </c>
      <c r="C42" s="566">
        <v>2.1579999999999999</v>
      </c>
      <c r="D42" s="567">
        <v>28</v>
      </c>
      <c r="E42" s="566">
        <v>2.1579999999999999</v>
      </c>
      <c r="F42" s="567">
        <v>28</v>
      </c>
      <c r="G42" s="566">
        <v>-8.9999999999999998E-4</v>
      </c>
      <c r="H42" s="567">
        <v>40</v>
      </c>
      <c r="I42" s="566">
        <v>-8.9999999999999998E-4</v>
      </c>
      <c r="J42" s="567">
        <v>40</v>
      </c>
      <c r="K42" s="569">
        <v>2.4</v>
      </c>
      <c r="L42" s="568"/>
      <c r="M42" s="569">
        <v>2.4</v>
      </c>
      <c r="N42" s="568"/>
      <c r="O42" s="569">
        <v>2.4</v>
      </c>
      <c r="P42" s="569">
        <v>1</v>
      </c>
      <c r="Q42" s="569">
        <v>1</v>
      </c>
      <c r="R42" s="569">
        <v>1</v>
      </c>
      <c r="S42" s="570">
        <v>1</v>
      </c>
      <c r="T42" s="570">
        <v>1</v>
      </c>
      <c r="U42" s="569">
        <v>4</v>
      </c>
      <c r="V42" s="569">
        <v>9</v>
      </c>
      <c r="W42" s="569">
        <v>2400</v>
      </c>
      <c r="X42" s="569">
        <v>4800</v>
      </c>
      <c r="Y42" s="569">
        <v>12</v>
      </c>
      <c r="Z42" s="569">
        <v>4</v>
      </c>
      <c r="AA42" s="569">
        <v>8</v>
      </c>
      <c r="AB42" s="569">
        <v>1</v>
      </c>
      <c r="AC42" s="569">
        <v>0</v>
      </c>
      <c r="AD42" s="569">
        <v>0</v>
      </c>
      <c r="AE42" s="569">
        <v>0</v>
      </c>
      <c r="AF42" s="569" t="s">
        <v>615</v>
      </c>
      <c r="AG42" s="569" t="s">
        <v>1065</v>
      </c>
      <c r="AH42" s="496" t="s">
        <v>616</v>
      </c>
      <c r="AI42" s="570"/>
      <c r="AJ42" s="570"/>
    </row>
    <row r="43" spans="1:36" x14ac:dyDescent="0.25">
      <c r="A43" s="558" t="s">
        <v>793</v>
      </c>
      <c r="B43" s="559">
        <v>4.4000000000000004</v>
      </c>
      <c r="C43" s="560">
        <v>2.1579999999999999</v>
      </c>
      <c r="D43" s="561">
        <v>28</v>
      </c>
      <c r="E43" s="560">
        <v>2.1579999999999999</v>
      </c>
      <c r="F43" s="561">
        <v>28</v>
      </c>
      <c r="G43" s="560">
        <v>-8.9999999999999998E-4</v>
      </c>
      <c r="H43" s="561">
        <v>40</v>
      </c>
      <c r="I43" s="560">
        <v>-8.9999999999999998E-4</v>
      </c>
      <c r="J43" s="561">
        <v>40</v>
      </c>
      <c r="K43" s="558">
        <v>2.4</v>
      </c>
      <c r="L43" s="563"/>
      <c r="M43" s="558">
        <v>2.4</v>
      </c>
      <c r="N43" s="563"/>
      <c r="O43" s="558">
        <v>2.4</v>
      </c>
      <c r="P43" s="558">
        <v>1</v>
      </c>
      <c r="Q43" s="558">
        <v>1</v>
      </c>
      <c r="R43" s="558">
        <v>1</v>
      </c>
      <c r="S43">
        <v>1</v>
      </c>
      <c r="T43">
        <v>1</v>
      </c>
      <c r="U43" s="558">
        <v>8</v>
      </c>
      <c r="V43" s="558">
        <v>11</v>
      </c>
      <c r="W43" s="558">
        <v>5720</v>
      </c>
      <c r="X43" s="558">
        <v>11440</v>
      </c>
      <c r="Y43" s="558">
        <v>32</v>
      </c>
      <c r="Z43" s="558">
        <v>4</v>
      </c>
      <c r="AA43" s="558">
        <v>16</v>
      </c>
      <c r="AB43" s="558">
        <v>2</v>
      </c>
      <c r="AC43" s="558">
        <v>0</v>
      </c>
      <c r="AD43" s="558">
        <v>0</v>
      </c>
      <c r="AE43" s="558">
        <v>2</v>
      </c>
      <c r="AF43" s="558" t="s">
        <v>615</v>
      </c>
      <c r="AG43" s="558" t="s">
        <v>1065</v>
      </c>
      <c r="AH43" s="558" t="s">
        <v>616</v>
      </c>
      <c r="AI43" s="558" t="s">
        <v>618</v>
      </c>
      <c r="AJ43" s="558" t="s">
        <v>617</v>
      </c>
    </row>
    <row r="44" spans="1:36" x14ac:dyDescent="0.25">
      <c r="A44" s="500" t="s">
        <v>794</v>
      </c>
      <c r="B44" s="505">
        <v>7.3</v>
      </c>
      <c r="C44" s="509">
        <v>1.8420000000000001</v>
      </c>
      <c r="D44" s="513">
        <v>45</v>
      </c>
      <c r="E44" s="509">
        <v>1.8420000000000001</v>
      </c>
      <c r="F44" s="513">
        <v>45</v>
      </c>
      <c r="G44" s="509">
        <v>-1.2999999999999999E-3</v>
      </c>
      <c r="H44" s="513">
        <v>64</v>
      </c>
      <c r="I44" s="509">
        <v>-1.2999999999999999E-3</v>
      </c>
      <c r="J44" s="513">
        <v>64</v>
      </c>
      <c r="K44" s="500">
        <v>2.8</v>
      </c>
      <c r="L44" s="501"/>
      <c r="M44" s="500">
        <v>2.8</v>
      </c>
      <c r="N44" s="501"/>
      <c r="O44" s="500">
        <v>2.8</v>
      </c>
      <c r="P44" s="500">
        <v>2</v>
      </c>
      <c r="Q44" s="500">
        <v>2</v>
      </c>
      <c r="R44" s="500">
        <v>2</v>
      </c>
      <c r="S44">
        <v>1</v>
      </c>
      <c r="T44">
        <v>1</v>
      </c>
      <c r="U44" s="500">
        <v>8</v>
      </c>
      <c r="V44" s="500">
        <v>13</v>
      </c>
      <c r="W44" s="500">
        <v>9112</v>
      </c>
      <c r="X44" s="500">
        <v>18224</v>
      </c>
      <c r="Y44" s="500">
        <v>32</v>
      </c>
      <c r="Z44" s="500">
        <v>4</v>
      </c>
      <c r="AA44" s="500">
        <v>32</v>
      </c>
      <c r="AB44" s="500">
        <v>2</v>
      </c>
      <c r="AC44" s="500">
        <v>0</v>
      </c>
      <c r="AD44" s="500">
        <v>0</v>
      </c>
      <c r="AE44" s="500">
        <v>2</v>
      </c>
      <c r="AF44" s="500" t="s">
        <v>1065</v>
      </c>
      <c r="AG44" s="500" t="s">
        <v>616</v>
      </c>
      <c r="AH44" s="500" t="s">
        <v>618</v>
      </c>
      <c r="AI44" s="500" t="s">
        <v>617</v>
      </c>
    </row>
    <row r="45" spans="1:36" x14ac:dyDescent="0.25">
      <c r="A45" s="500" t="s">
        <v>795</v>
      </c>
      <c r="B45" s="505">
        <v>12.1</v>
      </c>
      <c r="C45" s="509">
        <v>1.871</v>
      </c>
      <c r="D45" s="513">
        <v>73</v>
      </c>
      <c r="E45" s="509">
        <v>1.871</v>
      </c>
      <c r="F45" s="513">
        <v>73</v>
      </c>
      <c r="G45" s="509">
        <v>-2.0999999999999999E-3</v>
      </c>
      <c r="H45" s="513">
        <v>105</v>
      </c>
      <c r="I45" s="509">
        <v>-2.0999999999999999E-3</v>
      </c>
      <c r="J45" s="513">
        <v>105</v>
      </c>
      <c r="K45" s="517">
        <v>4</v>
      </c>
      <c r="L45" s="501"/>
      <c r="M45" s="500">
        <v>4</v>
      </c>
      <c r="N45" s="501"/>
      <c r="O45" s="500">
        <v>4</v>
      </c>
      <c r="P45" s="500">
        <v>2</v>
      </c>
      <c r="Q45" s="500">
        <v>2</v>
      </c>
      <c r="R45" s="500">
        <v>2</v>
      </c>
      <c r="S45">
        <v>1</v>
      </c>
      <c r="T45">
        <v>1</v>
      </c>
      <c r="U45" s="500">
        <v>11</v>
      </c>
      <c r="V45" s="500">
        <v>16</v>
      </c>
      <c r="W45" s="500">
        <v>15032</v>
      </c>
      <c r="X45" s="500">
        <v>30064</v>
      </c>
      <c r="Y45" s="500">
        <v>52</v>
      </c>
      <c r="Z45" s="500">
        <v>4</v>
      </c>
      <c r="AA45" s="500">
        <v>38</v>
      </c>
      <c r="AB45" s="500">
        <v>2</v>
      </c>
      <c r="AC45" s="500">
        <v>0</v>
      </c>
      <c r="AD45" s="500">
        <v>0</v>
      </c>
      <c r="AE45" s="500">
        <v>2</v>
      </c>
      <c r="AF45" s="500" t="s">
        <v>618</v>
      </c>
      <c r="AG45" s="500" t="s">
        <v>617</v>
      </c>
      <c r="AH45" s="500" t="s">
        <v>619</v>
      </c>
    </row>
    <row r="46" spans="1:36" x14ac:dyDescent="0.25">
      <c r="A46" s="500" t="s">
        <v>796</v>
      </c>
      <c r="B46" s="505">
        <v>16.600000000000001</v>
      </c>
      <c r="C46" s="509">
        <v>2.2879999999999998</v>
      </c>
      <c r="D46" s="513">
        <v>135</v>
      </c>
      <c r="E46" s="509">
        <v>2.2879999999999998</v>
      </c>
      <c r="F46" s="513">
        <v>135</v>
      </c>
      <c r="G46" s="509">
        <v>-3.5999999999999999E-3</v>
      </c>
      <c r="H46" s="513">
        <v>192</v>
      </c>
      <c r="I46" s="509">
        <v>-3.5999999999999999E-3</v>
      </c>
      <c r="J46" s="513">
        <v>192</v>
      </c>
      <c r="K46" s="517">
        <v>5</v>
      </c>
      <c r="L46" s="501"/>
      <c r="M46" s="500">
        <v>10.3</v>
      </c>
      <c r="N46" s="501"/>
      <c r="O46" s="500">
        <v>10.3</v>
      </c>
      <c r="P46" s="500">
        <v>2</v>
      </c>
      <c r="Q46" s="500">
        <v>2</v>
      </c>
      <c r="R46" s="500">
        <v>2</v>
      </c>
      <c r="S46">
        <v>1</v>
      </c>
      <c r="T46">
        <v>1</v>
      </c>
      <c r="U46" s="500">
        <v>16</v>
      </c>
      <c r="V46" s="500">
        <v>20</v>
      </c>
      <c r="W46" s="500">
        <v>27288</v>
      </c>
      <c r="X46" s="500">
        <v>54576</v>
      </c>
      <c r="Y46" s="500">
        <v>116</v>
      </c>
      <c r="Z46" s="500">
        <v>8</v>
      </c>
      <c r="AA46" s="500">
        <v>58</v>
      </c>
      <c r="AB46" s="500">
        <v>4</v>
      </c>
      <c r="AC46" s="500">
        <v>0</v>
      </c>
      <c r="AD46" s="500">
        <v>0</v>
      </c>
      <c r="AE46" s="500">
        <v>2</v>
      </c>
      <c r="AF46" s="500" t="s">
        <v>617</v>
      </c>
      <c r="AG46" s="500" t="s">
        <v>1024</v>
      </c>
      <c r="AH46" s="500" t="s">
        <v>619</v>
      </c>
      <c r="AI46" s="500" t="s">
        <v>620</v>
      </c>
    </row>
    <row r="47" spans="1:36" x14ac:dyDescent="0.25">
      <c r="A47" s="500" t="s">
        <v>932</v>
      </c>
      <c r="B47" s="505">
        <v>32</v>
      </c>
      <c r="C47" s="509">
        <v>2.1520000000000001</v>
      </c>
      <c r="D47" s="513">
        <v>230</v>
      </c>
      <c r="E47" s="509">
        <v>2.1520000000000001</v>
      </c>
      <c r="F47" s="513">
        <v>230</v>
      </c>
      <c r="G47" s="509">
        <v>-6.4999999999999997E-3</v>
      </c>
      <c r="H47" s="513">
        <v>328</v>
      </c>
      <c r="I47" s="509">
        <v>-6.4999999999999997E-3</v>
      </c>
      <c r="J47" s="513">
        <v>328</v>
      </c>
      <c r="K47" s="517">
        <v>7</v>
      </c>
      <c r="L47" s="501"/>
      <c r="M47" s="500">
        <v>13.9</v>
      </c>
      <c r="N47" s="501"/>
      <c r="O47" s="500">
        <v>13.9</v>
      </c>
      <c r="P47" s="500">
        <v>4</v>
      </c>
      <c r="Q47" s="500">
        <v>4</v>
      </c>
      <c r="R47" s="500">
        <v>4</v>
      </c>
      <c r="S47">
        <v>1</v>
      </c>
      <c r="T47">
        <v>1</v>
      </c>
      <c r="U47" s="500">
        <v>20</v>
      </c>
      <c r="V47" s="500">
        <v>24</v>
      </c>
      <c r="W47" s="500">
        <v>46648</v>
      </c>
      <c r="X47" s="500">
        <v>93296</v>
      </c>
      <c r="Y47" s="500">
        <v>172</v>
      </c>
      <c r="Z47" s="500">
        <v>12</v>
      </c>
      <c r="AA47" s="500">
        <v>132</v>
      </c>
      <c r="AB47" s="500">
        <v>6</v>
      </c>
      <c r="AC47" s="500">
        <v>0</v>
      </c>
      <c r="AD47" s="500">
        <v>0</v>
      </c>
      <c r="AE47" s="500">
        <v>4</v>
      </c>
      <c r="AF47" s="500" t="s">
        <v>1024</v>
      </c>
      <c r="AG47" s="500" t="s">
        <v>619</v>
      </c>
      <c r="AH47" s="500" t="s">
        <v>620</v>
      </c>
    </row>
    <row r="48" spans="1:36" x14ac:dyDescent="0.25">
      <c r="A48" s="500" t="s">
        <v>797</v>
      </c>
      <c r="B48" s="505">
        <v>39.700000000000003</v>
      </c>
      <c r="C48" s="509">
        <v>2.2810000000000001</v>
      </c>
      <c r="D48" s="513">
        <v>312</v>
      </c>
      <c r="E48" s="509">
        <v>2.2810000000000001</v>
      </c>
      <c r="F48" s="513">
        <v>312</v>
      </c>
      <c r="G48" s="509">
        <v>-8.5000000000000006E-3</v>
      </c>
      <c r="H48" s="513">
        <v>444</v>
      </c>
      <c r="I48" s="509">
        <v>-8.5000000000000006E-3</v>
      </c>
      <c r="J48" s="513">
        <v>444</v>
      </c>
      <c r="K48" s="517">
        <v>9</v>
      </c>
      <c r="L48" s="501"/>
      <c r="M48" s="500">
        <v>21.1</v>
      </c>
      <c r="N48" s="501"/>
      <c r="O48" s="500">
        <v>21.1</v>
      </c>
      <c r="P48" s="500">
        <v>5</v>
      </c>
      <c r="Q48" s="500">
        <v>5</v>
      </c>
      <c r="R48" s="500">
        <v>5</v>
      </c>
      <c r="S48">
        <v>1</v>
      </c>
      <c r="T48">
        <v>1</v>
      </c>
      <c r="U48" s="500">
        <v>24</v>
      </c>
      <c r="V48" s="500">
        <v>28</v>
      </c>
      <c r="W48" s="500">
        <v>63288</v>
      </c>
      <c r="X48" s="500">
        <v>126576</v>
      </c>
      <c r="Y48" s="500">
        <v>268</v>
      </c>
      <c r="Z48" s="500">
        <v>12</v>
      </c>
      <c r="AA48" s="500">
        <v>180</v>
      </c>
      <c r="AB48" s="500">
        <v>6</v>
      </c>
      <c r="AC48" s="500">
        <v>0</v>
      </c>
      <c r="AD48" s="500">
        <v>0</v>
      </c>
      <c r="AE48" s="500">
        <v>4</v>
      </c>
      <c r="AF48" s="500" t="s">
        <v>1024</v>
      </c>
      <c r="AG48" s="500" t="s">
        <v>619</v>
      </c>
      <c r="AH48" s="500" t="s">
        <v>620</v>
      </c>
    </row>
    <row r="49" spans="1:36" x14ac:dyDescent="0.25">
      <c r="A49" s="502" t="s">
        <v>798</v>
      </c>
      <c r="B49" s="506">
        <v>57</v>
      </c>
      <c r="C49" s="510">
        <v>2.3050000000000002</v>
      </c>
      <c r="D49" s="514">
        <v>455</v>
      </c>
      <c r="E49" s="510">
        <v>2.3050000000000002</v>
      </c>
      <c r="F49" s="514">
        <v>455</v>
      </c>
      <c r="G49" s="510">
        <v>-1.24E-2</v>
      </c>
      <c r="H49" s="514">
        <v>649</v>
      </c>
      <c r="I49" s="510">
        <v>-1.24E-2</v>
      </c>
      <c r="J49" s="514">
        <v>649</v>
      </c>
      <c r="K49" s="518">
        <v>12</v>
      </c>
      <c r="L49" s="503"/>
      <c r="M49" s="502">
        <v>34.6</v>
      </c>
      <c r="N49" s="503"/>
      <c r="O49" s="502">
        <v>34.6</v>
      </c>
      <c r="P49" s="502">
        <v>7</v>
      </c>
      <c r="Q49" s="502">
        <v>7</v>
      </c>
      <c r="R49" s="502">
        <v>7</v>
      </c>
      <c r="S49">
        <v>1</v>
      </c>
      <c r="T49">
        <v>1</v>
      </c>
      <c r="U49" s="502">
        <v>24</v>
      </c>
      <c r="V49" s="502">
        <v>39</v>
      </c>
      <c r="W49" s="502">
        <v>92152</v>
      </c>
      <c r="X49" s="502">
        <v>184304</v>
      </c>
      <c r="Y49" s="502">
        <v>268</v>
      </c>
      <c r="Z49" s="502">
        <v>12</v>
      </c>
      <c r="AA49" s="502">
        <v>180</v>
      </c>
      <c r="AB49" s="502">
        <v>6</v>
      </c>
      <c r="AC49" s="502">
        <v>0</v>
      </c>
      <c r="AD49" s="502">
        <v>0</v>
      </c>
      <c r="AE49" s="502">
        <v>4</v>
      </c>
      <c r="AF49" s="502" t="s">
        <v>1024</v>
      </c>
      <c r="AG49" s="502" t="s">
        <v>619</v>
      </c>
      <c r="AH49" s="502" t="s">
        <v>620</v>
      </c>
      <c r="AI49" s="502" t="s">
        <v>1029</v>
      </c>
    </row>
    <row r="50" spans="1:36" x14ac:dyDescent="0.25">
      <c r="A50" s="564" t="s">
        <v>1243</v>
      </c>
      <c r="B50" s="565">
        <v>4</v>
      </c>
      <c r="C50" s="566">
        <v>2.27</v>
      </c>
      <c r="D50" s="567">
        <v>100</v>
      </c>
      <c r="E50" s="566">
        <v>2.27</v>
      </c>
      <c r="F50" s="567">
        <v>100</v>
      </c>
      <c r="G50" s="566">
        <v>-8.4999999999999995E-4</v>
      </c>
      <c r="H50" s="567">
        <v>142</v>
      </c>
      <c r="I50" s="566">
        <v>-8.4999999999999995E-4</v>
      </c>
      <c r="J50" s="567">
        <v>142</v>
      </c>
      <c r="K50" s="564">
        <v>2.5</v>
      </c>
      <c r="L50" s="568"/>
      <c r="M50" s="569">
        <v>3.6</v>
      </c>
      <c r="N50" s="568"/>
      <c r="O50" s="569">
        <v>3.6</v>
      </c>
      <c r="P50" s="569">
        <v>1</v>
      </c>
      <c r="Q50" s="569">
        <v>1</v>
      </c>
      <c r="R50" s="569">
        <v>1</v>
      </c>
      <c r="S50" s="570">
        <v>0.85</v>
      </c>
      <c r="T50" s="570">
        <v>1</v>
      </c>
      <c r="U50" s="569">
        <v>4</v>
      </c>
      <c r="V50" s="569">
        <v>9</v>
      </c>
      <c r="W50" s="569">
        <v>2400</v>
      </c>
      <c r="X50" s="569">
        <v>4800</v>
      </c>
      <c r="Y50" s="569">
        <v>12</v>
      </c>
      <c r="Z50" s="569">
        <v>4</v>
      </c>
      <c r="AA50" s="569">
        <v>8</v>
      </c>
      <c r="AB50" s="569">
        <v>2</v>
      </c>
      <c r="AC50" s="569">
        <v>0</v>
      </c>
      <c r="AD50" s="569">
        <v>0</v>
      </c>
      <c r="AE50" s="569">
        <v>0</v>
      </c>
      <c r="AF50" s="569" t="s">
        <v>616</v>
      </c>
      <c r="AG50" s="569"/>
      <c r="AH50" s="496"/>
      <c r="AI50" s="570"/>
      <c r="AJ50" s="570"/>
    </row>
    <row r="51" spans="1:36" x14ac:dyDescent="0.25">
      <c r="A51" s="558" t="s">
        <v>1244</v>
      </c>
      <c r="B51" s="559">
        <v>4</v>
      </c>
      <c r="C51" s="560">
        <v>2.27</v>
      </c>
      <c r="D51" s="561">
        <v>100</v>
      </c>
      <c r="E51" s="560">
        <v>2.27</v>
      </c>
      <c r="F51" s="561">
        <v>100</v>
      </c>
      <c r="G51" s="560">
        <v>-8.4999999999999995E-4</v>
      </c>
      <c r="H51" s="561">
        <v>142</v>
      </c>
      <c r="I51" s="560">
        <v>-8.4999999999999995E-4</v>
      </c>
      <c r="J51" s="561">
        <v>142</v>
      </c>
      <c r="K51" s="562">
        <v>2.5</v>
      </c>
      <c r="L51" s="563"/>
      <c r="M51" s="558">
        <v>3.6</v>
      </c>
      <c r="N51" s="563"/>
      <c r="O51" s="558">
        <v>3.6</v>
      </c>
      <c r="P51" s="558">
        <v>1</v>
      </c>
      <c r="Q51" s="558">
        <v>1</v>
      </c>
      <c r="R51" s="558">
        <v>1</v>
      </c>
      <c r="S51">
        <v>0.85</v>
      </c>
      <c r="T51">
        <v>1</v>
      </c>
      <c r="U51" s="558">
        <v>8</v>
      </c>
      <c r="V51" s="558">
        <v>11</v>
      </c>
      <c r="W51" s="558">
        <v>5720</v>
      </c>
      <c r="X51" s="558">
        <v>11440</v>
      </c>
      <c r="Y51" s="558">
        <v>32</v>
      </c>
      <c r="Z51" s="558">
        <v>4</v>
      </c>
      <c r="AA51" s="558">
        <v>16</v>
      </c>
      <c r="AB51" s="558">
        <v>2</v>
      </c>
      <c r="AC51" s="558">
        <v>0</v>
      </c>
      <c r="AD51" s="558">
        <v>0</v>
      </c>
      <c r="AE51" s="558">
        <v>2</v>
      </c>
      <c r="AF51" s="558" t="s">
        <v>616</v>
      </c>
      <c r="AG51" s="558" t="s">
        <v>618</v>
      </c>
      <c r="AH51" s="558" t="s">
        <v>617</v>
      </c>
      <c r="AI51" s="558"/>
      <c r="AJ51" s="558"/>
    </row>
    <row r="52" spans="1:36" x14ac:dyDescent="0.25">
      <c r="A52" s="500" t="s">
        <v>1245</v>
      </c>
      <c r="B52" s="505">
        <v>6</v>
      </c>
      <c r="C52" s="509">
        <v>2.17</v>
      </c>
      <c r="D52" s="513">
        <v>160</v>
      </c>
      <c r="E52" s="509">
        <v>2.17</v>
      </c>
      <c r="F52" s="513">
        <v>160</v>
      </c>
      <c r="G52" s="509">
        <v>-1.2999999999999999E-3</v>
      </c>
      <c r="H52" s="513">
        <v>228</v>
      </c>
      <c r="I52" s="509">
        <v>-1.2999999999999999E-3</v>
      </c>
      <c r="J52" s="513">
        <v>228</v>
      </c>
      <c r="K52" s="517">
        <v>3</v>
      </c>
      <c r="L52" s="501"/>
      <c r="M52" s="500">
        <v>4.0999999999999996</v>
      </c>
      <c r="N52" s="501"/>
      <c r="O52" s="500">
        <v>4.0999999999999996</v>
      </c>
      <c r="P52" s="500">
        <v>2</v>
      </c>
      <c r="Q52" s="500">
        <v>2</v>
      </c>
      <c r="R52" s="500">
        <v>2</v>
      </c>
      <c r="S52">
        <v>0.85299999999999998</v>
      </c>
      <c r="T52">
        <v>1</v>
      </c>
      <c r="U52" s="500">
        <v>8</v>
      </c>
      <c r="V52" s="500">
        <v>13</v>
      </c>
      <c r="W52" s="500">
        <v>9112</v>
      </c>
      <c r="X52" s="500">
        <v>18224</v>
      </c>
      <c r="Y52" s="500">
        <v>32</v>
      </c>
      <c r="Z52" s="500">
        <v>4</v>
      </c>
      <c r="AA52" s="500">
        <v>32</v>
      </c>
      <c r="AB52" s="500">
        <v>2</v>
      </c>
      <c r="AC52" s="500">
        <v>0</v>
      </c>
      <c r="AD52" s="500">
        <v>0</v>
      </c>
      <c r="AE52" s="500">
        <v>2</v>
      </c>
      <c r="AF52" s="500" t="s">
        <v>616</v>
      </c>
      <c r="AG52" s="500" t="s">
        <v>618</v>
      </c>
      <c r="AH52" s="500" t="s">
        <v>617</v>
      </c>
      <c r="AI52" s="500"/>
    </row>
    <row r="53" spans="1:36" x14ac:dyDescent="0.25">
      <c r="A53" s="500" t="s">
        <v>1246</v>
      </c>
      <c r="B53" s="505">
        <v>11</v>
      </c>
      <c r="C53" s="509">
        <v>1.89</v>
      </c>
      <c r="D53" s="513">
        <v>261</v>
      </c>
      <c r="E53" s="509">
        <v>1.89</v>
      </c>
      <c r="F53" s="513">
        <v>261</v>
      </c>
      <c r="G53" s="509">
        <v>-1.9E-3</v>
      </c>
      <c r="H53" s="513">
        <v>372</v>
      </c>
      <c r="I53" s="509">
        <v>-1.9E-3</v>
      </c>
      <c r="J53" s="513">
        <v>429</v>
      </c>
      <c r="K53" s="517">
        <v>4</v>
      </c>
      <c r="L53" s="501"/>
      <c r="M53" s="500">
        <v>6.9</v>
      </c>
      <c r="N53" s="501"/>
      <c r="O53" s="500">
        <v>6.9</v>
      </c>
      <c r="P53" s="500">
        <v>2</v>
      </c>
      <c r="Q53" s="500">
        <v>2</v>
      </c>
      <c r="R53" s="500">
        <v>2</v>
      </c>
      <c r="S53">
        <v>0.94499999999999995</v>
      </c>
      <c r="T53">
        <v>0.86</v>
      </c>
      <c r="U53" s="500">
        <v>11</v>
      </c>
      <c r="V53" s="500">
        <v>16</v>
      </c>
      <c r="W53" s="500">
        <v>15032</v>
      </c>
      <c r="X53" s="500">
        <v>30064</v>
      </c>
      <c r="Y53" s="500">
        <v>52</v>
      </c>
      <c r="Z53" s="500">
        <v>4</v>
      </c>
      <c r="AA53" s="500">
        <v>38</v>
      </c>
      <c r="AB53" s="500">
        <v>2</v>
      </c>
      <c r="AC53" s="500">
        <v>0</v>
      </c>
      <c r="AD53" s="500">
        <v>0</v>
      </c>
      <c r="AE53" s="500">
        <v>2</v>
      </c>
      <c r="AF53" s="500" t="s">
        <v>618</v>
      </c>
      <c r="AG53" s="500" t="s">
        <v>617</v>
      </c>
      <c r="AH53" s="500" t="s">
        <v>619</v>
      </c>
    </row>
    <row r="54" spans="1:36" x14ac:dyDescent="0.25">
      <c r="A54" s="500" t="s">
        <v>1247</v>
      </c>
      <c r="B54" s="505">
        <v>15</v>
      </c>
      <c r="C54" s="509">
        <v>2.56</v>
      </c>
      <c r="D54" s="513">
        <v>480</v>
      </c>
      <c r="E54" s="509">
        <v>2.56</v>
      </c>
      <c r="F54" s="513">
        <v>480</v>
      </c>
      <c r="G54" s="509">
        <v>-3.5999999999999999E-3</v>
      </c>
      <c r="H54" s="513">
        <v>684</v>
      </c>
      <c r="I54" s="509">
        <v>-3.5999999999999999E-3</v>
      </c>
      <c r="J54" s="513">
        <v>788.32</v>
      </c>
      <c r="K54" s="517">
        <v>5</v>
      </c>
      <c r="L54" s="501"/>
      <c r="M54" s="500">
        <v>12.5</v>
      </c>
      <c r="N54" s="501"/>
      <c r="O54" s="500">
        <v>12.5</v>
      </c>
      <c r="P54" s="500">
        <v>2</v>
      </c>
      <c r="Q54" s="500">
        <v>2</v>
      </c>
      <c r="R54" s="500">
        <v>2</v>
      </c>
      <c r="S54">
        <v>0.94599999999999995</v>
      </c>
      <c r="T54">
        <v>0.84</v>
      </c>
      <c r="U54" s="500">
        <v>16</v>
      </c>
      <c r="V54" s="500">
        <v>20</v>
      </c>
      <c r="W54" s="500">
        <v>27288</v>
      </c>
      <c r="X54" s="500">
        <v>54576</v>
      </c>
      <c r="Y54" s="500">
        <v>116</v>
      </c>
      <c r="Z54" s="500">
        <v>8</v>
      </c>
      <c r="AA54" s="500">
        <v>58</v>
      </c>
      <c r="AB54" s="500">
        <v>4</v>
      </c>
      <c r="AC54" s="500">
        <v>0</v>
      </c>
      <c r="AD54" s="500">
        <v>0</v>
      </c>
      <c r="AE54" s="500">
        <v>2</v>
      </c>
      <c r="AF54" s="500" t="s">
        <v>617</v>
      </c>
      <c r="AG54" s="500" t="s">
        <v>619</v>
      </c>
      <c r="AH54" s="501" t="s">
        <v>1024</v>
      </c>
      <c r="AI54" s="500"/>
    </row>
    <row r="55" spans="1:36" x14ac:dyDescent="0.25">
      <c r="A55" s="500" t="s">
        <v>1248</v>
      </c>
      <c r="B55" s="505">
        <v>29</v>
      </c>
      <c r="C55" s="509">
        <v>2.2749999999999999</v>
      </c>
      <c r="D55" s="513">
        <v>819</v>
      </c>
      <c r="E55" s="509">
        <v>2.2749999999999999</v>
      </c>
      <c r="F55" s="513">
        <v>819</v>
      </c>
      <c r="G55" s="509">
        <v>-6.1999999999999998E-3</v>
      </c>
      <c r="H55" s="513">
        <v>1167</v>
      </c>
      <c r="I55" s="509">
        <v>-6.1999999999999998E-3</v>
      </c>
      <c r="J55" s="513">
        <v>1335</v>
      </c>
      <c r="K55" s="517">
        <v>7</v>
      </c>
      <c r="L55" s="501"/>
      <c r="M55" s="500">
        <v>21.3</v>
      </c>
      <c r="N55" s="501"/>
      <c r="O55" s="500">
        <v>21.3</v>
      </c>
      <c r="P55" s="500">
        <v>4</v>
      </c>
      <c r="Q55" s="500">
        <v>4</v>
      </c>
      <c r="R55" s="500">
        <v>4</v>
      </c>
      <c r="S55">
        <v>1.0229999999999999</v>
      </c>
      <c r="T55">
        <v>0.97</v>
      </c>
      <c r="U55" s="500">
        <v>20</v>
      </c>
      <c r="V55" s="500">
        <v>24</v>
      </c>
      <c r="W55" s="500">
        <v>46648</v>
      </c>
      <c r="X55" s="500">
        <v>93296</v>
      </c>
      <c r="Y55" s="500">
        <v>172</v>
      </c>
      <c r="Z55" s="500">
        <v>12</v>
      </c>
      <c r="AA55" s="500">
        <v>132</v>
      </c>
      <c r="AB55" s="500">
        <v>6</v>
      </c>
      <c r="AC55" s="500">
        <v>0</v>
      </c>
      <c r="AD55" s="500">
        <v>0</v>
      </c>
      <c r="AE55" s="500">
        <v>2</v>
      </c>
      <c r="AF55" s="500" t="s">
        <v>619</v>
      </c>
      <c r="AG55" s="501" t="s">
        <v>1024</v>
      </c>
      <c r="AH55" s="500"/>
    </row>
    <row r="56" spans="1:36" x14ac:dyDescent="0.25">
      <c r="A56" s="500" t="s">
        <v>1331</v>
      </c>
      <c r="B56" s="505">
        <v>36</v>
      </c>
      <c r="C56" s="509">
        <v>2.3650000000000002</v>
      </c>
      <c r="D56" s="513">
        <v>1108</v>
      </c>
      <c r="E56" s="509">
        <v>2.3650000000000002</v>
      </c>
      <c r="F56" s="513">
        <v>1108</v>
      </c>
      <c r="G56" s="509">
        <v>-8.0000000000000002E-3</v>
      </c>
      <c r="H56" s="513">
        <v>1580</v>
      </c>
      <c r="I56" s="509">
        <v>-8.0000000000000002E-3</v>
      </c>
      <c r="J56" s="513">
        <v>1846.2</v>
      </c>
      <c r="K56" s="517">
        <v>9</v>
      </c>
      <c r="L56" s="501"/>
      <c r="M56" s="500">
        <v>36</v>
      </c>
      <c r="N56" s="501"/>
      <c r="O56" s="500">
        <v>36</v>
      </c>
      <c r="P56" s="500">
        <v>5</v>
      </c>
      <c r="Q56" s="500">
        <v>5</v>
      </c>
      <c r="R56" s="500">
        <v>5</v>
      </c>
      <c r="S56">
        <v>1.0235000000000001</v>
      </c>
      <c r="T56">
        <v>1.135</v>
      </c>
      <c r="U56" s="500">
        <v>24</v>
      </c>
      <c r="V56" s="500">
        <v>28</v>
      </c>
      <c r="W56" s="500">
        <v>63288</v>
      </c>
      <c r="X56" s="500">
        <v>126576</v>
      </c>
      <c r="Y56" s="500">
        <v>268</v>
      </c>
      <c r="Z56" s="500">
        <v>12</v>
      </c>
      <c r="AA56" s="500">
        <v>180</v>
      </c>
      <c r="AB56" s="500">
        <v>6</v>
      </c>
      <c r="AC56" s="500">
        <v>0</v>
      </c>
      <c r="AD56" s="500">
        <v>0</v>
      </c>
      <c r="AE56" s="500">
        <v>4</v>
      </c>
      <c r="AF56" s="500" t="s">
        <v>619</v>
      </c>
      <c r="AG56" s="500"/>
      <c r="AH56" s="27"/>
    </row>
    <row r="57" spans="1:36" x14ac:dyDescent="0.25">
      <c r="A57" s="500" t="s">
        <v>1249</v>
      </c>
      <c r="B57" s="505">
        <v>11</v>
      </c>
      <c r="C57" s="509">
        <v>1.89</v>
      </c>
      <c r="D57" s="513">
        <v>261</v>
      </c>
      <c r="E57" s="509">
        <v>1.89</v>
      </c>
      <c r="F57" s="513">
        <v>261</v>
      </c>
      <c r="G57" s="509">
        <v>-1.9E-3</v>
      </c>
      <c r="H57" s="513">
        <v>372</v>
      </c>
      <c r="I57" s="509">
        <v>-1.9E-3</v>
      </c>
      <c r="J57" s="513">
        <v>429</v>
      </c>
      <c r="K57" s="517">
        <v>4</v>
      </c>
      <c r="L57" s="501"/>
      <c r="M57" s="500">
        <v>6.9</v>
      </c>
      <c r="N57" s="501"/>
      <c r="O57" s="500">
        <v>6.9</v>
      </c>
      <c r="P57" s="500">
        <v>2</v>
      </c>
      <c r="Q57" s="500">
        <v>2</v>
      </c>
      <c r="R57" s="500">
        <v>2</v>
      </c>
      <c r="S57">
        <v>0.94499999999999995</v>
      </c>
      <c r="T57">
        <v>0.86</v>
      </c>
      <c r="U57" s="500">
        <v>11</v>
      </c>
      <c r="V57" s="500">
        <v>16</v>
      </c>
      <c r="W57" s="500">
        <v>15032</v>
      </c>
      <c r="X57" s="500">
        <v>30064</v>
      </c>
      <c r="Y57" s="500">
        <v>52</v>
      </c>
      <c r="Z57" s="500">
        <v>4</v>
      </c>
      <c r="AA57" s="500">
        <v>38</v>
      </c>
      <c r="AB57" s="500">
        <v>2</v>
      </c>
      <c r="AC57" s="500">
        <v>2</v>
      </c>
      <c r="AD57" s="500">
        <v>1</v>
      </c>
      <c r="AE57" s="500">
        <v>2</v>
      </c>
      <c r="AF57" s="500" t="s">
        <v>617</v>
      </c>
      <c r="AG57" s="500" t="s">
        <v>619</v>
      </c>
      <c r="AI57" s="27"/>
    </row>
    <row r="58" spans="1:36" x14ac:dyDescent="0.25">
      <c r="A58" s="500" t="s">
        <v>1250</v>
      </c>
      <c r="B58" s="505">
        <v>15</v>
      </c>
      <c r="C58" s="509">
        <v>2.56</v>
      </c>
      <c r="D58" s="513">
        <v>480</v>
      </c>
      <c r="E58" s="509">
        <v>2.56</v>
      </c>
      <c r="F58" s="513">
        <v>480</v>
      </c>
      <c r="G58" s="509">
        <v>-3.5999999999999999E-3</v>
      </c>
      <c r="H58" s="513">
        <v>684</v>
      </c>
      <c r="I58" s="509">
        <v>-3.5999999999999999E-3</v>
      </c>
      <c r="J58" s="513">
        <v>788.32</v>
      </c>
      <c r="K58" s="517">
        <v>5</v>
      </c>
      <c r="L58" s="501"/>
      <c r="M58" s="500">
        <v>12.5</v>
      </c>
      <c r="N58" s="501"/>
      <c r="O58" s="500">
        <v>12.5</v>
      </c>
      <c r="P58" s="500">
        <v>3</v>
      </c>
      <c r="Q58" s="500">
        <v>3</v>
      </c>
      <c r="R58" s="500">
        <v>3</v>
      </c>
      <c r="S58">
        <v>0.94599999999999995</v>
      </c>
      <c r="T58">
        <v>0.84</v>
      </c>
      <c r="U58" s="500">
        <v>16</v>
      </c>
      <c r="V58" s="500">
        <v>20</v>
      </c>
      <c r="W58" s="500">
        <v>27288</v>
      </c>
      <c r="X58" s="500">
        <v>54576</v>
      </c>
      <c r="Y58" s="500">
        <v>116</v>
      </c>
      <c r="Z58" s="500">
        <v>8</v>
      </c>
      <c r="AA58" s="500">
        <v>58</v>
      </c>
      <c r="AB58" s="500">
        <v>4</v>
      </c>
      <c r="AC58" s="500">
        <v>4</v>
      </c>
      <c r="AD58" s="500">
        <v>1</v>
      </c>
      <c r="AE58" s="500">
        <v>2</v>
      </c>
      <c r="AF58" s="500" t="s">
        <v>617</v>
      </c>
      <c r="AG58" s="500" t="s">
        <v>619</v>
      </c>
      <c r="AH58" s="500"/>
      <c r="AI58" s="27"/>
    </row>
    <row r="59" spans="1:36" x14ac:dyDescent="0.25">
      <c r="A59" s="502" t="s">
        <v>1251</v>
      </c>
      <c r="B59" s="506">
        <v>29</v>
      </c>
      <c r="C59" s="510">
        <v>2.2749999999999999</v>
      </c>
      <c r="D59" s="514">
        <v>819</v>
      </c>
      <c r="E59" s="510">
        <v>2.2749999999999999</v>
      </c>
      <c r="F59" s="514">
        <v>819</v>
      </c>
      <c r="G59" s="510">
        <v>-6.1999999999999998E-3</v>
      </c>
      <c r="H59" s="514">
        <v>1167</v>
      </c>
      <c r="I59" s="510">
        <v>-6.1999999999999998E-3</v>
      </c>
      <c r="J59" s="514">
        <v>1335</v>
      </c>
      <c r="K59" s="518">
        <v>7</v>
      </c>
      <c r="L59" s="503"/>
      <c r="M59" s="502">
        <v>21.3</v>
      </c>
      <c r="N59" s="503"/>
      <c r="O59" s="502">
        <v>21.3</v>
      </c>
      <c r="P59" s="502">
        <v>4</v>
      </c>
      <c r="Q59" s="502">
        <v>4</v>
      </c>
      <c r="R59" s="502">
        <v>4</v>
      </c>
      <c r="S59">
        <v>1.0229999999999999</v>
      </c>
      <c r="T59">
        <v>0.97</v>
      </c>
      <c r="U59" s="502">
        <v>20</v>
      </c>
      <c r="V59" s="502">
        <v>24</v>
      </c>
      <c r="W59" s="502">
        <v>46648</v>
      </c>
      <c r="X59" s="502">
        <v>93296</v>
      </c>
      <c r="Y59" s="502">
        <v>172</v>
      </c>
      <c r="Z59" s="502">
        <v>12</v>
      </c>
      <c r="AA59" s="502">
        <v>132</v>
      </c>
      <c r="AB59" s="502">
        <v>6</v>
      </c>
      <c r="AC59" s="502">
        <v>4</v>
      </c>
      <c r="AD59" s="502">
        <v>1</v>
      </c>
      <c r="AE59" s="502">
        <v>2</v>
      </c>
      <c r="AF59" s="502" t="s">
        <v>619</v>
      </c>
      <c r="AG59" s="502"/>
      <c r="AH59" s="502"/>
      <c r="AI59" s="27"/>
    </row>
    <row r="60" spans="1:36" x14ac:dyDescent="0.25">
      <c r="A60" s="564" t="s">
        <v>1308</v>
      </c>
      <c r="B60" s="565">
        <v>29</v>
      </c>
      <c r="C60" s="566">
        <v>2.2749999999999999</v>
      </c>
      <c r="D60" s="567">
        <v>819</v>
      </c>
      <c r="E60" s="566">
        <v>2.2749999999999999</v>
      </c>
      <c r="F60" s="567">
        <v>819</v>
      </c>
      <c r="G60" s="566">
        <v>-6.1999999999999998E-3</v>
      </c>
      <c r="H60" s="567">
        <v>1167</v>
      </c>
      <c r="I60" s="566">
        <v>-6.1999999999999998E-3</v>
      </c>
      <c r="J60" s="567">
        <v>1335</v>
      </c>
      <c r="K60" s="564">
        <v>7</v>
      </c>
      <c r="L60" s="568"/>
      <c r="M60" s="569">
        <v>21.3</v>
      </c>
      <c r="N60" s="568"/>
      <c r="O60" s="569">
        <v>21.3</v>
      </c>
      <c r="P60" s="569">
        <v>4</v>
      </c>
      <c r="Q60" s="569">
        <v>4</v>
      </c>
      <c r="R60" s="569">
        <v>4</v>
      </c>
      <c r="S60" s="570">
        <v>1.0229999999999999</v>
      </c>
      <c r="T60" s="570">
        <v>0.97</v>
      </c>
      <c r="U60" s="569">
        <v>20</v>
      </c>
      <c r="V60" s="569">
        <v>24</v>
      </c>
      <c r="W60" s="569">
        <v>46648</v>
      </c>
      <c r="X60" s="569">
        <v>93296</v>
      </c>
      <c r="Y60" s="569">
        <v>172</v>
      </c>
      <c r="Z60" s="569">
        <v>12</v>
      </c>
      <c r="AA60" s="569">
        <v>132</v>
      </c>
      <c r="AB60" s="569">
        <v>6</v>
      </c>
      <c r="AC60" s="569">
        <v>0</v>
      </c>
      <c r="AD60" s="569">
        <v>0</v>
      </c>
      <c r="AE60" s="569">
        <v>4</v>
      </c>
      <c r="AF60" s="569" t="s">
        <v>500</v>
      </c>
      <c r="AG60" s="569" t="s">
        <v>1024</v>
      </c>
      <c r="AH60" s="569" t="s">
        <v>228</v>
      </c>
      <c r="AI60" s="570"/>
      <c r="AJ60" s="570"/>
    </row>
    <row r="61" spans="1:36" x14ac:dyDescent="0.25">
      <c r="A61" s="500" t="s">
        <v>1354</v>
      </c>
      <c r="B61" s="505">
        <v>32</v>
      </c>
      <c r="C61" s="509">
        <v>2.1520000000000001</v>
      </c>
      <c r="D61" s="513">
        <v>230</v>
      </c>
      <c r="E61" s="509">
        <v>2.1520000000000001</v>
      </c>
      <c r="F61" s="513">
        <v>230</v>
      </c>
      <c r="G61" s="509">
        <v>-6.4999999999999997E-3</v>
      </c>
      <c r="H61" s="513">
        <v>328</v>
      </c>
      <c r="I61" s="509">
        <v>-6.4999999999999997E-3</v>
      </c>
      <c r="J61" s="513">
        <v>328</v>
      </c>
      <c r="K61" s="517">
        <v>7</v>
      </c>
      <c r="L61" s="501"/>
      <c r="M61" s="500">
        <v>13.9</v>
      </c>
      <c r="N61" s="501"/>
      <c r="O61" s="500">
        <v>13.9</v>
      </c>
      <c r="P61" s="500">
        <v>4</v>
      </c>
      <c r="Q61" s="500">
        <v>4</v>
      </c>
      <c r="R61" s="500">
        <v>4</v>
      </c>
      <c r="S61">
        <v>1</v>
      </c>
      <c r="T61">
        <v>1</v>
      </c>
      <c r="U61" s="500">
        <v>20</v>
      </c>
      <c r="V61" s="500">
        <v>24</v>
      </c>
      <c r="W61" s="500">
        <v>46648</v>
      </c>
      <c r="X61" s="500">
        <v>93296</v>
      </c>
      <c r="Y61" s="500">
        <v>172</v>
      </c>
      <c r="Z61" s="500">
        <v>12</v>
      </c>
      <c r="AA61" s="500">
        <v>132</v>
      </c>
      <c r="AB61" s="500">
        <v>6</v>
      </c>
      <c r="AC61" s="500">
        <v>0</v>
      </c>
      <c r="AD61" s="500">
        <v>0</v>
      </c>
      <c r="AE61" s="500">
        <v>4</v>
      </c>
      <c r="AF61" s="558" t="s">
        <v>500</v>
      </c>
      <c r="AG61" s="558" t="s">
        <v>1024</v>
      </c>
      <c r="AH61" s="558" t="s">
        <v>228</v>
      </c>
    </row>
    <row r="62" spans="1:36" x14ac:dyDescent="0.25">
      <c r="A62" s="500" t="s">
        <v>1310</v>
      </c>
      <c r="B62" s="505">
        <v>29</v>
      </c>
      <c r="C62" s="509">
        <v>2.2749999999999999</v>
      </c>
      <c r="D62" s="513">
        <v>819</v>
      </c>
      <c r="E62" s="509">
        <v>2.2749999999999999</v>
      </c>
      <c r="F62" s="513">
        <v>819</v>
      </c>
      <c r="G62" s="509">
        <v>-6.1999999999999998E-3</v>
      </c>
      <c r="H62" s="513">
        <v>1167</v>
      </c>
      <c r="I62" s="509">
        <v>-6.1999999999999998E-3</v>
      </c>
      <c r="J62" s="513">
        <v>1335</v>
      </c>
      <c r="K62" s="517">
        <v>7</v>
      </c>
      <c r="L62" s="501"/>
      <c r="M62" s="500">
        <v>21.3</v>
      </c>
      <c r="N62" s="501"/>
      <c r="O62" s="500">
        <v>21.3</v>
      </c>
      <c r="P62" s="500">
        <v>4</v>
      </c>
      <c r="Q62" s="500">
        <v>4</v>
      </c>
      <c r="R62" s="500">
        <v>4</v>
      </c>
      <c r="S62">
        <v>1.0229999999999999</v>
      </c>
      <c r="T62">
        <v>0.97</v>
      </c>
      <c r="U62" s="500">
        <v>20</v>
      </c>
      <c r="V62" s="500">
        <v>24</v>
      </c>
      <c r="W62" s="500">
        <v>46648</v>
      </c>
      <c r="X62" s="500">
        <v>93296</v>
      </c>
      <c r="Y62" s="500">
        <v>172</v>
      </c>
      <c r="Z62" s="500">
        <v>12</v>
      </c>
      <c r="AA62" s="500">
        <v>132</v>
      </c>
      <c r="AB62" s="500">
        <v>6</v>
      </c>
      <c r="AC62" s="500">
        <v>8</v>
      </c>
      <c r="AD62" s="500">
        <v>1</v>
      </c>
      <c r="AE62" s="500">
        <v>4</v>
      </c>
      <c r="AF62" s="500" t="s">
        <v>500</v>
      </c>
      <c r="AG62" s="500" t="s">
        <v>1024</v>
      </c>
      <c r="AH62" s="500" t="s">
        <v>228</v>
      </c>
      <c r="AI62" s="500" t="s">
        <v>321</v>
      </c>
      <c r="AJ62" s="500" t="s">
        <v>620</v>
      </c>
    </row>
    <row r="63" spans="1:36" x14ac:dyDescent="0.25">
      <c r="A63" s="558" t="s">
        <v>1309</v>
      </c>
      <c r="B63" s="559">
        <v>51</v>
      </c>
      <c r="C63" s="560">
        <v>2.2909999999999999</v>
      </c>
      <c r="D63" s="561">
        <v>1618</v>
      </c>
      <c r="E63" s="560">
        <v>2.2909999999999999</v>
      </c>
      <c r="F63" s="561">
        <v>1618</v>
      </c>
      <c r="G63" s="560">
        <v>-1.095E-2</v>
      </c>
      <c r="H63" s="561">
        <v>2306</v>
      </c>
      <c r="I63" s="560">
        <v>-1.095E-2</v>
      </c>
      <c r="J63" s="561">
        <v>2641.98</v>
      </c>
      <c r="K63" s="562">
        <v>12</v>
      </c>
      <c r="L63" s="563"/>
      <c r="M63" s="558">
        <v>65.7</v>
      </c>
      <c r="N63" s="563"/>
      <c r="O63" s="558">
        <v>65.7</v>
      </c>
      <c r="P63" s="558">
        <v>7</v>
      </c>
      <c r="Q63" s="558">
        <v>7</v>
      </c>
      <c r="R63" s="558">
        <v>7</v>
      </c>
      <c r="S63">
        <v>1.0232000000000001</v>
      </c>
      <c r="T63">
        <v>1.137</v>
      </c>
      <c r="U63" s="558">
        <v>24</v>
      </c>
      <c r="V63" s="558">
        <v>39</v>
      </c>
      <c r="W63" s="558">
        <v>92152</v>
      </c>
      <c r="X63" s="558">
        <v>184304</v>
      </c>
      <c r="Y63" s="558">
        <v>268</v>
      </c>
      <c r="Z63" s="558">
        <v>12</v>
      </c>
      <c r="AA63" s="558">
        <v>180</v>
      </c>
      <c r="AB63" s="558">
        <v>6</v>
      </c>
      <c r="AC63" s="558">
        <v>0</v>
      </c>
      <c r="AD63" s="558">
        <v>0</v>
      </c>
      <c r="AE63" s="558">
        <v>4</v>
      </c>
      <c r="AF63" s="558" t="s">
        <v>500</v>
      </c>
      <c r="AG63" s="558" t="s">
        <v>1024</v>
      </c>
      <c r="AH63" s="558" t="s">
        <v>228</v>
      </c>
      <c r="AI63" s="558"/>
    </row>
    <row r="64" spans="1:36" x14ac:dyDescent="0.25">
      <c r="A64" s="502" t="s">
        <v>1355</v>
      </c>
      <c r="B64" s="506">
        <v>57</v>
      </c>
      <c r="C64" s="510">
        <v>2.3050000000000002</v>
      </c>
      <c r="D64" s="514">
        <v>455</v>
      </c>
      <c r="E64" s="510">
        <v>2.3050000000000002</v>
      </c>
      <c r="F64" s="514">
        <v>455</v>
      </c>
      <c r="G64" s="510">
        <v>-1.24E-2</v>
      </c>
      <c r="H64" s="514">
        <v>649</v>
      </c>
      <c r="I64" s="510">
        <v>-1.24E-2</v>
      </c>
      <c r="J64" s="514">
        <v>649</v>
      </c>
      <c r="K64" s="518">
        <v>12</v>
      </c>
      <c r="L64" s="503"/>
      <c r="M64" s="502">
        <v>34.6</v>
      </c>
      <c r="N64" s="503"/>
      <c r="O64" s="502">
        <v>34.6</v>
      </c>
      <c r="P64" s="502">
        <v>7</v>
      </c>
      <c r="Q64" s="502">
        <v>7</v>
      </c>
      <c r="R64" s="502">
        <v>7</v>
      </c>
      <c r="S64">
        <v>1</v>
      </c>
      <c r="T64">
        <v>1</v>
      </c>
      <c r="U64" s="502">
        <v>24</v>
      </c>
      <c r="V64" s="502">
        <v>39</v>
      </c>
      <c r="W64" s="502">
        <v>92152</v>
      </c>
      <c r="X64" s="502">
        <v>184304</v>
      </c>
      <c r="Y64" s="502">
        <v>268</v>
      </c>
      <c r="Z64" s="502">
        <v>12</v>
      </c>
      <c r="AA64" s="502">
        <v>180</v>
      </c>
      <c r="AB64" s="502">
        <v>6</v>
      </c>
      <c r="AC64" s="502">
        <v>0</v>
      </c>
      <c r="AD64" s="502">
        <v>0</v>
      </c>
      <c r="AE64" s="502">
        <v>4</v>
      </c>
      <c r="AF64" s="558" t="s">
        <v>500</v>
      </c>
      <c r="AG64" s="558" t="s">
        <v>1024</v>
      </c>
      <c r="AH64" s="558" t="s">
        <v>228</v>
      </c>
      <c r="AI64" s="558"/>
    </row>
    <row r="65" spans="1:36" x14ac:dyDescent="0.25">
      <c r="A65" s="502" t="s">
        <v>1311</v>
      </c>
      <c r="B65" s="506">
        <v>51</v>
      </c>
      <c r="C65" s="510">
        <v>2.2909999999999999</v>
      </c>
      <c r="D65" s="514">
        <v>1618</v>
      </c>
      <c r="E65" s="510">
        <v>2.2909999999999999</v>
      </c>
      <c r="F65" s="514">
        <v>1618</v>
      </c>
      <c r="G65" s="510">
        <v>-1.095E-2</v>
      </c>
      <c r="H65" s="514">
        <v>2306</v>
      </c>
      <c r="I65" s="510">
        <v>-1.095E-2</v>
      </c>
      <c r="J65" s="514">
        <v>2641.98</v>
      </c>
      <c r="K65" s="518">
        <v>12</v>
      </c>
      <c r="L65" s="503"/>
      <c r="M65" s="500">
        <v>65.7</v>
      </c>
      <c r="N65" s="501"/>
      <c r="O65" s="500">
        <v>65.7</v>
      </c>
      <c r="P65" s="502">
        <v>7</v>
      </c>
      <c r="Q65" s="502">
        <v>7</v>
      </c>
      <c r="R65" s="502">
        <v>7</v>
      </c>
      <c r="S65">
        <v>1.0232000000000001</v>
      </c>
      <c r="T65">
        <v>1.137</v>
      </c>
      <c r="U65" s="502">
        <v>24</v>
      </c>
      <c r="V65" s="502">
        <v>39</v>
      </c>
      <c r="W65" s="502">
        <v>92152</v>
      </c>
      <c r="X65" s="502">
        <v>184304</v>
      </c>
      <c r="Y65" s="502">
        <v>268</v>
      </c>
      <c r="Z65" s="502">
        <v>12</v>
      </c>
      <c r="AA65" s="502">
        <v>180</v>
      </c>
      <c r="AB65" s="502">
        <v>6</v>
      </c>
      <c r="AC65" s="502">
        <v>8</v>
      </c>
      <c r="AD65" s="502">
        <v>1</v>
      </c>
      <c r="AE65" s="502">
        <v>4</v>
      </c>
      <c r="AF65" s="502" t="s">
        <v>500</v>
      </c>
      <c r="AG65" s="502" t="s">
        <v>1024</v>
      </c>
      <c r="AH65" s="502" t="s">
        <v>228</v>
      </c>
      <c r="AI65" s="502" t="s">
        <v>321</v>
      </c>
      <c r="AJ65" s="502" t="s">
        <v>620</v>
      </c>
    </row>
    <row r="66" spans="1:36" x14ac:dyDescent="0.25">
      <c r="A66" s="27"/>
      <c r="B66" s="27"/>
      <c r="C66" s="508"/>
      <c r="D66" s="41"/>
      <c r="E66" s="508"/>
      <c r="F66" s="41"/>
      <c r="G66" s="508"/>
      <c r="H66" s="41"/>
      <c r="I66" s="508"/>
      <c r="J66" s="41"/>
      <c r="K66" s="27"/>
      <c r="L66" s="6"/>
      <c r="M66" s="27"/>
      <c r="N66" s="6"/>
      <c r="O66" s="27"/>
      <c r="P66" s="27"/>
      <c r="Q66" s="27"/>
      <c r="R66" s="27"/>
      <c r="S66" s="27"/>
      <c r="T66" s="27"/>
      <c r="U66" s="27"/>
      <c r="V66" s="27"/>
      <c r="W66" s="27"/>
      <c r="X66" s="27"/>
      <c r="Y66" s="27"/>
      <c r="Z66" s="27"/>
      <c r="AA66" s="27"/>
      <c r="AB66" s="27"/>
      <c r="AC66" s="27"/>
      <c r="AD66" s="27"/>
      <c r="AE66" s="27"/>
      <c r="AF66" s="27"/>
      <c r="AG66" s="27"/>
    </row>
    <row r="67" spans="1:36" x14ac:dyDescent="0.25">
      <c r="A67" s="27"/>
      <c r="B67" s="27"/>
      <c r="C67" s="508"/>
      <c r="D67" s="41"/>
      <c r="E67" s="508"/>
      <c r="F67" s="41"/>
      <c r="G67" s="508"/>
      <c r="H67" s="41"/>
      <c r="I67" s="508"/>
      <c r="J67" s="41"/>
      <c r="K67" s="27"/>
      <c r="L67" s="6"/>
      <c r="M67" s="27"/>
      <c r="N67" s="6"/>
      <c r="O67" s="27"/>
      <c r="P67" s="27"/>
      <c r="Q67" s="27"/>
      <c r="R67" s="27"/>
      <c r="S67" s="27"/>
      <c r="T67" s="27"/>
      <c r="U67" s="27"/>
      <c r="V67" s="27"/>
      <c r="W67" s="27"/>
      <c r="X67" s="27"/>
      <c r="Y67" s="27"/>
      <c r="Z67" s="27"/>
      <c r="AA67" s="27"/>
      <c r="AB67" s="27"/>
      <c r="AC67" s="27"/>
      <c r="AD67" s="27"/>
      <c r="AE67" s="27"/>
      <c r="AF67" s="27"/>
      <c r="AG67" s="27"/>
    </row>
    <row r="68" spans="1:36" x14ac:dyDescent="0.25">
      <c r="A68" s="496" t="s">
        <v>502</v>
      </c>
      <c r="B68" s="573">
        <v>36</v>
      </c>
      <c r="C68" s="511">
        <v>1.3520000000000001</v>
      </c>
      <c r="D68" s="515">
        <v>135</v>
      </c>
      <c r="E68" s="511">
        <v>1.3520000000000001</v>
      </c>
      <c r="F68" s="515">
        <v>135</v>
      </c>
      <c r="G68" s="511">
        <v>4.0611028315946354E-4</v>
      </c>
      <c r="H68" s="515">
        <v>175</v>
      </c>
      <c r="I68" s="511">
        <v>4.0611028315946354E-4</v>
      </c>
      <c r="J68" s="515">
        <v>175</v>
      </c>
      <c r="K68" s="496">
        <v>24</v>
      </c>
      <c r="L68" s="497">
        <v>0.69</v>
      </c>
      <c r="M68" s="496">
        <v>59</v>
      </c>
      <c r="N68" s="497">
        <v>0.64918032786885249</v>
      </c>
      <c r="O68" s="496">
        <v>72</v>
      </c>
      <c r="P68" s="574">
        <v>0.4</v>
      </c>
      <c r="Q68" s="496">
        <v>4</v>
      </c>
      <c r="R68" s="496">
        <v>5</v>
      </c>
      <c r="S68" s="496">
        <v>1</v>
      </c>
      <c r="T68" s="496">
        <v>1</v>
      </c>
      <c r="U68" s="496">
        <v>33</v>
      </c>
      <c r="V68" s="496">
        <v>16</v>
      </c>
      <c r="W68" s="496">
        <v>33280</v>
      </c>
      <c r="X68" s="496">
        <v>33280</v>
      </c>
      <c r="Y68" s="496">
        <v>84</v>
      </c>
      <c r="Z68" s="496">
        <v>8</v>
      </c>
      <c r="AA68" s="496">
        <v>84</v>
      </c>
      <c r="AB68" s="496">
        <v>0</v>
      </c>
      <c r="AC68" s="496">
        <v>0</v>
      </c>
      <c r="AD68" s="496">
        <v>0</v>
      </c>
      <c r="AE68" s="496">
        <v>0</v>
      </c>
      <c r="AF68" s="496" t="s">
        <v>500</v>
      </c>
      <c r="AG68" s="496"/>
      <c r="AH68" s="570"/>
      <c r="AI68" s="570"/>
      <c r="AJ68" s="570"/>
    </row>
    <row r="69" spans="1:36" x14ac:dyDescent="0.25">
      <c r="A69" t="s">
        <v>503</v>
      </c>
      <c r="B69" s="571">
        <v>55</v>
      </c>
      <c r="C69" s="508">
        <v>1.425</v>
      </c>
      <c r="D69" s="512">
        <v>215</v>
      </c>
      <c r="E69" s="508">
        <v>1.425</v>
      </c>
      <c r="F69" s="512">
        <v>215</v>
      </c>
      <c r="G69" s="508">
        <v>2E-3</v>
      </c>
      <c r="H69" s="512">
        <v>300</v>
      </c>
      <c r="I69" s="508">
        <v>2E-3</v>
      </c>
      <c r="J69" s="512">
        <v>300</v>
      </c>
      <c r="K69">
        <v>38</v>
      </c>
      <c r="L69" s="6">
        <v>0.84</v>
      </c>
      <c r="M69">
        <v>85</v>
      </c>
      <c r="N69" s="6">
        <v>1.75</v>
      </c>
      <c r="O69">
        <v>105</v>
      </c>
      <c r="P69" s="572">
        <v>0.4</v>
      </c>
      <c r="Q69">
        <v>4</v>
      </c>
      <c r="R69">
        <v>5</v>
      </c>
      <c r="S69" s="27">
        <v>1</v>
      </c>
      <c r="T69" s="27">
        <v>1</v>
      </c>
      <c r="U69">
        <v>45</v>
      </c>
      <c r="V69">
        <v>21</v>
      </c>
      <c r="W69">
        <v>47744</v>
      </c>
      <c r="X69">
        <v>47744</v>
      </c>
      <c r="Y69">
        <v>126</v>
      </c>
      <c r="Z69">
        <v>8</v>
      </c>
      <c r="AA69">
        <v>126</v>
      </c>
      <c r="AB69">
        <v>0</v>
      </c>
      <c r="AC69">
        <v>0</v>
      </c>
      <c r="AD69">
        <v>0</v>
      </c>
      <c r="AE69">
        <v>0</v>
      </c>
      <c r="AF69" t="s">
        <v>500</v>
      </c>
    </row>
    <row r="72" spans="1:36" x14ac:dyDescent="0.25">
      <c r="A72" s="7" t="s">
        <v>80</v>
      </c>
      <c r="B72" s="7" t="s">
        <v>64</v>
      </c>
      <c r="C72" s="7" t="s">
        <v>65</v>
      </c>
      <c r="D72" s="7" t="s">
        <v>66</v>
      </c>
      <c r="E72" s="7" t="s">
        <v>67</v>
      </c>
      <c r="F72" s="7" t="s">
        <v>68</v>
      </c>
      <c r="G72" s="7" t="s">
        <v>69</v>
      </c>
      <c r="H72" s="7" t="s">
        <v>70</v>
      </c>
      <c r="I72" s="7" t="s">
        <v>71</v>
      </c>
      <c r="J72" s="8" t="s">
        <v>1279</v>
      </c>
      <c r="K72" s="7" t="s">
        <v>1294</v>
      </c>
      <c r="L72" s="7"/>
      <c r="M72" s="7"/>
    </row>
    <row r="73" spans="1:36" x14ac:dyDescent="0.25">
      <c r="A73" t="s">
        <v>429</v>
      </c>
      <c r="B73">
        <v>48.5</v>
      </c>
      <c r="C73">
        <v>30.1</v>
      </c>
      <c r="D73">
        <v>12.8</v>
      </c>
      <c r="E73">
        <v>40.4</v>
      </c>
      <c r="F73">
        <v>37.6</v>
      </c>
      <c r="G73">
        <v>36.700000000000003</v>
      </c>
      <c r="H73">
        <v>68</v>
      </c>
      <c r="I73">
        <v>4</v>
      </c>
      <c r="J73">
        <v>0</v>
      </c>
      <c r="K73">
        <v>0</v>
      </c>
    </row>
    <row r="74" spans="1:36" x14ac:dyDescent="0.25">
      <c r="A74" t="s">
        <v>327</v>
      </c>
      <c r="B74">
        <v>42.4</v>
      </c>
      <c r="C74">
        <v>32</v>
      </c>
      <c r="D74">
        <v>16.5</v>
      </c>
      <c r="E74">
        <v>36.299999999999997</v>
      </c>
      <c r="F74">
        <v>35.799999999999997</v>
      </c>
      <c r="G74">
        <v>34.9</v>
      </c>
      <c r="H74">
        <v>108</v>
      </c>
      <c r="I74">
        <v>4</v>
      </c>
      <c r="J74">
        <v>0</v>
      </c>
      <c r="K74">
        <v>0</v>
      </c>
    </row>
    <row r="75" spans="1:36" x14ac:dyDescent="0.25">
      <c r="A75" t="s">
        <v>389</v>
      </c>
      <c r="B75">
        <v>38.9</v>
      </c>
      <c r="C75">
        <v>32.799999999999997</v>
      </c>
      <c r="D75">
        <v>13.4</v>
      </c>
      <c r="E75">
        <v>32.799999999999997</v>
      </c>
      <c r="F75">
        <v>32.5</v>
      </c>
      <c r="G75">
        <v>31.7</v>
      </c>
      <c r="H75">
        <v>108</v>
      </c>
      <c r="I75">
        <v>4</v>
      </c>
      <c r="J75">
        <v>0</v>
      </c>
      <c r="K75">
        <v>0</v>
      </c>
    </row>
    <row r="76" spans="1:36" x14ac:dyDescent="0.25">
      <c r="A76" t="s">
        <v>328</v>
      </c>
      <c r="B76">
        <v>42.3</v>
      </c>
      <c r="C76">
        <v>33.5</v>
      </c>
      <c r="D76">
        <v>16</v>
      </c>
      <c r="E76">
        <v>35.6</v>
      </c>
      <c r="F76">
        <v>35.5</v>
      </c>
      <c r="G76">
        <v>34.5</v>
      </c>
      <c r="H76">
        <v>144</v>
      </c>
      <c r="I76">
        <v>4</v>
      </c>
      <c r="J76">
        <v>0</v>
      </c>
      <c r="K76">
        <v>0</v>
      </c>
    </row>
    <row r="77" spans="1:36" x14ac:dyDescent="0.25">
      <c r="A77" t="s">
        <v>1296</v>
      </c>
      <c r="B77">
        <v>42.3</v>
      </c>
      <c r="C77">
        <v>33.5</v>
      </c>
      <c r="D77">
        <v>16</v>
      </c>
      <c r="E77">
        <v>35.6</v>
      </c>
      <c r="F77">
        <v>35.5</v>
      </c>
      <c r="G77">
        <v>34.5</v>
      </c>
      <c r="H77">
        <v>144</v>
      </c>
      <c r="I77">
        <v>4</v>
      </c>
      <c r="J77">
        <v>0</v>
      </c>
      <c r="K77">
        <v>0</v>
      </c>
    </row>
    <row r="78" spans="1:36" x14ac:dyDescent="0.25">
      <c r="A78" t="s">
        <v>430</v>
      </c>
      <c r="B78">
        <v>42.9</v>
      </c>
      <c r="C78">
        <v>25.7</v>
      </c>
      <c r="D78">
        <v>10.9</v>
      </c>
      <c r="E78">
        <v>35.700000000000003</v>
      </c>
      <c r="F78">
        <v>33.200000000000003</v>
      </c>
      <c r="G78">
        <v>32.4</v>
      </c>
      <c r="H78">
        <v>68</v>
      </c>
      <c r="I78">
        <v>4</v>
      </c>
      <c r="J78">
        <v>0</v>
      </c>
      <c r="K78">
        <v>0</v>
      </c>
    </row>
    <row r="79" spans="1:36" x14ac:dyDescent="0.25">
      <c r="A79" t="s">
        <v>329</v>
      </c>
      <c r="B79">
        <v>32.700000000000003</v>
      </c>
      <c r="C79">
        <v>23.8</v>
      </c>
      <c r="D79">
        <v>10.3</v>
      </c>
      <c r="E79">
        <v>26.6</v>
      </c>
      <c r="F79">
        <v>26.1</v>
      </c>
      <c r="G79">
        <v>25.2</v>
      </c>
      <c r="H79">
        <v>195</v>
      </c>
      <c r="I79">
        <v>4</v>
      </c>
      <c r="J79">
        <v>0</v>
      </c>
      <c r="K79">
        <v>0</v>
      </c>
    </row>
    <row r="80" spans="1:36" x14ac:dyDescent="0.25">
      <c r="A80" t="s">
        <v>390</v>
      </c>
      <c r="B80">
        <v>29</v>
      </c>
      <c r="C80">
        <v>23.3</v>
      </c>
      <c r="D80">
        <v>7.4</v>
      </c>
      <c r="E80">
        <v>23.8</v>
      </c>
      <c r="F80">
        <v>23</v>
      </c>
      <c r="G80">
        <v>22.3</v>
      </c>
      <c r="H80">
        <v>195</v>
      </c>
      <c r="I80">
        <v>4</v>
      </c>
      <c r="J80">
        <v>0</v>
      </c>
      <c r="K80">
        <v>0</v>
      </c>
      <c r="P80" t="s">
        <v>461</v>
      </c>
      <c r="Q80" t="s">
        <v>462</v>
      </c>
      <c r="R80" t="s">
        <v>459</v>
      </c>
      <c r="S80" t="s">
        <v>460</v>
      </c>
    </row>
    <row r="81" spans="1:21" x14ac:dyDescent="0.25">
      <c r="A81" t="s">
        <v>330</v>
      </c>
      <c r="B81">
        <v>27.8</v>
      </c>
      <c r="C81">
        <v>18.5</v>
      </c>
      <c r="D81">
        <v>11.7</v>
      </c>
      <c r="E81">
        <v>22.3</v>
      </c>
      <c r="F81">
        <v>21.1</v>
      </c>
      <c r="G81">
        <v>20.3</v>
      </c>
      <c r="H81">
        <v>248</v>
      </c>
      <c r="I81">
        <v>4</v>
      </c>
      <c r="J81">
        <v>0</v>
      </c>
      <c r="K81">
        <v>0</v>
      </c>
      <c r="O81">
        <v>-40</v>
      </c>
      <c r="P81">
        <v>12</v>
      </c>
      <c r="Q81">
        <v>15</v>
      </c>
      <c r="R81">
        <v>9.8052180304634131</v>
      </c>
      <c r="U81">
        <f>852.29*EXP(0.1054*(N81/5+8))</f>
        <v>1980.5440219333143</v>
      </c>
    </row>
    <row r="82" spans="1:21" x14ac:dyDescent="0.25">
      <c r="A82" t="s">
        <v>333</v>
      </c>
      <c r="B82">
        <v>29.9</v>
      </c>
      <c r="C82">
        <v>19.3</v>
      </c>
      <c r="D82">
        <v>8.4</v>
      </c>
      <c r="E82">
        <v>24.9</v>
      </c>
      <c r="F82">
        <v>23</v>
      </c>
      <c r="G82">
        <v>22.3</v>
      </c>
      <c r="H82">
        <v>195</v>
      </c>
      <c r="I82">
        <v>4</v>
      </c>
      <c r="J82">
        <v>0</v>
      </c>
      <c r="K82">
        <v>0</v>
      </c>
      <c r="O82">
        <v>-35</v>
      </c>
      <c r="R82">
        <v>10.583251703457879</v>
      </c>
      <c r="U82">
        <f>852.29*EXP(0.1054*(N82/5+8))</f>
        <v>1980.5440219333143</v>
      </c>
    </row>
    <row r="83" spans="1:21" x14ac:dyDescent="0.25">
      <c r="A83" t="s">
        <v>1297</v>
      </c>
      <c r="B83">
        <v>29.9</v>
      </c>
      <c r="C83">
        <v>19.3</v>
      </c>
      <c r="D83">
        <v>8.4</v>
      </c>
      <c r="E83">
        <v>24.9</v>
      </c>
      <c r="F83">
        <v>23</v>
      </c>
      <c r="G83">
        <v>22.3</v>
      </c>
      <c r="H83">
        <v>195</v>
      </c>
      <c r="I83">
        <v>4</v>
      </c>
      <c r="J83">
        <v>0</v>
      </c>
      <c r="K83">
        <v>0</v>
      </c>
      <c r="O83">
        <v>-30</v>
      </c>
      <c r="R83">
        <v>11.423021524943138</v>
      </c>
      <c r="U83">
        <f t="shared" ref="U83:U91" si="0">852.29*EXP(0.1054*(N84/5+8))</f>
        <v>1980.5440219333143</v>
      </c>
    </row>
    <row r="84" spans="1:21" x14ac:dyDescent="0.25">
      <c r="A84" t="s">
        <v>331</v>
      </c>
      <c r="B84">
        <v>25.2</v>
      </c>
      <c r="C84">
        <v>15.4</v>
      </c>
      <c r="D84">
        <v>9.9</v>
      </c>
      <c r="E84">
        <v>19.8</v>
      </c>
      <c r="F84">
        <v>18.600000000000001</v>
      </c>
      <c r="G84">
        <v>17.8</v>
      </c>
      <c r="H84">
        <v>251</v>
      </c>
      <c r="I84">
        <v>4</v>
      </c>
      <c r="J84">
        <v>0</v>
      </c>
      <c r="K84">
        <v>0</v>
      </c>
      <c r="O84">
        <v>-25</v>
      </c>
      <c r="R84">
        <v>12.329426192961144</v>
      </c>
      <c r="U84">
        <f t="shared" si="0"/>
        <v>1980.5440219333143</v>
      </c>
    </row>
    <row r="85" spans="1:21" x14ac:dyDescent="0.25">
      <c r="A85" t="s">
        <v>332</v>
      </c>
      <c r="B85">
        <v>25.6</v>
      </c>
      <c r="C85">
        <v>15.5</v>
      </c>
      <c r="D85">
        <v>9.8000000000000007</v>
      </c>
      <c r="E85">
        <v>19.2</v>
      </c>
      <c r="F85">
        <v>18</v>
      </c>
      <c r="G85">
        <v>17.3</v>
      </c>
      <c r="H85">
        <v>311</v>
      </c>
      <c r="I85">
        <v>4</v>
      </c>
      <c r="J85">
        <v>0</v>
      </c>
      <c r="K85">
        <v>0</v>
      </c>
      <c r="O85">
        <v>-20</v>
      </c>
      <c r="R85">
        <v>13.307753112058769</v>
      </c>
      <c r="U85">
        <f t="shared" si="0"/>
        <v>1980.5440219333143</v>
      </c>
    </row>
    <row r="86" spans="1:21" x14ac:dyDescent="0.25">
      <c r="A86" t="s">
        <v>391</v>
      </c>
      <c r="B86">
        <v>22.5</v>
      </c>
      <c r="C86">
        <v>12.9</v>
      </c>
      <c r="D86">
        <v>6.2</v>
      </c>
      <c r="E86">
        <v>16.7</v>
      </c>
      <c r="F86">
        <v>15.6</v>
      </c>
      <c r="G86">
        <v>15</v>
      </c>
      <c r="H86">
        <v>311</v>
      </c>
      <c r="I86">
        <v>4</v>
      </c>
      <c r="J86">
        <v>0</v>
      </c>
      <c r="K86">
        <v>0</v>
      </c>
      <c r="O86">
        <v>-15</v>
      </c>
      <c r="R86">
        <v>14.363709236737549</v>
      </c>
      <c r="T86">
        <f t="shared" ref="T86:T101" si="1">1782.8*EXP(0.1054*(O86/5+1))</f>
        <v>1443.9539683524556</v>
      </c>
      <c r="U86">
        <f t="shared" si="0"/>
        <v>1980.5440219333143</v>
      </c>
    </row>
    <row r="87" spans="1:21" x14ac:dyDescent="0.25">
      <c r="A87" t="s">
        <v>431</v>
      </c>
      <c r="B87">
        <v>28.1</v>
      </c>
      <c r="C87">
        <v>18.7</v>
      </c>
      <c r="D87">
        <v>7.7</v>
      </c>
      <c r="E87">
        <v>22.3</v>
      </c>
      <c r="F87">
        <v>21.2</v>
      </c>
      <c r="G87">
        <v>20.7</v>
      </c>
      <c r="H87">
        <v>161</v>
      </c>
      <c r="I87">
        <v>4</v>
      </c>
      <c r="J87">
        <v>0</v>
      </c>
      <c r="K87">
        <v>0</v>
      </c>
      <c r="O87">
        <v>-10</v>
      </c>
      <c r="R87">
        <v>15.503454362298543</v>
      </c>
      <c r="T87">
        <f t="shared" si="1"/>
        <v>1604.456647834013</v>
      </c>
      <c r="U87">
        <f t="shared" si="0"/>
        <v>1980.5440219333143</v>
      </c>
    </row>
    <row r="88" spans="1:21" x14ac:dyDescent="0.25">
      <c r="A88" t="s">
        <v>334</v>
      </c>
      <c r="B88">
        <v>23.1</v>
      </c>
      <c r="C88">
        <v>13</v>
      </c>
      <c r="D88">
        <v>8.1999999999999993</v>
      </c>
      <c r="E88">
        <v>17.899999999999999</v>
      </c>
      <c r="F88">
        <v>16.7</v>
      </c>
      <c r="G88">
        <v>16</v>
      </c>
      <c r="H88">
        <v>311</v>
      </c>
      <c r="I88">
        <v>4</v>
      </c>
      <c r="J88">
        <v>0</v>
      </c>
      <c r="K88">
        <v>0</v>
      </c>
      <c r="O88">
        <v>-5</v>
      </c>
      <c r="R88">
        <v>16.733637057280511</v>
      </c>
      <c r="T88">
        <f t="shared" si="1"/>
        <v>1782.8</v>
      </c>
      <c r="U88">
        <f t="shared" si="0"/>
        <v>1980.5440219333143</v>
      </c>
    </row>
    <row r="89" spans="1:21" x14ac:dyDescent="0.25">
      <c r="A89" t="s">
        <v>335</v>
      </c>
      <c r="B89">
        <v>22.3</v>
      </c>
      <c r="C89">
        <v>12.8</v>
      </c>
      <c r="D89">
        <v>7.9</v>
      </c>
      <c r="E89">
        <v>17.399999999999999</v>
      </c>
      <c r="F89">
        <v>16.2</v>
      </c>
      <c r="G89">
        <v>15.5</v>
      </c>
      <c r="H89">
        <v>372</v>
      </c>
      <c r="I89">
        <v>4</v>
      </c>
      <c r="J89">
        <v>0</v>
      </c>
      <c r="K89">
        <v>0</v>
      </c>
      <c r="O89">
        <v>0</v>
      </c>
      <c r="R89">
        <v>18.061433447098977</v>
      </c>
      <c r="T89">
        <f t="shared" si="1"/>
        <v>1980.9671045277221</v>
      </c>
      <c r="U89">
        <f t="shared" si="0"/>
        <v>1980.5440219333143</v>
      </c>
    </row>
    <row r="90" spans="1:21" x14ac:dyDescent="0.25">
      <c r="A90" t="s">
        <v>392</v>
      </c>
      <c r="B90">
        <v>19.399999999999999</v>
      </c>
      <c r="C90">
        <v>11.5</v>
      </c>
      <c r="D90">
        <v>5.3</v>
      </c>
      <c r="E90">
        <v>15</v>
      </c>
      <c r="F90">
        <v>13.9</v>
      </c>
      <c r="G90">
        <v>13.4</v>
      </c>
      <c r="H90">
        <v>372</v>
      </c>
      <c r="I90">
        <v>4</v>
      </c>
      <c r="J90">
        <v>0</v>
      </c>
      <c r="K90">
        <v>0</v>
      </c>
      <c r="O90">
        <v>5</v>
      </c>
      <c r="R90">
        <v>19.49458907512609</v>
      </c>
      <c r="T90">
        <f t="shared" si="1"/>
        <v>2201.161470283233</v>
      </c>
      <c r="U90">
        <f t="shared" si="0"/>
        <v>1980.5440219333143</v>
      </c>
    </row>
    <row r="91" spans="1:21" x14ac:dyDescent="0.25">
      <c r="A91" t="s">
        <v>432</v>
      </c>
      <c r="B91">
        <v>24.2</v>
      </c>
      <c r="C91">
        <v>14.1</v>
      </c>
      <c r="D91">
        <v>5.3</v>
      </c>
      <c r="E91">
        <v>18.7</v>
      </c>
      <c r="F91">
        <v>17.5</v>
      </c>
      <c r="G91">
        <v>17</v>
      </c>
      <c r="H91">
        <v>161</v>
      </c>
      <c r="I91">
        <v>4</v>
      </c>
      <c r="J91">
        <v>0</v>
      </c>
      <c r="K91">
        <v>0</v>
      </c>
      <c r="O91">
        <v>10</v>
      </c>
      <c r="R91">
        <v>21.041464085402769</v>
      </c>
      <c r="T91">
        <f t="shared" si="1"/>
        <v>2445.8315371241642</v>
      </c>
      <c r="U91">
        <f t="shared" si="0"/>
        <v>1980.5440219333143</v>
      </c>
    </row>
    <row r="92" spans="1:21" x14ac:dyDescent="0.25">
      <c r="A92" t="s">
        <v>336</v>
      </c>
      <c r="B92">
        <v>19.5</v>
      </c>
      <c r="C92">
        <v>9.9</v>
      </c>
      <c r="D92">
        <v>6</v>
      </c>
      <c r="E92">
        <v>14.7</v>
      </c>
      <c r="F92">
        <v>13.5</v>
      </c>
      <c r="G92">
        <v>12.8</v>
      </c>
      <c r="H92">
        <v>375</v>
      </c>
      <c r="I92">
        <v>4</v>
      </c>
      <c r="J92">
        <v>0</v>
      </c>
      <c r="K92">
        <v>0</v>
      </c>
      <c r="O92">
        <v>15</v>
      </c>
      <c r="R92">
        <v>22.71108199055131</v>
      </c>
      <c r="T92">
        <f t="shared" si="1"/>
        <v>2717.6979012000465</v>
      </c>
      <c r="U92">
        <f t="shared" ref="U92:U100" si="2">852.29*EXP(0.1054*(N94/5+8))</f>
        <v>1980.5440219333143</v>
      </c>
    </row>
    <row r="93" spans="1:21" x14ac:dyDescent="0.25">
      <c r="A93" t="s">
        <v>1298</v>
      </c>
      <c r="B93">
        <v>19.5</v>
      </c>
      <c r="C93">
        <v>9.9</v>
      </c>
      <c r="D93">
        <v>6</v>
      </c>
      <c r="E93">
        <v>14.7</v>
      </c>
      <c r="F93">
        <v>13.5</v>
      </c>
      <c r="G93">
        <v>12.8</v>
      </c>
      <c r="H93">
        <v>375</v>
      </c>
      <c r="I93">
        <v>4</v>
      </c>
      <c r="J93">
        <v>0</v>
      </c>
      <c r="K93">
        <v>0</v>
      </c>
      <c r="O93">
        <v>20</v>
      </c>
      <c r="R93">
        <v>24.513182309370233</v>
      </c>
      <c r="T93">
        <f t="shared" si="1"/>
        <v>3019.7835664804375</v>
      </c>
      <c r="U93">
        <f t="shared" si="2"/>
        <v>1980.5440219333143</v>
      </c>
    </row>
    <row r="94" spans="1:21" x14ac:dyDescent="0.25">
      <c r="A94" t="s">
        <v>337</v>
      </c>
      <c r="B94">
        <v>17.8</v>
      </c>
      <c r="C94">
        <v>9.4</v>
      </c>
      <c r="D94">
        <v>5.8</v>
      </c>
      <c r="E94">
        <v>13.5</v>
      </c>
      <c r="F94">
        <v>12.4</v>
      </c>
      <c r="G94">
        <v>11.8</v>
      </c>
      <c r="H94">
        <v>502</v>
      </c>
      <c r="I94">
        <v>4</v>
      </c>
      <c r="J94">
        <v>0</v>
      </c>
      <c r="K94">
        <v>0</v>
      </c>
      <c r="O94">
        <v>25</v>
      </c>
      <c r="P94">
        <v>23</v>
      </c>
      <c r="Q94">
        <v>40</v>
      </c>
      <c r="R94">
        <v>26.458277381166504</v>
      </c>
      <c r="T94">
        <f t="shared" si="1"/>
        <v>3355.4475588911546</v>
      </c>
      <c r="U94">
        <f t="shared" si="2"/>
        <v>1980.5440219333143</v>
      </c>
    </row>
    <row r="95" spans="1:21" x14ac:dyDescent="0.25">
      <c r="A95" t="s">
        <v>393</v>
      </c>
      <c r="B95">
        <v>17.7</v>
      </c>
      <c r="C95">
        <v>10.9</v>
      </c>
      <c r="D95">
        <v>4.3</v>
      </c>
      <c r="E95">
        <v>13.7</v>
      </c>
      <c r="F95">
        <v>12.6</v>
      </c>
      <c r="G95">
        <v>12.1</v>
      </c>
      <c r="H95">
        <v>502</v>
      </c>
      <c r="I95">
        <v>4</v>
      </c>
      <c r="J95">
        <v>0</v>
      </c>
      <c r="K95">
        <v>0</v>
      </c>
      <c r="O95">
        <v>30</v>
      </c>
      <c r="R95">
        <v>28.557713688004721</v>
      </c>
      <c r="T95">
        <f t="shared" si="1"/>
        <v>3728.4222768292711</v>
      </c>
      <c r="U95">
        <f t="shared" si="2"/>
        <v>1980.5440219333143</v>
      </c>
    </row>
    <row r="96" spans="1:21" x14ac:dyDescent="0.25">
      <c r="A96" t="s">
        <v>338</v>
      </c>
      <c r="B96">
        <v>16.5</v>
      </c>
      <c r="C96">
        <v>8.98</v>
      </c>
      <c r="D96">
        <v>4.9000000000000004</v>
      </c>
      <c r="E96">
        <v>12.2</v>
      </c>
      <c r="F96">
        <v>11.1</v>
      </c>
      <c r="G96">
        <v>10.5</v>
      </c>
      <c r="H96">
        <v>519</v>
      </c>
      <c r="I96">
        <v>4</v>
      </c>
      <c r="J96">
        <v>0</v>
      </c>
      <c r="K96">
        <v>0</v>
      </c>
      <c r="O96">
        <v>35</v>
      </c>
      <c r="R96">
        <v>30.823738043540565</v>
      </c>
      <c r="T96">
        <f t="shared" si="1"/>
        <v>4142.8549933739841</v>
      </c>
      <c r="U96">
        <f t="shared" si="2"/>
        <v>1980.5440219333143</v>
      </c>
    </row>
    <row r="97" spans="1:21" x14ac:dyDescent="0.25">
      <c r="A97" t="s">
        <v>339</v>
      </c>
      <c r="B97">
        <v>15.7</v>
      </c>
      <c r="C97">
        <v>8.89</v>
      </c>
      <c r="D97">
        <v>4.7</v>
      </c>
      <c r="E97">
        <v>11.7</v>
      </c>
      <c r="F97">
        <v>10.7</v>
      </c>
      <c r="G97">
        <v>10.199999999999999</v>
      </c>
      <c r="H97">
        <v>633</v>
      </c>
      <c r="I97">
        <v>4</v>
      </c>
      <c r="J97">
        <v>0</v>
      </c>
      <c r="K97">
        <v>0</v>
      </c>
      <c r="O97">
        <v>40</v>
      </c>
      <c r="R97">
        <v>33.269569032945959</v>
      </c>
      <c r="T97">
        <f t="shared" si="1"/>
        <v>4603.3539716750483</v>
      </c>
      <c r="U97">
        <f t="shared" si="2"/>
        <v>1980.5440219333143</v>
      </c>
    </row>
    <row r="98" spans="1:21" x14ac:dyDescent="0.25">
      <c r="A98" t="s">
        <v>504</v>
      </c>
      <c r="B98">
        <v>18</v>
      </c>
      <c r="C98">
        <v>6.8</v>
      </c>
      <c r="D98">
        <v>4.0999999999999996</v>
      </c>
      <c r="E98">
        <v>13.3</v>
      </c>
      <c r="F98">
        <v>12.3</v>
      </c>
      <c r="G98">
        <v>11.5</v>
      </c>
      <c r="H98">
        <v>309</v>
      </c>
      <c r="I98">
        <v>4</v>
      </c>
      <c r="J98">
        <v>0</v>
      </c>
      <c r="K98">
        <v>0</v>
      </c>
      <c r="O98">
        <v>45</v>
      </c>
      <c r="R98">
        <v>35.909474122012575</v>
      </c>
      <c r="T98">
        <f t="shared" si="1"/>
        <v>5115.0397062964494</v>
      </c>
      <c r="U98">
        <f t="shared" si="2"/>
        <v>1980.5440219333143</v>
      </c>
    </row>
    <row r="99" spans="1:21" x14ac:dyDescent="0.25">
      <c r="A99" t="s">
        <v>505</v>
      </c>
      <c r="B99">
        <v>15.9</v>
      </c>
      <c r="C99">
        <v>7.8</v>
      </c>
      <c r="D99">
        <v>4.7</v>
      </c>
      <c r="E99">
        <v>11.6</v>
      </c>
      <c r="F99">
        <v>10.6</v>
      </c>
      <c r="G99">
        <v>10</v>
      </c>
      <c r="H99">
        <v>519</v>
      </c>
      <c r="I99">
        <v>4</v>
      </c>
      <c r="J99">
        <v>0</v>
      </c>
      <c r="K99">
        <v>0</v>
      </c>
      <c r="O99">
        <v>50</v>
      </c>
      <c r="R99">
        <v>38.758852884638692</v>
      </c>
      <c r="T99">
        <f t="shared" si="1"/>
        <v>5683.6018602907843</v>
      </c>
      <c r="U99">
        <f t="shared" si="2"/>
        <v>1980.5440219333143</v>
      </c>
    </row>
    <row r="100" spans="1:21" x14ac:dyDescent="0.25">
      <c r="A100" t="s">
        <v>506</v>
      </c>
      <c r="B100">
        <v>16.899999999999999</v>
      </c>
      <c r="C100">
        <v>5.6</v>
      </c>
      <c r="D100">
        <v>3.5</v>
      </c>
      <c r="E100">
        <v>12.2</v>
      </c>
      <c r="F100">
        <v>11</v>
      </c>
      <c r="G100">
        <v>10.4</v>
      </c>
      <c r="H100">
        <v>309</v>
      </c>
      <c r="I100">
        <v>4</v>
      </c>
      <c r="J100">
        <v>0</v>
      </c>
      <c r="K100">
        <v>0</v>
      </c>
      <c r="O100">
        <v>55</v>
      </c>
      <c r="R100">
        <v>41.834326834277491</v>
      </c>
      <c r="T100">
        <f t="shared" si="1"/>
        <v>6315.3625311131982</v>
      </c>
      <c r="U100">
        <f t="shared" si="2"/>
        <v>1980.5440219333143</v>
      </c>
    </row>
    <row r="101" spans="1:21" x14ac:dyDescent="0.25">
      <c r="A101" t="s">
        <v>507</v>
      </c>
      <c r="B101">
        <v>14.7</v>
      </c>
      <c r="C101">
        <v>6.4</v>
      </c>
      <c r="D101">
        <v>3.8</v>
      </c>
      <c r="E101">
        <v>10.5</v>
      </c>
      <c r="F101">
        <v>9.4</v>
      </c>
      <c r="G101">
        <v>8.9</v>
      </c>
      <c r="H101">
        <v>469</v>
      </c>
      <c r="I101">
        <v>4</v>
      </c>
      <c r="J101">
        <v>0</v>
      </c>
      <c r="K101">
        <v>0</v>
      </c>
      <c r="O101">
        <v>60</v>
      </c>
      <c r="R101">
        <v>45.153836383333548</v>
      </c>
      <c r="T101">
        <f t="shared" si="1"/>
        <v>7017.3465488569536</v>
      </c>
      <c r="U101">
        <f>852.29*EXP(0.1054*(N254/5+8))</f>
        <v>1980.5440219333143</v>
      </c>
    </row>
    <row r="102" spans="1:21" x14ac:dyDescent="0.25">
      <c r="A102" t="s">
        <v>621</v>
      </c>
      <c r="B102">
        <v>38.4</v>
      </c>
      <c r="C102">
        <v>26.7</v>
      </c>
      <c r="D102">
        <v>12.5</v>
      </c>
      <c r="E102">
        <v>33.1</v>
      </c>
      <c r="F102">
        <v>31.5</v>
      </c>
      <c r="G102">
        <v>30.6</v>
      </c>
      <c r="H102">
        <v>102</v>
      </c>
      <c r="I102">
        <v>4</v>
      </c>
      <c r="J102">
        <v>0</v>
      </c>
      <c r="K102">
        <v>0</v>
      </c>
      <c r="O102">
        <v>65</v>
      </c>
      <c r="R102">
        <v>48.736745496051505</v>
      </c>
      <c r="U102">
        <f>852.29*EXP(0.1054*(N255/5+8))</f>
        <v>1980.5440219333143</v>
      </c>
    </row>
    <row r="103" spans="1:21" x14ac:dyDescent="0.25">
      <c r="A103" t="s">
        <v>1088</v>
      </c>
      <c r="B103">
        <v>58.5</v>
      </c>
      <c r="C103">
        <v>18.600000000000001</v>
      </c>
      <c r="D103">
        <v>8.8000000000000007</v>
      </c>
      <c r="E103">
        <v>49.9</v>
      </c>
      <c r="F103">
        <v>46.7</v>
      </c>
      <c r="G103">
        <v>44.9</v>
      </c>
      <c r="H103">
        <v>106</v>
      </c>
      <c r="I103">
        <v>4</v>
      </c>
      <c r="J103">
        <v>0</v>
      </c>
      <c r="K103">
        <v>0</v>
      </c>
      <c r="O103">
        <v>70</v>
      </c>
      <c r="R103">
        <v>52.603954645286251</v>
      </c>
      <c r="U103">
        <f>852.29*EXP(0.1054*(N256/5+8))</f>
        <v>1980.5440219333143</v>
      </c>
    </row>
    <row r="104" spans="1:21" x14ac:dyDescent="0.25">
      <c r="A104" t="s">
        <v>622</v>
      </c>
      <c r="B104">
        <v>32.200000000000003</v>
      </c>
      <c r="C104">
        <v>17.399999999999999</v>
      </c>
      <c r="D104">
        <v>10.6</v>
      </c>
      <c r="E104">
        <v>26.7</v>
      </c>
      <c r="F104">
        <v>25.1</v>
      </c>
      <c r="G104">
        <v>24.2</v>
      </c>
      <c r="H104">
        <v>132</v>
      </c>
      <c r="I104">
        <v>4</v>
      </c>
      <c r="J104">
        <v>0</v>
      </c>
      <c r="K104">
        <v>0</v>
      </c>
      <c r="O104">
        <v>75</v>
      </c>
      <c r="R104">
        <v>56.778022731928608</v>
      </c>
      <c r="U104">
        <f>852.29*EXP(0.1054*(N257/5+8))</f>
        <v>1980.5440219333143</v>
      </c>
    </row>
    <row r="105" spans="1:21" x14ac:dyDescent="0.25">
      <c r="A105" t="s">
        <v>1090</v>
      </c>
      <c r="B105">
        <v>58.5</v>
      </c>
      <c r="C105">
        <v>18.600000000000001</v>
      </c>
      <c r="D105">
        <v>8.8000000000000007</v>
      </c>
      <c r="E105">
        <v>49.9</v>
      </c>
      <c r="F105">
        <v>46.7</v>
      </c>
      <c r="G105">
        <v>44.9</v>
      </c>
      <c r="H105">
        <v>106</v>
      </c>
      <c r="I105">
        <v>4</v>
      </c>
      <c r="J105">
        <v>0</v>
      </c>
      <c r="K105">
        <v>0</v>
      </c>
      <c r="O105">
        <v>80</v>
      </c>
      <c r="R105">
        <v>61.283298677955095</v>
      </c>
      <c r="U105">
        <f>852.29*EXP(0.1054*(N258/5+8))</f>
        <v>1980.5440219333143</v>
      </c>
    </row>
    <row r="106" spans="1:21" x14ac:dyDescent="0.25">
      <c r="A106" t="s">
        <v>909</v>
      </c>
      <c r="B106">
        <v>31.8</v>
      </c>
      <c r="C106">
        <v>22.7</v>
      </c>
      <c r="D106">
        <v>10</v>
      </c>
      <c r="E106">
        <v>26.9</v>
      </c>
      <c r="F106">
        <v>25.3</v>
      </c>
      <c r="G106">
        <v>24.4</v>
      </c>
      <c r="H106">
        <v>186</v>
      </c>
      <c r="I106">
        <v>4</v>
      </c>
      <c r="J106">
        <v>2</v>
      </c>
      <c r="K106">
        <v>0</v>
      </c>
      <c r="O106">
        <v>85</v>
      </c>
      <c r="P106">
        <v>56</v>
      </c>
      <c r="Q106">
        <v>130</v>
      </c>
      <c r="R106">
        <v>66.146063460360722</v>
      </c>
      <c r="S106">
        <v>220</v>
      </c>
      <c r="U106">
        <f t="shared" ref="U106:U112" si="3">852.29*EXP(0.1054*(N268/5+8))</f>
        <v>1980.5440219333143</v>
      </c>
    </row>
    <row r="107" spans="1:21" x14ac:dyDescent="0.25">
      <c r="A107" t="s">
        <v>623</v>
      </c>
      <c r="B107">
        <v>38.4</v>
      </c>
      <c r="C107">
        <v>26.7</v>
      </c>
      <c r="D107">
        <v>12.5</v>
      </c>
      <c r="E107">
        <v>33.1</v>
      </c>
      <c r="F107">
        <v>31.5</v>
      </c>
      <c r="G107">
        <v>30.6</v>
      </c>
      <c r="H107">
        <v>102</v>
      </c>
      <c r="I107">
        <v>4</v>
      </c>
      <c r="J107">
        <v>0</v>
      </c>
      <c r="K107">
        <v>0</v>
      </c>
      <c r="O107">
        <v>90</v>
      </c>
      <c r="R107">
        <v>71.394683413916312</v>
      </c>
      <c r="U107">
        <f t="shared" si="3"/>
        <v>1980.5440219333143</v>
      </c>
    </row>
    <row r="108" spans="1:21" x14ac:dyDescent="0.25">
      <c r="A108" t="s">
        <v>624</v>
      </c>
      <c r="B108">
        <v>32.200000000000003</v>
      </c>
      <c r="C108">
        <v>17.399999999999999</v>
      </c>
      <c r="D108">
        <v>10.6</v>
      </c>
      <c r="E108">
        <v>26.7</v>
      </c>
      <c r="F108">
        <v>25.1</v>
      </c>
      <c r="G108">
        <v>24.2</v>
      </c>
      <c r="H108">
        <v>160</v>
      </c>
      <c r="I108">
        <v>4</v>
      </c>
      <c r="J108">
        <v>2</v>
      </c>
      <c r="K108">
        <v>0</v>
      </c>
      <c r="O108">
        <v>95</v>
      </c>
      <c r="R108">
        <v>77.059775696072265</v>
      </c>
      <c r="U108">
        <f t="shared" si="3"/>
        <v>1980.5440219333143</v>
      </c>
    </row>
    <row r="109" spans="1:21" x14ac:dyDescent="0.25">
      <c r="A109" t="s">
        <v>625</v>
      </c>
      <c r="B109">
        <v>30.5</v>
      </c>
      <c r="C109">
        <v>18</v>
      </c>
      <c r="D109">
        <v>10.6</v>
      </c>
      <c r="E109">
        <v>26.2</v>
      </c>
      <c r="F109">
        <v>24.7</v>
      </c>
      <c r="G109">
        <v>23.9</v>
      </c>
      <c r="H109">
        <v>200</v>
      </c>
      <c r="I109">
        <v>4</v>
      </c>
      <c r="J109">
        <v>2</v>
      </c>
      <c r="K109">
        <v>0</v>
      </c>
      <c r="O109">
        <v>100</v>
      </c>
      <c r="P109">
        <v>68</v>
      </c>
      <c r="Q109">
        <v>170</v>
      </c>
      <c r="R109">
        <v>83.174386877713943</v>
      </c>
      <c r="S109">
        <v>310</v>
      </c>
      <c r="U109">
        <f t="shared" si="3"/>
        <v>1980.5440219333143</v>
      </c>
    </row>
    <row r="110" spans="1:21" x14ac:dyDescent="0.25">
      <c r="A110" t="s">
        <v>1089</v>
      </c>
      <c r="B110">
        <v>36.9</v>
      </c>
      <c r="C110">
        <v>17.100000000000001</v>
      </c>
      <c r="D110">
        <v>7.8</v>
      </c>
      <c r="E110">
        <v>31.5</v>
      </c>
      <c r="F110">
        <v>29.3</v>
      </c>
      <c r="G110">
        <v>28.2</v>
      </c>
      <c r="H110">
        <v>106</v>
      </c>
      <c r="I110">
        <v>4</v>
      </c>
      <c r="J110">
        <v>0</v>
      </c>
      <c r="K110">
        <v>0</v>
      </c>
      <c r="O110">
        <v>105</v>
      </c>
      <c r="R110">
        <v>89.774185699145733</v>
      </c>
      <c r="U110">
        <f t="shared" si="3"/>
        <v>1980.5440219333143</v>
      </c>
    </row>
    <row r="111" spans="1:21" x14ac:dyDescent="0.25">
      <c r="A111" t="s">
        <v>626</v>
      </c>
      <c r="B111">
        <v>30.6</v>
      </c>
      <c r="C111">
        <v>15.6</v>
      </c>
      <c r="D111">
        <v>9.4</v>
      </c>
      <c r="E111">
        <v>27.1</v>
      </c>
      <c r="F111">
        <v>23.5</v>
      </c>
      <c r="G111">
        <v>22.7</v>
      </c>
      <c r="H111">
        <v>160</v>
      </c>
      <c r="I111">
        <v>4</v>
      </c>
      <c r="J111">
        <v>2</v>
      </c>
      <c r="K111">
        <v>0</v>
      </c>
      <c r="O111">
        <v>110</v>
      </c>
      <c r="R111">
        <v>96.89767111189191</v>
      </c>
      <c r="U111">
        <f t="shared" si="3"/>
        <v>1980.5440219333143</v>
      </c>
    </row>
    <row r="112" spans="1:21" x14ac:dyDescent="0.25">
      <c r="A112" t="s">
        <v>627</v>
      </c>
      <c r="B112">
        <v>30.2</v>
      </c>
      <c r="C112">
        <v>20.100000000000001</v>
      </c>
      <c r="D112">
        <v>8.6</v>
      </c>
      <c r="E112">
        <v>25.2</v>
      </c>
      <c r="F112">
        <v>23.6</v>
      </c>
      <c r="G112">
        <v>22.8</v>
      </c>
      <c r="H112">
        <v>186</v>
      </c>
      <c r="I112">
        <v>4</v>
      </c>
      <c r="J112">
        <v>2</v>
      </c>
      <c r="K112">
        <v>0</v>
      </c>
      <c r="O112">
        <v>115</v>
      </c>
      <c r="R112">
        <v>104.58639681381889</v>
      </c>
      <c r="U112">
        <f t="shared" si="3"/>
        <v>1980.5440219333143</v>
      </c>
    </row>
    <row r="113" spans="1:21" x14ac:dyDescent="0.25">
      <c r="A113" t="s">
        <v>628</v>
      </c>
      <c r="B113">
        <v>27.8</v>
      </c>
      <c r="C113">
        <v>13.7</v>
      </c>
      <c r="D113">
        <v>8.9</v>
      </c>
      <c r="E113">
        <v>22.5</v>
      </c>
      <c r="F113">
        <v>21.1</v>
      </c>
      <c r="G113">
        <v>20</v>
      </c>
      <c r="H113">
        <v>232</v>
      </c>
      <c r="I113">
        <v>4</v>
      </c>
      <c r="J113">
        <v>2</v>
      </c>
      <c r="K113">
        <v>0</v>
      </c>
      <c r="O113">
        <v>120</v>
      </c>
      <c r="R113">
        <v>112.885213577728</v>
      </c>
      <c r="U113">
        <f>852.29*EXP(0.1054*(N301/5+8))</f>
        <v>1980.5440219333143</v>
      </c>
    </row>
    <row r="114" spans="1:21" x14ac:dyDescent="0.25">
      <c r="A114" t="s">
        <v>629</v>
      </c>
      <c r="B114">
        <v>26.8</v>
      </c>
      <c r="C114">
        <v>16.600000000000001</v>
      </c>
      <c r="D114">
        <v>6.8</v>
      </c>
      <c r="E114">
        <v>21.9</v>
      </c>
      <c r="F114">
        <v>20.3</v>
      </c>
      <c r="G114">
        <v>19.5</v>
      </c>
      <c r="H114">
        <v>186</v>
      </c>
      <c r="I114">
        <v>4</v>
      </c>
      <c r="J114">
        <v>2</v>
      </c>
      <c r="K114">
        <v>0</v>
      </c>
      <c r="L114" s="498"/>
      <c r="O114">
        <v>125</v>
      </c>
      <c r="P114">
        <v>90</v>
      </c>
      <c r="Q114">
        <v>250</v>
      </c>
      <c r="R114">
        <v>121.84253077172467</v>
      </c>
      <c r="U114">
        <f>852.29*EXP(0.1054*(N308/5+8))</f>
        <v>1980.5440219333143</v>
      </c>
    </row>
    <row r="115" spans="1:21" x14ac:dyDescent="0.25">
      <c r="A115" t="s">
        <v>630</v>
      </c>
      <c r="B115">
        <v>26.1</v>
      </c>
      <c r="C115">
        <v>12.5</v>
      </c>
      <c r="D115">
        <v>7.1</v>
      </c>
      <c r="E115">
        <v>20.8</v>
      </c>
      <c r="F115">
        <v>19.3</v>
      </c>
      <c r="G115">
        <v>18.600000000000001</v>
      </c>
      <c r="H115">
        <v>226</v>
      </c>
      <c r="I115">
        <v>4</v>
      </c>
      <c r="J115">
        <v>2</v>
      </c>
      <c r="K115">
        <v>0</v>
      </c>
    </row>
    <row r="116" spans="1:21" x14ac:dyDescent="0.25">
      <c r="A116" t="s">
        <v>631</v>
      </c>
      <c r="B116">
        <v>21</v>
      </c>
      <c r="C116">
        <v>13.4</v>
      </c>
      <c r="D116">
        <v>8.1</v>
      </c>
      <c r="E116">
        <v>17.2</v>
      </c>
      <c r="F116">
        <v>15.9</v>
      </c>
      <c r="G116">
        <v>15.2</v>
      </c>
      <c r="H116">
        <v>266</v>
      </c>
      <c r="I116">
        <v>4</v>
      </c>
      <c r="J116">
        <v>2</v>
      </c>
      <c r="K116">
        <v>0</v>
      </c>
    </row>
    <row r="117" spans="1:21" x14ac:dyDescent="0.25">
      <c r="A117" t="s">
        <v>910</v>
      </c>
      <c r="B117">
        <v>22.6</v>
      </c>
      <c r="C117">
        <v>8.8000000000000007</v>
      </c>
      <c r="D117">
        <v>5.3</v>
      </c>
      <c r="E117">
        <v>17.3</v>
      </c>
      <c r="F117">
        <v>15.9</v>
      </c>
      <c r="G117">
        <v>15.1</v>
      </c>
      <c r="H117">
        <v>218</v>
      </c>
      <c r="I117">
        <v>4</v>
      </c>
      <c r="J117">
        <v>2</v>
      </c>
      <c r="K117">
        <v>0</v>
      </c>
    </row>
    <row r="118" spans="1:21" x14ac:dyDescent="0.25">
      <c r="A118" t="s">
        <v>632</v>
      </c>
      <c r="B118">
        <v>19.100000000000001</v>
      </c>
      <c r="C118">
        <v>10</v>
      </c>
      <c r="D118">
        <v>6</v>
      </c>
      <c r="E118">
        <v>14.3</v>
      </c>
      <c r="F118">
        <v>13</v>
      </c>
      <c r="G118">
        <v>12.4</v>
      </c>
      <c r="H118">
        <v>316</v>
      </c>
      <c r="I118">
        <v>4</v>
      </c>
      <c r="J118">
        <v>2</v>
      </c>
      <c r="K118">
        <v>0</v>
      </c>
    </row>
    <row r="119" spans="1:21" x14ac:dyDescent="0.25">
      <c r="A119" t="s">
        <v>633</v>
      </c>
      <c r="B119">
        <v>17.600000000000001</v>
      </c>
      <c r="C119">
        <v>9.6</v>
      </c>
      <c r="D119">
        <v>5.9</v>
      </c>
      <c r="E119">
        <v>14.5</v>
      </c>
      <c r="F119">
        <v>12.2</v>
      </c>
      <c r="G119">
        <v>11.6</v>
      </c>
      <c r="H119">
        <v>358</v>
      </c>
      <c r="I119">
        <v>4</v>
      </c>
      <c r="J119">
        <v>2</v>
      </c>
      <c r="K119">
        <v>0</v>
      </c>
    </row>
    <row r="120" spans="1:21" x14ac:dyDescent="0.25">
      <c r="A120" t="s">
        <v>1023</v>
      </c>
      <c r="B120">
        <v>20.3</v>
      </c>
      <c r="C120">
        <v>9.1</v>
      </c>
      <c r="D120">
        <v>3.9</v>
      </c>
      <c r="E120">
        <v>15.5</v>
      </c>
      <c r="F120">
        <v>14.4</v>
      </c>
      <c r="G120">
        <v>13.8</v>
      </c>
      <c r="H120">
        <v>320</v>
      </c>
      <c r="I120">
        <v>4</v>
      </c>
      <c r="J120">
        <v>2</v>
      </c>
      <c r="K120">
        <v>0</v>
      </c>
    </row>
    <row r="121" spans="1:21" x14ac:dyDescent="0.25">
      <c r="A121" t="s">
        <v>935</v>
      </c>
      <c r="B121">
        <v>17.2</v>
      </c>
      <c r="C121">
        <v>8</v>
      </c>
      <c r="D121">
        <v>4.7</v>
      </c>
      <c r="E121">
        <v>12.5</v>
      </c>
      <c r="F121">
        <v>11.3</v>
      </c>
      <c r="G121">
        <v>10.6</v>
      </c>
      <c r="H121">
        <v>280</v>
      </c>
      <c r="I121">
        <v>4</v>
      </c>
      <c r="J121">
        <v>4</v>
      </c>
      <c r="K121">
        <v>0</v>
      </c>
    </row>
    <row r="122" spans="1:21" x14ac:dyDescent="0.25">
      <c r="A122" t="s">
        <v>936</v>
      </c>
      <c r="B122">
        <v>15.9</v>
      </c>
      <c r="C122">
        <v>7.5</v>
      </c>
      <c r="D122">
        <v>4.5</v>
      </c>
      <c r="E122">
        <v>11.6</v>
      </c>
      <c r="F122">
        <v>10.5</v>
      </c>
      <c r="G122">
        <v>9.9</v>
      </c>
      <c r="H122">
        <v>408</v>
      </c>
      <c r="I122">
        <v>4</v>
      </c>
      <c r="J122">
        <v>4</v>
      </c>
      <c r="K122">
        <v>0</v>
      </c>
    </row>
    <row r="123" spans="1:21" x14ac:dyDescent="0.25">
      <c r="A123" t="s">
        <v>1025</v>
      </c>
      <c r="B123">
        <v>18.5</v>
      </c>
      <c r="C123">
        <v>7.4</v>
      </c>
      <c r="D123">
        <v>2.9</v>
      </c>
      <c r="E123">
        <v>13.7</v>
      </c>
      <c r="F123">
        <v>12.4</v>
      </c>
      <c r="G123">
        <v>11.7</v>
      </c>
      <c r="H123">
        <v>328</v>
      </c>
      <c r="I123">
        <v>4</v>
      </c>
      <c r="J123">
        <v>4</v>
      </c>
      <c r="K123">
        <v>0</v>
      </c>
    </row>
    <row r="124" spans="1:21" x14ac:dyDescent="0.25">
      <c r="A124" t="s">
        <v>644</v>
      </c>
      <c r="B124">
        <v>16.399999999999999</v>
      </c>
      <c r="C124">
        <v>7</v>
      </c>
      <c r="D124">
        <v>4.2</v>
      </c>
      <c r="E124">
        <v>11.7</v>
      </c>
      <c r="F124">
        <v>10.5</v>
      </c>
      <c r="G124">
        <v>9.8000000000000007</v>
      </c>
      <c r="H124">
        <v>326</v>
      </c>
      <c r="I124">
        <v>4</v>
      </c>
      <c r="J124">
        <v>4</v>
      </c>
      <c r="K124">
        <v>0</v>
      </c>
    </row>
    <row r="125" spans="1:21" x14ac:dyDescent="0.25">
      <c r="A125" t="s">
        <v>645</v>
      </c>
      <c r="B125">
        <v>15</v>
      </c>
      <c r="C125">
        <v>6.6</v>
      </c>
      <c r="D125">
        <v>4</v>
      </c>
      <c r="E125">
        <v>11</v>
      </c>
      <c r="F125">
        <v>9.6</v>
      </c>
      <c r="G125">
        <v>9.1</v>
      </c>
      <c r="H125">
        <v>480</v>
      </c>
      <c r="I125">
        <v>4</v>
      </c>
      <c r="J125">
        <v>4</v>
      </c>
      <c r="K125">
        <v>0</v>
      </c>
    </row>
    <row r="126" spans="1:21" x14ac:dyDescent="0.25">
      <c r="A126" t="s">
        <v>1026</v>
      </c>
      <c r="B126">
        <v>17.600000000000001</v>
      </c>
      <c r="C126">
        <v>6.5</v>
      </c>
      <c r="D126">
        <v>2.5</v>
      </c>
      <c r="E126">
        <v>12.9</v>
      </c>
      <c r="F126">
        <v>11.6</v>
      </c>
      <c r="G126">
        <v>11</v>
      </c>
      <c r="H126">
        <v>338</v>
      </c>
      <c r="I126">
        <v>4</v>
      </c>
      <c r="J126">
        <v>4</v>
      </c>
      <c r="K126">
        <v>0</v>
      </c>
    </row>
    <row r="127" spans="1:21" x14ac:dyDescent="0.25">
      <c r="A127" t="s">
        <v>634</v>
      </c>
      <c r="B127">
        <v>15.8</v>
      </c>
      <c r="C127">
        <v>6.3</v>
      </c>
      <c r="D127">
        <v>3.7</v>
      </c>
      <c r="E127">
        <v>11.1</v>
      </c>
      <c r="F127">
        <v>9.9</v>
      </c>
      <c r="G127">
        <v>9.3000000000000007</v>
      </c>
      <c r="H127">
        <v>338</v>
      </c>
      <c r="I127">
        <v>4</v>
      </c>
      <c r="J127">
        <v>4</v>
      </c>
      <c r="K127">
        <v>0</v>
      </c>
    </row>
    <row r="128" spans="1:21" x14ac:dyDescent="0.25">
      <c r="A128" t="s">
        <v>635</v>
      </c>
      <c r="B128">
        <v>14.4</v>
      </c>
      <c r="C128">
        <v>6</v>
      </c>
      <c r="D128">
        <v>3.5</v>
      </c>
      <c r="E128">
        <v>10.199999999999999</v>
      </c>
      <c r="F128">
        <v>9.6999999999999993</v>
      </c>
      <c r="G128">
        <v>8.5</v>
      </c>
      <c r="H128">
        <v>498</v>
      </c>
      <c r="I128">
        <v>4</v>
      </c>
      <c r="J128">
        <v>4</v>
      </c>
      <c r="K128">
        <v>0</v>
      </c>
    </row>
    <row r="129" spans="1:12" x14ac:dyDescent="0.25">
      <c r="A129" t="s">
        <v>1027</v>
      </c>
      <c r="B129">
        <v>17</v>
      </c>
      <c r="C129">
        <v>5.9</v>
      </c>
      <c r="D129">
        <v>2.2000000000000002</v>
      </c>
      <c r="E129">
        <v>12.2</v>
      </c>
      <c r="F129">
        <v>10.9</v>
      </c>
      <c r="G129">
        <v>10.3</v>
      </c>
      <c r="H129">
        <v>338</v>
      </c>
      <c r="I129">
        <v>4</v>
      </c>
      <c r="J129">
        <v>4</v>
      </c>
      <c r="K129">
        <v>0</v>
      </c>
    </row>
    <row r="130" spans="1:12" x14ac:dyDescent="0.25">
      <c r="A130" t="s">
        <v>1028</v>
      </c>
      <c r="B130" s="6">
        <v>14.2</v>
      </c>
      <c r="C130" s="6">
        <v>6.5</v>
      </c>
      <c r="D130" s="6">
        <v>3.8</v>
      </c>
      <c r="E130" s="6">
        <v>10</v>
      </c>
      <c r="F130" s="6">
        <v>8.9</v>
      </c>
      <c r="G130" s="6">
        <v>8.5</v>
      </c>
      <c r="H130" s="6">
        <v>576</v>
      </c>
      <c r="I130">
        <v>4</v>
      </c>
      <c r="J130">
        <v>4</v>
      </c>
      <c r="K130">
        <v>0</v>
      </c>
    </row>
    <row r="131" spans="1:12" x14ac:dyDescent="0.25">
      <c r="A131" t="s">
        <v>636</v>
      </c>
      <c r="B131">
        <v>26.2</v>
      </c>
      <c r="C131">
        <v>12.5</v>
      </c>
      <c r="D131">
        <v>7.1</v>
      </c>
      <c r="E131">
        <v>20.9</v>
      </c>
      <c r="F131">
        <v>19.399999999999999</v>
      </c>
      <c r="G131">
        <v>18.600000000000001</v>
      </c>
      <c r="H131">
        <v>190</v>
      </c>
      <c r="I131">
        <v>4</v>
      </c>
      <c r="J131">
        <v>2</v>
      </c>
      <c r="K131">
        <v>2</v>
      </c>
    </row>
    <row r="132" spans="1:12" x14ac:dyDescent="0.25">
      <c r="A132" t="s">
        <v>637</v>
      </c>
      <c r="B132">
        <v>21</v>
      </c>
      <c r="C132">
        <v>13.4</v>
      </c>
      <c r="D132">
        <v>8.1</v>
      </c>
      <c r="E132">
        <v>17.2</v>
      </c>
      <c r="F132">
        <v>15.9</v>
      </c>
      <c r="G132">
        <v>15.2</v>
      </c>
      <c r="H132">
        <v>250</v>
      </c>
      <c r="I132">
        <v>4</v>
      </c>
      <c r="J132">
        <v>2</v>
      </c>
      <c r="K132">
        <v>2</v>
      </c>
    </row>
    <row r="133" spans="1:12" x14ac:dyDescent="0.25">
      <c r="A133" t="s">
        <v>638</v>
      </c>
      <c r="B133">
        <v>22.6</v>
      </c>
      <c r="C133">
        <v>8.8000000000000007</v>
      </c>
      <c r="D133">
        <v>5.3</v>
      </c>
      <c r="E133">
        <v>17.3</v>
      </c>
      <c r="F133">
        <v>15.9</v>
      </c>
      <c r="G133">
        <v>15.1</v>
      </c>
      <c r="H133">
        <v>190</v>
      </c>
      <c r="I133">
        <v>4</v>
      </c>
      <c r="J133">
        <v>2</v>
      </c>
      <c r="K133">
        <v>4</v>
      </c>
      <c r="L133" s="498"/>
    </row>
    <row r="134" spans="1:12" x14ac:dyDescent="0.25">
      <c r="A134" t="s">
        <v>639</v>
      </c>
      <c r="B134">
        <v>19.100000000000001</v>
      </c>
      <c r="C134">
        <v>10</v>
      </c>
      <c r="D134">
        <v>6</v>
      </c>
      <c r="E134">
        <v>14.3</v>
      </c>
      <c r="F134">
        <v>13</v>
      </c>
      <c r="G134">
        <v>12.4</v>
      </c>
      <c r="H134">
        <v>296</v>
      </c>
      <c r="I134">
        <v>4</v>
      </c>
      <c r="J134">
        <v>2</v>
      </c>
      <c r="K134">
        <v>4</v>
      </c>
    </row>
    <row r="135" spans="1:12" x14ac:dyDescent="0.25">
      <c r="A135" t="s">
        <v>1030</v>
      </c>
      <c r="B135">
        <v>20.3</v>
      </c>
      <c r="C135">
        <v>9.1</v>
      </c>
      <c r="D135">
        <v>3.9</v>
      </c>
      <c r="E135">
        <v>15.5</v>
      </c>
      <c r="F135">
        <v>14.4</v>
      </c>
      <c r="G135">
        <v>13.8</v>
      </c>
      <c r="H135">
        <v>296</v>
      </c>
      <c r="I135">
        <v>4</v>
      </c>
      <c r="J135">
        <v>2</v>
      </c>
      <c r="K135">
        <v>4</v>
      </c>
    </row>
    <row r="136" spans="1:12" x14ac:dyDescent="0.25">
      <c r="A136" t="s">
        <v>1087</v>
      </c>
      <c r="B136">
        <v>18.5</v>
      </c>
      <c r="C136">
        <v>7.4</v>
      </c>
      <c r="D136">
        <v>2.9</v>
      </c>
      <c r="E136">
        <v>13.7</v>
      </c>
      <c r="F136">
        <v>12.4</v>
      </c>
      <c r="G136">
        <v>11.7</v>
      </c>
      <c r="H136">
        <v>292</v>
      </c>
      <c r="I136">
        <v>4</v>
      </c>
      <c r="J136">
        <v>4</v>
      </c>
      <c r="K136">
        <v>4</v>
      </c>
    </row>
    <row r="137" spans="1:12" x14ac:dyDescent="0.25">
      <c r="A137" t="s">
        <v>933</v>
      </c>
      <c r="B137">
        <v>17.2</v>
      </c>
      <c r="C137">
        <v>8</v>
      </c>
      <c r="D137">
        <v>4.7</v>
      </c>
      <c r="E137">
        <v>12.5</v>
      </c>
      <c r="F137">
        <v>11.3</v>
      </c>
      <c r="G137">
        <v>10.6</v>
      </c>
      <c r="H137">
        <v>268</v>
      </c>
      <c r="I137">
        <v>4</v>
      </c>
      <c r="J137">
        <v>4</v>
      </c>
      <c r="K137">
        <v>4</v>
      </c>
      <c r="L137" s="498"/>
    </row>
    <row r="138" spans="1:12" x14ac:dyDescent="0.25">
      <c r="A138" t="s">
        <v>934</v>
      </c>
      <c r="B138">
        <v>15.9</v>
      </c>
      <c r="C138">
        <v>7.5</v>
      </c>
      <c r="D138">
        <v>4.5</v>
      </c>
      <c r="E138">
        <v>11.6</v>
      </c>
      <c r="F138">
        <v>10.5</v>
      </c>
      <c r="G138">
        <v>9.9</v>
      </c>
      <c r="H138">
        <v>348</v>
      </c>
      <c r="I138">
        <v>4</v>
      </c>
      <c r="J138">
        <v>4</v>
      </c>
      <c r="K138">
        <v>8</v>
      </c>
    </row>
    <row r="139" spans="1:12" x14ac:dyDescent="0.25">
      <c r="A139" s="6" t="s">
        <v>1086</v>
      </c>
      <c r="B139">
        <v>17.600000000000001</v>
      </c>
      <c r="C139">
        <v>6.5</v>
      </c>
      <c r="D139">
        <v>2.5</v>
      </c>
      <c r="E139">
        <v>12.9</v>
      </c>
      <c r="F139">
        <v>11.6</v>
      </c>
      <c r="G139">
        <v>11</v>
      </c>
      <c r="H139" s="6">
        <v>296</v>
      </c>
      <c r="I139" s="6">
        <v>4</v>
      </c>
      <c r="J139">
        <v>4</v>
      </c>
      <c r="K139">
        <v>4</v>
      </c>
    </row>
    <row r="140" spans="1:12" x14ac:dyDescent="0.25">
      <c r="A140" t="s">
        <v>646</v>
      </c>
      <c r="B140">
        <v>16.399999999999999</v>
      </c>
      <c r="C140">
        <v>7</v>
      </c>
      <c r="D140">
        <v>4.2</v>
      </c>
      <c r="E140">
        <v>11.7</v>
      </c>
      <c r="F140">
        <v>10.5</v>
      </c>
      <c r="G140">
        <v>9.8000000000000007</v>
      </c>
      <c r="H140">
        <v>296</v>
      </c>
      <c r="I140">
        <v>4</v>
      </c>
      <c r="J140">
        <v>4</v>
      </c>
      <c r="K140">
        <v>4</v>
      </c>
    </row>
    <row r="141" spans="1:12" x14ac:dyDescent="0.25">
      <c r="A141" t="s">
        <v>647</v>
      </c>
      <c r="B141">
        <v>15</v>
      </c>
      <c r="C141">
        <v>6.6</v>
      </c>
      <c r="D141">
        <v>4</v>
      </c>
      <c r="E141">
        <v>11</v>
      </c>
      <c r="F141">
        <v>9.6</v>
      </c>
      <c r="G141">
        <v>9.1</v>
      </c>
      <c r="H141">
        <v>376</v>
      </c>
      <c r="I141">
        <v>4</v>
      </c>
      <c r="J141">
        <v>4</v>
      </c>
      <c r="K141">
        <v>8</v>
      </c>
    </row>
    <row r="142" spans="1:12" x14ac:dyDescent="0.25">
      <c r="A142" t="s">
        <v>1031</v>
      </c>
      <c r="B142" s="6">
        <v>15</v>
      </c>
      <c r="C142" s="6">
        <v>7.3</v>
      </c>
      <c r="D142" s="6">
        <v>4.4000000000000004</v>
      </c>
      <c r="E142" s="6">
        <v>10.8</v>
      </c>
      <c r="F142" s="6">
        <v>9.6999999999999993</v>
      </c>
      <c r="G142" s="6">
        <v>9.1</v>
      </c>
      <c r="H142" s="6">
        <v>498</v>
      </c>
      <c r="I142">
        <v>4</v>
      </c>
      <c r="J142">
        <v>4</v>
      </c>
      <c r="K142">
        <v>8</v>
      </c>
    </row>
    <row r="143" spans="1:12" x14ac:dyDescent="0.25">
      <c r="A143" s="6" t="s">
        <v>1091</v>
      </c>
      <c r="B143">
        <v>17</v>
      </c>
      <c r="C143">
        <v>5.9</v>
      </c>
      <c r="D143">
        <v>2.2000000000000002</v>
      </c>
      <c r="E143">
        <v>12.2</v>
      </c>
      <c r="F143">
        <v>10.9</v>
      </c>
      <c r="G143">
        <v>10.3</v>
      </c>
      <c r="H143" s="6">
        <v>296</v>
      </c>
      <c r="I143" s="6">
        <v>4</v>
      </c>
      <c r="J143">
        <v>4</v>
      </c>
      <c r="K143">
        <v>4</v>
      </c>
    </row>
    <row r="144" spans="1:12" x14ac:dyDescent="0.25">
      <c r="A144" t="s">
        <v>640</v>
      </c>
      <c r="B144">
        <v>15.8</v>
      </c>
      <c r="C144">
        <v>6.3</v>
      </c>
      <c r="D144">
        <v>3.7</v>
      </c>
      <c r="E144">
        <v>11.1</v>
      </c>
      <c r="F144">
        <v>9.9</v>
      </c>
      <c r="G144">
        <v>9.3000000000000007</v>
      </c>
      <c r="H144">
        <v>296</v>
      </c>
      <c r="I144">
        <v>4</v>
      </c>
      <c r="J144">
        <v>4</v>
      </c>
      <c r="K144">
        <v>4</v>
      </c>
    </row>
    <row r="145" spans="1:11" x14ac:dyDescent="0.25">
      <c r="A145" t="s">
        <v>641</v>
      </c>
      <c r="B145">
        <v>14.4</v>
      </c>
      <c r="C145">
        <v>6</v>
      </c>
      <c r="D145">
        <v>3.5</v>
      </c>
      <c r="E145">
        <v>10.199999999999999</v>
      </c>
      <c r="F145">
        <v>9.6999999999999993</v>
      </c>
      <c r="G145">
        <v>8.5</v>
      </c>
      <c r="H145">
        <v>396</v>
      </c>
      <c r="I145">
        <v>4</v>
      </c>
      <c r="J145">
        <v>4</v>
      </c>
      <c r="K145">
        <v>8</v>
      </c>
    </row>
    <row r="146" spans="1:11" x14ac:dyDescent="0.25">
      <c r="A146" t="s">
        <v>1032</v>
      </c>
      <c r="B146" s="6">
        <v>14.2</v>
      </c>
      <c r="C146" s="6">
        <v>6.5</v>
      </c>
      <c r="D146" s="6">
        <v>3.8</v>
      </c>
      <c r="E146" s="6">
        <v>10</v>
      </c>
      <c r="F146" s="6">
        <v>8.9</v>
      </c>
      <c r="G146" s="6">
        <v>8.5</v>
      </c>
      <c r="H146" s="6">
        <v>540</v>
      </c>
      <c r="I146">
        <v>4</v>
      </c>
      <c r="J146">
        <v>4</v>
      </c>
      <c r="K146">
        <v>8</v>
      </c>
    </row>
    <row r="147" spans="1:11" x14ac:dyDescent="0.25">
      <c r="A147" t="s">
        <v>911</v>
      </c>
      <c r="B147">
        <v>38.4</v>
      </c>
      <c r="C147">
        <v>26.7</v>
      </c>
      <c r="D147">
        <v>12.5</v>
      </c>
      <c r="E147">
        <v>33.1</v>
      </c>
      <c r="F147">
        <v>31.5</v>
      </c>
      <c r="G147">
        <v>30.6</v>
      </c>
      <c r="H147">
        <v>102</v>
      </c>
      <c r="I147">
        <v>4</v>
      </c>
      <c r="J147">
        <v>0</v>
      </c>
      <c r="K147">
        <v>0</v>
      </c>
    </row>
    <row r="148" spans="1:11" x14ac:dyDescent="0.25">
      <c r="A148" t="s">
        <v>1093</v>
      </c>
      <c r="B148">
        <v>58.5</v>
      </c>
      <c r="C148">
        <v>18.600000000000001</v>
      </c>
      <c r="D148">
        <v>8.8000000000000007</v>
      </c>
      <c r="E148">
        <v>49.9</v>
      </c>
      <c r="F148">
        <v>46.7</v>
      </c>
      <c r="G148">
        <v>44.9</v>
      </c>
      <c r="H148">
        <v>106</v>
      </c>
      <c r="I148">
        <v>4</v>
      </c>
      <c r="J148">
        <v>0</v>
      </c>
      <c r="K148">
        <v>0</v>
      </c>
    </row>
    <row r="149" spans="1:11" x14ac:dyDescent="0.25">
      <c r="A149" t="s">
        <v>912</v>
      </c>
      <c r="B149">
        <v>32.200000000000003</v>
      </c>
      <c r="C149">
        <v>17.399999999999999</v>
      </c>
      <c r="D149">
        <v>10.6</v>
      </c>
      <c r="E149">
        <v>26.7</v>
      </c>
      <c r="F149">
        <v>25.1</v>
      </c>
      <c r="G149">
        <v>24.2</v>
      </c>
      <c r="H149">
        <v>132</v>
      </c>
      <c r="I149">
        <v>4</v>
      </c>
      <c r="J149">
        <v>0</v>
      </c>
      <c r="K149">
        <v>0</v>
      </c>
    </row>
    <row r="150" spans="1:11" x14ac:dyDescent="0.25">
      <c r="A150" t="s">
        <v>913</v>
      </c>
      <c r="B150">
        <v>31.8</v>
      </c>
      <c r="C150">
        <v>22.7</v>
      </c>
      <c r="D150">
        <v>10</v>
      </c>
      <c r="E150">
        <v>26.9</v>
      </c>
      <c r="F150">
        <v>25.3</v>
      </c>
      <c r="G150">
        <v>24.4</v>
      </c>
      <c r="H150">
        <v>186</v>
      </c>
      <c r="I150">
        <v>4</v>
      </c>
      <c r="J150">
        <v>2</v>
      </c>
      <c r="K150">
        <v>0</v>
      </c>
    </row>
    <row r="151" spans="1:11" x14ac:dyDescent="0.25">
      <c r="A151" t="s">
        <v>1094</v>
      </c>
      <c r="B151">
        <v>58.5</v>
      </c>
      <c r="C151">
        <v>18.600000000000001</v>
      </c>
      <c r="D151">
        <v>8.8000000000000007</v>
      </c>
      <c r="E151">
        <v>49.9</v>
      </c>
      <c r="F151">
        <v>46.7</v>
      </c>
      <c r="G151">
        <v>44.9</v>
      </c>
      <c r="H151">
        <v>106</v>
      </c>
      <c r="I151">
        <v>4</v>
      </c>
      <c r="J151">
        <v>0</v>
      </c>
      <c r="K151">
        <v>0</v>
      </c>
    </row>
    <row r="152" spans="1:11" x14ac:dyDescent="0.25">
      <c r="A152" t="s">
        <v>914</v>
      </c>
      <c r="B152">
        <v>38.4</v>
      </c>
      <c r="C152">
        <v>26.7</v>
      </c>
      <c r="D152">
        <v>12.5</v>
      </c>
      <c r="E152">
        <v>33.1</v>
      </c>
      <c r="F152">
        <v>31.5</v>
      </c>
      <c r="G152">
        <v>30.6</v>
      </c>
      <c r="H152">
        <v>102</v>
      </c>
      <c r="I152">
        <v>4</v>
      </c>
      <c r="J152">
        <v>0</v>
      </c>
      <c r="K152">
        <v>0</v>
      </c>
    </row>
    <row r="153" spans="1:11" x14ac:dyDescent="0.25">
      <c r="A153" t="s">
        <v>915</v>
      </c>
      <c r="B153">
        <v>32.200000000000003</v>
      </c>
      <c r="C153">
        <v>17.399999999999999</v>
      </c>
      <c r="D153">
        <v>10.6</v>
      </c>
      <c r="E153">
        <v>26.7</v>
      </c>
      <c r="F153">
        <v>25.1</v>
      </c>
      <c r="G153">
        <v>24.2</v>
      </c>
      <c r="H153">
        <v>160</v>
      </c>
      <c r="I153">
        <v>4</v>
      </c>
      <c r="J153">
        <v>2</v>
      </c>
      <c r="K153">
        <v>0</v>
      </c>
    </row>
    <row r="154" spans="1:11" x14ac:dyDescent="0.25">
      <c r="A154" t="s">
        <v>916</v>
      </c>
      <c r="B154">
        <v>30.5</v>
      </c>
      <c r="C154">
        <v>18</v>
      </c>
      <c r="D154">
        <v>10.6</v>
      </c>
      <c r="E154">
        <v>26.2</v>
      </c>
      <c r="F154">
        <v>24.7</v>
      </c>
      <c r="G154">
        <v>23.9</v>
      </c>
      <c r="H154">
        <v>200</v>
      </c>
      <c r="I154">
        <v>4</v>
      </c>
      <c r="J154">
        <v>2</v>
      </c>
      <c r="K154">
        <v>0</v>
      </c>
    </row>
    <row r="155" spans="1:11" x14ac:dyDescent="0.25">
      <c r="A155" t="s">
        <v>1092</v>
      </c>
      <c r="B155">
        <v>36.9</v>
      </c>
      <c r="C155">
        <v>17.100000000000001</v>
      </c>
      <c r="D155">
        <v>7.8</v>
      </c>
      <c r="E155">
        <v>31.5</v>
      </c>
      <c r="F155">
        <v>29.3</v>
      </c>
      <c r="G155">
        <v>28.2</v>
      </c>
      <c r="H155">
        <v>106</v>
      </c>
      <c r="I155">
        <v>4</v>
      </c>
      <c r="J155">
        <v>0</v>
      </c>
      <c r="K155">
        <v>0</v>
      </c>
    </row>
    <row r="156" spans="1:11" x14ac:dyDescent="0.25">
      <c r="A156" t="s">
        <v>917</v>
      </c>
      <c r="B156">
        <v>30.6</v>
      </c>
      <c r="C156">
        <v>15.6</v>
      </c>
      <c r="D156">
        <v>9.4</v>
      </c>
      <c r="E156">
        <v>27.1</v>
      </c>
      <c r="F156">
        <v>23.5</v>
      </c>
      <c r="G156">
        <v>22.7</v>
      </c>
      <c r="H156">
        <v>160</v>
      </c>
      <c r="I156">
        <v>4</v>
      </c>
      <c r="J156">
        <v>2</v>
      </c>
      <c r="K156">
        <v>0</v>
      </c>
    </row>
    <row r="157" spans="1:11" x14ac:dyDescent="0.25">
      <c r="A157" t="s">
        <v>918</v>
      </c>
      <c r="B157">
        <v>30.2</v>
      </c>
      <c r="C157">
        <v>20.100000000000001</v>
      </c>
      <c r="D157">
        <v>8.6</v>
      </c>
      <c r="E157">
        <v>25.2</v>
      </c>
      <c r="F157">
        <v>23.6</v>
      </c>
      <c r="G157">
        <v>22.8</v>
      </c>
      <c r="H157">
        <v>186</v>
      </c>
      <c r="I157">
        <v>4</v>
      </c>
      <c r="J157">
        <v>2</v>
      </c>
      <c r="K157">
        <v>0</v>
      </c>
    </row>
    <row r="158" spans="1:11" x14ac:dyDescent="0.25">
      <c r="A158" t="s">
        <v>919</v>
      </c>
      <c r="B158">
        <v>27.8</v>
      </c>
      <c r="C158">
        <v>13.7</v>
      </c>
      <c r="D158">
        <v>8.9</v>
      </c>
      <c r="E158">
        <v>22.5</v>
      </c>
      <c r="F158">
        <v>21.1</v>
      </c>
      <c r="G158">
        <v>20</v>
      </c>
      <c r="H158">
        <v>232</v>
      </c>
      <c r="I158">
        <v>4</v>
      </c>
      <c r="J158">
        <v>2</v>
      </c>
      <c r="K158">
        <v>0</v>
      </c>
    </row>
    <row r="159" spans="1:11" x14ac:dyDescent="0.25">
      <c r="A159" t="s">
        <v>920</v>
      </c>
      <c r="B159">
        <v>26.8</v>
      </c>
      <c r="C159">
        <v>16.600000000000001</v>
      </c>
      <c r="D159">
        <v>6.8</v>
      </c>
      <c r="E159">
        <v>21.9</v>
      </c>
      <c r="F159">
        <v>20.3</v>
      </c>
      <c r="G159">
        <v>19.5</v>
      </c>
      <c r="H159">
        <v>186</v>
      </c>
      <c r="I159">
        <v>4</v>
      </c>
      <c r="J159">
        <v>2</v>
      </c>
      <c r="K159">
        <v>0</v>
      </c>
    </row>
    <row r="160" spans="1:11" x14ac:dyDescent="0.25">
      <c r="A160" t="s">
        <v>921</v>
      </c>
      <c r="B160">
        <v>26.1</v>
      </c>
      <c r="C160">
        <v>12.5</v>
      </c>
      <c r="D160">
        <v>7.1</v>
      </c>
      <c r="E160">
        <v>20.8</v>
      </c>
      <c r="F160">
        <v>19.3</v>
      </c>
      <c r="G160">
        <v>18.600000000000001</v>
      </c>
      <c r="H160">
        <v>226</v>
      </c>
      <c r="I160">
        <v>4</v>
      </c>
      <c r="J160">
        <v>2</v>
      </c>
      <c r="K160">
        <v>0</v>
      </c>
    </row>
    <row r="161" spans="1:12" x14ac:dyDescent="0.25">
      <c r="A161" t="s">
        <v>922</v>
      </c>
      <c r="B161">
        <v>21</v>
      </c>
      <c r="C161">
        <v>13.4</v>
      </c>
      <c r="D161">
        <v>8.1</v>
      </c>
      <c r="E161">
        <v>17.2</v>
      </c>
      <c r="F161">
        <v>15.9</v>
      </c>
      <c r="G161">
        <v>15.2</v>
      </c>
      <c r="H161">
        <v>266</v>
      </c>
      <c r="I161">
        <v>4</v>
      </c>
      <c r="J161">
        <v>2</v>
      </c>
      <c r="K161">
        <v>0</v>
      </c>
    </row>
    <row r="162" spans="1:12" x14ac:dyDescent="0.25">
      <c r="A162" t="s">
        <v>923</v>
      </c>
      <c r="B162">
        <v>22.6</v>
      </c>
      <c r="C162">
        <v>8.8000000000000007</v>
      </c>
      <c r="D162">
        <v>5.3</v>
      </c>
      <c r="E162">
        <v>17.3</v>
      </c>
      <c r="F162">
        <v>15.9</v>
      </c>
      <c r="G162">
        <v>15.1</v>
      </c>
      <c r="H162">
        <v>218</v>
      </c>
      <c r="I162">
        <v>4</v>
      </c>
      <c r="J162">
        <v>2</v>
      </c>
      <c r="K162">
        <v>0</v>
      </c>
      <c r="L162" s="498"/>
    </row>
    <row r="163" spans="1:12" x14ac:dyDescent="0.25">
      <c r="A163" t="s">
        <v>924</v>
      </c>
      <c r="B163">
        <v>19.100000000000001</v>
      </c>
      <c r="C163">
        <v>10</v>
      </c>
      <c r="D163">
        <v>6</v>
      </c>
      <c r="E163">
        <v>14.3</v>
      </c>
      <c r="F163">
        <v>13</v>
      </c>
      <c r="G163">
        <v>12.4</v>
      </c>
      <c r="H163">
        <v>316</v>
      </c>
      <c r="I163">
        <v>4</v>
      </c>
      <c r="J163">
        <v>2</v>
      </c>
      <c r="K163">
        <v>0</v>
      </c>
    </row>
    <row r="164" spans="1:12" x14ac:dyDescent="0.25">
      <c r="A164" t="s">
        <v>925</v>
      </c>
      <c r="B164">
        <v>17.600000000000001</v>
      </c>
      <c r="C164">
        <v>9.6</v>
      </c>
      <c r="D164">
        <v>5.9</v>
      </c>
      <c r="E164">
        <v>14.5</v>
      </c>
      <c r="F164">
        <v>12.2</v>
      </c>
      <c r="G164">
        <v>11.6</v>
      </c>
      <c r="H164">
        <v>358</v>
      </c>
      <c r="I164">
        <v>4</v>
      </c>
      <c r="J164">
        <v>2</v>
      </c>
      <c r="K164">
        <v>0</v>
      </c>
    </row>
    <row r="165" spans="1:12" x14ac:dyDescent="0.25">
      <c r="A165" s="6" t="s">
        <v>1033</v>
      </c>
      <c r="B165">
        <v>20.3</v>
      </c>
      <c r="C165">
        <v>9.1</v>
      </c>
      <c r="D165">
        <v>3.9</v>
      </c>
      <c r="E165">
        <v>15.5</v>
      </c>
      <c r="F165">
        <v>14.4</v>
      </c>
      <c r="G165">
        <v>13.8</v>
      </c>
      <c r="H165">
        <v>320</v>
      </c>
      <c r="I165" s="6">
        <v>4</v>
      </c>
      <c r="J165">
        <v>2</v>
      </c>
      <c r="K165">
        <v>0</v>
      </c>
    </row>
    <row r="166" spans="1:12" x14ac:dyDescent="0.25">
      <c r="A166" t="s">
        <v>937</v>
      </c>
      <c r="B166">
        <v>17.2</v>
      </c>
      <c r="C166">
        <v>8</v>
      </c>
      <c r="D166">
        <v>4.7</v>
      </c>
      <c r="E166">
        <v>12.5</v>
      </c>
      <c r="F166">
        <v>11.3</v>
      </c>
      <c r="G166">
        <v>10.6</v>
      </c>
      <c r="H166">
        <v>280</v>
      </c>
      <c r="I166">
        <v>4</v>
      </c>
      <c r="J166">
        <v>4</v>
      </c>
      <c r="K166">
        <v>0</v>
      </c>
    </row>
    <row r="167" spans="1:12" x14ac:dyDescent="0.25">
      <c r="A167" t="s">
        <v>938</v>
      </c>
      <c r="B167">
        <v>15.9</v>
      </c>
      <c r="C167">
        <v>7.5</v>
      </c>
      <c r="D167">
        <v>4.5</v>
      </c>
      <c r="E167">
        <v>11.6</v>
      </c>
      <c r="F167">
        <v>10.5</v>
      </c>
      <c r="G167">
        <v>9.9</v>
      </c>
      <c r="H167">
        <v>408</v>
      </c>
      <c r="I167">
        <v>4</v>
      </c>
      <c r="J167">
        <v>4</v>
      </c>
      <c r="K167">
        <v>0</v>
      </c>
    </row>
    <row r="168" spans="1:12" x14ac:dyDescent="0.25">
      <c r="A168" s="6" t="s">
        <v>1034</v>
      </c>
      <c r="B168">
        <v>18.5</v>
      </c>
      <c r="C168">
        <v>7.4</v>
      </c>
      <c r="D168">
        <v>2.9</v>
      </c>
      <c r="E168">
        <v>13.7</v>
      </c>
      <c r="F168">
        <v>12.4</v>
      </c>
      <c r="G168">
        <v>11.7</v>
      </c>
      <c r="H168" s="6">
        <v>328</v>
      </c>
      <c r="I168" s="6">
        <v>4</v>
      </c>
      <c r="J168">
        <v>4</v>
      </c>
      <c r="K168">
        <v>0</v>
      </c>
    </row>
    <row r="169" spans="1:12" x14ac:dyDescent="0.25">
      <c r="A169" t="s">
        <v>926</v>
      </c>
      <c r="B169">
        <v>16.399999999999999</v>
      </c>
      <c r="C169">
        <v>7</v>
      </c>
      <c r="D169">
        <v>4.2</v>
      </c>
      <c r="E169">
        <v>11.7</v>
      </c>
      <c r="F169">
        <v>10.5</v>
      </c>
      <c r="G169">
        <v>9.8000000000000007</v>
      </c>
      <c r="H169">
        <v>326</v>
      </c>
      <c r="I169">
        <v>4</v>
      </c>
      <c r="J169">
        <v>4</v>
      </c>
      <c r="K169">
        <v>0</v>
      </c>
    </row>
    <row r="170" spans="1:12" x14ac:dyDescent="0.25">
      <c r="A170" t="s">
        <v>927</v>
      </c>
      <c r="B170">
        <v>15</v>
      </c>
      <c r="C170">
        <v>6.6</v>
      </c>
      <c r="D170">
        <v>4</v>
      </c>
      <c r="E170">
        <v>11</v>
      </c>
      <c r="F170">
        <v>9.6</v>
      </c>
      <c r="G170">
        <v>9.1</v>
      </c>
      <c r="H170">
        <v>482</v>
      </c>
      <c r="I170">
        <v>4</v>
      </c>
      <c r="J170">
        <v>4</v>
      </c>
      <c r="K170">
        <v>0</v>
      </c>
    </row>
    <row r="171" spans="1:12" x14ac:dyDescent="0.25">
      <c r="A171" s="6" t="s">
        <v>1035</v>
      </c>
      <c r="B171">
        <v>17.600000000000001</v>
      </c>
      <c r="C171">
        <v>6.5</v>
      </c>
      <c r="D171">
        <v>2.5</v>
      </c>
      <c r="E171">
        <v>12.9</v>
      </c>
      <c r="F171">
        <v>11.6</v>
      </c>
      <c r="G171">
        <v>11</v>
      </c>
      <c r="H171" s="6">
        <v>338</v>
      </c>
      <c r="I171" s="6">
        <v>4</v>
      </c>
      <c r="J171">
        <v>4</v>
      </c>
      <c r="K171">
        <v>0</v>
      </c>
    </row>
    <row r="172" spans="1:12" x14ac:dyDescent="0.25">
      <c r="A172" t="s">
        <v>928</v>
      </c>
      <c r="B172">
        <v>15.8</v>
      </c>
      <c r="C172">
        <v>6.3</v>
      </c>
      <c r="D172">
        <v>3.7</v>
      </c>
      <c r="E172">
        <v>11.1</v>
      </c>
      <c r="F172">
        <v>9.9</v>
      </c>
      <c r="G172">
        <v>9.3000000000000007</v>
      </c>
      <c r="H172">
        <v>338</v>
      </c>
      <c r="I172">
        <v>4</v>
      </c>
      <c r="J172">
        <v>4</v>
      </c>
      <c r="K172">
        <v>0</v>
      </c>
    </row>
    <row r="173" spans="1:12" x14ac:dyDescent="0.25">
      <c r="A173" t="s">
        <v>929</v>
      </c>
      <c r="B173">
        <v>14.4</v>
      </c>
      <c r="C173">
        <v>6</v>
      </c>
      <c r="D173">
        <v>3.5</v>
      </c>
      <c r="E173">
        <v>10.199999999999999</v>
      </c>
      <c r="F173">
        <v>9.6999999999999993</v>
      </c>
      <c r="G173">
        <v>8.5</v>
      </c>
      <c r="H173">
        <v>498</v>
      </c>
      <c r="I173">
        <v>4</v>
      </c>
      <c r="J173">
        <v>4</v>
      </c>
      <c r="K173">
        <v>0</v>
      </c>
    </row>
    <row r="174" spans="1:12" x14ac:dyDescent="0.25">
      <c r="A174" s="6" t="s">
        <v>1036</v>
      </c>
      <c r="B174">
        <v>17</v>
      </c>
      <c r="C174">
        <v>5.9</v>
      </c>
      <c r="D174">
        <v>2.2000000000000002</v>
      </c>
      <c r="E174">
        <v>12.2</v>
      </c>
      <c r="F174">
        <v>10.9</v>
      </c>
      <c r="G174">
        <v>10.3</v>
      </c>
      <c r="H174" s="6">
        <v>338</v>
      </c>
      <c r="I174" s="6">
        <v>4</v>
      </c>
      <c r="J174">
        <v>4</v>
      </c>
      <c r="K174">
        <v>0</v>
      </c>
    </row>
    <row r="175" spans="1:12" x14ac:dyDescent="0.25">
      <c r="A175" s="6" t="s">
        <v>1037</v>
      </c>
      <c r="B175" s="6">
        <v>14.2</v>
      </c>
      <c r="C175" s="6">
        <v>6.5</v>
      </c>
      <c r="D175" s="6">
        <v>3.8</v>
      </c>
      <c r="E175" s="6">
        <v>10</v>
      </c>
      <c r="F175" s="6">
        <v>8.9</v>
      </c>
      <c r="G175" s="6">
        <v>8.5</v>
      </c>
      <c r="H175" s="6">
        <v>576</v>
      </c>
      <c r="I175" s="6">
        <v>4</v>
      </c>
      <c r="J175">
        <v>4</v>
      </c>
      <c r="K175">
        <v>0</v>
      </c>
    </row>
    <row r="176" spans="1:12" x14ac:dyDescent="0.25">
      <c r="A176" t="s">
        <v>1252</v>
      </c>
      <c r="B176">
        <v>32.200000000000003</v>
      </c>
      <c r="C176">
        <v>17.399999999999999</v>
      </c>
      <c r="D176">
        <v>10.6</v>
      </c>
      <c r="E176">
        <v>26.7</v>
      </c>
      <c r="F176">
        <v>25.1</v>
      </c>
      <c r="G176">
        <v>24.2</v>
      </c>
      <c r="H176">
        <v>132</v>
      </c>
      <c r="I176">
        <v>4</v>
      </c>
      <c r="J176">
        <v>0</v>
      </c>
      <c r="K176">
        <v>0</v>
      </c>
    </row>
    <row r="177" spans="1:11" x14ac:dyDescent="0.25">
      <c r="A177" t="s">
        <v>1258</v>
      </c>
      <c r="B177">
        <v>31.8</v>
      </c>
      <c r="C177">
        <v>22.7</v>
      </c>
      <c r="D177">
        <v>10</v>
      </c>
      <c r="E177">
        <v>26.9</v>
      </c>
      <c r="F177">
        <v>25.3</v>
      </c>
      <c r="G177">
        <v>24.4</v>
      </c>
      <c r="H177">
        <v>186</v>
      </c>
      <c r="I177">
        <v>4</v>
      </c>
      <c r="J177">
        <v>2</v>
      </c>
      <c r="K177">
        <v>0</v>
      </c>
    </row>
    <row r="178" spans="1:11" x14ac:dyDescent="0.25">
      <c r="A178" t="s">
        <v>1253</v>
      </c>
      <c r="B178">
        <v>32.200000000000003</v>
      </c>
      <c r="C178">
        <v>17.399999999999999</v>
      </c>
      <c r="D178">
        <v>10.6</v>
      </c>
      <c r="E178">
        <v>26.7</v>
      </c>
      <c r="F178">
        <v>25.1</v>
      </c>
      <c r="G178">
        <v>24.2</v>
      </c>
      <c r="H178">
        <v>160</v>
      </c>
      <c r="I178">
        <v>4</v>
      </c>
      <c r="J178">
        <v>2</v>
      </c>
      <c r="K178">
        <v>0</v>
      </c>
    </row>
    <row r="179" spans="1:11" x14ac:dyDescent="0.25">
      <c r="A179" t="s">
        <v>1254</v>
      </c>
      <c r="B179">
        <v>30.5</v>
      </c>
      <c r="C179">
        <v>18</v>
      </c>
      <c r="D179">
        <v>10.6</v>
      </c>
      <c r="E179">
        <v>26.2</v>
      </c>
      <c r="F179">
        <v>24.7</v>
      </c>
      <c r="G179">
        <v>23.9</v>
      </c>
      <c r="H179">
        <v>200</v>
      </c>
      <c r="I179">
        <v>4</v>
      </c>
      <c r="J179">
        <v>2</v>
      </c>
      <c r="K179">
        <v>0</v>
      </c>
    </row>
    <row r="180" spans="1:11" x14ac:dyDescent="0.25">
      <c r="A180" t="s">
        <v>1255</v>
      </c>
      <c r="B180">
        <v>30.6</v>
      </c>
      <c r="C180">
        <v>15.6</v>
      </c>
      <c r="D180">
        <v>9.4</v>
      </c>
      <c r="E180">
        <v>27.1</v>
      </c>
      <c r="F180">
        <v>23.5</v>
      </c>
      <c r="G180">
        <v>22.7</v>
      </c>
      <c r="H180">
        <v>160</v>
      </c>
      <c r="I180">
        <v>4</v>
      </c>
      <c r="J180">
        <v>2</v>
      </c>
      <c r="K180">
        <v>0</v>
      </c>
    </row>
    <row r="181" spans="1:11" x14ac:dyDescent="0.25">
      <c r="A181" t="s">
        <v>1256</v>
      </c>
      <c r="B181">
        <v>30.2</v>
      </c>
      <c r="C181">
        <v>20.100000000000001</v>
      </c>
      <c r="D181">
        <v>8.6</v>
      </c>
      <c r="E181">
        <v>25.2</v>
      </c>
      <c r="F181">
        <v>23.6</v>
      </c>
      <c r="G181">
        <v>22.8</v>
      </c>
      <c r="H181">
        <v>186</v>
      </c>
      <c r="I181">
        <v>4</v>
      </c>
      <c r="J181">
        <v>2</v>
      </c>
      <c r="K181">
        <v>0</v>
      </c>
    </row>
    <row r="182" spans="1:11" x14ac:dyDescent="0.25">
      <c r="A182" t="s">
        <v>1257</v>
      </c>
      <c r="B182">
        <v>27.8</v>
      </c>
      <c r="C182">
        <v>13.7</v>
      </c>
      <c r="D182">
        <v>8.9</v>
      </c>
      <c r="E182">
        <v>22.5</v>
      </c>
      <c r="F182">
        <v>21.1</v>
      </c>
      <c r="G182">
        <v>20</v>
      </c>
      <c r="H182">
        <v>232</v>
      </c>
      <c r="I182">
        <v>4</v>
      </c>
      <c r="J182">
        <v>2</v>
      </c>
      <c r="K182">
        <v>0</v>
      </c>
    </row>
    <row r="183" spans="1:11" x14ac:dyDescent="0.25">
      <c r="A183" t="s">
        <v>1259</v>
      </c>
      <c r="B183">
        <v>26.8</v>
      </c>
      <c r="C183">
        <v>16.600000000000001</v>
      </c>
      <c r="D183">
        <v>6.8</v>
      </c>
      <c r="E183">
        <v>21.9</v>
      </c>
      <c r="F183">
        <v>20.3</v>
      </c>
      <c r="G183">
        <v>19.5</v>
      </c>
      <c r="H183">
        <v>186</v>
      </c>
      <c r="I183">
        <v>4</v>
      </c>
      <c r="J183">
        <v>2</v>
      </c>
      <c r="K183">
        <v>0</v>
      </c>
    </row>
    <row r="184" spans="1:11" x14ac:dyDescent="0.25">
      <c r="A184" t="s">
        <v>1260</v>
      </c>
      <c r="B184">
        <v>26.1</v>
      </c>
      <c r="C184">
        <v>12.5</v>
      </c>
      <c r="D184">
        <v>7.1</v>
      </c>
      <c r="E184">
        <v>20.8</v>
      </c>
      <c r="F184">
        <v>19.3</v>
      </c>
      <c r="G184">
        <v>18.600000000000001</v>
      </c>
      <c r="H184">
        <v>226</v>
      </c>
      <c r="I184">
        <v>4</v>
      </c>
      <c r="J184">
        <v>2</v>
      </c>
      <c r="K184">
        <v>0</v>
      </c>
    </row>
    <row r="185" spans="1:11" x14ac:dyDescent="0.25">
      <c r="A185" t="s">
        <v>1261</v>
      </c>
      <c r="B185">
        <v>21</v>
      </c>
      <c r="C185">
        <v>13.4</v>
      </c>
      <c r="D185">
        <v>8.1</v>
      </c>
      <c r="E185">
        <v>17.2</v>
      </c>
      <c r="F185">
        <v>15.9</v>
      </c>
      <c r="G185">
        <v>15.2</v>
      </c>
      <c r="H185">
        <v>266</v>
      </c>
      <c r="I185">
        <v>4</v>
      </c>
      <c r="J185">
        <v>2</v>
      </c>
      <c r="K185">
        <v>0</v>
      </c>
    </row>
    <row r="186" spans="1:11" x14ac:dyDescent="0.25">
      <c r="A186" t="s">
        <v>1262</v>
      </c>
      <c r="B186">
        <v>22.6</v>
      </c>
      <c r="C186">
        <v>8.8000000000000007</v>
      </c>
      <c r="D186">
        <v>5.3</v>
      </c>
      <c r="E186">
        <v>17.3</v>
      </c>
      <c r="F186">
        <v>15.9</v>
      </c>
      <c r="G186">
        <v>15.1</v>
      </c>
      <c r="H186">
        <v>218</v>
      </c>
      <c r="I186">
        <v>4</v>
      </c>
      <c r="J186">
        <v>2</v>
      </c>
      <c r="K186">
        <v>0</v>
      </c>
    </row>
    <row r="187" spans="1:11" x14ac:dyDescent="0.25">
      <c r="A187" t="s">
        <v>1263</v>
      </c>
      <c r="B187">
        <v>19.100000000000001</v>
      </c>
      <c r="C187">
        <v>10</v>
      </c>
      <c r="D187">
        <v>6</v>
      </c>
      <c r="E187">
        <v>14.3</v>
      </c>
      <c r="F187">
        <v>13</v>
      </c>
      <c r="G187">
        <v>12.4</v>
      </c>
      <c r="H187">
        <v>316</v>
      </c>
      <c r="I187">
        <v>4</v>
      </c>
      <c r="J187">
        <v>2</v>
      </c>
      <c r="K187">
        <v>0</v>
      </c>
    </row>
    <row r="188" spans="1:11" x14ac:dyDescent="0.25">
      <c r="A188" t="s">
        <v>1264</v>
      </c>
      <c r="B188">
        <v>17.2</v>
      </c>
      <c r="C188">
        <v>8</v>
      </c>
      <c r="D188">
        <v>4.7</v>
      </c>
      <c r="E188">
        <v>12.5</v>
      </c>
      <c r="F188">
        <v>11.3</v>
      </c>
      <c r="G188">
        <v>10.6</v>
      </c>
      <c r="H188">
        <v>280</v>
      </c>
      <c r="I188">
        <v>4</v>
      </c>
      <c r="J188">
        <v>2</v>
      </c>
      <c r="K188">
        <v>0</v>
      </c>
    </row>
    <row r="189" spans="1:11" x14ac:dyDescent="0.25">
      <c r="A189" t="s">
        <v>1304</v>
      </c>
      <c r="B189">
        <v>16.399999999999999</v>
      </c>
      <c r="C189">
        <v>7</v>
      </c>
      <c r="D189">
        <v>4.2</v>
      </c>
      <c r="E189">
        <v>11.7</v>
      </c>
      <c r="F189">
        <v>10.5</v>
      </c>
      <c r="G189">
        <v>9.8000000000000007</v>
      </c>
      <c r="H189">
        <v>326</v>
      </c>
      <c r="I189">
        <v>4</v>
      </c>
      <c r="J189">
        <v>4</v>
      </c>
      <c r="K189">
        <v>0</v>
      </c>
    </row>
    <row r="190" spans="1:11" x14ac:dyDescent="0.25">
      <c r="A190" t="s">
        <v>1265</v>
      </c>
      <c r="B190">
        <v>26.2</v>
      </c>
      <c r="C190">
        <v>12.5</v>
      </c>
      <c r="D190">
        <v>7.1</v>
      </c>
      <c r="E190">
        <v>20.9</v>
      </c>
      <c r="F190">
        <v>19.399999999999999</v>
      </c>
      <c r="G190">
        <v>18.600000000000001</v>
      </c>
      <c r="H190">
        <v>190</v>
      </c>
      <c r="I190">
        <v>4</v>
      </c>
      <c r="J190">
        <v>2</v>
      </c>
      <c r="K190">
        <v>2</v>
      </c>
    </row>
    <row r="191" spans="1:11" x14ac:dyDescent="0.25">
      <c r="A191" t="s">
        <v>1266</v>
      </c>
      <c r="B191">
        <v>21</v>
      </c>
      <c r="C191">
        <v>13.4</v>
      </c>
      <c r="D191">
        <v>8.1</v>
      </c>
      <c r="E191">
        <v>17.2</v>
      </c>
      <c r="F191">
        <v>15.9</v>
      </c>
      <c r="G191">
        <v>15.2</v>
      </c>
      <c r="H191">
        <v>250</v>
      </c>
      <c r="I191">
        <v>4</v>
      </c>
      <c r="J191">
        <v>2</v>
      </c>
      <c r="K191">
        <v>2</v>
      </c>
    </row>
    <row r="192" spans="1:11" x14ac:dyDescent="0.25">
      <c r="A192" t="s">
        <v>1267</v>
      </c>
      <c r="B192">
        <v>22.6</v>
      </c>
      <c r="C192">
        <v>8.8000000000000007</v>
      </c>
      <c r="D192">
        <v>5.3</v>
      </c>
      <c r="E192">
        <v>17.3</v>
      </c>
      <c r="F192">
        <v>15.9</v>
      </c>
      <c r="G192">
        <v>15.1</v>
      </c>
      <c r="H192">
        <v>190</v>
      </c>
      <c r="I192">
        <v>4</v>
      </c>
      <c r="J192">
        <v>2</v>
      </c>
      <c r="K192">
        <v>4</v>
      </c>
    </row>
    <row r="193" spans="1:11" x14ac:dyDescent="0.25">
      <c r="A193" t="s">
        <v>1268</v>
      </c>
      <c r="B193">
        <v>19.100000000000001</v>
      </c>
      <c r="C193">
        <v>10</v>
      </c>
      <c r="D193">
        <v>6</v>
      </c>
      <c r="E193">
        <v>14.3</v>
      </c>
      <c r="F193">
        <v>13</v>
      </c>
      <c r="G193">
        <v>12.4</v>
      </c>
      <c r="H193">
        <v>296</v>
      </c>
      <c r="I193">
        <v>4</v>
      </c>
      <c r="J193">
        <v>2</v>
      </c>
      <c r="K193">
        <v>4</v>
      </c>
    </row>
    <row r="194" spans="1:11" x14ac:dyDescent="0.25">
      <c r="A194" t="s">
        <v>1269</v>
      </c>
      <c r="B194">
        <v>17.2</v>
      </c>
      <c r="C194">
        <v>8</v>
      </c>
      <c r="D194">
        <v>4.7</v>
      </c>
      <c r="E194">
        <v>12.5</v>
      </c>
      <c r="F194">
        <v>11.3</v>
      </c>
      <c r="G194">
        <v>10.6</v>
      </c>
      <c r="H194">
        <v>268</v>
      </c>
      <c r="I194">
        <v>4</v>
      </c>
      <c r="J194">
        <v>2</v>
      </c>
      <c r="K194">
        <v>4</v>
      </c>
    </row>
    <row r="195" spans="1:11" x14ac:dyDescent="0.25">
      <c r="A195" t="s">
        <v>1303</v>
      </c>
      <c r="B195">
        <v>16.399999999999999</v>
      </c>
      <c r="C195">
        <v>7</v>
      </c>
      <c r="D195">
        <v>4.2</v>
      </c>
      <c r="E195">
        <v>11.7</v>
      </c>
      <c r="F195">
        <v>10.5</v>
      </c>
      <c r="G195">
        <v>9.8000000000000007</v>
      </c>
      <c r="H195">
        <v>296</v>
      </c>
      <c r="I195">
        <v>4</v>
      </c>
      <c r="J195">
        <v>4</v>
      </c>
      <c r="K195">
        <v>4</v>
      </c>
    </row>
    <row r="196" spans="1:11" x14ac:dyDescent="0.25">
      <c r="A196" t="s">
        <v>1336</v>
      </c>
      <c r="B196">
        <v>17.2</v>
      </c>
      <c r="C196">
        <v>8</v>
      </c>
      <c r="D196">
        <v>4.7</v>
      </c>
      <c r="E196">
        <v>12.5</v>
      </c>
      <c r="F196">
        <v>11.3</v>
      </c>
      <c r="G196">
        <v>10.6</v>
      </c>
      <c r="H196">
        <v>280</v>
      </c>
      <c r="I196">
        <v>4</v>
      </c>
      <c r="J196">
        <v>4</v>
      </c>
      <c r="K196">
        <v>0</v>
      </c>
    </row>
    <row r="197" spans="1:11" x14ac:dyDescent="0.25">
      <c r="A197" t="s">
        <v>1337</v>
      </c>
      <c r="B197">
        <v>18.5</v>
      </c>
      <c r="C197">
        <v>7.4</v>
      </c>
      <c r="D197">
        <v>2.9</v>
      </c>
      <c r="E197">
        <v>13.7</v>
      </c>
      <c r="F197">
        <v>12.4</v>
      </c>
      <c r="G197">
        <v>11.7</v>
      </c>
      <c r="H197">
        <v>328</v>
      </c>
      <c r="I197">
        <v>4</v>
      </c>
      <c r="J197">
        <v>4</v>
      </c>
      <c r="K197">
        <v>0</v>
      </c>
    </row>
    <row r="198" spans="1:11" x14ac:dyDescent="0.25">
      <c r="A198" t="s">
        <v>1338</v>
      </c>
      <c r="B198">
        <v>15.8</v>
      </c>
      <c r="C198">
        <v>6.3</v>
      </c>
      <c r="D198">
        <v>3.7</v>
      </c>
      <c r="E198">
        <v>11.1</v>
      </c>
      <c r="F198">
        <v>9.9</v>
      </c>
      <c r="G198">
        <v>9.3000000000000007</v>
      </c>
      <c r="H198">
        <v>338</v>
      </c>
      <c r="I198">
        <v>4</v>
      </c>
      <c r="J198">
        <v>4</v>
      </c>
      <c r="K198">
        <v>0</v>
      </c>
    </row>
    <row r="199" spans="1:11" x14ac:dyDescent="0.25">
      <c r="A199" t="s">
        <v>1339</v>
      </c>
      <c r="B199">
        <v>17</v>
      </c>
      <c r="C199">
        <v>5.9</v>
      </c>
      <c r="D199">
        <v>2.2000000000000002</v>
      </c>
      <c r="E199">
        <v>12.2</v>
      </c>
      <c r="F199">
        <v>10.9</v>
      </c>
      <c r="G199">
        <v>10.3</v>
      </c>
      <c r="H199">
        <v>338</v>
      </c>
      <c r="I199">
        <v>4</v>
      </c>
      <c r="J199">
        <v>4</v>
      </c>
      <c r="K199">
        <v>0</v>
      </c>
    </row>
    <row r="200" spans="1:11" x14ac:dyDescent="0.25">
      <c r="A200" t="s">
        <v>1346</v>
      </c>
      <c r="B200">
        <v>17.2</v>
      </c>
      <c r="C200">
        <v>8</v>
      </c>
      <c r="D200">
        <v>4.7</v>
      </c>
      <c r="E200">
        <v>12.5</v>
      </c>
      <c r="F200">
        <v>11.3</v>
      </c>
      <c r="G200">
        <v>10.6</v>
      </c>
      <c r="H200">
        <v>280</v>
      </c>
      <c r="I200">
        <v>4</v>
      </c>
      <c r="J200">
        <v>4</v>
      </c>
      <c r="K200">
        <v>0</v>
      </c>
    </row>
    <row r="201" spans="1:11" x14ac:dyDescent="0.25">
      <c r="A201" t="s">
        <v>1347</v>
      </c>
      <c r="B201">
        <v>18.5</v>
      </c>
      <c r="C201">
        <v>7.4</v>
      </c>
      <c r="D201">
        <v>2.9</v>
      </c>
      <c r="E201">
        <v>13.7</v>
      </c>
      <c r="F201">
        <v>12.4</v>
      </c>
      <c r="G201">
        <v>11.7</v>
      </c>
      <c r="H201">
        <v>328</v>
      </c>
      <c r="I201">
        <v>4</v>
      </c>
      <c r="J201">
        <v>4</v>
      </c>
      <c r="K201">
        <v>0</v>
      </c>
    </row>
    <row r="202" spans="1:11" x14ac:dyDescent="0.25">
      <c r="A202" t="s">
        <v>1348</v>
      </c>
      <c r="B202">
        <v>15.8</v>
      </c>
      <c r="C202">
        <v>6.3</v>
      </c>
      <c r="D202">
        <v>3.7</v>
      </c>
      <c r="E202">
        <v>11.1</v>
      </c>
      <c r="F202">
        <v>9.9</v>
      </c>
      <c r="G202">
        <v>9.3000000000000007</v>
      </c>
      <c r="H202">
        <v>338</v>
      </c>
      <c r="I202">
        <v>4</v>
      </c>
      <c r="J202">
        <v>4</v>
      </c>
      <c r="K202">
        <v>0</v>
      </c>
    </row>
    <row r="203" spans="1:11" x14ac:dyDescent="0.25">
      <c r="A203" t="s">
        <v>1349</v>
      </c>
      <c r="B203">
        <v>17</v>
      </c>
      <c r="C203">
        <v>5.9</v>
      </c>
      <c r="D203">
        <v>2.2000000000000002</v>
      </c>
      <c r="E203">
        <v>12.2</v>
      </c>
      <c r="F203">
        <v>10.9</v>
      </c>
      <c r="G203">
        <v>10.3</v>
      </c>
      <c r="H203">
        <v>338</v>
      </c>
      <c r="I203">
        <v>4</v>
      </c>
      <c r="J203">
        <v>4</v>
      </c>
      <c r="K203">
        <v>0</v>
      </c>
    </row>
    <row r="204" spans="1:11" x14ac:dyDescent="0.25">
      <c r="A204" t="s">
        <v>1340</v>
      </c>
      <c r="B204">
        <v>18.5</v>
      </c>
      <c r="C204">
        <v>7.4</v>
      </c>
      <c r="D204">
        <v>2.9</v>
      </c>
      <c r="E204">
        <v>13.7</v>
      </c>
      <c r="F204">
        <v>12.4</v>
      </c>
      <c r="G204">
        <v>11.7</v>
      </c>
      <c r="H204">
        <v>292</v>
      </c>
      <c r="I204">
        <v>4</v>
      </c>
      <c r="J204">
        <v>4</v>
      </c>
      <c r="K204">
        <v>4</v>
      </c>
    </row>
    <row r="205" spans="1:11" x14ac:dyDescent="0.25">
      <c r="A205" t="s">
        <v>1341</v>
      </c>
      <c r="B205">
        <v>17.2</v>
      </c>
      <c r="C205">
        <v>8</v>
      </c>
      <c r="D205">
        <v>4.7</v>
      </c>
      <c r="E205">
        <v>12.5</v>
      </c>
      <c r="F205">
        <v>11.3</v>
      </c>
      <c r="G205">
        <v>10.6</v>
      </c>
      <c r="H205">
        <v>268</v>
      </c>
      <c r="I205">
        <v>4</v>
      </c>
      <c r="J205">
        <v>4</v>
      </c>
      <c r="K205">
        <v>4</v>
      </c>
    </row>
    <row r="206" spans="1:11" x14ac:dyDescent="0.25">
      <c r="A206" t="s">
        <v>1342</v>
      </c>
      <c r="B206">
        <v>15.9</v>
      </c>
      <c r="C206">
        <v>7.5</v>
      </c>
      <c r="D206">
        <v>4.5</v>
      </c>
      <c r="E206">
        <v>11.6</v>
      </c>
      <c r="F206">
        <v>10.5</v>
      </c>
      <c r="G206">
        <v>9.9</v>
      </c>
      <c r="H206">
        <v>348</v>
      </c>
      <c r="I206">
        <v>4</v>
      </c>
      <c r="J206">
        <v>4</v>
      </c>
      <c r="K206">
        <v>8</v>
      </c>
    </row>
    <row r="207" spans="1:11" x14ac:dyDescent="0.25">
      <c r="A207" s="6" t="s">
        <v>1343</v>
      </c>
      <c r="B207">
        <v>17</v>
      </c>
      <c r="C207">
        <v>5.9</v>
      </c>
      <c r="D207">
        <v>2.2000000000000002</v>
      </c>
      <c r="E207">
        <v>12.2</v>
      </c>
      <c r="F207">
        <v>10.9</v>
      </c>
      <c r="G207">
        <v>10.3</v>
      </c>
      <c r="H207" s="6">
        <v>296</v>
      </c>
      <c r="I207" s="6">
        <v>4</v>
      </c>
      <c r="J207">
        <v>4</v>
      </c>
      <c r="K207">
        <v>4</v>
      </c>
    </row>
    <row r="208" spans="1:11" x14ac:dyDescent="0.25">
      <c r="A208" t="s">
        <v>1344</v>
      </c>
      <c r="B208">
        <v>15.8</v>
      </c>
      <c r="C208">
        <v>6.3</v>
      </c>
      <c r="D208">
        <v>3.7</v>
      </c>
      <c r="E208">
        <v>11.1</v>
      </c>
      <c r="F208">
        <v>9.9</v>
      </c>
      <c r="G208">
        <v>9.3000000000000007</v>
      </c>
      <c r="H208">
        <v>296</v>
      </c>
      <c r="I208">
        <v>4</v>
      </c>
      <c r="J208">
        <v>4</v>
      </c>
      <c r="K208">
        <v>4</v>
      </c>
    </row>
    <row r="209" spans="1:11" x14ac:dyDescent="0.25">
      <c r="A209" t="s">
        <v>1345</v>
      </c>
      <c r="B209">
        <v>14.4</v>
      </c>
      <c r="C209">
        <v>6</v>
      </c>
      <c r="D209">
        <v>3.5</v>
      </c>
      <c r="E209">
        <v>10.199999999999999</v>
      </c>
      <c r="F209">
        <v>9.6999999999999993</v>
      </c>
      <c r="G209">
        <v>8.5</v>
      </c>
      <c r="H209">
        <v>396</v>
      </c>
      <c r="I209">
        <v>4</v>
      </c>
      <c r="J209">
        <v>4</v>
      </c>
      <c r="K209">
        <v>8</v>
      </c>
    </row>
    <row r="210" spans="1:11" x14ac:dyDescent="0.25">
      <c r="A210" t="s">
        <v>1312</v>
      </c>
      <c r="B210">
        <v>17.2</v>
      </c>
      <c r="C210">
        <v>8</v>
      </c>
      <c r="D210">
        <v>4.7</v>
      </c>
      <c r="E210">
        <v>12.5</v>
      </c>
      <c r="F210">
        <v>11.3</v>
      </c>
      <c r="G210">
        <v>10.6</v>
      </c>
      <c r="H210">
        <v>280</v>
      </c>
      <c r="I210">
        <v>4</v>
      </c>
      <c r="J210">
        <v>4</v>
      </c>
      <c r="K210">
        <v>0</v>
      </c>
    </row>
    <row r="211" spans="1:11" x14ac:dyDescent="0.25">
      <c r="A211" t="s">
        <v>1313</v>
      </c>
      <c r="B211">
        <v>18.5</v>
      </c>
      <c r="C211">
        <v>7.4</v>
      </c>
      <c r="D211">
        <v>2.9</v>
      </c>
      <c r="E211">
        <v>13.7</v>
      </c>
      <c r="F211">
        <v>12.4</v>
      </c>
      <c r="G211">
        <v>11.7</v>
      </c>
      <c r="H211">
        <v>328</v>
      </c>
      <c r="I211">
        <v>4</v>
      </c>
      <c r="J211">
        <v>4</v>
      </c>
      <c r="K211">
        <v>0</v>
      </c>
    </row>
    <row r="212" spans="1:11" x14ac:dyDescent="0.25">
      <c r="A212" t="s">
        <v>1314</v>
      </c>
      <c r="B212">
        <v>15.8</v>
      </c>
      <c r="C212">
        <v>6.3</v>
      </c>
      <c r="D212">
        <v>3.7</v>
      </c>
      <c r="E212">
        <v>11.1</v>
      </c>
      <c r="F212">
        <v>9.9</v>
      </c>
      <c r="G212">
        <v>9.3000000000000007</v>
      </c>
      <c r="H212">
        <v>338</v>
      </c>
      <c r="I212">
        <v>4</v>
      </c>
      <c r="J212">
        <v>4</v>
      </c>
      <c r="K212">
        <v>0</v>
      </c>
    </row>
    <row r="213" spans="1:11" x14ac:dyDescent="0.25">
      <c r="A213" t="s">
        <v>1315</v>
      </c>
      <c r="B213">
        <v>17</v>
      </c>
      <c r="C213">
        <v>5.9</v>
      </c>
      <c r="D213">
        <v>2.2000000000000002</v>
      </c>
      <c r="E213">
        <v>12.2</v>
      </c>
      <c r="F213">
        <v>10.9</v>
      </c>
      <c r="G213">
        <v>10.3</v>
      </c>
      <c r="H213">
        <v>338</v>
      </c>
      <c r="I213">
        <v>4</v>
      </c>
      <c r="J213">
        <v>4</v>
      </c>
      <c r="K213">
        <v>0</v>
      </c>
    </row>
    <row r="214" spans="1:11" x14ac:dyDescent="0.25">
      <c r="A214" t="s">
        <v>1350</v>
      </c>
      <c r="B214">
        <v>17.2</v>
      </c>
      <c r="C214">
        <v>8</v>
      </c>
      <c r="D214">
        <v>4.7</v>
      </c>
      <c r="E214">
        <v>12.5</v>
      </c>
      <c r="F214">
        <v>11.3</v>
      </c>
      <c r="G214">
        <v>10.6</v>
      </c>
      <c r="H214">
        <v>280</v>
      </c>
      <c r="I214">
        <v>4</v>
      </c>
      <c r="J214">
        <v>4</v>
      </c>
      <c r="K214">
        <v>0</v>
      </c>
    </row>
    <row r="215" spans="1:11" x14ac:dyDescent="0.25">
      <c r="A215" t="s">
        <v>1351</v>
      </c>
      <c r="B215">
        <v>18.5</v>
      </c>
      <c r="C215">
        <v>7.4</v>
      </c>
      <c r="D215">
        <v>2.9</v>
      </c>
      <c r="E215">
        <v>13.7</v>
      </c>
      <c r="F215">
        <v>12.4</v>
      </c>
      <c r="G215">
        <v>11.7</v>
      </c>
      <c r="H215">
        <v>328</v>
      </c>
      <c r="I215">
        <v>4</v>
      </c>
      <c r="J215">
        <v>4</v>
      </c>
      <c r="K215">
        <v>0</v>
      </c>
    </row>
    <row r="216" spans="1:11" x14ac:dyDescent="0.25">
      <c r="A216" t="s">
        <v>1352</v>
      </c>
      <c r="B216">
        <v>15.8</v>
      </c>
      <c r="C216">
        <v>6.3</v>
      </c>
      <c r="D216">
        <v>3.7</v>
      </c>
      <c r="E216">
        <v>11.1</v>
      </c>
      <c r="F216">
        <v>9.9</v>
      </c>
      <c r="G216">
        <v>9.3000000000000007</v>
      </c>
      <c r="H216">
        <v>338</v>
      </c>
      <c r="I216">
        <v>4</v>
      </c>
      <c r="J216">
        <v>4</v>
      </c>
      <c r="K216">
        <v>0</v>
      </c>
    </row>
    <row r="217" spans="1:11" x14ac:dyDescent="0.25">
      <c r="A217" t="s">
        <v>1353</v>
      </c>
      <c r="B217">
        <v>17</v>
      </c>
      <c r="C217">
        <v>5.9</v>
      </c>
      <c r="D217">
        <v>2.2000000000000002</v>
      </c>
      <c r="E217">
        <v>12.2</v>
      </c>
      <c r="F217">
        <v>10.9</v>
      </c>
      <c r="G217">
        <v>10.3</v>
      </c>
      <c r="H217">
        <v>338</v>
      </c>
      <c r="I217">
        <v>4</v>
      </c>
      <c r="J217">
        <v>4</v>
      </c>
      <c r="K217">
        <v>0</v>
      </c>
    </row>
    <row r="218" spans="1:11" x14ac:dyDescent="0.25">
      <c r="A218" t="s">
        <v>1316</v>
      </c>
      <c r="B218">
        <v>18.5</v>
      </c>
      <c r="C218">
        <v>7.4</v>
      </c>
      <c r="D218">
        <v>2.9</v>
      </c>
      <c r="E218">
        <v>13.7</v>
      </c>
      <c r="F218">
        <v>12.4</v>
      </c>
      <c r="G218">
        <v>11.7</v>
      </c>
      <c r="H218">
        <v>292</v>
      </c>
      <c r="I218">
        <v>4</v>
      </c>
      <c r="J218">
        <v>4</v>
      </c>
      <c r="K218">
        <v>4</v>
      </c>
    </row>
    <row r="219" spans="1:11" x14ac:dyDescent="0.25">
      <c r="A219" t="s">
        <v>1317</v>
      </c>
      <c r="B219">
        <v>17.2</v>
      </c>
      <c r="C219">
        <v>8</v>
      </c>
      <c r="D219">
        <v>4.7</v>
      </c>
      <c r="E219">
        <v>12.5</v>
      </c>
      <c r="F219">
        <v>11.3</v>
      </c>
      <c r="G219">
        <v>10.6</v>
      </c>
      <c r="H219">
        <v>268</v>
      </c>
      <c r="I219">
        <v>4</v>
      </c>
      <c r="J219">
        <v>4</v>
      </c>
      <c r="K219">
        <v>4</v>
      </c>
    </row>
    <row r="220" spans="1:11" x14ac:dyDescent="0.25">
      <c r="A220" t="s">
        <v>1318</v>
      </c>
      <c r="B220">
        <v>15.9</v>
      </c>
      <c r="C220">
        <v>7.5</v>
      </c>
      <c r="D220">
        <v>4.5</v>
      </c>
      <c r="E220">
        <v>11.6</v>
      </c>
      <c r="F220">
        <v>10.5</v>
      </c>
      <c r="G220">
        <v>9.9</v>
      </c>
      <c r="H220">
        <v>348</v>
      </c>
      <c r="I220">
        <v>4</v>
      </c>
      <c r="J220">
        <v>4</v>
      </c>
      <c r="K220">
        <v>8</v>
      </c>
    </row>
    <row r="221" spans="1:11" x14ac:dyDescent="0.25">
      <c r="A221" s="6" t="s">
        <v>1319</v>
      </c>
      <c r="B221">
        <v>17</v>
      </c>
      <c r="C221">
        <v>5.9</v>
      </c>
      <c r="D221">
        <v>2.2000000000000002</v>
      </c>
      <c r="E221">
        <v>12.2</v>
      </c>
      <c r="F221">
        <v>10.9</v>
      </c>
      <c r="G221">
        <v>10.3</v>
      </c>
      <c r="H221" s="6">
        <v>296</v>
      </c>
      <c r="I221" s="6">
        <v>4</v>
      </c>
      <c r="J221">
        <v>4</v>
      </c>
      <c r="K221">
        <v>4</v>
      </c>
    </row>
    <row r="222" spans="1:11" x14ac:dyDescent="0.25">
      <c r="A222" t="s">
        <v>1320</v>
      </c>
      <c r="B222">
        <v>15.8</v>
      </c>
      <c r="C222">
        <v>6.3</v>
      </c>
      <c r="D222">
        <v>3.7</v>
      </c>
      <c r="E222">
        <v>11.1</v>
      </c>
      <c r="F222">
        <v>9.9</v>
      </c>
      <c r="G222">
        <v>9.3000000000000007</v>
      </c>
      <c r="H222">
        <v>296</v>
      </c>
      <c r="I222">
        <v>4</v>
      </c>
      <c r="J222">
        <v>4</v>
      </c>
      <c r="K222">
        <v>4</v>
      </c>
    </row>
    <row r="223" spans="1:11" x14ac:dyDescent="0.25">
      <c r="A223" t="s">
        <v>1321</v>
      </c>
      <c r="B223">
        <v>14.4</v>
      </c>
      <c r="C223">
        <v>6</v>
      </c>
      <c r="D223">
        <v>3.5</v>
      </c>
      <c r="E223">
        <v>10.199999999999999</v>
      </c>
      <c r="F223">
        <v>9.6999999999999993</v>
      </c>
      <c r="G223">
        <v>8.5</v>
      </c>
      <c r="H223">
        <v>396</v>
      </c>
      <c r="I223">
        <v>4</v>
      </c>
      <c r="J223">
        <v>4</v>
      </c>
      <c r="K223">
        <v>8</v>
      </c>
    </row>
    <row r="228" spans="1:16" x14ac:dyDescent="0.25">
      <c r="N228" s="529"/>
      <c r="O228" s="530" t="s">
        <v>1293</v>
      </c>
      <c r="P228" s="531"/>
    </row>
    <row r="229" spans="1:16" x14ac:dyDescent="0.25">
      <c r="B229" s="916" t="s">
        <v>745</v>
      </c>
      <c r="C229" s="916"/>
      <c r="D229" s="916" t="s">
        <v>746</v>
      </c>
      <c r="E229" s="916"/>
      <c r="F229" s="916" t="s">
        <v>747</v>
      </c>
      <c r="G229" s="916"/>
      <c r="H229" s="916" t="s">
        <v>748</v>
      </c>
      <c r="I229" s="916"/>
      <c r="J229" s="921" t="s">
        <v>1281</v>
      </c>
      <c r="K229" s="922"/>
      <c r="L229" s="921" t="s">
        <v>1280</v>
      </c>
      <c r="M229" s="922"/>
      <c r="N229" s="532" t="s">
        <v>405</v>
      </c>
      <c r="O229" s="533" t="s">
        <v>405</v>
      </c>
      <c r="P229" s="534" t="s">
        <v>1292</v>
      </c>
    </row>
    <row r="230" spans="1:16" x14ac:dyDescent="0.25">
      <c r="A230" s="7" t="s">
        <v>749</v>
      </c>
      <c r="B230" s="3" t="s">
        <v>603</v>
      </c>
      <c r="C230" s="3" t="s">
        <v>604</v>
      </c>
      <c r="D230" s="3" t="s">
        <v>603</v>
      </c>
      <c r="E230" s="3" t="s">
        <v>604</v>
      </c>
      <c r="F230" s="3" t="s">
        <v>603</v>
      </c>
      <c r="G230" s="3" t="s">
        <v>604</v>
      </c>
      <c r="H230" s="3" t="s">
        <v>603</v>
      </c>
      <c r="I230" s="3" t="s">
        <v>604</v>
      </c>
      <c r="J230">
        <v>-3</v>
      </c>
      <c r="K230">
        <v>-2</v>
      </c>
      <c r="L230">
        <v>-3</v>
      </c>
      <c r="M230">
        <v>-2</v>
      </c>
      <c r="N230" s="532" t="s">
        <v>95</v>
      </c>
      <c r="O230" s="533" t="s">
        <v>94</v>
      </c>
      <c r="P230" s="534" t="s">
        <v>416</v>
      </c>
    </row>
    <row r="231" spans="1:16" x14ac:dyDescent="0.25">
      <c r="A231" s="6" t="s">
        <v>561</v>
      </c>
      <c r="B231" s="3">
        <v>1.4650000000000001</v>
      </c>
      <c r="C231" s="3">
        <v>65.480999999999995</v>
      </c>
      <c r="F231" s="3">
        <v>1</v>
      </c>
      <c r="G231" s="3">
        <v>1</v>
      </c>
      <c r="H231" s="3"/>
      <c r="I231" s="3"/>
      <c r="J231">
        <v>0</v>
      </c>
      <c r="K231">
        <v>0</v>
      </c>
      <c r="L231">
        <v>0</v>
      </c>
      <c r="M231">
        <v>0</v>
      </c>
      <c r="N231" s="507"/>
      <c r="P231" s="512"/>
    </row>
    <row r="232" spans="1:16" x14ac:dyDescent="0.25">
      <c r="A232" t="s">
        <v>606</v>
      </c>
      <c r="B232" s="6">
        <v>2.2498499999999999</v>
      </c>
      <c r="C232" s="6">
        <v>30.832799999999999</v>
      </c>
      <c r="F232" s="3">
        <v>1.4650000000000001</v>
      </c>
      <c r="G232" s="3">
        <v>65.480999999999995</v>
      </c>
      <c r="J232">
        <v>8.9999999999999998E-4</v>
      </c>
      <c r="K232">
        <v>8.9999999999999998E-4</v>
      </c>
      <c r="L232">
        <v>2E-3</v>
      </c>
      <c r="M232">
        <v>2E-3</v>
      </c>
      <c r="N232" s="507">
        <v>1.66</v>
      </c>
      <c r="O232">
        <v>-5.9999999999999995E-4</v>
      </c>
      <c r="P232" s="499">
        <v>2.4</v>
      </c>
    </row>
    <row r="233" spans="1:16" x14ac:dyDescent="0.25">
      <c r="A233" t="s">
        <v>607</v>
      </c>
      <c r="B233" s="6">
        <v>2.2498499999999999</v>
      </c>
      <c r="C233" s="6">
        <v>30.832799999999999</v>
      </c>
      <c r="F233" s="3">
        <v>1.4650000000000001</v>
      </c>
      <c r="G233" s="3">
        <v>65.480999999999995</v>
      </c>
      <c r="J233">
        <v>8.9999999999999998E-4</v>
      </c>
      <c r="K233">
        <v>8.9999999999999998E-4</v>
      </c>
      <c r="L233">
        <v>2E-3</v>
      </c>
      <c r="M233">
        <v>2E-3</v>
      </c>
      <c r="N233" s="507">
        <v>1.66</v>
      </c>
      <c r="O233">
        <v>-5.9999999999999995E-4</v>
      </c>
      <c r="P233" s="500">
        <v>2.4</v>
      </c>
    </row>
    <row r="234" spans="1:16" x14ac:dyDescent="0.25">
      <c r="A234" t="s">
        <v>608</v>
      </c>
      <c r="B234" s="6">
        <v>2.2498499999999999</v>
      </c>
      <c r="C234" s="6">
        <v>30.832799999999999</v>
      </c>
      <c r="F234" s="3">
        <v>1.4650000000000001</v>
      </c>
      <c r="G234" s="3">
        <v>65.480999999999995</v>
      </c>
      <c r="J234">
        <v>2.0000000000000001E-4</v>
      </c>
      <c r="K234">
        <v>2.0000000000000001E-4</v>
      </c>
      <c r="L234">
        <v>1.6000000000000001E-3</v>
      </c>
      <c r="M234">
        <v>1.6000000000000001E-3</v>
      </c>
      <c r="N234" s="507">
        <v>1.55</v>
      </c>
      <c r="O234">
        <v>-8.9999999999999998E-4</v>
      </c>
      <c r="P234" s="500">
        <v>2.8</v>
      </c>
    </row>
    <row r="235" spans="1:16" x14ac:dyDescent="0.25">
      <c r="A235" t="s">
        <v>609</v>
      </c>
      <c r="B235" s="6">
        <v>2.2498499999999999</v>
      </c>
      <c r="C235" s="6">
        <v>30.832799999999999</v>
      </c>
      <c r="F235" s="3">
        <v>1.4650000000000001</v>
      </c>
      <c r="G235" s="3">
        <v>65.480999999999995</v>
      </c>
      <c r="J235">
        <v>2.75E-2</v>
      </c>
      <c r="K235">
        <v>2.75E-2</v>
      </c>
      <c r="L235">
        <v>2.8999999999999998E-3</v>
      </c>
      <c r="M235">
        <v>2.8999999999999998E-3</v>
      </c>
      <c r="N235" s="507">
        <v>1.41</v>
      </c>
      <c r="O235">
        <v>-1.5E-3</v>
      </c>
      <c r="P235" s="500">
        <v>4</v>
      </c>
    </row>
    <row r="236" spans="1:16" x14ac:dyDescent="0.25">
      <c r="A236" t="s">
        <v>610</v>
      </c>
      <c r="B236" s="6">
        <v>2.2498499999999999</v>
      </c>
      <c r="C236" s="6">
        <v>30.832799999999999</v>
      </c>
      <c r="F236" s="3">
        <v>1.4650000000000001</v>
      </c>
      <c r="G236" s="3">
        <v>65.480999999999995</v>
      </c>
      <c r="J236">
        <v>2.6800000000000001E-2</v>
      </c>
      <c r="K236">
        <v>2.6800000000000001E-2</v>
      </c>
      <c r="L236">
        <v>2.8999999999999998E-3</v>
      </c>
      <c r="M236">
        <v>2.8999999999999998E-3</v>
      </c>
      <c r="N236" s="507">
        <v>1.78</v>
      </c>
      <c r="O236">
        <v>-2.5000000000000001E-3</v>
      </c>
      <c r="P236" s="500">
        <v>10.3</v>
      </c>
    </row>
    <row r="237" spans="1:16" x14ac:dyDescent="0.25">
      <c r="A237" t="s">
        <v>930</v>
      </c>
      <c r="B237" s="6">
        <v>2.2498499999999999</v>
      </c>
      <c r="C237" s="6">
        <v>30.832799999999999</v>
      </c>
      <c r="F237" s="3">
        <v>1.4650000000000001</v>
      </c>
      <c r="G237" s="3">
        <v>65.480999999999995</v>
      </c>
      <c r="J237">
        <v>2.6599999999999999E-2</v>
      </c>
      <c r="K237">
        <v>2.6599999999999999E-2</v>
      </c>
      <c r="L237">
        <v>2.9199999999999999E-3</v>
      </c>
      <c r="M237">
        <v>2.9199999999999999E-3</v>
      </c>
      <c r="N237" s="507">
        <v>1.655</v>
      </c>
      <c r="O237">
        <v>-4.4999999999999997E-3</v>
      </c>
      <c r="P237" s="500">
        <v>13.9</v>
      </c>
    </row>
    <row r="238" spans="1:16" x14ac:dyDescent="0.25">
      <c r="A238" t="s">
        <v>642</v>
      </c>
      <c r="B238" s="6">
        <v>2.2498499999999999</v>
      </c>
      <c r="C238" s="6">
        <v>30.832799999999999</v>
      </c>
      <c r="F238" s="3">
        <v>1.4650000000000001</v>
      </c>
      <c r="G238" s="3">
        <v>65.480999999999995</v>
      </c>
      <c r="J238">
        <v>2.6599999999999999E-2</v>
      </c>
      <c r="K238">
        <v>2.6599999999999999E-2</v>
      </c>
      <c r="L238">
        <v>1.6800000000000001E-3</v>
      </c>
      <c r="M238">
        <v>1.6800000000000001E-3</v>
      </c>
      <c r="N238" s="507">
        <v>1.7350000000000001</v>
      </c>
      <c r="O238">
        <v>-5.7499999999999999E-3</v>
      </c>
      <c r="P238" s="500">
        <v>21.1</v>
      </c>
    </row>
    <row r="239" spans="1:16" x14ac:dyDescent="0.25">
      <c r="A239" t="s">
        <v>611</v>
      </c>
      <c r="B239" s="6">
        <v>2.2498499999999999</v>
      </c>
      <c r="C239" s="6">
        <v>30.832799999999999</v>
      </c>
      <c r="F239" s="3">
        <v>1.4650000000000001</v>
      </c>
      <c r="G239" s="3">
        <v>65.480999999999995</v>
      </c>
      <c r="J239">
        <v>2.6700000000000002E-2</v>
      </c>
      <c r="K239">
        <v>2.6700000000000002E-2</v>
      </c>
      <c r="L239">
        <v>1.6800000000000001E-3</v>
      </c>
      <c r="M239">
        <v>1.6800000000000001E-3</v>
      </c>
      <c r="N239" s="507">
        <v>1.7649999999999999</v>
      </c>
      <c r="O239">
        <v>-8.3499999999999998E-3</v>
      </c>
      <c r="P239" s="502">
        <v>34.6</v>
      </c>
    </row>
    <row r="240" spans="1:16" x14ac:dyDescent="0.25">
      <c r="A240" t="s">
        <v>612</v>
      </c>
      <c r="B240" s="6">
        <v>2.2498499999999999</v>
      </c>
      <c r="C240" s="6">
        <v>30.832799999999999</v>
      </c>
      <c r="F240" s="3">
        <v>1.4650000000000001</v>
      </c>
      <c r="G240" s="3">
        <v>65.480999999999995</v>
      </c>
      <c r="J240">
        <v>2.75E-2</v>
      </c>
      <c r="K240">
        <v>2.75E-2</v>
      </c>
      <c r="L240">
        <v>2.8999999999999998E-3</v>
      </c>
      <c r="M240">
        <v>2.8999999999999998E-3</v>
      </c>
      <c r="N240" s="507">
        <v>1.41</v>
      </c>
      <c r="O240">
        <v>-1.5E-3</v>
      </c>
      <c r="P240" s="500">
        <v>4</v>
      </c>
    </row>
    <row r="241" spans="1:16" x14ac:dyDescent="0.25">
      <c r="A241" t="s">
        <v>613</v>
      </c>
      <c r="B241" s="6">
        <v>2.2498499999999999</v>
      </c>
      <c r="C241" s="6">
        <v>30.832799999999999</v>
      </c>
      <c r="F241" s="3">
        <v>1.4650000000000001</v>
      </c>
      <c r="G241" s="3">
        <v>65.480999999999995</v>
      </c>
      <c r="J241">
        <v>2.6800000000000001E-2</v>
      </c>
      <c r="K241">
        <v>2.6800000000000001E-2</v>
      </c>
      <c r="L241">
        <v>2.8999999999999998E-3</v>
      </c>
      <c r="M241">
        <v>2.8999999999999998E-3</v>
      </c>
      <c r="N241" s="507">
        <v>1.78</v>
      </c>
      <c r="O241">
        <v>-2.5000000000000001E-3</v>
      </c>
      <c r="P241" s="500">
        <v>10.3</v>
      </c>
    </row>
    <row r="242" spans="1:16" x14ac:dyDescent="0.25">
      <c r="A242" t="s">
        <v>931</v>
      </c>
      <c r="B242" s="6">
        <v>2.2498499999999999</v>
      </c>
      <c r="C242" s="6">
        <v>30.832799999999999</v>
      </c>
      <c r="F242" s="3">
        <v>1.4650000000000001</v>
      </c>
      <c r="G242" s="3">
        <v>65.480999999999995</v>
      </c>
      <c r="J242">
        <v>2.6599999999999999E-2</v>
      </c>
      <c r="K242">
        <v>2.6599999999999999E-2</v>
      </c>
      <c r="L242">
        <v>2.9199999999999999E-3</v>
      </c>
      <c r="M242">
        <v>2.9199999999999999E-3</v>
      </c>
      <c r="N242" s="507">
        <v>1.655</v>
      </c>
      <c r="O242">
        <v>-4.4999999999999997E-3</v>
      </c>
      <c r="P242" s="500">
        <v>13.9</v>
      </c>
    </row>
    <row r="243" spans="1:16" x14ac:dyDescent="0.25">
      <c r="A243" t="s">
        <v>643</v>
      </c>
      <c r="B243" s="6">
        <v>2.2498499999999999</v>
      </c>
      <c r="C243" s="6">
        <v>30.832799999999999</v>
      </c>
      <c r="F243" s="3">
        <v>1.4650000000000001</v>
      </c>
      <c r="G243" s="3">
        <v>65.480999999999995</v>
      </c>
      <c r="J243">
        <v>2.6599999999999999E-2</v>
      </c>
      <c r="K243">
        <v>2.6599999999999999E-2</v>
      </c>
      <c r="L243">
        <v>1.6800000000000001E-3</v>
      </c>
      <c r="M243">
        <v>1.6800000000000001E-3</v>
      </c>
      <c r="N243" s="507">
        <v>1.7350000000000001</v>
      </c>
      <c r="O243">
        <v>-5.7499999999999999E-3</v>
      </c>
      <c r="P243" s="500">
        <v>21.1</v>
      </c>
    </row>
    <row r="244" spans="1:16" x14ac:dyDescent="0.25">
      <c r="A244" t="s">
        <v>614</v>
      </c>
      <c r="B244" s="6">
        <v>2.2498499999999999</v>
      </c>
      <c r="C244" s="6">
        <v>30.832799999999999</v>
      </c>
      <c r="F244" s="3">
        <v>1.4650000000000001</v>
      </c>
      <c r="G244" s="3">
        <v>65.480999999999995</v>
      </c>
      <c r="J244">
        <v>2.6700000000000002E-2</v>
      </c>
      <c r="K244">
        <v>2.6700000000000002E-2</v>
      </c>
      <c r="L244">
        <v>1.6800000000000001E-3</v>
      </c>
      <c r="M244">
        <v>1.6800000000000001E-3</v>
      </c>
      <c r="N244" s="507">
        <v>1.7649999999999999</v>
      </c>
      <c r="O244">
        <v>-8.3499999999999998E-3</v>
      </c>
      <c r="P244" s="502">
        <v>34.6</v>
      </c>
    </row>
    <row r="245" spans="1:16" x14ac:dyDescent="0.25">
      <c r="A245" t="s">
        <v>792</v>
      </c>
      <c r="B245" s="6">
        <v>2.2498499999999999</v>
      </c>
      <c r="C245" s="6">
        <v>30.832799999999999</v>
      </c>
      <c r="F245" s="3">
        <v>1.4650000000000001</v>
      </c>
      <c r="G245" s="3">
        <v>65.480999999999995</v>
      </c>
      <c r="J245">
        <v>0</v>
      </c>
      <c r="K245">
        <v>0</v>
      </c>
      <c r="L245">
        <v>2E-3</v>
      </c>
      <c r="M245">
        <v>2E-3</v>
      </c>
      <c r="N245" s="507"/>
      <c r="P245" s="512"/>
    </row>
    <row r="246" spans="1:16" x14ac:dyDescent="0.25">
      <c r="A246" t="s">
        <v>793</v>
      </c>
      <c r="B246" s="6">
        <v>2.2498499999999999</v>
      </c>
      <c r="C246" s="6">
        <v>30.832799999999999</v>
      </c>
      <c r="F246" s="3">
        <v>1.4650000000000001</v>
      </c>
      <c r="G246" s="3">
        <v>65.480999999999995</v>
      </c>
      <c r="J246">
        <v>0</v>
      </c>
      <c r="K246">
        <v>0</v>
      </c>
      <c r="L246">
        <v>2E-3</v>
      </c>
      <c r="M246">
        <v>2E-3</v>
      </c>
      <c r="N246" s="507"/>
      <c r="P246" s="512"/>
    </row>
    <row r="247" spans="1:16" x14ac:dyDescent="0.25">
      <c r="A247" t="s">
        <v>794</v>
      </c>
      <c r="B247" s="6">
        <v>2.2498499999999999</v>
      </c>
      <c r="C247" s="6">
        <v>30.832799999999999</v>
      </c>
      <c r="F247" s="3">
        <v>1.4650000000000001</v>
      </c>
      <c r="G247" s="3">
        <v>65.480999999999995</v>
      </c>
      <c r="J247">
        <v>0</v>
      </c>
      <c r="K247">
        <v>0</v>
      </c>
      <c r="L247">
        <v>1E-3</v>
      </c>
      <c r="M247">
        <v>1.1999999999999999E-3</v>
      </c>
      <c r="N247" s="507"/>
      <c r="P247" s="512"/>
    </row>
    <row r="248" spans="1:16" x14ac:dyDescent="0.25">
      <c r="A248" t="s">
        <v>795</v>
      </c>
      <c r="B248" s="6">
        <v>2.2498499999999999</v>
      </c>
      <c r="C248" s="6">
        <v>30.832799999999999</v>
      </c>
      <c r="F248" s="3">
        <v>1.4650000000000001</v>
      </c>
      <c r="G248" s="3">
        <v>65.480999999999995</v>
      </c>
      <c r="J248">
        <v>0</v>
      </c>
      <c r="K248">
        <v>0</v>
      </c>
      <c r="L248">
        <v>2.8500000000000001E-3</v>
      </c>
      <c r="M248">
        <v>2.65E-3</v>
      </c>
      <c r="N248" s="507"/>
      <c r="P248" s="512"/>
    </row>
    <row r="249" spans="1:16" x14ac:dyDescent="0.25">
      <c r="A249" t="s">
        <v>796</v>
      </c>
      <c r="B249" s="6">
        <v>2.2498499999999999</v>
      </c>
      <c r="C249" s="6">
        <v>30.832799999999999</v>
      </c>
      <c r="F249" s="3">
        <v>1.4650000000000001</v>
      </c>
      <c r="G249" s="3">
        <v>65.480999999999995</v>
      </c>
      <c r="J249">
        <v>0</v>
      </c>
      <c r="K249">
        <v>0</v>
      </c>
      <c r="L249">
        <v>2.8E-3</v>
      </c>
      <c r="M249">
        <v>2.15E-3</v>
      </c>
      <c r="N249" s="507"/>
      <c r="P249" s="512"/>
    </row>
    <row r="250" spans="1:16" x14ac:dyDescent="0.25">
      <c r="A250" t="s">
        <v>932</v>
      </c>
      <c r="B250" s="6">
        <v>2.2498499999999999</v>
      </c>
      <c r="C250" s="6">
        <v>30.832799999999999</v>
      </c>
      <c r="F250" s="3">
        <v>1.4650000000000001</v>
      </c>
      <c r="G250" s="3">
        <v>65.480999999999995</v>
      </c>
      <c r="J250">
        <v>0</v>
      </c>
      <c r="K250">
        <v>0</v>
      </c>
      <c r="L250">
        <v>2.3E-3</v>
      </c>
      <c r="M250">
        <v>2.5500000000000002E-3</v>
      </c>
      <c r="N250" s="507"/>
      <c r="P250" s="512"/>
    </row>
    <row r="251" spans="1:16" x14ac:dyDescent="0.25">
      <c r="A251" t="s">
        <v>797</v>
      </c>
      <c r="B251" s="6">
        <v>2.2498499999999999</v>
      </c>
      <c r="C251" s="6">
        <v>30.832799999999999</v>
      </c>
      <c r="F251" s="3">
        <v>1.4650000000000001</v>
      </c>
      <c r="G251" s="3">
        <v>65.480999999999995</v>
      </c>
      <c r="J251">
        <v>0</v>
      </c>
      <c r="K251">
        <v>0</v>
      </c>
      <c r="L251">
        <v>0</v>
      </c>
      <c r="M251">
        <v>0</v>
      </c>
      <c r="N251" s="507"/>
      <c r="P251" s="512"/>
    </row>
    <row r="252" spans="1:16" x14ac:dyDescent="0.25">
      <c r="A252" t="s">
        <v>798</v>
      </c>
      <c r="B252" s="6">
        <v>2.2498499999999999</v>
      </c>
      <c r="C252" s="6">
        <v>30.832799999999999</v>
      </c>
      <c r="F252" s="3">
        <v>1.4650000000000001</v>
      </c>
      <c r="G252" s="3">
        <v>65.480999999999995</v>
      </c>
      <c r="J252">
        <v>0</v>
      </c>
      <c r="K252">
        <v>0</v>
      </c>
      <c r="L252">
        <v>0</v>
      </c>
      <c r="M252">
        <v>0</v>
      </c>
      <c r="N252" s="535"/>
      <c r="O252" s="536"/>
      <c r="P252" s="537"/>
    </row>
    <row r="253" spans="1:16" x14ac:dyDescent="0.25">
      <c r="B253" s="6"/>
      <c r="C253" s="6"/>
      <c r="F253" s="3"/>
      <c r="G253" s="3"/>
    </row>
    <row r="255" spans="1:16" x14ac:dyDescent="0.25">
      <c r="A255" s="7" t="s">
        <v>318</v>
      </c>
      <c r="B255" s="7" t="s">
        <v>233</v>
      </c>
    </row>
    <row r="256" spans="1:16" x14ac:dyDescent="0.25">
      <c r="A256" s="6" t="s">
        <v>37</v>
      </c>
      <c r="B256" s="6">
        <v>0.1067</v>
      </c>
    </row>
    <row r="257" spans="1:6" x14ac:dyDescent="0.25">
      <c r="A257" s="6" t="s">
        <v>38</v>
      </c>
      <c r="B257" s="6">
        <v>7.6999999999999999E-2</v>
      </c>
    </row>
    <row r="258" spans="1:6" x14ac:dyDescent="0.25">
      <c r="A258" s="6" t="s">
        <v>36</v>
      </c>
      <c r="B258">
        <v>2.2100000000000002E-2</v>
      </c>
    </row>
    <row r="259" spans="1:6" x14ac:dyDescent="0.25">
      <c r="A259" s="6"/>
    </row>
    <row r="260" spans="1:6" x14ac:dyDescent="0.25">
      <c r="A260" s="6"/>
      <c r="B260" s="7" t="s">
        <v>508</v>
      </c>
    </row>
    <row r="261" spans="1:6" x14ac:dyDescent="0.25">
      <c r="A261" s="7" t="s">
        <v>61</v>
      </c>
      <c r="B261" s="61" t="s">
        <v>553</v>
      </c>
      <c r="D261" s="61" t="s">
        <v>978</v>
      </c>
    </row>
    <row r="262" spans="1:6" x14ac:dyDescent="0.25">
      <c r="A262" s="6" t="s">
        <v>509</v>
      </c>
      <c r="B262" s="57">
        <v>6.25E-2</v>
      </c>
      <c r="D262" s="60">
        <v>0</v>
      </c>
      <c r="E262">
        <v>3.7499999999999999E-2</v>
      </c>
    </row>
    <row r="263" spans="1:6" x14ac:dyDescent="0.25">
      <c r="A263" s="6" t="s">
        <v>979</v>
      </c>
      <c r="B263" s="57">
        <v>2.7E-2</v>
      </c>
      <c r="D263" s="60">
        <f>2.1/(100*0.5*16)</f>
        <v>2.6250000000000002E-3</v>
      </c>
      <c r="E263">
        <v>1.6199999999999999E-2</v>
      </c>
    </row>
    <row r="264" spans="1:6" x14ac:dyDescent="0.25">
      <c r="A264" s="6" t="s">
        <v>980</v>
      </c>
      <c r="B264" s="6"/>
      <c r="D264">
        <f>10.14/(100*0.5*16)</f>
        <v>1.2675000000000001E-2</v>
      </c>
    </row>
    <row r="265" spans="1:6" x14ac:dyDescent="0.25">
      <c r="A265" s="6" t="s">
        <v>981</v>
      </c>
      <c r="B265" s="6"/>
      <c r="D265">
        <f>16.1/(100*0.5*16)</f>
        <v>2.0125000000000001E-2</v>
      </c>
    </row>
    <row r="266" spans="1:6" x14ac:dyDescent="0.25">
      <c r="A266" s="6" t="s">
        <v>982</v>
      </c>
      <c r="B266" s="6"/>
      <c r="C266" s="27"/>
      <c r="D266" s="27">
        <f>19.8/(100*0.5*16)</f>
        <v>2.4750000000000001E-2</v>
      </c>
      <c r="F266">
        <f>D266*100*0.5*16</f>
        <v>19.8</v>
      </c>
    </row>
    <row r="267" spans="1:6" x14ac:dyDescent="0.25">
      <c r="A267" s="6"/>
      <c r="B267" s="6"/>
      <c r="C267" s="27"/>
      <c r="D267" s="27"/>
      <c r="E267" s="27"/>
    </row>
    <row r="269" spans="1:6" x14ac:dyDescent="0.25">
      <c r="A269" s="7" t="s">
        <v>59</v>
      </c>
      <c r="B269" s="31" t="s">
        <v>221</v>
      </c>
      <c r="C269" s="31" t="s">
        <v>222</v>
      </c>
      <c r="D269" s="31" t="s">
        <v>138</v>
      </c>
    </row>
    <row r="270" spans="1:6" x14ac:dyDescent="0.25">
      <c r="A270" s="31" t="s">
        <v>104</v>
      </c>
      <c r="B270" s="31">
        <v>5.68</v>
      </c>
      <c r="C270" s="31">
        <v>0</v>
      </c>
      <c r="D270" s="31" t="s">
        <v>223</v>
      </c>
    </row>
    <row r="271" spans="1:6" x14ac:dyDescent="0.25">
      <c r="A271" s="31" t="s">
        <v>229</v>
      </c>
      <c r="B271" s="31">
        <v>0</v>
      </c>
      <c r="C271" s="31">
        <v>2.5610000000000001E-2</v>
      </c>
      <c r="D271" s="31"/>
    </row>
    <row r="272" spans="1:6" x14ac:dyDescent="0.25">
      <c r="A272" s="31" t="s">
        <v>230</v>
      </c>
      <c r="B272" s="31">
        <v>0</v>
      </c>
      <c r="C272" s="31">
        <v>2.7560000000000001E-2</v>
      </c>
      <c r="D272" s="31"/>
    </row>
    <row r="273" spans="1:4" x14ac:dyDescent="0.25">
      <c r="A273" s="31" t="s">
        <v>232</v>
      </c>
      <c r="B273" s="31">
        <v>0</v>
      </c>
      <c r="C273" s="31">
        <v>2.3089999999999999E-2</v>
      </c>
      <c r="D273" s="31"/>
    </row>
    <row r="274" spans="1:4" x14ac:dyDescent="0.25">
      <c r="A274" s="31" t="s">
        <v>231</v>
      </c>
      <c r="B274" s="31">
        <v>0</v>
      </c>
      <c r="C274" s="31">
        <v>2.3869999999999999E-2</v>
      </c>
      <c r="D274" s="31"/>
    </row>
    <row r="275" spans="1:4" x14ac:dyDescent="0.25">
      <c r="A275" s="31"/>
      <c r="B275" s="31"/>
      <c r="C275" s="31"/>
      <c r="D275" s="31"/>
    </row>
    <row r="276" spans="1:4" x14ac:dyDescent="0.25">
      <c r="A276" s="7" t="s">
        <v>726</v>
      </c>
      <c r="B276" s="31" t="s">
        <v>221</v>
      </c>
      <c r="C276" s="31" t="s">
        <v>222</v>
      </c>
      <c r="D276" s="31"/>
    </row>
    <row r="277" spans="1:4" x14ac:dyDescent="0.25">
      <c r="A277" s="31" t="s">
        <v>731</v>
      </c>
      <c r="B277" s="31">
        <v>0</v>
      </c>
      <c r="C277" s="31">
        <v>0</v>
      </c>
      <c r="D277" s="31" t="s">
        <v>735</v>
      </c>
    </row>
    <row r="278" spans="1:4" x14ac:dyDescent="0.25">
      <c r="A278" s="31" t="s">
        <v>104</v>
      </c>
      <c r="B278" s="31">
        <v>3.1732499999999999</v>
      </c>
      <c r="C278" s="31">
        <v>0</v>
      </c>
      <c r="D278" s="31" t="s">
        <v>735</v>
      </c>
    </row>
    <row r="279" spans="1:4" x14ac:dyDescent="0.25">
      <c r="A279" s="31" t="s">
        <v>229</v>
      </c>
      <c r="B279" s="31">
        <v>1.22695</v>
      </c>
      <c r="C279" s="31">
        <v>7.1000000000000004E-3</v>
      </c>
      <c r="D279" s="31"/>
    </row>
    <row r="280" spans="1:4" x14ac:dyDescent="0.25">
      <c r="A280" s="31" t="s">
        <v>230</v>
      </c>
      <c r="B280" s="31">
        <v>1.1132500000000001</v>
      </c>
      <c r="C280" s="31">
        <v>8.8999999999999999E-3</v>
      </c>
      <c r="D280" s="31"/>
    </row>
    <row r="281" spans="1:4" x14ac:dyDescent="0.25">
      <c r="A281" s="31" t="s">
        <v>232</v>
      </c>
      <c r="B281" s="31">
        <v>0</v>
      </c>
      <c r="C281" s="31">
        <v>8.6E-3</v>
      </c>
      <c r="D281" s="31"/>
    </row>
    <row r="282" spans="1:4" x14ac:dyDescent="0.25">
      <c r="A282" s="31" t="s">
        <v>231</v>
      </c>
      <c r="B282" s="31">
        <v>0</v>
      </c>
      <c r="C282" s="31">
        <v>9.7000000000000003E-3</v>
      </c>
      <c r="D282" s="31"/>
    </row>
    <row r="283" spans="1:4" x14ac:dyDescent="0.25">
      <c r="A283" s="31" t="s">
        <v>732</v>
      </c>
      <c r="B283" s="31">
        <v>0.5</v>
      </c>
      <c r="C283" s="31">
        <v>0</v>
      </c>
      <c r="D283" s="31" t="s">
        <v>735</v>
      </c>
    </row>
    <row r="284" spans="1:4" x14ac:dyDescent="0.25">
      <c r="A284" s="31" t="s">
        <v>733</v>
      </c>
      <c r="B284" s="31">
        <v>5.0149999999999997</v>
      </c>
      <c r="C284" s="31">
        <v>0</v>
      </c>
      <c r="D284" s="31" t="s">
        <v>735</v>
      </c>
    </row>
    <row r="285" spans="1:4" x14ac:dyDescent="0.25">
      <c r="A285" s="31" t="s">
        <v>727</v>
      </c>
      <c r="B285" s="31">
        <v>0</v>
      </c>
      <c r="C285" s="31">
        <v>1.5E-3</v>
      </c>
      <c r="D285" s="31"/>
    </row>
    <row r="286" spans="1:4" x14ac:dyDescent="0.25">
      <c r="A286" s="31" t="s">
        <v>728</v>
      </c>
      <c r="B286" s="31">
        <v>0</v>
      </c>
      <c r="C286" s="31">
        <v>2.3E-3</v>
      </c>
      <c r="D286" s="31"/>
    </row>
    <row r="287" spans="1:4" x14ac:dyDescent="0.25">
      <c r="A287" s="31" t="s">
        <v>729</v>
      </c>
      <c r="B287" s="31">
        <v>0</v>
      </c>
      <c r="C287" s="31">
        <v>1.6299999999999999E-2</v>
      </c>
      <c r="D287" s="31"/>
    </row>
    <row r="288" spans="1:4" x14ac:dyDescent="0.25">
      <c r="A288" s="31" t="s">
        <v>730</v>
      </c>
      <c r="B288" s="31">
        <v>0.51749999999999996</v>
      </c>
      <c r="C288" s="31">
        <v>1.0999999999999999E-2</v>
      </c>
      <c r="D288" s="31"/>
    </row>
    <row r="289" spans="1:15" x14ac:dyDescent="0.25">
      <c r="A289" s="31"/>
      <c r="B289" s="31"/>
      <c r="C289" s="31"/>
      <c r="D289" s="31"/>
    </row>
    <row r="290" spans="1:15" x14ac:dyDescent="0.25">
      <c r="A290" s="7" t="s">
        <v>219</v>
      </c>
      <c r="B290" s="31" t="s">
        <v>221</v>
      </c>
      <c r="C290" s="31" t="s">
        <v>222</v>
      </c>
      <c r="D290" s="31" t="s">
        <v>138</v>
      </c>
      <c r="L290" s="7"/>
      <c r="M290" s="31"/>
      <c r="N290" s="31"/>
      <c r="O290" s="31"/>
    </row>
    <row r="291" spans="1:15" x14ac:dyDescent="0.25">
      <c r="A291" s="31" t="s">
        <v>104</v>
      </c>
      <c r="B291" s="31">
        <v>20.36</v>
      </c>
      <c r="C291" s="31"/>
      <c r="D291" s="31" t="s">
        <v>741</v>
      </c>
      <c r="L291" s="31"/>
      <c r="M291" s="31"/>
      <c r="N291" s="31"/>
      <c r="O291" s="31"/>
    </row>
    <row r="292" spans="1:15" x14ac:dyDescent="0.25">
      <c r="A292" s="31" t="s">
        <v>737</v>
      </c>
      <c r="B292" s="31">
        <v>0</v>
      </c>
      <c r="C292" s="31">
        <v>2.1999999999999999E-2</v>
      </c>
      <c r="D292" s="31" t="s">
        <v>417</v>
      </c>
      <c r="H292">
        <f>SUM(B291)</f>
        <v>20.36</v>
      </c>
      <c r="I292" t="s">
        <v>572</v>
      </c>
      <c r="L292" s="31"/>
      <c r="M292" s="31"/>
      <c r="N292" s="31"/>
      <c r="O292" s="31"/>
    </row>
    <row r="293" spans="1:15" x14ac:dyDescent="0.25">
      <c r="A293" s="31" t="s">
        <v>738</v>
      </c>
      <c r="B293" s="31">
        <v>0</v>
      </c>
      <c r="C293" s="31">
        <v>2.7500000000000002E-4</v>
      </c>
      <c r="D293" s="31" t="s">
        <v>417</v>
      </c>
      <c r="H293">
        <f>SUM(B295)</f>
        <v>0</v>
      </c>
      <c r="I293" t="s">
        <v>573</v>
      </c>
      <c r="L293" s="31"/>
      <c r="M293" s="31"/>
      <c r="N293" s="31"/>
      <c r="O293" s="31"/>
    </row>
    <row r="294" spans="1:15" x14ac:dyDescent="0.25">
      <c r="A294" s="31" t="s">
        <v>739</v>
      </c>
      <c r="B294" s="31">
        <v>0</v>
      </c>
      <c r="C294" s="31">
        <v>1.343E-3</v>
      </c>
      <c r="D294" s="31" t="s">
        <v>417</v>
      </c>
      <c r="H294">
        <f>(C292)/2.5*1000000</f>
        <v>8799.9999999999982</v>
      </c>
      <c r="I294" t="s">
        <v>574</v>
      </c>
      <c r="L294" s="31"/>
      <c r="M294" s="31"/>
      <c r="N294" s="31"/>
      <c r="O294" s="31"/>
    </row>
    <row r="295" spans="1:15" x14ac:dyDescent="0.25">
      <c r="A295" s="31" t="s">
        <v>744</v>
      </c>
      <c r="B295" s="31">
        <v>0</v>
      </c>
      <c r="C295" s="31">
        <v>0</v>
      </c>
      <c r="D295" s="31"/>
      <c r="H295">
        <f>(C293+C294)*1000000</f>
        <v>1618</v>
      </c>
      <c r="I295" t="s">
        <v>575</v>
      </c>
    </row>
    <row r="296" spans="1:15" x14ac:dyDescent="0.25">
      <c r="A296" s="31"/>
      <c r="B296" s="31"/>
      <c r="C296" s="31"/>
      <c r="D296" s="31"/>
      <c r="L296" s="31"/>
      <c r="M296" s="31"/>
      <c r="N296" s="31"/>
      <c r="O296" s="31"/>
    </row>
    <row r="297" spans="1:15" x14ac:dyDescent="0.25">
      <c r="A297" s="31"/>
      <c r="B297" s="31"/>
      <c r="C297" s="31"/>
      <c r="D297" s="31"/>
      <c r="L297" s="31"/>
      <c r="M297" s="31"/>
      <c r="N297" s="31"/>
      <c r="O297" s="31"/>
    </row>
    <row r="298" spans="1:15" x14ac:dyDescent="0.25">
      <c r="A298" s="7" t="s">
        <v>558</v>
      </c>
      <c r="B298" s="31" t="s">
        <v>417</v>
      </c>
      <c r="C298" s="31"/>
      <c r="D298" s="31"/>
      <c r="L298" s="31"/>
      <c r="M298" s="31"/>
      <c r="N298" s="31"/>
      <c r="O298" s="31"/>
    </row>
    <row r="299" spans="1:15" x14ac:dyDescent="0.25">
      <c r="A299" s="31" t="s">
        <v>51</v>
      </c>
      <c r="B299">
        <v>0.47249999999999998</v>
      </c>
      <c r="C299" s="31"/>
      <c r="D299" s="31"/>
      <c r="L299" s="31"/>
      <c r="M299" s="31"/>
      <c r="N299" s="31"/>
      <c r="O299" s="31"/>
    </row>
    <row r="300" spans="1:15" x14ac:dyDescent="0.25">
      <c r="L300" s="31"/>
      <c r="M300" s="31"/>
      <c r="N300" s="31"/>
      <c r="O300" s="31"/>
    </row>
    <row r="301" spans="1:15" x14ac:dyDescent="0.25">
      <c r="A301" s="31"/>
      <c r="B301" s="31"/>
      <c r="C301" s="31"/>
      <c r="D301" s="31"/>
      <c r="L301" s="31"/>
      <c r="M301" s="31"/>
      <c r="N301" s="31"/>
      <c r="O301" s="31"/>
    </row>
    <row r="302" spans="1:15" x14ac:dyDescent="0.25">
      <c r="A302" s="31"/>
      <c r="B302" s="31"/>
      <c r="C302" s="31"/>
      <c r="D302" s="31"/>
    </row>
    <row r="303" spans="1:15" x14ac:dyDescent="0.25">
      <c r="A303" s="7" t="s">
        <v>220</v>
      </c>
      <c r="B303" s="8" t="s">
        <v>592</v>
      </c>
      <c r="C303" s="31"/>
      <c r="D303" s="31"/>
    </row>
    <row r="304" spans="1:15" x14ac:dyDescent="0.25">
      <c r="A304" s="6" t="s">
        <v>593</v>
      </c>
      <c r="B304">
        <v>1.07</v>
      </c>
      <c r="C304" s="31"/>
      <c r="D304" s="31"/>
    </row>
    <row r="305" spans="1:31" x14ac:dyDescent="0.25">
      <c r="A305" s="6" t="s">
        <v>594</v>
      </c>
      <c r="B305">
        <v>0.55000000000000004</v>
      </c>
      <c r="C305" s="31"/>
      <c r="D305" s="31"/>
    </row>
    <row r="306" spans="1:31" x14ac:dyDescent="0.25">
      <c r="A306" s="6" t="s">
        <v>595</v>
      </c>
      <c r="B306">
        <v>1.4999999999999999E-2</v>
      </c>
      <c r="C306" s="31"/>
      <c r="D306" s="31"/>
    </row>
    <row r="307" spans="1:31" x14ac:dyDescent="0.25">
      <c r="A307" s="31"/>
      <c r="B307" s="31"/>
      <c r="C307" s="31"/>
      <c r="D307" s="31"/>
    </row>
    <row r="308" spans="1:31" x14ac:dyDescent="0.25">
      <c r="A308" s="7" t="s">
        <v>72</v>
      </c>
      <c r="B308" s="7" t="s">
        <v>92</v>
      </c>
    </row>
    <row r="309" spans="1:31" x14ac:dyDescent="0.25">
      <c r="A309" s="7" t="s">
        <v>58</v>
      </c>
      <c r="B309" s="8" t="s">
        <v>90</v>
      </c>
    </row>
    <row r="310" spans="1:31" x14ac:dyDescent="0.25">
      <c r="A310" s="7"/>
      <c r="B310" s="918" t="s">
        <v>542</v>
      </c>
      <c r="C310" s="917"/>
      <c r="D310" s="917"/>
      <c r="E310" s="917"/>
      <c r="F310" s="917"/>
      <c r="G310" s="917"/>
      <c r="H310" s="924" t="s">
        <v>560</v>
      </c>
      <c r="I310" s="925"/>
      <c r="J310" s="925"/>
      <c r="K310" s="925"/>
      <c r="L310" s="925"/>
      <c r="M310" s="925"/>
      <c r="N310" s="925"/>
      <c r="O310" s="925"/>
      <c r="P310" s="925"/>
      <c r="Q310" s="925"/>
      <c r="R310" s="925"/>
      <c r="S310" s="926"/>
    </row>
    <row r="311" spans="1:31" x14ac:dyDescent="0.25">
      <c r="A311" s="7"/>
      <c r="B311" s="918" t="s">
        <v>543</v>
      </c>
      <c r="C311" s="917"/>
      <c r="D311" s="916" t="s">
        <v>544</v>
      </c>
      <c r="E311" s="916"/>
      <c r="F311" s="916" t="s">
        <v>545</v>
      </c>
      <c r="G311" s="916"/>
      <c r="H311" s="927" t="s">
        <v>546</v>
      </c>
      <c r="I311" s="928"/>
      <c r="J311" s="928" t="s">
        <v>547</v>
      </c>
      <c r="K311" s="928"/>
      <c r="L311" s="928" t="s">
        <v>548</v>
      </c>
      <c r="M311" s="928"/>
      <c r="N311" s="929" t="s">
        <v>549</v>
      </c>
      <c r="O311" s="929"/>
      <c r="P311" s="929" t="s">
        <v>550</v>
      </c>
      <c r="Q311" s="929"/>
      <c r="R311" s="929" t="s">
        <v>551</v>
      </c>
      <c r="S311" s="930"/>
      <c r="T311" s="916"/>
      <c r="U311" s="916"/>
      <c r="V311" s="916"/>
      <c r="W311" s="916"/>
      <c r="X311" s="916"/>
      <c r="Y311" s="916"/>
      <c r="Z311" s="916"/>
      <c r="AA311" s="916"/>
      <c r="AB311" s="916"/>
      <c r="AC311" s="916"/>
      <c r="AD311" s="916"/>
      <c r="AE311" s="916"/>
    </row>
    <row r="312" spans="1:31" x14ac:dyDescent="0.25">
      <c r="A312" s="7" t="s">
        <v>73</v>
      </c>
      <c r="B312" s="30" t="s">
        <v>46</v>
      </c>
      <c r="C312" s="9" t="s">
        <v>47</v>
      </c>
      <c r="D312" s="9"/>
      <c r="E312" s="9"/>
      <c r="F312" s="9"/>
      <c r="G312" s="9"/>
      <c r="H312" s="108" t="s">
        <v>46</v>
      </c>
      <c r="I312" s="108" t="s">
        <v>47</v>
      </c>
      <c r="J312" s="108" t="s">
        <v>46</v>
      </c>
      <c r="K312" s="108" t="s">
        <v>47</v>
      </c>
      <c r="L312" s="108" t="s">
        <v>46</v>
      </c>
      <c r="M312" s="108" t="s">
        <v>47</v>
      </c>
      <c r="N312" s="109" t="s">
        <v>46</v>
      </c>
      <c r="O312" s="109" t="s">
        <v>47</v>
      </c>
      <c r="P312" s="109" t="s">
        <v>46</v>
      </c>
      <c r="Q312" s="109" t="s">
        <v>47</v>
      </c>
      <c r="R312" s="109" t="s">
        <v>46</v>
      </c>
      <c r="S312" s="109" t="s">
        <v>47</v>
      </c>
      <c r="T312" s="9"/>
      <c r="U312" s="9"/>
      <c r="V312" s="9"/>
      <c r="W312" s="9"/>
      <c r="X312" s="9"/>
      <c r="Y312" s="9"/>
      <c r="Z312" s="9"/>
      <c r="AA312" s="9"/>
      <c r="AB312" s="9"/>
      <c r="AC312" s="9"/>
      <c r="AD312" s="9"/>
      <c r="AE312" s="9"/>
    </row>
    <row r="313" spans="1:31" x14ac:dyDescent="0.25">
      <c r="A313" s="6">
        <v>1</v>
      </c>
      <c r="B313">
        <v>1.8970000000000001E-2</v>
      </c>
      <c r="C313" s="31">
        <v>1.967E-2</v>
      </c>
      <c r="D313">
        <v>1.8970000000000001E-2</v>
      </c>
      <c r="E313" s="31">
        <v>1.967E-2</v>
      </c>
      <c r="F313">
        <v>1.8970000000000001E-2</v>
      </c>
      <c r="G313" s="31">
        <v>1.967E-2</v>
      </c>
      <c r="H313" s="110">
        <v>6.1700000000000001E-3</v>
      </c>
      <c r="I313" s="111">
        <v>6.6699999999999997E-3</v>
      </c>
      <c r="J313" s="110">
        <v>6.5799999999999999E-3</v>
      </c>
      <c r="K313" s="110">
        <v>7.5399999999999998E-3</v>
      </c>
      <c r="L313" s="110">
        <v>6.5799999999999999E-3</v>
      </c>
      <c r="M313" s="110">
        <v>7.4999999999999997E-3</v>
      </c>
      <c r="N313" s="112">
        <v>6.7499999999999999E-3</v>
      </c>
      <c r="O313" s="112">
        <v>7.7499999999999999E-3</v>
      </c>
      <c r="P313" s="112">
        <v>6.7499999999999999E-3</v>
      </c>
      <c r="Q313" s="112">
        <v>7.7499999999999999E-3</v>
      </c>
      <c r="R313" s="112">
        <v>6.7499999999999999E-3</v>
      </c>
      <c r="S313" s="112">
        <v>7.6699999999999997E-3</v>
      </c>
    </row>
    <row r="314" spans="1:31" x14ac:dyDescent="0.25">
      <c r="A314" s="6">
        <v>2</v>
      </c>
      <c r="B314">
        <v>1.899E-2</v>
      </c>
      <c r="C314" s="31">
        <v>1.9810000000000001E-2</v>
      </c>
      <c r="D314">
        <v>1.899E-2</v>
      </c>
      <c r="E314" s="31">
        <v>1.9810000000000001E-2</v>
      </c>
      <c r="F314">
        <v>1.899E-2</v>
      </c>
      <c r="G314" s="31">
        <v>1.9810000000000001E-2</v>
      </c>
      <c r="H314" s="110">
        <v>6.6699999999999997E-3</v>
      </c>
      <c r="I314" s="111">
        <v>7.7499999999999999E-3</v>
      </c>
      <c r="J314" s="110">
        <v>6.6699999999999997E-3</v>
      </c>
      <c r="K314" s="110">
        <v>7.7499999999999999E-3</v>
      </c>
      <c r="L314" s="110">
        <v>6.6699999999999997E-3</v>
      </c>
      <c r="M314" s="110">
        <v>7.6299999999999996E-3</v>
      </c>
      <c r="N314" s="112">
        <v>7.4200000000000004E-3</v>
      </c>
      <c r="O314" s="112">
        <v>8.5800000000000008E-3</v>
      </c>
      <c r="P314" s="112">
        <v>7.4200000000000004E-3</v>
      </c>
      <c r="Q314" s="112">
        <v>8.5800000000000008E-3</v>
      </c>
      <c r="R314" s="112">
        <v>7.4200000000000004E-3</v>
      </c>
      <c r="S314" s="112">
        <v>8.5000000000000006E-3</v>
      </c>
    </row>
    <row r="315" spans="1:31" x14ac:dyDescent="0.25">
      <c r="A315" s="6">
        <v>4</v>
      </c>
      <c r="B315">
        <v>1.917E-2</v>
      </c>
      <c r="C315" s="31">
        <v>1.9990000000000001E-2</v>
      </c>
      <c r="D315">
        <v>1.917E-2</v>
      </c>
      <c r="E315" s="31">
        <v>1.9990000000000001E-2</v>
      </c>
      <c r="F315">
        <v>1.917E-2</v>
      </c>
      <c r="G315" s="31">
        <v>1.9990000000000001E-2</v>
      </c>
      <c r="H315" s="110">
        <v>7.3299999999999997E-3</v>
      </c>
      <c r="I315" s="111">
        <v>8.4200000000000004E-3</v>
      </c>
      <c r="J315" s="110">
        <v>7.3299999999999997E-3</v>
      </c>
      <c r="K315" s="110">
        <v>8.4200000000000004E-3</v>
      </c>
      <c r="L315" s="110">
        <v>7.3299999999999997E-3</v>
      </c>
      <c r="M315" s="110">
        <v>8.3300000000000006E-3</v>
      </c>
      <c r="N315" s="112">
        <v>8.2500000000000004E-3</v>
      </c>
      <c r="O315" s="112">
        <v>9.3299999999999998E-3</v>
      </c>
      <c r="P315" s="112">
        <v>8.2500000000000004E-3</v>
      </c>
      <c r="Q315" s="112">
        <v>9.3299999999999998E-3</v>
      </c>
      <c r="R315" s="112">
        <v>8.2500000000000004E-3</v>
      </c>
      <c r="S315" s="112">
        <v>9.2499999999999995E-3</v>
      </c>
    </row>
    <row r="316" spans="1:31" x14ac:dyDescent="0.25">
      <c r="A316" s="6">
        <v>9</v>
      </c>
      <c r="B316">
        <v>1.9439999999999999E-2</v>
      </c>
      <c r="C316" s="31">
        <v>2.0740000000000001E-2</v>
      </c>
      <c r="D316">
        <v>1.9439999999999999E-2</v>
      </c>
      <c r="E316" s="31">
        <v>2.0740000000000001E-2</v>
      </c>
      <c r="F316">
        <v>1.9439999999999999E-2</v>
      </c>
      <c r="G316" s="31">
        <v>2.0740000000000001E-2</v>
      </c>
      <c r="H316" s="110">
        <v>8.0800000000000004E-3</v>
      </c>
      <c r="I316" s="111">
        <v>9.4199999999999996E-3</v>
      </c>
      <c r="J316" s="110">
        <v>8.0800000000000004E-3</v>
      </c>
      <c r="K316" s="110">
        <v>9.4199999999999996E-3</v>
      </c>
      <c r="L316" s="110">
        <v>8.0800000000000004E-3</v>
      </c>
      <c r="M316" s="110">
        <v>9.2599999999999991E-3</v>
      </c>
      <c r="N316" s="112">
        <v>8.9200000000000008E-3</v>
      </c>
      <c r="O316" s="112">
        <v>1.0500000000000001E-2</v>
      </c>
      <c r="P316" s="112">
        <v>8.9200000000000008E-3</v>
      </c>
      <c r="Q316" s="112">
        <v>1.0500000000000001E-2</v>
      </c>
      <c r="R316" s="112">
        <v>8.9200000000000008E-3</v>
      </c>
      <c r="S316" s="112">
        <v>1.042E-2</v>
      </c>
    </row>
    <row r="317" spans="1:31" x14ac:dyDescent="0.25">
      <c r="A317" s="6">
        <v>18</v>
      </c>
      <c r="B317">
        <v>2.0969999999999999E-2</v>
      </c>
      <c r="C317" s="31">
        <v>2.2679999999999999E-2</v>
      </c>
      <c r="D317">
        <v>2.0969999999999999E-2</v>
      </c>
      <c r="E317" s="31">
        <v>2.2679999999999999E-2</v>
      </c>
      <c r="F317">
        <v>2.0969999999999999E-2</v>
      </c>
      <c r="G317" s="31">
        <v>2.2679999999999999E-2</v>
      </c>
      <c r="H317" s="110">
        <v>9.2499999999999995E-3</v>
      </c>
      <c r="I317" s="111">
        <v>1.0919999999999999E-2</v>
      </c>
      <c r="J317" s="110">
        <v>9.2499999999999995E-3</v>
      </c>
      <c r="K317" s="110">
        <v>1.0919999999999999E-2</v>
      </c>
      <c r="L317" s="110">
        <v>9.2499999999999995E-3</v>
      </c>
      <c r="M317" s="110">
        <v>1.0749999999999999E-2</v>
      </c>
      <c r="N317" s="112">
        <v>1.025E-2</v>
      </c>
      <c r="O317" s="112">
        <v>1.217E-2</v>
      </c>
      <c r="P317" s="112">
        <v>1.2330000000000001E-2</v>
      </c>
      <c r="Q317" s="112">
        <v>1.4330000000000001E-2</v>
      </c>
      <c r="R317" s="112">
        <v>1.025E-2</v>
      </c>
      <c r="S317" s="112">
        <v>1.418E-2</v>
      </c>
    </row>
    <row r="318" spans="1:31" x14ac:dyDescent="0.25">
      <c r="A318" s="6">
        <v>36</v>
      </c>
      <c r="B318">
        <v>2.6124999999999999E-2</v>
      </c>
      <c r="C318" s="31">
        <v>2.9527999999999999E-2</v>
      </c>
      <c r="D318">
        <v>2.6124999999999999E-2</v>
      </c>
      <c r="E318" s="31">
        <v>2.9527999999999999E-2</v>
      </c>
      <c r="F318">
        <v>2.6124999999999999E-2</v>
      </c>
      <c r="G318" s="31">
        <v>2.9527999999999999E-2</v>
      </c>
      <c r="H318" s="110">
        <v>9.2499999999999995E-3</v>
      </c>
      <c r="I318" s="111">
        <v>1.0919999999999999E-2</v>
      </c>
      <c r="J318" s="110">
        <v>9.2499999999999995E-3</v>
      </c>
      <c r="K318" s="110">
        <v>1.0919999999999999E-2</v>
      </c>
      <c r="L318" s="110">
        <v>9.2499999999999995E-3</v>
      </c>
      <c r="M318" s="110">
        <v>1.0749999999999999E-2</v>
      </c>
      <c r="N318" s="112">
        <v>0.02</v>
      </c>
      <c r="O318" s="112">
        <v>2.333E-2</v>
      </c>
      <c r="P318" s="112">
        <v>0.02</v>
      </c>
      <c r="Q318" s="112">
        <v>2.333E-2</v>
      </c>
      <c r="R318" s="112">
        <v>0.02</v>
      </c>
      <c r="S318" s="112">
        <v>2.317E-2</v>
      </c>
    </row>
    <row r="319" spans="1:31" x14ac:dyDescent="0.25">
      <c r="A319" s="6"/>
      <c r="C319" s="31"/>
    </row>
    <row r="320" spans="1:31" x14ac:dyDescent="0.25">
      <c r="A320" s="7"/>
      <c r="B320" s="27"/>
      <c r="C320" s="27"/>
      <c r="D320" s="27"/>
      <c r="E320" s="27"/>
      <c r="F320" s="27"/>
      <c r="G320" s="27"/>
      <c r="H320" s="916" t="s">
        <v>1014</v>
      </c>
      <c r="I320" s="916"/>
      <c r="J320" s="7"/>
      <c r="K320" s="7"/>
      <c r="L320" s="7"/>
      <c r="M320" s="7"/>
    </row>
    <row r="321" spans="1:20" x14ac:dyDescent="0.25">
      <c r="A321" s="58" t="s">
        <v>556</v>
      </c>
      <c r="B321" s="7" t="s">
        <v>588</v>
      </c>
      <c r="C321" s="7" t="s">
        <v>589</v>
      </c>
      <c r="D321" s="66" t="s">
        <v>590</v>
      </c>
      <c r="E321" s="67" t="s">
        <v>591</v>
      </c>
      <c r="F321" s="7" t="s">
        <v>383</v>
      </c>
      <c r="G321" s="7"/>
      <c r="H321" s="9" t="s">
        <v>605</v>
      </c>
      <c r="I321" s="9" t="s">
        <v>383</v>
      </c>
      <c r="J321" s="7"/>
      <c r="K321" s="66" t="s">
        <v>1012</v>
      </c>
      <c r="L321" s="7" t="s">
        <v>1013</v>
      </c>
      <c r="M321" s="7"/>
      <c r="N321" s="66" t="s">
        <v>1006</v>
      </c>
      <c r="O321" s="67"/>
      <c r="P321" s="7"/>
      <c r="Q321" s="7"/>
      <c r="R321" s="66"/>
      <c r="S321" s="67"/>
      <c r="T321" s="7"/>
    </row>
    <row r="322" spans="1:20" x14ac:dyDescent="0.25">
      <c r="A322" s="65" t="s">
        <v>51</v>
      </c>
      <c r="B322" s="6">
        <v>0</v>
      </c>
      <c r="C322" s="6">
        <v>0</v>
      </c>
      <c r="D322">
        <v>0.157</v>
      </c>
      <c r="E322">
        <v>0.187</v>
      </c>
      <c r="F322">
        <v>70</v>
      </c>
      <c r="I322" s="6"/>
      <c r="J322" s="6"/>
      <c r="L322" s="6"/>
      <c r="M322" s="6"/>
      <c r="N322" t="s">
        <v>1007</v>
      </c>
      <c r="O322" t="s">
        <v>1008</v>
      </c>
      <c r="P322" t="s">
        <v>1009</v>
      </c>
    </row>
    <row r="323" spans="1:20" x14ac:dyDescent="0.25">
      <c r="A323" s="65" t="s">
        <v>805</v>
      </c>
      <c r="B323" s="6">
        <f>26.078/2</f>
        <v>13.039</v>
      </c>
      <c r="C323" s="6">
        <f>32.598/2</f>
        <v>16.298999999999999</v>
      </c>
      <c r="D323">
        <f>11.425/2000</f>
        <v>5.7125000000000006E-3</v>
      </c>
      <c r="E323">
        <f>14.281/2000</f>
        <v>7.1405000000000001E-3</v>
      </c>
      <c r="F323">
        <v>89.75</v>
      </c>
      <c r="H323" s="6">
        <v>3.5</v>
      </c>
      <c r="I323" s="6">
        <v>7</v>
      </c>
      <c r="J323" t="s">
        <v>810</v>
      </c>
      <c r="K323" s="27">
        <v>9</v>
      </c>
      <c r="L323" s="6">
        <v>3.5</v>
      </c>
      <c r="M323" s="6"/>
      <c r="N323">
        <f>L323*(2/2)</f>
        <v>3.5</v>
      </c>
      <c r="O323">
        <f>L323*(4/2)</f>
        <v>7</v>
      </c>
      <c r="P323">
        <f>L323*(8/2)</f>
        <v>14</v>
      </c>
      <c r="R323">
        <f>0.2*2</f>
        <v>0.4</v>
      </c>
    </row>
    <row r="324" spans="1:20" x14ac:dyDescent="0.25">
      <c r="A324" s="65" t="s">
        <v>804</v>
      </c>
      <c r="B324" s="6">
        <f>26.078/2</f>
        <v>13.039</v>
      </c>
      <c r="C324" s="6">
        <f>32.598/2</f>
        <v>16.298999999999999</v>
      </c>
      <c r="D324">
        <f>11.425/2000</f>
        <v>5.7125000000000006E-3</v>
      </c>
      <c r="E324">
        <f>14.281/2000</f>
        <v>7.1405000000000001E-3</v>
      </c>
      <c r="F324">
        <v>89.75</v>
      </c>
      <c r="H324" s="6">
        <v>2</v>
      </c>
      <c r="I324" s="6">
        <v>4</v>
      </c>
      <c r="J324" s="6" t="s">
        <v>809</v>
      </c>
      <c r="K324" s="27">
        <v>0.8</v>
      </c>
      <c r="L324" s="6">
        <v>2</v>
      </c>
      <c r="M324" s="6"/>
      <c r="N324">
        <f>L324*(2/2)</f>
        <v>2</v>
      </c>
      <c r="O324">
        <f>L324*(4/2)</f>
        <v>4</v>
      </c>
      <c r="P324">
        <f>L324*(8/2)</f>
        <v>8</v>
      </c>
    </row>
    <row r="325" spans="1:20" x14ac:dyDescent="0.25">
      <c r="A325" s="65" t="s">
        <v>585</v>
      </c>
      <c r="B325" s="6">
        <v>9.125</v>
      </c>
      <c r="C325" s="6">
        <v>11.406000000000001</v>
      </c>
      <c r="D325">
        <v>2.6070000000000002</v>
      </c>
      <c r="E325">
        <v>3.2589999999999999</v>
      </c>
      <c r="F325">
        <v>103.56</v>
      </c>
      <c r="H325" s="6">
        <v>0.2</v>
      </c>
      <c r="I325" s="6">
        <v>0.4</v>
      </c>
      <c r="J325" s="6" t="s">
        <v>1010</v>
      </c>
      <c r="K325" s="27">
        <v>8.1999999999999993</v>
      </c>
      <c r="L325" s="6">
        <v>0.2</v>
      </c>
      <c r="M325" s="6"/>
      <c r="N325">
        <f>L325*(2/2)</f>
        <v>0.2</v>
      </c>
      <c r="O325">
        <f>L325*(4/2)</f>
        <v>0.4</v>
      </c>
      <c r="P325">
        <f>L325*(8/2)</f>
        <v>0.8</v>
      </c>
      <c r="Q325">
        <f>P325*2</f>
        <v>1.6</v>
      </c>
    </row>
    <row r="326" spans="1:20" x14ac:dyDescent="0.25">
      <c r="A326" s="65" t="s">
        <v>586</v>
      </c>
      <c r="B326" s="6">
        <v>13.625</v>
      </c>
      <c r="C326" s="6">
        <v>17.030999999999999</v>
      </c>
      <c r="D326" s="6"/>
      <c r="F326">
        <v>67.8</v>
      </c>
      <c r="H326" s="6">
        <v>2.5</v>
      </c>
      <c r="I326" s="6">
        <v>5</v>
      </c>
      <c r="J326" s="6" t="s">
        <v>1011</v>
      </c>
      <c r="K326" s="27">
        <v>1.2</v>
      </c>
      <c r="L326" s="6">
        <v>2.5</v>
      </c>
      <c r="M326" s="6"/>
      <c r="N326">
        <f>L326*(2/2)</f>
        <v>2.5</v>
      </c>
      <c r="O326">
        <f>L326*(4/2)</f>
        <v>5</v>
      </c>
      <c r="P326">
        <f>L326*(8/2)</f>
        <v>10</v>
      </c>
    </row>
    <row r="327" spans="1:20" x14ac:dyDescent="0.25">
      <c r="A327" s="65" t="s">
        <v>587</v>
      </c>
      <c r="B327" s="6">
        <v>0</v>
      </c>
      <c r="C327" s="6">
        <v>0</v>
      </c>
      <c r="F327">
        <v>0</v>
      </c>
      <c r="I327" s="6"/>
      <c r="J327" s="6"/>
      <c r="L327" s="6"/>
      <c r="M327" s="6"/>
    </row>
    <row r="328" spans="1:20" x14ac:dyDescent="0.25">
      <c r="A328" s="65" t="s">
        <v>803</v>
      </c>
      <c r="B328" s="6">
        <v>0</v>
      </c>
      <c r="C328" s="6">
        <v>0</v>
      </c>
      <c r="D328">
        <f>0.0114752*2</f>
        <v>2.2950399999999999E-2</v>
      </c>
      <c r="E328">
        <f>0.01264*2</f>
        <v>2.528E-2</v>
      </c>
      <c r="I328" s="6"/>
      <c r="J328" s="6"/>
      <c r="L328" s="6"/>
      <c r="M328" s="6"/>
    </row>
    <row r="329" spans="1:20" x14ac:dyDescent="0.25">
      <c r="A329" s="65" t="s">
        <v>782</v>
      </c>
      <c r="B329" s="6">
        <v>-4.306</v>
      </c>
      <c r="C329" s="6">
        <v>6.19</v>
      </c>
      <c r="D329">
        <f>0.031375</f>
        <v>3.1375E-2</v>
      </c>
      <c r="E329">
        <f>0.0426</f>
        <v>4.2599999999999999E-2</v>
      </c>
      <c r="I329" s="6"/>
      <c r="J329" s="6"/>
      <c r="L329" s="6"/>
      <c r="M329" s="6"/>
    </row>
    <row r="330" spans="1:20" x14ac:dyDescent="0.25">
      <c r="A330" s="65" t="s">
        <v>783</v>
      </c>
      <c r="B330" s="6">
        <v>0</v>
      </c>
      <c r="C330" s="6">
        <v>0</v>
      </c>
      <c r="D330">
        <f>0.0114752*2</f>
        <v>2.2950399999999999E-2</v>
      </c>
      <c r="E330">
        <f>0.01264*2</f>
        <v>2.528E-2</v>
      </c>
      <c r="I330" s="6"/>
      <c r="J330" s="6"/>
      <c r="L330" s="6"/>
      <c r="M330" s="6"/>
    </row>
    <row r="331" spans="1:20" x14ac:dyDescent="0.25">
      <c r="A331" s="65" t="s">
        <v>784</v>
      </c>
      <c r="B331" s="6">
        <v>-4.306</v>
      </c>
      <c r="C331" s="6">
        <v>6.19</v>
      </c>
      <c r="D331">
        <f>0.031375</f>
        <v>3.1375E-2</v>
      </c>
      <c r="E331">
        <f>0.0426</f>
        <v>4.2599999999999999E-2</v>
      </c>
      <c r="I331" s="6"/>
      <c r="J331" s="6"/>
      <c r="L331" s="6"/>
      <c r="M331" s="6"/>
    </row>
    <row r="332" spans="1:20" x14ac:dyDescent="0.25">
      <c r="A332" s="65"/>
      <c r="B332" s="6"/>
      <c r="C332" s="6"/>
      <c r="I332" s="6"/>
      <c r="J332" s="6"/>
    </row>
    <row r="333" spans="1:20" x14ac:dyDescent="0.25">
      <c r="A333" s="7"/>
    </row>
    <row r="334" spans="1:20" x14ac:dyDescent="0.25">
      <c r="A334" s="7" t="s">
        <v>74</v>
      </c>
      <c r="B334" s="7" t="s">
        <v>91</v>
      </c>
    </row>
    <row r="335" spans="1:20" x14ac:dyDescent="0.25">
      <c r="A335" s="7" t="s">
        <v>75</v>
      </c>
      <c r="B335" s="7" t="s">
        <v>76</v>
      </c>
      <c r="P335" t="s">
        <v>946</v>
      </c>
    </row>
    <row r="336" spans="1:20" x14ac:dyDescent="0.25">
      <c r="A336" s="7" t="s">
        <v>532</v>
      </c>
      <c r="B336" s="7" t="s">
        <v>56</v>
      </c>
      <c r="C336" s="7" t="s">
        <v>78</v>
      </c>
      <c r="D336" s="7" t="s">
        <v>79</v>
      </c>
      <c r="E336" s="7" t="s">
        <v>57</v>
      </c>
      <c r="G336" s="7" t="s">
        <v>424</v>
      </c>
      <c r="K336" s="7" t="s">
        <v>531</v>
      </c>
      <c r="O336" s="7" t="s">
        <v>941</v>
      </c>
      <c r="P336" t="s">
        <v>944</v>
      </c>
      <c r="Q336" t="s">
        <v>945</v>
      </c>
    </row>
    <row r="337" spans="1:22" x14ac:dyDescent="0.25">
      <c r="A337" s="6">
        <v>1</v>
      </c>
      <c r="B337" s="46">
        <f>$K$341</f>
        <v>3.6600000000000001E-4</v>
      </c>
      <c r="C337" s="6">
        <v>1.4051999999999999E-3</v>
      </c>
      <c r="D337" s="6">
        <v>1.4051999999999999E-3</v>
      </c>
      <c r="E337" s="46">
        <f>$K$340+$G337</f>
        <v>6.6677999999999996E-4</v>
      </c>
      <c r="G337">
        <f>$G339*0.7</f>
        <v>3.8597999999999996E-4</v>
      </c>
      <c r="I337" t="s">
        <v>419</v>
      </c>
      <c r="J337">
        <v>135</v>
      </c>
      <c r="K337">
        <v>1</v>
      </c>
      <c r="M337" t="s">
        <v>529</v>
      </c>
      <c r="O337" s="6">
        <v>1.4051999999999999E-3</v>
      </c>
      <c r="P337">
        <v>8.2999999999999998E-5</v>
      </c>
      <c r="Q337">
        <v>2.9999999999999997E-4</v>
      </c>
    </row>
    <row r="338" spans="1:22" x14ac:dyDescent="0.25">
      <c r="A338" s="6" t="s">
        <v>36</v>
      </c>
      <c r="B338" s="46">
        <f>$K$341+$G338</f>
        <v>7.7954999999999995E-4</v>
      </c>
      <c r="C338">
        <f>$C$337+$G338</f>
        <v>1.8187499999999998E-3</v>
      </c>
      <c r="D338">
        <f>$D$337+$G338</f>
        <v>1.8187499999999998E-3</v>
      </c>
      <c r="E338" s="46">
        <f>$K$340+$G338</f>
        <v>6.9434999999999994E-4</v>
      </c>
      <c r="G338">
        <f>$G339*0.75</f>
        <v>4.1354999999999994E-4</v>
      </c>
      <c r="I338" t="s">
        <v>420</v>
      </c>
      <c r="J338">
        <v>191</v>
      </c>
      <c r="K338">
        <v>1.3</v>
      </c>
      <c r="M338" t="s">
        <v>530</v>
      </c>
      <c r="O338" s="6">
        <v>1.4051999999999999E-3</v>
      </c>
      <c r="U338" t="s">
        <v>942</v>
      </c>
      <c r="V338" t="s">
        <v>943</v>
      </c>
    </row>
    <row r="339" spans="1:22" x14ac:dyDescent="0.25">
      <c r="A339" s="6" t="s">
        <v>38</v>
      </c>
      <c r="B339" s="46">
        <f>$K$341+$G339</f>
        <v>9.1739999999999996E-4</v>
      </c>
      <c r="C339">
        <f>$C$337+$G339</f>
        <v>1.9565999999999997E-3</v>
      </c>
      <c r="D339">
        <f>$D$337+$G339</f>
        <v>1.9565999999999997E-3</v>
      </c>
      <c r="E339" s="46">
        <f>$K$340+$G339</f>
        <v>8.3219999999999995E-4</v>
      </c>
      <c r="G339">
        <f>($K337*$J337+$K338*$J338+$K339*$J339)*1.2/1000000</f>
        <v>5.5139999999999996E-4</v>
      </c>
      <c r="I339" t="s">
        <v>421</v>
      </c>
      <c r="J339">
        <v>254</v>
      </c>
      <c r="K339">
        <v>0.3</v>
      </c>
      <c r="M339" t="s">
        <v>57</v>
      </c>
      <c r="N339">
        <v>234</v>
      </c>
      <c r="O339" s="46">
        <f>$J340*1.2/1000000</f>
        <v>2.8079999999999999E-4</v>
      </c>
      <c r="T339">
        <v>1</v>
      </c>
      <c r="U339">
        <v>4.5166800000000001E-4</v>
      </c>
      <c r="V339">
        <v>3.8597999999999996E-4</v>
      </c>
    </row>
    <row r="340" spans="1:22" x14ac:dyDescent="0.25">
      <c r="A340" s="6" t="s">
        <v>37</v>
      </c>
      <c r="B340" s="46">
        <f>$K$341+$G340</f>
        <v>1.0001099999999998E-3</v>
      </c>
      <c r="C340">
        <f>$C$337+$G340</f>
        <v>2.0393099999999999E-3</v>
      </c>
      <c r="D340">
        <f>$D$337+$G340</f>
        <v>2.0393099999999999E-3</v>
      </c>
      <c r="E340" s="46">
        <f>$K$340+$G340</f>
        <v>9.149099999999999E-4</v>
      </c>
      <c r="G340">
        <f>$G339*1.15</f>
        <v>6.341099999999999E-4</v>
      </c>
      <c r="I340" t="s">
        <v>57</v>
      </c>
      <c r="J340">
        <v>234</v>
      </c>
      <c r="K340" s="46">
        <f>$J340*1.2/1000000</f>
        <v>2.8079999999999999E-4</v>
      </c>
      <c r="M340" t="s">
        <v>56</v>
      </c>
      <c r="N340">
        <v>305</v>
      </c>
      <c r="O340" s="46">
        <f>$J341*1.2/1000000</f>
        <v>3.6600000000000001E-4</v>
      </c>
      <c r="T340">
        <v>2</v>
      </c>
      <c r="U340">
        <v>5.4845399999999998E-4</v>
      </c>
      <c r="V340">
        <v>4.1354999999999994E-4</v>
      </c>
    </row>
    <row r="341" spans="1:22" x14ac:dyDescent="0.25">
      <c r="A341">
        <v>5</v>
      </c>
      <c r="B341" s="46">
        <f>$K$341+$G341</f>
        <v>1.08282E-3</v>
      </c>
      <c r="C341">
        <f>$C$337+$G341</f>
        <v>2.1220199999999996E-3</v>
      </c>
      <c r="D341">
        <f>$D$337+$G341</f>
        <v>2.1220199999999996E-3</v>
      </c>
      <c r="E341" s="46">
        <f>$K$340+$G341</f>
        <v>9.9761999999999984E-4</v>
      </c>
      <c r="G341">
        <f>$G339*1.3</f>
        <v>7.1681999999999996E-4</v>
      </c>
      <c r="I341" t="s">
        <v>56</v>
      </c>
      <c r="J341">
        <v>305</v>
      </c>
      <c r="K341" s="46">
        <f>$J341*1.2/1000000</f>
        <v>3.6600000000000001E-4</v>
      </c>
      <c r="T341">
        <v>3</v>
      </c>
      <c r="U341">
        <v>6.4524000000000005E-4</v>
      </c>
      <c r="V341">
        <v>5.5139999999999996E-4</v>
      </c>
    </row>
    <row r="342" spans="1:22" x14ac:dyDescent="0.25">
      <c r="B342" s="46"/>
      <c r="E342" s="46"/>
      <c r="K342" s="46"/>
      <c r="T342">
        <v>4</v>
      </c>
      <c r="U342">
        <v>7.4202600000000001E-4</v>
      </c>
      <c r="V342">
        <v>6.341099999999999E-4</v>
      </c>
    </row>
    <row r="343" spans="1:22" x14ac:dyDescent="0.25">
      <c r="A343" s="7" t="s">
        <v>552</v>
      </c>
      <c r="B343" s="7" t="s">
        <v>56</v>
      </c>
      <c r="C343" s="7" t="s">
        <v>78</v>
      </c>
      <c r="D343" s="7" t="s">
        <v>79</v>
      </c>
      <c r="E343" s="7" t="s">
        <v>57</v>
      </c>
      <c r="K343" s="46"/>
      <c r="T343">
        <v>5</v>
      </c>
      <c r="U343">
        <v>8.3881200000000009E-4</v>
      </c>
      <c r="V343">
        <v>7.1681999999999996E-4</v>
      </c>
    </row>
    <row r="344" spans="1:22" x14ac:dyDescent="0.25">
      <c r="A344" s="6">
        <v>1</v>
      </c>
      <c r="B344" s="46">
        <f>G344+$O$347</f>
        <v>9.0886799999999996E-4</v>
      </c>
      <c r="C344" s="6">
        <f>G344+$O$344</f>
        <v>1.4236679999999999E-3</v>
      </c>
      <c r="D344" s="6">
        <f>G344+$O$345</f>
        <v>9.4246800000000002E-4</v>
      </c>
      <c r="E344" s="46">
        <f>$O$346+$G344</f>
        <v>5.1406800000000001E-4</v>
      </c>
      <c r="G344">
        <f>G346*0.7</f>
        <v>4.5166800000000001E-4</v>
      </c>
      <c r="I344" t="s">
        <v>527</v>
      </c>
      <c r="J344">
        <v>105</v>
      </c>
      <c r="K344">
        <v>2.5</v>
      </c>
      <c r="M344" t="s">
        <v>529</v>
      </c>
      <c r="N344">
        <v>810</v>
      </c>
      <c r="O344">
        <f>N344*1.2/1000000</f>
        <v>9.7199999999999999E-4</v>
      </c>
      <c r="P344">
        <v>9.7E-5</v>
      </c>
      <c r="Q344">
        <v>3.5500000000000001E-4</v>
      </c>
    </row>
    <row r="345" spans="1:22" x14ac:dyDescent="0.25">
      <c r="A345" s="6" t="s">
        <v>36</v>
      </c>
      <c r="B345" s="46">
        <f>G345+$O$347</f>
        <v>1.0056539999999999E-3</v>
      </c>
      <c r="C345" s="6">
        <f>G345+$O$344</f>
        <v>1.5204540000000001E-3</v>
      </c>
      <c r="D345" s="6">
        <f>G345+$O$345</f>
        <v>1.0392539999999999E-3</v>
      </c>
      <c r="E345" s="46">
        <f>$O$346+$G345</f>
        <v>6.1085399999999998E-4</v>
      </c>
      <c r="G345">
        <f>G346*0.85</f>
        <v>5.4845399999999998E-4</v>
      </c>
      <c r="I345" t="s">
        <v>420</v>
      </c>
      <c r="J345">
        <v>115</v>
      </c>
      <c r="K345">
        <v>1.6</v>
      </c>
      <c r="M345" t="s">
        <v>530</v>
      </c>
      <c r="N345">
        <v>409</v>
      </c>
      <c r="O345">
        <f>N345*1.2/1000000</f>
        <v>4.908E-4</v>
      </c>
    </row>
    <row r="346" spans="1:22" x14ac:dyDescent="0.25">
      <c r="A346" s="6" t="s">
        <v>38</v>
      </c>
      <c r="B346" s="46">
        <f>G346+$O$347</f>
        <v>1.1024400000000001E-3</v>
      </c>
      <c r="C346" s="6">
        <f>G346+$O$344</f>
        <v>1.61724E-3</v>
      </c>
      <c r="D346" s="6">
        <f>G346+$O$345</f>
        <v>1.1360400000000001E-3</v>
      </c>
      <c r="E346" s="46">
        <f>$O$346+$G346</f>
        <v>7.0764000000000005E-4</v>
      </c>
      <c r="G346">
        <f>(J344*K344+J345*K345+J346*K346)*1.2/1000000</f>
        <v>6.4524000000000005E-4</v>
      </c>
      <c r="I346" t="s">
        <v>528</v>
      </c>
      <c r="J346">
        <v>152</v>
      </c>
      <c r="K346">
        <v>0.6</v>
      </c>
      <c r="M346" t="s">
        <v>57</v>
      </c>
      <c r="N346">
        <v>52</v>
      </c>
      <c r="O346">
        <f>N346*1.2/1000000</f>
        <v>6.2399999999999999E-5</v>
      </c>
    </row>
    <row r="347" spans="1:22" x14ac:dyDescent="0.25">
      <c r="A347" s="6" t="s">
        <v>37</v>
      </c>
      <c r="B347" s="46">
        <f>G347+$O$347</f>
        <v>1.1992260000000001E-3</v>
      </c>
      <c r="C347" s="6">
        <f>G347+$O$344</f>
        <v>1.714026E-3</v>
      </c>
      <c r="D347" s="6">
        <f>G347+$O$345</f>
        <v>1.232826E-3</v>
      </c>
      <c r="E347" s="46">
        <f>$O$346+$G347</f>
        <v>8.0442600000000001E-4</v>
      </c>
      <c r="G347">
        <f>G346*1.15</f>
        <v>7.4202600000000001E-4</v>
      </c>
      <c r="I347" t="s">
        <v>723</v>
      </c>
      <c r="J347">
        <f>J344*K344+J345*K345+J346*K346</f>
        <v>537.70000000000005</v>
      </c>
      <c r="K347" s="46"/>
      <c r="M347" t="s">
        <v>56</v>
      </c>
      <c r="N347">
        <v>381</v>
      </c>
      <c r="O347">
        <f>N347*1.2/1000000</f>
        <v>4.572E-4</v>
      </c>
    </row>
    <row r="348" spans="1:22" x14ac:dyDescent="0.25">
      <c r="A348">
        <v>5</v>
      </c>
      <c r="B348" s="46">
        <f>G348+$O$347</f>
        <v>1.296012E-3</v>
      </c>
      <c r="C348" s="6">
        <f>G348+$O$344</f>
        <v>1.8108120000000002E-3</v>
      </c>
      <c r="D348" s="6">
        <f>G348+$O$345</f>
        <v>1.329612E-3</v>
      </c>
      <c r="E348" s="46">
        <f>$O$346+$G348</f>
        <v>9.0121200000000009E-4</v>
      </c>
      <c r="G348">
        <f>G346*1.3</f>
        <v>8.3881200000000009E-4</v>
      </c>
      <c r="K348" s="46"/>
    </row>
    <row r="350" spans="1:22" x14ac:dyDescent="0.25">
      <c r="B350" s="916" t="s">
        <v>411</v>
      </c>
      <c r="C350" s="916"/>
      <c r="D350" s="916" t="s">
        <v>412</v>
      </c>
      <c r="E350" s="916"/>
      <c r="F350" s="916" t="s">
        <v>413</v>
      </c>
      <c r="G350" s="917"/>
      <c r="H350" s="7" t="s">
        <v>414</v>
      </c>
      <c r="I350" s="7" t="s">
        <v>1290</v>
      </c>
      <c r="J350" s="7" t="s">
        <v>1118</v>
      </c>
    </row>
    <row r="351" spans="1:22" x14ac:dyDescent="0.25">
      <c r="A351" s="7" t="s">
        <v>415</v>
      </c>
      <c r="B351" s="7" t="s">
        <v>416</v>
      </c>
      <c r="C351" s="7" t="s">
        <v>417</v>
      </c>
      <c r="D351" s="7" t="s">
        <v>416</v>
      </c>
      <c r="E351" s="7" t="s">
        <v>417</v>
      </c>
      <c r="F351" s="7" t="s">
        <v>416</v>
      </c>
      <c r="G351" s="7" t="s">
        <v>418</v>
      </c>
      <c r="H351" s="7" t="s">
        <v>418</v>
      </c>
      <c r="I351" s="7" t="s">
        <v>418</v>
      </c>
      <c r="J351" s="7" t="s">
        <v>418</v>
      </c>
    </row>
    <row r="352" spans="1:22" x14ac:dyDescent="0.25">
      <c r="A352" s="7" t="s">
        <v>542</v>
      </c>
      <c r="B352" s="6">
        <v>0.73</v>
      </c>
      <c r="C352">
        <v>6.7000000000000002E-3</v>
      </c>
      <c r="D352">
        <v>2.9787000000000001E-2</v>
      </c>
      <c r="E352">
        <v>1.3899999999999999E-4</v>
      </c>
      <c r="F352">
        <v>2.8666000000000001E-2</v>
      </c>
      <c r="G352">
        <v>3.4000000000000002E-4</v>
      </c>
      <c r="H352">
        <v>4.8000000000000001E-5</v>
      </c>
      <c r="I352">
        <v>5.0000000000000001E-3</v>
      </c>
      <c r="J352">
        <v>5.0000000000000001E-4</v>
      </c>
    </row>
    <row r="353" spans="1:12" x14ac:dyDescent="0.25">
      <c r="A353" s="7" t="s">
        <v>533</v>
      </c>
      <c r="B353" s="6">
        <v>0.37</v>
      </c>
      <c r="C353" s="27">
        <v>7.5880000000000001E-3</v>
      </c>
      <c r="D353" s="27">
        <v>2.9999999999999997E-4</v>
      </c>
      <c r="E353" s="27">
        <v>1.086E-4</v>
      </c>
      <c r="F353" s="27">
        <v>7.3899999999999997E-4</v>
      </c>
      <c r="G353" s="27">
        <v>3.19E-4</v>
      </c>
      <c r="H353" s="27">
        <v>2.02E-4</v>
      </c>
      <c r="I353">
        <v>5.0000000000000001E-3</v>
      </c>
      <c r="J353">
        <v>5.0000000000000001E-4</v>
      </c>
      <c r="K353">
        <f>202*1/1000000</f>
        <v>2.02E-4</v>
      </c>
      <c r="L353">
        <f>K353*1.2</f>
        <v>2.4239999999999998E-4</v>
      </c>
    </row>
    <row r="354" spans="1:12" x14ac:dyDescent="0.25">
      <c r="A354" s="7"/>
      <c r="B354" s="6"/>
      <c r="H354" s="27"/>
      <c r="K354">
        <f>185*1.2/1000000</f>
        <v>2.22E-4</v>
      </c>
    </row>
    <row r="355" spans="1:12" x14ac:dyDescent="0.25">
      <c r="A355" s="58" t="s">
        <v>654</v>
      </c>
      <c r="B355" s="7" t="s">
        <v>516</v>
      </c>
      <c r="C355" s="7" t="s">
        <v>517</v>
      </c>
      <c r="D355" s="7" t="s">
        <v>518</v>
      </c>
      <c r="E355" s="7" t="s">
        <v>519</v>
      </c>
    </row>
    <row r="356" spans="1:12" x14ac:dyDescent="0.25">
      <c r="A356" s="58" t="s">
        <v>52</v>
      </c>
      <c r="B356" s="6">
        <v>0</v>
      </c>
      <c r="C356" s="6">
        <v>0</v>
      </c>
      <c r="D356" s="59">
        <v>0</v>
      </c>
      <c r="E356" s="6">
        <v>0</v>
      </c>
    </row>
    <row r="357" spans="1:12" x14ac:dyDescent="0.25">
      <c r="A357" s="58" t="s">
        <v>51</v>
      </c>
      <c r="B357" s="6"/>
      <c r="C357" s="6"/>
      <c r="D357" s="59">
        <v>0</v>
      </c>
      <c r="E357" s="6"/>
    </row>
    <row r="358" spans="1:12" x14ac:dyDescent="0.25">
      <c r="A358" s="58"/>
      <c r="B358" s="6"/>
      <c r="C358" s="6"/>
      <c r="D358" s="59"/>
      <c r="E358" s="6"/>
    </row>
    <row r="359" spans="1:12" x14ac:dyDescent="0.25">
      <c r="A359" s="58" t="s">
        <v>653</v>
      </c>
      <c r="B359" s="6"/>
      <c r="C359" s="6"/>
      <c r="D359" s="59"/>
      <c r="E359" s="6"/>
    </row>
    <row r="360" spans="1:12" x14ac:dyDescent="0.25">
      <c r="A360" s="58" t="s">
        <v>52</v>
      </c>
      <c r="B360" s="6">
        <v>0</v>
      </c>
      <c r="C360" s="6">
        <v>0</v>
      </c>
      <c r="D360" s="59">
        <v>0</v>
      </c>
      <c r="E360" s="6"/>
    </row>
    <row r="361" spans="1:12" x14ac:dyDescent="0.25">
      <c r="A361" s="58" t="s">
        <v>51</v>
      </c>
      <c r="B361" s="6"/>
      <c r="C361" s="6"/>
      <c r="D361" s="59">
        <v>3.2000000000000002E-3</v>
      </c>
      <c r="E361" s="6"/>
    </row>
    <row r="362" spans="1:12" x14ac:dyDescent="0.25">
      <c r="A362" s="58" t="s">
        <v>655</v>
      </c>
      <c r="B362" s="6"/>
      <c r="C362" s="6"/>
      <c r="D362" s="59">
        <v>1.0460000000000001E-3</v>
      </c>
      <c r="E362" s="6"/>
    </row>
    <row r="363" spans="1:12" x14ac:dyDescent="0.25">
      <c r="A363" s="58" t="s">
        <v>656</v>
      </c>
      <c r="B363" s="6"/>
      <c r="C363" s="6"/>
      <c r="D363" s="59">
        <v>1.8799999999999999E-3</v>
      </c>
      <c r="E363" s="6"/>
    </row>
    <row r="364" spans="1:12" x14ac:dyDescent="0.25">
      <c r="A364" s="58" t="s">
        <v>657</v>
      </c>
      <c r="B364" s="6"/>
      <c r="C364" s="6"/>
      <c r="D364" s="59">
        <v>4.0000000000000001E-3</v>
      </c>
      <c r="E364" s="6"/>
    </row>
    <row r="365" spans="1:12" x14ac:dyDescent="0.25">
      <c r="A365" s="58" t="s">
        <v>658</v>
      </c>
      <c r="B365" s="6">
        <v>1.2</v>
      </c>
      <c r="C365" s="6"/>
      <c r="D365" s="6"/>
      <c r="E365" s="6"/>
    </row>
    <row r="366" spans="1:12" x14ac:dyDescent="0.25">
      <c r="A366" s="58" t="s">
        <v>659</v>
      </c>
      <c r="B366" s="6"/>
      <c r="C366" s="6"/>
      <c r="D366" s="59">
        <v>2.5312499999999999E-4</v>
      </c>
      <c r="E366" s="6"/>
    </row>
    <row r="367" spans="1:12" x14ac:dyDescent="0.25">
      <c r="E367" s="6"/>
    </row>
    <row r="368" spans="1:12" ht="13.65" customHeight="1" x14ac:dyDescent="0.25"/>
    <row r="369" spans="1:23" ht="36" customHeight="1" x14ac:dyDescent="0.25">
      <c r="A369" s="7" t="s">
        <v>561</v>
      </c>
      <c r="B369" s="6">
        <v>1</v>
      </c>
      <c r="C369" s="6">
        <v>2</v>
      </c>
      <c r="D369" s="6">
        <v>3</v>
      </c>
      <c r="E369" s="9" t="s">
        <v>111</v>
      </c>
      <c r="F369" s="9" t="s">
        <v>110</v>
      </c>
      <c r="G369" s="9" t="s">
        <v>98</v>
      </c>
      <c r="H369" s="7">
        <v>7</v>
      </c>
      <c r="I369" s="9">
        <v>8</v>
      </c>
      <c r="J369" s="9">
        <v>9</v>
      </c>
      <c r="K369" s="55" t="s">
        <v>464</v>
      </c>
      <c r="L369" s="55" t="s">
        <v>465</v>
      </c>
      <c r="M369" s="55" t="s">
        <v>466</v>
      </c>
      <c r="N369" s="56" t="s">
        <v>467</v>
      </c>
      <c r="O369" s="56" t="s">
        <v>468</v>
      </c>
      <c r="P369" s="7">
        <v>15</v>
      </c>
      <c r="Q369" s="9"/>
      <c r="R369" s="9"/>
      <c r="S369" s="9"/>
      <c r="T369" s="9"/>
      <c r="U369" s="9"/>
      <c r="V369" s="9"/>
      <c r="W369" s="9"/>
    </row>
    <row r="370" spans="1:23" x14ac:dyDescent="0.25">
      <c r="A370" s="9" t="s">
        <v>96</v>
      </c>
      <c r="B370" s="9" t="s">
        <v>115</v>
      </c>
      <c r="C370" s="9" t="s">
        <v>238</v>
      </c>
      <c r="D370" s="9" t="s">
        <v>239</v>
      </c>
      <c r="E370" s="9" t="s">
        <v>240</v>
      </c>
      <c r="F370" s="9" t="s">
        <v>54</v>
      </c>
      <c r="G370" s="9" t="s">
        <v>469</v>
      </c>
      <c r="H370" s="9" t="s">
        <v>97</v>
      </c>
      <c r="I370" s="9" t="s">
        <v>470</v>
      </c>
      <c r="J370" s="9" t="s">
        <v>471</v>
      </c>
      <c r="K370" s="9" t="s">
        <v>416</v>
      </c>
      <c r="L370" s="9" t="s">
        <v>416</v>
      </c>
      <c r="M370" s="9" t="s">
        <v>472</v>
      </c>
      <c r="N370" s="9" t="s">
        <v>472</v>
      </c>
      <c r="O370" s="6"/>
      <c r="P370" s="9" t="s">
        <v>241</v>
      </c>
      <c r="Q370" s="9"/>
      <c r="R370" s="9"/>
      <c r="S370" s="9"/>
      <c r="T370" s="9"/>
      <c r="U370" s="9"/>
      <c r="V370" s="9"/>
      <c r="W370" s="9"/>
    </row>
    <row r="371" spans="1:23" x14ac:dyDescent="0.25">
      <c r="A371" s="6" t="s">
        <v>212</v>
      </c>
      <c r="B371" s="6">
        <v>2.5</v>
      </c>
      <c r="C371" s="6">
        <v>2</v>
      </c>
      <c r="D371" s="35">
        <v>3.72533</v>
      </c>
      <c r="E371" s="6">
        <v>3.6999999999999999E-4</v>
      </c>
      <c r="F371" s="6">
        <v>2.61</v>
      </c>
      <c r="G371" s="6">
        <v>0</v>
      </c>
      <c r="H371" s="6">
        <v>0</v>
      </c>
      <c r="I371" s="6">
        <v>0</v>
      </c>
      <c r="J371" s="6">
        <v>0</v>
      </c>
      <c r="K371" s="6">
        <f>14.9-1.2</f>
        <v>13.700000000000001</v>
      </c>
      <c r="L371" s="6">
        <v>0</v>
      </c>
      <c r="M371" s="6">
        <f>B371*K371</f>
        <v>34.25</v>
      </c>
      <c r="N371" s="6">
        <f>34.25-3.6</f>
        <v>30.65</v>
      </c>
      <c r="O371" s="6">
        <v>0</v>
      </c>
      <c r="P371" s="6" t="s">
        <v>242</v>
      </c>
    </row>
    <row r="372" spans="1:23" x14ac:dyDescent="0.25">
      <c r="A372" s="6" t="s">
        <v>488</v>
      </c>
      <c r="B372" s="6">
        <v>1.8</v>
      </c>
      <c r="C372" s="6">
        <v>1</v>
      </c>
      <c r="D372" s="35">
        <f>13.55556*2</f>
        <v>27.11112</v>
      </c>
      <c r="E372" s="52">
        <f>0.00392332619047619*2</f>
        <v>7.8466523809523799E-3</v>
      </c>
      <c r="F372" s="6">
        <v>2.67</v>
      </c>
      <c r="G372" s="6">
        <v>0</v>
      </c>
      <c r="H372" s="6">
        <v>1.1000000000000001</v>
      </c>
      <c r="I372" s="6">
        <v>1.4</v>
      </c>
      <c r="J372" s="6">
        <v>0.4</v>
      </c>
      <c r="K372" s="6">
        <v>11.6</v>
      </c>
      <c r="L372" s="53">
        <v>0</v>
      </c>
      <c r="M372" s="6">
        <v>18</v>
      </c>
      <c r="N372" s="54">
        <v>6.4</v>
      </c>
      <c r="O372" s="6">
        <v>0</v>
      </c>
      <c r="P372" s="6" t="s">
        <v>473</v>
      </c>
    </row>
    <row r="373" spans="1:23" x14ac:dyDescent="0.25">
      <c r="A373" s="6" t="s">
        <v>489</v>
      </c>
      <c r="B373" s="6">
        <v>1.8</v>
      </c>
      <c r="C373" s="6">
        <v>1</v>
      </c>
      <c r="D373" s="35">
        <f>1.44444*2</f>
        <v>2.8888799999999999</v>
      </c>
      <c r="E373" s="52">
        <f>0.00606519523809524*2</f>
        <v>1.2130390476190481E-2</v>
      </c>
      <c r="F373" s="6">
        <v>2.67</v>
      </c>
      <c r="G373" s="6">
        <v>0</v>
      </c>
      <c r="H373" s="6">
        <v>1.1000000000000001</v>
      </c>
      <c r="I373" s="6">
        <v>1.4</v>
      </c>
      <c r="J373" s="6">
        <v>0.4</v>
      </c>
      <c r="K373" s="6">
        <v>24.4</v>
      </c>
      <c r="L373" s="53">
        <v>0</v>
      </c>
      <c r="M373" s="53">
        <v>36</v>
      </c>
      <c r="N373" s="27">
        <v>12.8</v>
      </c>
      <c r="O373" s="6">
        <v>0</v>
      </c>
      <c r="P373" s="6" t="s">
        <v>474</v>
      </c>
    </row>
    <row r="374" spans="1:23" x14ac:dyDescent="0.25">
      <c r="A374" s="6" t="s">
        <v>490</v>
      </c>
      <c r="B374" s="6">
        <v>1.8</v>
      </c>
      <c r="C374" s="6">
        <v>1</v>
      </c>
      <c r="D374" s="35">
        <v>40.88888</v>
      </c>
      <c r="E374" s="52">
        <f>0.00565732261904762*2</f>
        <v>1.131464523809524E-2</v>
      </c>
      <c r="F374" s="6">
        <v>2.67</v>
      </c>
      <c r="G374" s="6">
        <v>0</v>
      </c>
      <c r="H374" s="6">
        <v>1.1000000000000001</v>
      </c>
      <c r="I374" s="6">
        <v>1.4</v>
      </c>
      <c r="J374" s="6">
        <v>0.4</v>
      </c>
      <c r="K374" s="6">
        <v>1.04</v>
      </c>
      <c r="L374" s="53">
        <v>0</v>
      </c>
      <c r="M374" s="53">
        <v>18</v>
      </c>
      <c r="N374" s="54">
        <v>9.6</v>
      </c>
      <c r="O374" s="6">
        <v>0</v>
      </c>
      <c r="P374" s="54" t="s">
        <v>475</v>
      </c>
    </row>
    <row r="375" spans="1:23" x14ac:dyDescent="0.25">
      <c r="A375" s="6" t="s">
        <v>491</v>
      </c>
      <c r="B375" s="6">
        <v>1.8</v>
      </c>
      <c r="C375" s="6">
        <v>1</v>
      </c>
      <c r="D375" s="35">
        <f>12.5731*2</f>
        <v>25.1462</v>
      </c>
      <c r="E375" s="52">
        <f>0.00215626666666667*2</f>
        <v>4.3125333333333396E-3</v>
      </c>
      <c r="F375" s="6">
        <v>2.67</v>
      </c>
      <c r="G375" s="6">
        <v>0</v>
      </c>
      <c r="H375" s="6">
        <v>1.1000000000000001</v>
      </c>
      <c r="I375" s="6">
        <v>1.3</v>
      </c>
      <c r="J375" s="6">
        <v>0.54</v>
      </c>
      <c r="K375" s="6">
        <v>9.4</v>
      </c>
      <c r="L375" s="53">
        <v>0</v>
      </c>
      <c r="M375" s="53">
        <v>13.68</v>
      </c>
      <c r="N375" s="27">
        <v>7.2</v>
      </c>
      <c r="O375" s="6">
        <v>0</v>
      </c>
      <c r="P375" s="6" t="s">
        <v>476</v>
      </c>
    </row>
    <row r="376" spans="1:23" x14ac:dyDescent="0.25">
      <c r="A376" s="6" t="s">
        <v>492</v>
      </c>
      <c r="B376" s="6">
        <v>1.8</v>
      </c>
      <c r="C376" s="6">
        <v>1</v>
      </c>
      <c r="D376" s="35">
        <f>13*2</f>
        <v>26</v>
      </c>
      <c r="E376" s="52">
        <f>0.00575738928571428*2</f>
        <v>1.1514778571428561E-2</v>
      </c>
      <c r="F376" s="6">
        <v>2.67</v>
      </c>
      <c r="G376" s="6">
        <v>0</v>
      </c>
      <c r="H376" s="6">
        <v>1.1000000000000001</v>
      </c>
      <c r="I376" s="6">
        <v>1.4</v>
      </c>
      <c r="J376" s="6">
        <v>0.4</v>
      </c>
      <c r="K376" s="6">
        <v>16.2</v>
      </c>
      <c r="L376" s="53">
        <v>0</v>
      </c>
      <c r="M376" s="53">
        <v>36</v>
      </c>
      <c r="N376" s="27">
        <v>10.8</v>
      </c>
      <c r="O376" s="6">
        <v>0</v>
      </c>
      <c r="P376" s="6" t="s">
        <v>477</v>
      </c>
    </row>
    <row r="377" spans="1:23" x14ac:dyDescent="0.25">
      <c r="A377" s="6" t="s">
        <v>493</v>
      </c>
      <c r="B377" s="6">
        <v>2.5</v>
      </c>
      <c r="C377" s="6">
        <v>1</v>
      </c>
      <c r="D377" s="35">
        <f>9.81871*2</f>
        <v>19.637419999999999</v>
      </c>
      <c r="E377" s="52">
        <f>0.00216699880952381*2</f>
        <v>4.3339976190476196E-3</v>
      </c>
      <c r="F377" s="6">
        <v>2.72</v>
      </c>
      <c r="G377" s="6">
        <v>0</v>
      </c>
      <c r="H377" s="6">
        <v>1.1000000000000001</v>
      </c>
      <c r="I377" s="6">
        <v>1.8</v>
      </c>
      <c r="J377" s="6">
        <v>0.66</v>
      </c>
      <c r="K377" s="6">
        <v>15.6</v>
      </c>
      <c r="L377" s="53">
        <v>0</v>
      </c>
      <c r="M377" s="53">
        <v>28.5</v>
      </c>
      <c r="N377" s="54">
        <v>10.6</v>
      </c>
      <c r="O377" s="6">
        <v>0</v>
      </c>
      <c r="P377" s="54" t="s">
        <v>478</v>
      </c>
    </row>
    <row r="378" spans="1:23" x14ac:dyDescent="0.25">
      <c r="A378" s="6" t="s">
        <v>494</v>
      </c>
      <c r="B378" s="6">
        <v>2.5</v>
      </c>
      <c r="C378" s="6">
        <v>1</v>
      </c>
      <c r="D378" s="35">
        <f>13.28571*2</f>
        <v>26.57142</v>
      </c>
      <c r="E378" s="52">
        <f>0.00456738333333333*2</f>
        <v>9.1347666666666601E-3</v>
      </c>
      <c r="F378" s="6">
        <v>2.72</v>
      </c>
      <c r="G378" s="6">
        <v>0</v>
      </c>
      <c r="H378" s="6">
        <v>1.1000000000000001</v>
      </c>
      <c r="I378" s="6">
        <v>2</v>
      </c>
      <c r="J378" s="6">
        <v>0.46</v>
      </c>
      <c r="K378" s="6">
        <v>20.8</v>
      </c>
      <c r="L378" s="53">
        <v>0</v>
      </c>
      <c r="M378" s="53">
        <v>77</v>
      </c>
      <c r="N378" s="27">
        <v>15</v>
      </c>
      <c r="O378" s="6">
        <v>0</v>
      </c>
      <c r="P378" s="6" t="s">
        <v>479</v>
      </c>
    </row>
    <row r="379" spans="1:23" x14ac:dyDescent="0.25">
      <c r="A379" s="6" t="s">
        <v>495</v>
      </c>
      <c r="B379" s="6">
        <v>3.3</v>
      </c>
      <c r="C379" s="6">
        <v>1</v>
      </c>
      <c r="D379" s="35">
        <f>9.81871*2</f>
        <v>19.637419999999999</v>
      </c>
      <c r="E379" s="52">
        <f>0.00216699880952381*2</f>
        <v>4.3339976190476196E-3</v>
      </c>
      <c r="F379" s="6">
        <v>2.72</v>
      </c>
      <c r="G379" s="6">
        <v>0</v>
      </c>
      <c r="H379" s="6">
        <v>1.1000000000000001</v>
      </c>
      <c r="I379" s="6">
        <v>1.8</v>
      </c>
      <c r="J379" s="6">
        <v>0.66</v>
      </c>
      <c r="K379" s="6">
        <v>15.6</v>
      </c>
      <c r="L379" s="53">
        <v>0</v>
      </c>
      <c r="M379" s="53">
        <v>28.5</v>
      </c>
      <c r="N379" s="54">
        <v>10.6</v>
      </c>
      <c r="O379" s="6">
        <v>0</v>
      </c>
      <c r="P379" s="6" t="s">
        <v>480</v>
      </c>
    </row>
    <row r="380" spans="1:23" x14ac:dyDescent="0.25">
      <c r="A380" s="6" t="s">
        <v>496</v>
      </c>
      <c r="B380" s="6">
        <v>3.3</v>
      </c>
      <c r="C380" s="6">
        <v>1</v>
      </c>
      <c r="D380" s="35">
        <f>13.28571*2</f>
        <v>26.57142</v>
      </c>
      <c r="E380" s="52">
        <f>0.00456738333333333*2</f>
        <v>9.1347666666666601E-3</v>
      </c>
      <c r="F380" s="6">
        <v>2.72</v>
      </c>
      <c r="G380" s="6">
        <v>0</v>
      </c>
      <c r="H380" s="6">
        <v>1.1000000000000001</v>
      </c>
      <c r="I380" s="6">
        <v>2</v>
      </c>
      <c r="J380" s="6">
        <v>0.46</v>
      </c>
      <c r="K380" s="6">
        <v>20.8</v>
      </c>
      <c r="L380" s="53">
        <v>0</v>
      </c>
      <c r="M380" s="53">
        <v>77</v>
      </c>
      <c r="N380" s="27">
        <v>15</v>
      </c>
      <c r="O380" s="6">
        <v>0</v>
      </c>
      <c r="P380" s="6" t="s">
        <v>481</v>
      </c>
    </row>
    <row r="381" spans="1:23" x14ac:dyDescent="0.25">
      <c r="A381" s="6" t="s">
        <v>134</v>
      </c>
      <c r="B381" s="6">
        <v>1.5</v>
      </c>
      <c r="C381" s="6">
        <v>1</v>
      </c>
      <c r="D381" s="35">
        <v>15.71429</v>
      </c>
      <c r="E381" s="52">
        <v>3.5184892857142861E-3</v>
      </c>
      <c r="F381" s="6">
        <v>2.72</v>
      </c>
      <c r="G381" s="6">
        <v>0</v>
      </c>
      <c r="H381" s="6">
        <v>1.1000000000000001</v>
      </c>
      <c r="I381" s="6">
        <v>1.1000000000000001</v>
      </c>
      <c r="J381" s="6">
        <v>0.4</v>
      </c>
      <c r="K381" s="6">
        <v>4.8</v>
      </c>
      <c r="L381" s="53">
        <v>15</v>
      </c>
      <c r="M381" s="53">
        <v>5.25</v>
      </c>
      <c r="N381" s="54">
        <v>3.2</v>
      </c>
      <c r="O381" s="6">
        <v>0</v>
      </c>
      <c r="P381" s="54" t="s">
        <v>347</v>
      </c>
    </row>
    <row r="382" spans="1:23" x14ac:dyDescent="0.25">
      <c r="A382" s="6" t="s">
        <v>136</v>
      </c>
      <c r="B382" s="6">
        <v>1.8</v>
      </c>
      <c r="C382" s="6">
        <v>1</v>
      </c>
      <c r="D382" s="35">
        <v>13.55556</v>
      </c>
      <c r="E382" s="52">
        <v>3.9233261904761899E-3</v>
      </c>
      <c r="F382" s="6">
        <v>2.67</v>
      </c>
      <c r="G382" s="6">
        <v>0</v>
      </c>
      <c r="H382" s="6">
        <v>1.1000000000000001</v>
      </c>
      <c r="I382" s="6">
        <v>1.4</v>
      </c>
      <c r="J382" s="6">
        <v>0.4</v>
      </c>
      <c r="K382" s="6">
        <v>5.8</v>
      </c>
      <c r="L382" s="53">
        <v>18</v>
      </c>
      <c r="M382" s="53">
        <v>9</v>
      </c>
      <c r="N382" s="54">
        <v>3.2</v>
      </c>
      <c r="O382" s="6">
        <v>0</v>
      </c>
      <c r="P382" s="54" t="s">
        <v>243</v>
      </c>
    </row>
    <row r="383" spans="1:23" x14ac:dyDescent="0.25">
      <c r="A383" s="6" t="s">
        <v>350</v>
      </c>
      <c r="B383" s="6">
        <v>1.8</v>
      </c>
      <c r="C383" s="6">
        <v>1</v>
      </c>
      <c r="D383" s="35">
        <v>1.4444399999999999</v>
      </c>
      <c r="E383" s="52">
        <v>6.0651952380952386E-3</v>
      </c>
      <c r="F383" s="6">
        <v>2.67</v>
      </c>
      <c r="G383" s="6">
        <v>0</v>
      </c>
      <c r="H383" s="6">
        <v>1.1000000000000001</v>
      </c>
      <c r="I383" s="6">
        <v>1.4</v>
      </c>
      <c r="J383" s="6">
        <v>0.4</v>
      </c>
      <c r="K383" s="6">
        <v>12.2</v>
      </c>
      <c r="L383" s="53">
        <v>18</v>
      </c>
      <c r="M383" s="53">
        <v>18</v>
      </c>
      <c r="N383" s="54">
        <v>6.4</v>
      </c>
      <c r="O383" s="6">
        <v>0</v>
      </c>
      <c r="P383" s="54" t="s">
        <v>351</v>
      </c>
    </row>
    <row r="384" spans="1:23" x14ac:dyDescent="0.25">
      <c r="A384" s="6" t="s">
        <v>348</v>
      </c>
      <c r="B384" s="6">
        <v>1.5</v>
      </c>
      <c r="C384" s="6">
        <v>1</v>
      </c>
      <c r="D384" s="35">
        <v>22.190480000000001</v>
      </c>
      <c r="E384" s="52">
        <v>7.6896476190476196E-3</v>
      </c>
      <c r="F384" s="6">
        <v>2.72</v>
      </c>
      <c r="G384" s="6">
        <v>0</v>
      </c>
      <c r="H384" s="6">
        <v>1.1000000000000001</v>
      </c>
      <c r="I384" s="6">
        <v>1.1000000000000001</v>
      </c>
      <c r="J384" s="6">
        <v>0.4</v>
      </c>
      <c r="K384" s="6">
        <v>0.48</v>
      </c>
      <c r="L384" s="53">
        <v>15</v>
      </c>
      <c r="M384" s="53">
        <v>5.25</v>
      </c>
      <c r="N384" s="54">
        <v>0.72</v>
      </c>
      <c r="O384" s="6">
        <v>0</v>
      </c>
      <c r="P384" s="54" t="s">
        <v>349</v>
      </c>
    </row>
    <row r="385" spans="1:16" x14ac:dyDescent="0.25">
      <c r="A385" s="6" t="s">
        <v>135</v>
      </c>
      <c r="B385" s="6">
        <v>1.8</v>
      </c>
      <c r="C385" s="6">
        <v>1</v>
      </c>
      <c r="D385" s="35">
        <v>20.44444</v>
      </c>
      <c r="E385" s="52">
        <v>5.6573226190476198E-3</v>
      </c>
      <c r="F385" s="6">
        <v>2.67</v>
      </c>
      <c r="G385" s="6">
        <v>0</v>
      </c>
      <c r="H385" s="6">
        <v>1.1000000000000001</v>
      </c>
      <c r="I385" s="6">
        <v>1.4</v>
      </c>
      <c r="J385" s="6">
        <v>0.4</v>
      </c>
      <c r="K385" s="6">
        <v>0.52</v>
      </c>
      <c r="L385" s="53">
        <v>18</v>
      </c>
      <c r="M385" s="53">
        <v>9</v>
      </c>
      <c r="N385" s="54">
        <v>0.93600000000000005</v>
      </c>
      <c r="O385" s="6">
        <v>0</v>
      </c>
      <c r="P385" s="54" t="s">
        <v>244</v>
      </c>
    </row>
    <row r="386" spans="1:16" x14ac:dyDescent="0.25">
      <c r="A386" s="6" t="s">
        <v>340</v>
      </c>
      <c r="B386" s="6">
        <v>1.2</v>
      </c>
      <c r="C386" s="6">
        <v>1</v>
      </c>
      <c r="D386" s="35">
        <v>12.58667</v>
      </c>
      <c r="E386" s="52">
        <v>1.231525E-3</v>
      </c>
      <c r="F386" s="6">
        <v>0</v>
      </c>
      <c r="G386" s="6">
        <v>0</v>
      </c>
      <c r="H386" s="6">
        <v>0</v>
      </c>
      <c r="I386" s="6">
        <v>0</v>
      </c>
      <c r="J386" s="6">
        <v>0</v>
      </c>
      <c r="K386" s="6">
        <v>0</v>
      </c>
      <c r="L386" s="53">
        <v>0</v>
      </c>
      <c r="M386" s="53">
        <v>0</v>
      </c>
      <c r="N386" s="54">
        <v>0</v>
      </c>
      <c r="O386" s="6">
        <v>0</v>
      </c>
      <c r="P386" s="54" t="s">
        <v>342</v>
      </c>
    </row>
    <row r="387" spans="1:16" x14ac:dyDescent="0.25">
      <c r="A387" s="6" t="s">
        <v>341</v>
      </c>
      <c r="B387" s="6">
        <v>1.2</v>
      </c>
      <c r="C387" s="6">
        <v>1</v>
      </c>
      <c r="D387" s="35">
        <v>16.751999999999999</v>
      </c>
      <c r="E387" s="52">
        <v>1.231525E-3</v>
      </c>
      <c r="F387" s="6">
        <v>0</v>
      </c>
      <c r="G387" s="6">
        <v>0</v>
      </c>
      <c r="H387" s="6">
        <v>0</v>
      </c>
      <c r="I387" s="6">
        <v>0</v>
      </c>
      <c r="J387" s="6">
        <v>0</v>
      </c>
      <c r="K387" s="6">
        <v>0</v>
      </c>
      <c r="L387" s="53">
        <v>0</v>
      </c>
      <c r="M387" s="53">
        <v>0</v>
      </c>
      <c r="N387" s="54">
        <v>0</v>
      </c>
      <c r="O387" s="6">
        <v>0</v>
      </c>
      <c r="P387" s="54" t="s">
        <v>343</v>
      </c>
    </row>
    <row r="388" spans="1:16" x14ac:dyDescent="0.25">
      <c r="A388" s="6" t="s">
        <v>352</v>
      </c>
      <c r="B388" s="6">
        <v>1.2</v>
      </c>
      <c r="C388" s="6">
        <v>1</v>
      </c>
      <c r="D388" s="35">
        <v>17.72</v>
      </c>
      <c r="E388" s="52">
        <v>1.5522202380952382E-3</v>
      </c>
      <c r="F388" s="6">
        <v>0</v>
      </c>
      <c r="G388" s="6">
        <v>0</v>
      </c>
      <c r="H388" s="6">
        <v>0</v>
      </c>
      <c r="I388" s="6">
        <v>0</v>
      </c>
      <c r="J388" s="6">
        <v>0</v>
      </c>
      <c r="K388" s="6">
        <v>0</v>
      </c>
      <c r="L388" s="53">
        <v>0</v>
      </c>
      <c r="M388" s="53">
        <v>0</v>
      </c>
      <c r="N388" s="54">
        <v>0</v>
      </c>
      <c r="O388" s="6">
        <v>0</v>
      </c>
      <c r="P388" s="54" t="s">
        <v>356</v>
      </c>
    </row>
    <row r="389" spans="1:16" x14ac:dyDescent="0.25">
      <c r="A389" s="6" t="s">
        <v>353</v>
      </c>
      <c r="B389" s="6">
        <v>1.2</v>
      </c>
      <c r="C389" s="6">
        <v>1</v>
      </c>
      <c r="D389" s="35">
        <v>17.706559999999996</v>
      </c>
      <c r="E389" s="52">
        <v>1.5522202380952382E-3</v>
      </c>
      <c r="F389" s="6">
        <v>0</v>
      </c>
      <c r="G389" s="6">
        <v>0</v>
      </c>
      <c r="H389" s="6">
        <v>0</v>
      </c>
      <c r="I389" s="6">
        <v>0</v>
      </c>
      <c r="J389" s="6">
        <v>0</v>
      </c>
      <c r="K389" s="6">
        <v>0</v>
      </c>
      <c r="L389" s="53">
        <v>0</v>
      </c>
      <c r="M389" s="53">
        <v>0</v>
      </c>
      <c r="N389" s="54">
        <v>0</v>
      </c>
      <c r="O389" s="6">
        <v>0</v>
      </c>
      <c r="P389" s="54" t="s">
        <v>357</v>
      </c>
    </row>
    <row r="390" spans="1:16" x14ac:dyDescent="0.25">
      <c r="A390" s="6" t="s">
        <v>354</v>
      </c>
      <c r="B390" s="6">
        <v>1.2</v>
      </c>
      <c r="C390" s="6">
        <v>1</v>
      </c>
      <c r="D390" s="35">
        <v>23</v>
      </c>
      <c r="E390" s="52">
        <v>2.7123738095238092E-3</v>
      </c>
      <c r="F390" s="6">
        <v>0</v>
      </c>
      <c r="G390" s="6">
        <v>0</v>
      </c>
      <c r="H390" s="6">
        <v>0</v>
      </c>
      <c r="I390" s="6">
        <v>0</v>
      </c>
      <c r="J390" s="6">
        <v>0</v>
      </c>
      <c r="K390" s="6">
        <v>0</v>
      </c>
      <c r="L390" s="53">
        <v>0</v>
      </c>
      <c r="M390" s="53">
        <v>0</v>
      </c>
      <c r="N390" s="54">
        <v>0</v>
      </c>
      <c r="O390" s="6">
        <v>0</v>
      </c>
      <c r="P390" s="54" t="s">
        <v>358</v>
      </c>
    </row>
    <row r="391" spans="1:16" x14ac:dyDescent="0.25">
      <c r="A391" s="6" t="s">
        <v>355</v>
      </c>
      <c r="B391" s="6">
        <v>1.2</v>
      </c>
      <c r="C391" s="6">
        <v>1</v>
      </c>
      <c r="D391" s="35">
        <v>22.983999999999995</v>
      </c>
      <c r="E391" s="52">
        <v>2.7123738095238092E-3</v>
      </c>
      <c r="F391" s="6">
        <v>0</v>
      </c>
      <c r="G391" s="6">
        <v>0</v>
      </c>
      <c r="H391" s="6">
        <v>0</v>
      </c>
      <c r="I391" s="6">
        <v>0</v>
      </c>
      <c r="J391" s="6">
        <v>0</v>
      </c>
      <c r="K391" s="6">
        <v>0</v>
      </c>
      <c r="L391" s="53">
        <v>0</v>
      </c>
      <c r="M391" s="53">
        <v>0</v>
      </c>
      <c r="N391" s="54">
        <v>0</v>
      </c>
      <c r="O391" s="6">
        <v>0</v>
      </c>
      <c r="P391" s="54" t="s">
        <v>359</v>
      </c>
    </row>
    <row r="392" spans="1:16" x14ac:dyDescent="0.25">
      <c r="A392" s="6" t="s">
        <v>181</v>
      </c>
      <c r="B392" s="6">
        <v>1.5</v>
      </c>
      <c r="C392" s="6">
        <v>1</v>
      </c>
      <c r="D392" s="35">
        <v>12.58667</v>
      </c>
      <c r="E392" s="52">
        <v>1.231525E-3</v>
      </c>
      <c r="F392" s="6">
        <v>0</v>
      </c>
      <c r="G392" s="6">
        <v>0</v>
      </c>
      <c r="H392" s="6">
        <v>0</v>
      </c>
      <c r="I392" s="6">
        <v>0</v>
      </c>
      <c r="J392" s="6">
        <v>0</v>
      </c>
      <c r="K392" s="6">
        <v>0</v>
      </c>
      <c r="L392" s="53">
        <v>0</v>
      </c>
      <c r="M392" s="53">
        <v>0</v>
      </c>
      <c r="N392" s="54">
        <v>0</v>
      </c>
      <c r="O392" s="6">
        <v>0</v>
      </c>
      <c r="P392" s="54" t="s">
        <v>245</v>
      </c>
    </row>
    <row r="393" spans="1:16" x14ac:dyDescent="0.25">
      <c r="A393" s="6" t="s">
        <v>149</v>
      </c>
      <c r="B393" s="6">
        <v>1.5</v>
      </c>
      <c r="C393" s="6">
        <v>1</v>
      </c>
      <c r="D393" s="35">
        <v>16.751999999999999</v>
      </c>
      <c r="E393" s="52">
        <v>1.231525E-3</v>
      </c>
      <c r="F393" s="6">
        <v>0</v>
      </c>
      <c r="G393" s="6">
        <v>0</v>
      </c>
      <c r="H393" s="6">
        <v>0</v>
      </c>
      <c r="I393" s="6">
        <v>0</v>
      </c>
      <c r="J393" s="6">
        <v>0</v>
      </c>
      <c r="K393" s="6">
        <v>0</v>
      </c>
      <c r="L393" s="53">
        <v>0</v>
      </c>
      <c r="M393" s="53">
        <v>0</v>
      </c>
      <c r="N393" s="54">
        <v>0</v>
      </c>
      <c r="O393" s="6">
        <v>0</v>
      </c>
      <c r="P393" s="54" t="s">
        <v>246</v>
      </c>
    </row>
    <row r="394" spans="1:16" x14ac:dyDescent="0.25">
      <c r="A394" s="6" t="s">
        <v>182</v>
      </c>
      <c r="B394" s="6">
        <v>1.5</v>
      </c>
      <c r="C394" s="6">
        <v>1</v>
      </c>
      <c r="D394" s="35">
        <v>17.72</v>
      </c>
      <c r="E394" s="52">
        <v>1.5522202380952382E-3</v>
      </c>
      <c r="F394" s="6">
        <v>0</v>
      </c>
      <c r="G394" s="6">
        <v>0</v>
      </c>
      <c r="H394" s="6">
        <v>0</v>
      </c>
      <c r="I394" s="6">
        <v>0</v>
      </c>
      <c r="J394" s="6">
        <v>0</v>
      </c>
      <c r="K394" s="6">
        <v>0</v>
      </c>
      <c r="L394" s="53">
        <v>0</v>
      </c>
      <c r="M394" s="53">
        <v>0</v>
      </c>
      <c r="N394" s="54">
        <v>0</v>
      </c>
      <c r="O394" s="6">
        <v>0</v>
      </c>
      <c r="P394" s="54" t="s">
        <v>247</v>
      </c>
    </row>
    <row r="395" spans="1:16" x14ac:dyDescent="0.25">
      <c r="A395" s="6" t="s">
        <v>150</v>
      </c>
      <c r="B395" s="6">
        <v>1.5</v>
      </c>
      <c r="C395" s="6">
        <v>1</v>
      </c>
      <c r="D395" s="35">
        <v>17.706559999999996</v>
      </c>
      <c r="E395" s="52">
        <v>1.5522202380952382E-3</v>
      </c>
      <c r="F395" s="6">
        <v>0</v>
      </c>
      <c r="G395" s="6">
        <v>0</v>
      </c>
      <c r="H395" s="6">
        <v>0</v>
      </c>
      <c r="I395" s="6">
        <v>0</v>
      </c>
      <c r="J395" s="6">
        <v>0</v>
      </c>
      <c r="K395" s="6">
        <v>0</v>
      </c>
      <c r="L395" s="53">
        <v>0</v>
      </c>
      <c r="M395" s="53">
        <v>0</v>
      </c>
      <c r="N395" s="54">
        <v>0</v>
      </c>
      <c r="O395" s="6">
        <v>0</v>
      </c>
      <c r="P395" s="54" t="s">
        <v>248</v>
      </c>
    </row>
    <row r="396" spans="1:16" x14ac:dyDescent="0.25">
      <c r="A396" s="6" t="s">
        <v>183</v>
      </c>
      <c r="B396" s="6">
        <v>1.5</v>
      </c>
      <c r="C396" s="6">
        <v>1</v>
      </c>
      <c r="D396" s="35">
        <v>23</v>
      </c>
      <c r="E396" s="52">
        <v>2.7123738095238092E-3</v>
      </c>
      <c r="F396" s="6">
        <v>0</v>
      </c>
      <c r="G396" s="6">
        <v>0</v>
      </c>
      <c r="H396" s="6">
        <v>0</v>
      </c>
      <c r="I396" s="6">
        <v>0</v>
      </c>
      <c r="J396" s="6">
        <v>0</v>
      </c>
      <c r="K396" s="6">
        <v>0</v>
      </c>
      <c r="L396" s="53">
        <v>0</v>
      </c>
      <c r="M396" s="53">
        <v>0</v>
      </c>
      <c r="N396" s="54">
        <v>0</v>
      </c>
      <c r="O396" s="6">
        <v>0</v>
      </c>
      <c r="P396" s="54" t="s">
        <v>249</v>
      </c>
    </row>
    <row r="397" spans="1:16" x14ac:dyDescent="0.25">
      <c r="A397" s="6" t="s">
        <v>151</v>
      </c>
      <c r="B397" s="6">
        <v>1.5</v>
      </c>
      <c r="C397" s="6">
        <v>1</v>
      </c>
      <c r="D397" s="35">
        <v>22.983999999999995</v>
      </c>
      <c r="E397" s="52">
        <v>2.7123738095238092E-3</v>
      </c>
      <c r="F397" s="6">
        <v>0</v>
      </c>
      <c r="G397" s="6">
        <v>0</v>
      </c>
      <c r="H397" s="6">
        <v>0</v>
      </c>
      <c r="I397" s="6">
        <v>0</v>
      </c>
      <c r="J397" s="6">
        <v>0</v>
      </c>
      <c r="K397" s="6">
        <v>0</v>
      </c>
      <c r="L397" s="53">
        <v>0</v>
      </c>
      <c r="M397" s="53">
        <v>0</v>
      </c>
      <c r="N397" s="54">
        <v>0</v>
      </c>
      <c r="O397" s="6">
        <v>0</v>
      </c>
      <c r="P397" s="54" t="s">
        <v>250</v>
      </c>
    </row>
    <row r="398" spans="1:16" x14ac:dyDescent="0.25">
      <c r="A398" s="6" t="s">
        <v>184</v>
      </c>
      <c r="B398" s="6">
        <v>1.5</v>
      </c>
      <c r="C398" s="6">
        <v>1</v>
      </c>
      <c r="D398" s="35">
        <v>28.28</v>
      </c>
      <c r="E398" s="52">
        <v>1.6531404761904759E-3</v>
      </c>
      <c r="F398" s="6">
        <v>0</v>
      </c>
      <c r="G398" s="6">
        <v>0</v>
      </c>
      <c r="H398" s="6">
        <v>0</v>
      </c>
      <c r="I398" s="6">
        <v>0</v>
      </c>
      <c r="J398" s="6">
        <v>0</v>
      </c>
      <c r="K398" s="6">
        <v>0</v>
      </c>
      <c r="L398" s="53">
        <v>0</v>
      </c>
      <c r="M398" s="53">
        <v>0</v>
      </c>
      <c r="N398" s="54">
        <v>0</v>
      </c>
      <c r="O398" s="6">
        <v>0</v>
      </c>
      <c r="P398" s="54" t="s">
        <v>251</v>
      </c>
    </row>
    <row r="399" spans="1:16" x14ac:dyDescent="0.25">
      <c r="A399" s="6" t="s">
        <v>152</v>
      </c>
      <c r="B399" s="6">
        <v>1.5</v>
      </c>
      <c r="C399" s="6">
        <v>1</v>
      </c>
      <c r="D399" s="35">
        <v>26.183599999999991</v>
      </c>
      <c r="E399" s="52">
        <v>1.6531404761904759E-3</v>
      </c>
      <c r="F399" s="6">
        <v>0</v>
      </c>
      <c r="G399" s="6">
        <v>0</v>
      </c>
      <c r="H399" s="6">
        <v>0</v>
      </c>
      <c r="I399" s="6">
        <v>0</v>
      </c>
      <c r="J399" s="6">
        <v>0</v>
      </c>
      <c r="K399" s="6">
        <v>0</v>
      </c>
      <c r="L399" s="53">
        <v>0</v>
      </c>
      <c r="M399" s="53">
        <v>0</v>
      </c>
      <c r="N399" s="54">
        <v>0</v>
      </c>
      <c r="O399" s="6">
        <v>0</v>
      </c>
      <c r="P399" s="54" t="s">
        <v>252</v>
      </c>
    </row>
    <row r="400" spans="1:16" x14ac:dyDescent="0.25">
      <c r="A400" s="6" t="s">
        <v>185</v>
      </c>
      <c r="B400" s="6">
        <v>1.5</v>
      </c>
      <c r="C400" s="6">
        <v>1</v>
      </c>
      <c r="D400" s="35">
        <v>24.50333333333333</v>
      </c>
      <c r="E400" s="52">
        <v>3.1101619047619045E-3</v>
      </c>
      <c r="F400" s="6">
        <v>0</v>
      </c>
      <c r="G400" s="6">
        <v>0</v>
      </c>
      <c r="H400" s="6">
        <v>0</v>
      </c>
      <c r="I400" s="6">
        <v>0</v>
      </c>
      <c r="J400" s="6">
        <v>0</v>
      </c>
      <c r="K400" s="6">
        <v>0</v>
      </c>
      <c r="L400" s="53">
        <v>0</v>
      </c>
      <c r="M400" s="53">
        <v>0</v>
      </c>
      <c r="N400" s="54">
        <v>0</v>
      </c>
      <c r="O400" s="6">
        <v>0</v>
      </c>
      <c r="P400" s="54" t="s">
        <v>253</v>
      </c>
    </row>
    <row r="401" spans="1:16" x14ac:dyDescent="0.25">
      <c r="A401" s="6" t="s">
        <v>153</v>
      </c>
      <c r="B401" s="6">
        <v>1.5</v>
      </c>
      <c r="C401" s="6">
        <v>1</v>
      </c>
      <c r="D401" s="35">
        <v>25.770666666666656</v>
      </c>
      <c r="E401" s="52">
        <v>3.1101619047619045E-3</v>
      </c>
      <c r="F401" s="6">
        <v>0</v>
      </c>
      <c r="G401" s="6">
        <v>0</v>
      </c>
      <c r="H401" s="6">
        <v>0</v>
      </c>
      <c r="I401" s="6">
        <v>0</v>
      </c>
      <c r="J401" s="6">
        <v>0</v>
      </c>
      <c r="K401" s="6">
        <v>0</v>
      </c>
      <c r="L401" s="53">
        <v>0</v>
      </c>
      <c r="M401" s="53">
        <v>0</v>
      </c>
      <c r="N401" s="54">
        <v>0</v>
      </c>
      <c r="O401" s="6">
        <v>0</v>
      </c>
      <c r="P401" s="54" t="s">
        <v>254</v>
      </c>
    </row>
    <row r="402" spans="1:16" x14ac:dyDescent="0.25">
      <c r="A402" s="6" t="s">
        <v>186</v>
      </c>
      <c r="B402" s="6">
        <v>1.8</v>
      </c>
      <c r="C402" s="6">
        <v>1</v>
      </c>
      <c r="D402" s="35">
        <v>14.7</v>
      </c>
      <c r="E402" s="52">
        <v>1.2312190476190476E-3</v>
      </c>
      <c r="F402" s="6">
        <v>0</v>
      </c>
      <c r="G402" s="6">
        <v>0</v>
      </c>
      <c r="H402" s="6">
        <v>0</v>
      </c>
      <c r="I402" s="6">
        <v>0</v>
      </c>
      <c r="J402" s="6">
        <v>0</v>
      </c>
      <c r="K402" s="6">
        <v>0</v>
      </c>
      <c r="L402" s="53">
        <v>0</v>
      </c>
      <c r="M402" s="53">
        <v>0</v>
      </c>
      <c r="N402" s="54">
        <v>0</v>
      </c>
      <c r="O402" s="6">
        <v>0</v>
      </c>
      <c r="P402" s="54" t="s">
        <v>255</v>
      </c>
    </row>
    <row r="403" spans="1:16" x14ac:dyDescent="0.25">
      <c r="A403" s="6" t="s">
        <v>154</v>
      </c>
      <c r="B403" s="6">
        <v>1.8</v>
      </c>
      <c r="C403" s="6">
        <v>1</v>
      </c>
      <c r="D403" s="35">
        <v>16.766666666666673</v>
      </c>
      <c r="E403" s="52">
        <v>1.2312190476190476E-3</v>
      </c>
      <c r="F403" s="6">
        <v>0</v>
      </c>
      <c r="G403" s="6">
        <v>0</v>
      </c>
      <c r="H403" s="6">
        <v>0</v>
      </c>
      <c r="I403" s="6">
        <v>0</v>
      </c>
      <c r="J403" s="6">
        <v>0</v>
      </c>
      <c r="K403" s="6">
        <v>0</v>
      </c>
      <c r="L403" s="53">
        <v>0</v>
      </c>
      <c r="M403" s="53">
        <v>0</v>
      </c>
      <c r="N403" s="54">
        <v>0</v>
      </c>
      <c r="O403" s="6">
        <v>0</v>
      </c>
      <c r="P403" s="54" t="s">
        <v>256</v>
      </c>
    </row>
    <row r="404" spans="1:16" x14ac:dyDescent="0.25">
      <c r="A404" s="6" t="s">
        <v>187</v>
      </c>
      <c r="B404" s="6">
        <v>1.8</v>
      </c>
      <c r="C404" s="6">
        <v>1</v>
      </c>
      <c r="D404" s="35">
        <v>15.628568000000001</v>
      </c>
      <c r="E404" s="52">
        <v>1.5492023809523807E-3</v>
      </c>
      <c r="F404" s="6">
        <v>0</v>
      </c>
      <c r="G404" s="6">
        <v>0</v>
      </c>
      <c r="H404" s="6">
        <v>0</v>
      </c>
      <c r="I404" s="6">
        <v>0</v>
      </c>
      <c r="J404" s="6">
        <v>0</v>
      </c>
      <c r="K404" s="6">
        <v>0</v>
      </c>
      <c r="L404" s="53">
        <v>0</v>
      </c>
      <c r="M404" s="53">
        <v>0</v>
      </c>
      <c r="N404" s="54">
        <v>0</v>
      </c>
      <c r="O404" s="6">
        <v>0</v>
      </c>
      <c r="P404" s="54" t="s">
        <v>257</v>
      </c>
    </row>
    <row r="405" spans="1:16" x14ac:dyDescent="0.25">
      <c r="A405" s="6" t="s">
        <v>155</v>
      </c>
      <c r="B405" s="6">
        <v>1.8</v>
      </c>
      <c r="C405" s="6">
        <v>1</v>
      </c>
      <c r="D405" s="35">
        <v>22.545333333333332</v>
      </c>
      <c r="E405" s="52">
        <v>1.5492023809523807E-3</v>
      </c>
      <c r="F405" s="6">
        <v>0</v>
      </c>
      <c r="G405" s="6">
        <v>0</v>
      </c>
      <c r="H405" s="6">
        <v>0</v>
      </c>
      <c r="I405" s="6">
        <v>0</v>
      </c>
      <c r="J405" s="6">
        <v>0</v>
      </c>
      <c r="K405" s="6">
        <v>0</v>
      </c>
      <c r="L405" s="53">
        <v>0</v>
      </c>
      <c r="M405" s="53">
        <v>0</v>
      </c>
      <c r="N405" s="54">
        <v>0</v>
      </c>
      <c r="O405" s="6">
        <v>0</v>
      </c>
      <c r="P405" s="54" t="s">
        <v>258</v>
      </c>
    </row>
    <row r="406" spans="1:16" x14ac:dyDescent="0.25">
      <c r="A406" s="6" t="s">
        <v>188</v>
      </c>
      <c r="B406" s="6">
        <v>1.8</v>
      </c>
      <c r="C406" s="6">
        <v>1</v>
      </c>
      <c r="D406" s="35">
        <v>20.510199999999994</v>
      </c>
      <c r="E406" s="52">
        <v>2.7112452380952377E-3</v>
      </c>
      <c r="F406" s="6">
        <v>0</v>
      </c>
      <c r="G406" s="6">
        <v>0</v>
      </c>
      <c r="H406" s="6">
        <v>0</v>
      </c>
      <c r="I406" s="6">
        <v>0</v>
      </c>
      <c r="J406" s="6">
        <v>0</v>
      </c>
      <c r="K406" s="6">
        <v>0</v>
      </c>
      <c r="L406" s="53">
        <v>0</v>
      </c>
      <c r="M406" s="53">
        <v>0</v>
      </c>
      <c r="N406" s="54">
        <v>0</v>
      </c>
      <c r="O406" s="6">
        <v>0</v>
      </c>
      <c r="P406" s="54" t="s">
        <v>259</v>
      </c>
    </row>
    <row r="407" spans="1:16" x14ac:dyDescent="0.25">
      <c r="A407" s="6" t="s">
        <v>156</v>
      </c>
      <c r="B407" s="6">
        <v>1.8</v>
      </c>
      <c r="C407" s="6">
        <v>1</v>
      </c>
      <c r="D407" s="35">
        <v>28.74444444444444</v>
      </c>
      <c r="E407" s="52">
        <v>2.7112452380952377E-3</v>
      </c>
      <c r="F407" s="6">
        <v>0</v>
      </c>
      <c r="G407" s="6">
        <v>0</v>
      </c>
      <c r="H407" s="6">
        <v>0</v>
      </c>
      <c r="I407" s="6">
        <v>0</v>
      </c>
      <c r="J407" s="6">
        <v>0</v>
      </c>
      <c r="K407" s="6">
        <v>0</v>
      </c>
      <c r="L407" s="53">
        <v>0</v>
      </c>
      <c r="M407" s="53">
        <v>0</v>
      </c>
      <c r="N407" s="54">
        <v>0</v>
      </c>
      <c r="O407" s="6">
        <v>0</v>
      </c>
      <c r="P407" s="54" t="s">
        <v>260</v>
      </c>
    </row>
    <row r="408" spans="1:16" x14ac:dyDescent="0.25">
      <c r="A408" s="6" t="s">
        <v>189</v>
      </c>
      <c r="B408" s="6">
        <v>1.8</v>
      </c>
      <c r="C408" s="6">
        <v>1</v>
      </c>
      <c r="D408" s="35">
        <v>23.469829999999995</v>
      </c>
      <c r="E408" s="52">
        <v>1.8531988094999999E-3</v>
      </c>
      <c r="F408" s="6">
        <v>0</v>
      </c>
      <c r="G408" s="6">
        <v>0</v>
      </c>
      <c r="H408" s="6">
        <v>0</v>
      </c>
      <c r="I408" s="6">
        <v>0</v>
      </c>
      <c r="J408" s="6">
        <v>0</v>
      </c>
      <c r="K408" s="6">
        <v>0</v>
      </c>
      <c r="L408" s="53">
        <v>0</v>
      </c>
      <c r="M408" s="53">
        <v>0</v>
      </c>
      <c r="N408" s="54">
        <v>0</v>
      </c>
      <c r="O408" s="6">
        <v>0</v>
      </c>
      <c r="P408" s="54" t="s">
        <v>261</v>
      </c>
    </row>
    <row r="409" spans="1:16" x14ac:dyDescent="0.25">
      <c r="A409" s="6" t="s">
        <v>157</v>
      </c>
      <c r="B409" s="6">
        <v>1.8</v>
      </c>
      <c r="C409" s="6">
        <v>1</v>
      </c>
      <c r="D409" s="35">
        <v>34.943555555555562</v>
      </c>
      <c r="E409" s="52">
        <v>1.8531988094999999E-3</v>
      </c>
      <c r="F409" s="6">
        <v>0</v>
      </c>
      <c r="G409" s="6">
        <v>0</v>
      </c>
      <c r="H409" s="6">
        <v>0</v>
      </c>
      <c r="I409" s="6">
        <v>0</v>
      </c>
      <c r="J409" s="6">
        <v>0</v>
      </c>
      <c r="K409" s="6">
        <v>0</v>
      </c>
      <c r="L409" s="53">
        <v>0</v>
      </c>
      <c r="M409" s="53">
        <v>0</v>
      </c>
      <c r="N409" s="54">
        <v>0</v>
      </c>
      <c r="O409" s="6">
        <v>0</v>
      </c>
      <c r="P409" s="54" t="s">
        <v>262</v>
      </c>
    </row>
    <row r="410" spans="1:16" x14ac:dyDescent="0.25">
      <c r="A410" s="6" t="s">
        <v>190</v>
      </c>
      <c r="B410" s="6">
        <v>1.8</v>
      </c>
      <c r="C410" s="6">
        <v>1</v>
      </c>
      <c r="D410" s="35">
        <v>23.08786666666667</v>
      </c>
      <c r="E410" s="52">
        <v>3.1106857142857145E-3</v>
      </c>
      <c r="F410" s="6">
        <v>0</v>
      </c>
      <c r="G410" s="6">
        <v>0</v>
      </c>
      <c r="H410" s="6">
        <v>0</v>
      </c>
      <c r="I410" s="6">
        <v>0</v>
      </c>
      <c r="J410" s="6">
        <v>0</v>
      </c>
      <c r="K410" s="6">
        <v>0</v>
      </c>
      <c r="L410" s="53">
        <v>0</v>
      </c>
      <c r="M410" s="53">
        <v>0</v>
      </c>
      <c r="N410" s="54">
        <v>0</v>
      </c>
      <c r="O410" s="6">
        <v>0</v>
      </c>
      <c r="P410" s="54" t="s">
        <v>263</v>
      </c>
    </row>
    <row r="411" spans="1:16" x14ac:dyDescent="0.25">
      <c r="A411" s="6" t="s">
        <v>158</v>
      </c>
      <c r="B411" s="6">
        <v>1.8</v>
      </c>
      <c r="C411" s="6">
        <v>1</v>
      </c>
      <c r="D411" s="35">
        <v>29.233333333333341</v>
      </c>
      <c r="E411" s="52">
        <v>3.1106857142857145E-3</v>
      </c>
      <c r="F411" s="6">
        <v>0</v>
      </c>
      <c r="G411" s="6">
        <v>0</v>
      </c>
      <c r="H411" s="6">
        <v>0</v>
      </c>
      <c r="I411" s="6">
        <v>0</v>
      </c>
      <c r="J411" s="6">
        <v>0</v>
      </c>
      <c r="K411" s="6">
        <v>0</v>
      </c>
      <c r="L411" s="53">
        <v>0</v>
      </c>
      <c r="M411" s="53">
        <v>0</v>
      </c>
      <c r="N411" s="54">
        <v>0</v>
      </c>
      <c r="O411" s="6">
        <v>0</v>
      </c>
      <c r="P411" s="54" t="s">
        <v>264</v>
      </c>
    </row>
    <row r="412" spans="1:16" x14ac:dyDescent="0.25">
      <c r="A412" s="6" t="s">
        <v>191</v>
      </c>
      <c r="B412" s="6">
        <v>1.8</v>
      </c>
      <c r="C412" s="6">
        <v>1</v>
      </c>
      <c r="D412" s="35">
        <v>23.749623999999997</v>
      </c>
      <c r="E412" s="52">
        <v>3.2848071428571426E-3</v>
      </c>
      <c r="F412" s="6">
        <v>0</v>
      </c>
      <c r="G412" s="6">
        <v>0</v>
      </c>
      <c r="H412" s="6">
        <v>0</v>
      </c>
      <c r="I412" s="6">
        <v>0</v>
      </c>
      <c r="J412" s="6">
        <v>0</v>
      </c>
      <c r="K412" s="6">
        <v>0</v>
      </c>
      <c r="L412" s="53">
        <v>0</v>
      </c>
      <c r="M412" s="53">
        <v>0</v>
      </c>
      <c r="N412" s="54">
        <v>0</v>
      </c>
      <c r="O412" s="6">
        <v>0</v>
      </c>
      <c r="P412" s="54" t="s">
        <v>265</v>
      </c>
    </row>
    <row r="413" spans="1:16" x14ac:dyDescent="0.25">
      <c r="A413" s="6" t="s">
        <v>159</v>
      </c>
      <c r="B413" s="6">
        <v>1.8</v>
      </c>
      <c r="C413" s="6">
        <v>1</v>
      </c>
      <c r="D413" s="35">
        <v>30.018000000000008</v>
      </c>
      <c r="E413" s="52">
        <v>3.2848071428571426E-3</v>
      </c>
      <c r="F413" s="6">
        <v>0</v>
      </c>
      <c r="G413" s="6">
        <v>0</v>
      </c>
      <c r="H413" s="6">
        <v>0</v>
      </c>
      <c r="I413" s="6">
        <v>0</v>
      </c>
      <c r="J413" s="6">
        <v>0</v>
      </c>
      <c r="K413" s="6">
        <v>0</v>
      </c>
      <c r="L413" s="53">
        <v>0</v>
      </c>
      <c r="M413" s="53">
        <v>0</v>
      </c>
      <c r="N413" s="54">
        <v>0</v>
      </c>
      <c r="O413" s="6">
        <v>0</v>
      </c>
      <c r="P413" s="54" t="s">
        <v>266</v>
      </c>
    </row>
    <row r="414" spans="1:16" x14ac:dyDescent="0.25">
      <c r="A414" s="6" t="s">
        <v>192</v>
      </c>
      <c r="B414" s="6">
        <v>2.5</v>
      </c>
      <c r="C414" s="6">
        <v>1</v>
      </c>
      <c r="D414" s="35">
        <v>9.9759999999999991</v>
      </c>
      <c r="E414" s="52">
        <v>1.2323035714285713E-3</v>
      </c>
      <c r="F414" s="6">
        <v>0</v>
      </c>
      <c r="G414" s="6">
        <v>0</v>
      </c>
      <c r="H414" s="6">
        <v>0</v>
      </c>
      <c r="I414" s="6">
        <v>0</v>
      </c>
      <c r="J414" s="6">
        <v>0</v>
      </c>
      <c r="K414" s="6">
        <v>0</v>
      </c>
      <c r="L414" s="53">
        <v>0</v>
      </c>
      <c r="M414" s="53">
        <v>0</v>
      </c>
      <c r="N414" s="54">
        <v>0</v>
      </c>
      <c r="O414" s="6">
        <v>0</v>
      </c>
      <c r="P414" s="54" t="s">
        <v>267</v>
      </c>
    </row>
    <row r="415" spans="1:16" x14ac:dyDescent="0.25">
      <c r="A415" s="6" t="s">
        <v>160</v>
      </c>
      <c r="B415" s="6">
        <v>2.5</v>
      </c>
      <c r="C415" s="6">
        <v>1</v>
      </c>
      <c r="D415" s="35">
        <v>13.073599999999992</v>
      </c>
      <c r="E415" s="52">
        <v>1.2323035714285713E-3</v>
      </c>
      <c r="F415" s="6">
        <v>0</v>
      </c>
      <c r="G415" s="6">
        <v>0</v>
      </c>
      <c r="H415" s="6">
        <v>0</v>
      </c>
      <c r="I415" s="6">
        <v>0</v>
      </c>
      <c r="J415" s="6">
        <v>0</v>
      </c>
      <c r="K415" s="6">
        <v>0</v>
      </c>
      <c r="L415" s="53">
        <v>0</v>
      </c>
      <c r="M415" s="53">
        <v>0</v>
      </c>
      <c r="N415" s="54">
        <v>0</v>
      </c>
      <c r="O415" s="6">
        <v>0</v>
      </c>
      <c r="P415" s="54" t="s">
        <v>268</v>
      </c>
    </row>
    <row r="416" spans="1:16" x14ac:dyDescent="0.25">
      <c r="A416" s="6" t="s">
        <v>193</v>
      </c>
      <c r="B416" s="6">
        <v>2.5</v>
      </c>
      <c r="C416" s="6">
        <v>1</v>
      </c>
      <c r="D416" s="35">
        <v>14.541439999999998</v>
      </c>
      <c r="E416" s="52">
        <v>1.5443499999999999E-3</v>
      </c>
      <c r="F416" s="6">
        <v>0</v>
      </c>
      <c r="G416" s="6">
        <v>0</v>
      </c>
      <c r="H416" s="6">
        <v>0</v>
      </c>
      <c r="I416" s="6">
        <v>0</v>
      </c>
      <c r="J416" s="6">
        <v>0</v>
      </c>
      <c r="K416" s="6">
        <v>0</v>
      </c>
      <c r="L416" s="53">
        <v>0</v>
      </c>
      <c r="M416" s="53">
        <v>0</v>
      </c>
      <c r="N416" s="54">
        <v>0</v>
      </c>
      <c r="O416" s="6">
        <v>0</v>
      </c>
      <c r="P416" s="54" t="s">
        <v>269</v>
      </c>
    </row>
    <row r="417" spans="1:16" x14ac:dyDescent="0.25">
      <c r="A417" s="6" t="s">
        <v>161</v>
      </c>
      <c r="B417" s="6">
        <v>2.5</v>
      </c>
      <c r="C417" s="6">
        <v>1</v>
      </c>
      <c r="D417" s="35">
        <v>15.587071999999996</v>
      </c>
      <c r="E417" s="52">
        <v>1.5443499999999999E-3</v>
      </c>
      <c r="F417" s="6">
        <v>0</v>
      </c>
      <c r="G417" s="6">
        <v>0</v>
      </c>
      <c r="H417" s="6">
        <v>0</v>
      </c>
      <c r="I417" s="6">
        <v>0</v>
      </c>
      <c r="J417" s="6">
        <v>0</v>
      </c>
      <c r="K417" s="6">
        <v>0</v>
      </c>
      <c r="L417" s="53">
        <v>0</v>
      </c>
      <c r="M417" s="53">
        <v>0</v>
      </c>
      <c r="N417" s="54">
        <v>0</v>
      </c>
      <c r="O417" s="6">
        <v>0</v>
      </c>
      <c r="P417" s="54" t="s">
        <v>270</v>
      </c>
    </row>
    <row r="418" spans="1:16" x14ac:dyDescent="0.25">
      <c r="A418" s="6" t="s">
        <v>194</v>
      </c>
      <c r="B418" s="6">
        <v>2.5</v>
      </c>
      <c r="C418" s="6">
        <v>1</v>
      </c>
      <c r="D418" s="35">
        <v>19.216000000000001</v>
      </c>
      <c r="E418" s="52">
        <v>2.7068452380952382E-3</v>
      </c>
      <c r="F418" s="6">
        <v>0</v>
      </c>
      <c r="G418" s="6">
        <v>0</v>
      </c>
      <c r="H418" s="6">
        <v>0</v>
      </c>
      <c r="I418" s="6">
        <v>0</v>
      </c>
      <c r="J418" s="6">
        <v>0</v>
      </c>
      <c r="K418" s="6">
        <v>0</v>
      </c>
      <c r="L418" s="53">
        <v>0</v>
      </c>
      <c r="M418" s="53">
        <v>0</v>
      </c>
      <c r="N418" s="54">
        <v>0</v>
      </c>
      <c r="O418" s="6">
        <v>0</v>
      </c>
      <c r="P418" s="54" t="s">
        <v>271</v>
      </c>
    </row>
    <row r="419" spans="1:16" x14ac:dyDescent="0.25">
      <c r="A419" s="6" t="s">
        <v>162</v>
      </c>
      <c r="B419" s="6">
        <v>2.5</v>
      </c>
      <c r="C419" s="6">
        <v>1</v>
      </c>
      <c r="D419" s="35">
        <v>20.460799999999992</v>
      </c>
      <c r="E419" s="52">
        <v>2.7068452380952382E-3</v>
      </c>
      <c r="F419" s="6">
        <v>0</v>
      </c>
      <c r="G419" s="6">
        <v>0</v>
      </c>
      <c r="H419" s="6">
        <v>0</v>
      </c>
      <c r="I419" s="6">
        <v>0</v>
      </c>
      <c r="J419" s="6">
        <v>0</v>
      </c>
      <c r="K419" s="6">
        <v>0</v>
      </c>
      <c r="L419" s="53">
        <v>0</v>
      </c>
      <c r="M419" s="53">
        <v>0</v>
      </c>
      <c r="N419" s="54">
        <v>0</v>
      </c>
      <c r="O419" s="6">
        <v>0</v>
      </c>
      <c r="P419" s="54" t="s">
        <v>272</v>
      </c>
    </row>
    <row r="420" spans="1:16" x14ac:dyDescent="0.25">
      <c r="A420" s="6" t="s">
        <v>195</v>
      </c>
      <c r="B420" s="6">
        <v>2.5</v>
      </c>
      <c r="C420" s="6">
        <v>1</v>
      </c>
      <c r="D420" s="35">
        <v>23.890560000000001</v>
      </c>
      <c r="E420" s="52">
        <v>2.8032345238095235E-3</v>
      </c>
      <c r="F420" s="6">
        <v>0</v>
      </c>
      <c r="G420" s="6">
        <v>0</v>
      </c>
      <c r="H420" s="6">
        <v>0</v>
      </c>
      <c r="I420" s="6">
        <v>0</v>
      </c>
      <c r="J420" s="6">
        <v>0</v>
      </c>
      <c r="K420" s="6">
        <v>0</v>
      </c>
      <c r="L420" s="53">
        <v>0</v>
      </c>
      <c r="M420" s="53">
        <v>0</v>
      </c>
      <c r="N420" s="54">
        <v>0</v>
      </c>
      <c r="O420" s="6">
        <v>0</v>
      </c>
      <c r="P420" s="54" t="s">
        <v>273</v>
      </c>
    </row>
    <row r="421" spans="1:16" x14ac:dyDescent="0.25">
      <c r="A421" s="6" t="s">
        <v>163</v>
      </c>
      <c r="B421" s="6">
        <v>2.5</v>
      </c>
      <c r="C421" s="6">
        <v>1</v>
      </c>
      <c r="D421" s="35">
        <v>23.561599999999991</v>
      </c>
      <c r="E421" s="52">
        <v>2.8032345238095235E-3</v>
      </c>
      <c r="F421" s="6">
        <v>0</v>
      </c>
      <c r="G421" s="6">
        <v>0</v>
      </c>
      <c r="H421" s="6">
        <v>0</v>
      </c>
      <c r="I421" s="6">
        <v>0</v>
      </c>
      <c r="J421" s="6">
        <v>0</v>
      </c>
      <c r="K421" s="6">
        <v>0</v>
      </c>
      <c r="L421" s="53">
        <v>0</v>
      </c>
      <c r="M421" s="53">
        <v>0</v>
      </c>
      <c r="N421" s="54">
        <v>0</v>
      </c>
      <c r="O421" s="6">
        <v>0</v>
      </c>
      <c r="P421" s="54" t="s">
        <v>274</v>
      </c>
    </row>
    <row r="422" spans="1:16" x14ac:dyDescent="0.25">
      <c r="A422" s="6" t="s">
        <v>196</v>
      </c>
      <c r="B422" s="6">
        <v>2.5</v>
      </c>
      <c r="C422" s="6">
        <v>1</v>
      </c>
      <c r="D422" s="35">
        <v>19.832000000000004</v>
      </c>
      <c r="E422" s="52">
        <v>3.3904773809000002E-3</v>
      </c>
      <c r="F422" s="6">
        <v>0</v>
      </c>
      <c r="G422" s="6">
        <v>0</v>
      </c>
      <c r="H422" s="6">
        <v>0</v>
      </c>
      <c r="I422" s="6">
        <v>0</v>
      </c>
      <c r="J422" s="6">
        <v>0</v>
      </c>
      <c r="K422" s="6">
        <v>0</v>
      </c>
      <c r="L422" s="53">
        <v>0</v>
      </c>
      <c r="M422" s="53">
        <v>0</v>
      </c>
      <c r="N422" s="54">
        <v>0</v>
      </c>
      <c r="O422" s="6">
        <v>0</v>
      </c>
      <c r="P422" s="54" t="s">
        <v>275</v>
      </c>
    </row>
    <row r="423" spans="1:16" x14ac:dyDescent="0.25">
      <c r="A423" s="6" t="s">
        <v>164</v>
      </c>
      <c r="B423" s="6">
        <v>2.5</v>
      </c>
      <c r="C423" s="6">
        <v>1</v>
      </c>
      <c r="D423" s="35">
        <v>20.96746666666666</v>
      </c>
      <c r="E423" s="52">
        <v>3.3904773809000002E-3</v>
      </c>
      <c r="F423" s="6">
        <v>0</v>
      </c>
      <c r="G423" s="6">
        <v>0</v>
      </c>
      <c r="H423" s="6">
        <v>0</v>
      </c>
      <c r="I423" s="6">
        <v>0</v>
      </c>
      <c r="J423" s="6">
        <v>0</v>
      </c>
      <c r="K423" s="6">
        <v>0</v>
      </c>
      <c r="L423" s="53">
        <v>0</v>
      </c>
      <c r="M423" s="53">
        <v>0</v>
      </c>
      <c r="N423" s="54">
        <v>0</v>
      </c>
      <c r="O423" s="6">
        <v>0</v>
      </c>
      <c r="P423" s="54" t="s">
        <v>276</v>
      </c>
    </row>
    <row r="424" spans="1:16" x14ac:dyDescent="0.25">
      <c r="A424" s="6" t="s">
        <v>197</v>
      </c>
      <c r="B424" s="6">
        <v>2.5</v>
      </c>
      <c r="C424" s="6">
        <v>1</v>
      </c>
      <c r="D424" s="35">
        <v>20.428640000000001</v>
      </c>
      <c r="E424" s="52">
        <v>3.6634178571428571E-3</v>
      </c>
      <c r="F424" s="6">
        <v>0</v>
      </c>
      <c r="G424" s="6">
        <v>0</v>
      </c>
      <c r="H424" s="6">
        <v>0</v>
      </c>
      <c r="I424" s="6">
        <v>0</v>
      </c>
      <c r="J424" s="6">
        <v>0</v>
      </c>
      <c r="K424" s="6">
        <v>0</v>
      </c>
      <c r="L424" s="53">
        <v>0</v>
      </c>
      <c r="M424" s="53">
        <v>0</v>
      </c>
      <c r="N424" s="54">
        <v>0</v>
      </c>
      <c r="O424" s="6">
        <v>0</v>
      </c>
      <c r="P424" s="54" t="s">
        <v>277</v>
      </c>
    </row>
    <row r="425" spans="1:16" x14ac:dyDescent="0.25">
      <c r="A425" s="6" t="s">
        <v>165</v>
      </c>
      <c r="B425" s="6">
        <v>2.5</v>
      </c>
      <c r="C425" s="6">
        <v>1</v>
      </c>
      <c r="D425" s="35">
        <v>21.586816000000002</v>
      </c>
      <c r="E425" s="52">
        <v>3.6634178571428571E-3</v>
      </c>
      <c r="F425" s="6">
        <v>0</v>
      </c>
      <c r="G425" s="6">
        <v>0</v>
      </c>
      <c r="H425" s="6">
        <v>0</v>
      </c>
      <c r="I425" s="6">
        <v>0</v>
      </c>
      <c r="J425" s="6">
        <v>0</v>
      </c>
      <c r="K425" s="6">
        <v>0</v>
      </c>
      <c r="L425" s="53">
        <v>0</v>
      </c>
      <c r="M425" s="53">
        <v>0</v>
      </c>
      <c r="N425" s="54">
        <v>0</v>
      </c>
      <c r="O425" s="6">
        <v>0</v>
      </c>
      <c r="P425" s="54" t="s">
        <v>278</v>
      </c>
    </row>
    <row r="426" spans="1:16" x14ac:dyDescent="0.25">
      <c r="A426" s="6" t="s">
        <v>198</v>
      </c>
      <c r="B426" s="6">
        <v>2.5</v>
      </c>
      <c r="C426" s="6">
        <v>1</v>
      </c>
      <c r="D426" s="35">
        <v>21.24</v>
      </c>
      <c r="E426" s="52">
        <v>5.6364773809523816E-3</v>
      </c>
      <c r="F426" s="6">
        <v>0</v>
      </c>
      <c r="G426" s="6">
        <v>0</v>
      </c>
      <c r="H426" s="6">
        <v>0</v>
      </c>
      <c r="I426" s="6">
        <v>0</v>
      </c>
      <c r="J426" s="6">
        <v>0</v>
      </c>
      <c r="K426" s="6">
        <v>0</v>
      </c>
      <c r="L426" s="53">
        <v>0</v>
      </c>
      <c r="M426" s="53">
        <v>0</v>
      </c>
      <c r="N426" s="54">
        <v>0</v>
      </c>
      <c r="O426" s="6">
        <v>0</v>
      </c>
      <c r="P426" s="54" t="s">
        <v>279</v>
      </c>
    </row>
    <row r="427" spans="1:16" x14ac:dyDescent="0.25">
      <c r="A427" s="6" t="s">
        <v>166</v>
      </c>
      <c r="B427" s="6">
        <v>2.5</v>
      </c>
      <c r="C427" s="6">
        <v>1</v>
      </c>
      <c r="D427" s="35">
        <v>23.521066666666663</v>
      </c>
      <c r="E427" s="52">
        <v>5.6364773809523816E-3</v>
      </c>
      <c r="F427" s="6">
        <v>0</v>
      </c>
      <c r="G427" s="6">
        <v>0</v>
      </c>
      <c r="H427" s="6">
        <v>0</v>
      </c>
      <c r="I427" s="6">
        <v>0</v>
      </c>
      <c r="J427" s="6">
        <v>0</v>
      </c>
      <c r="K427" s="6">
        <v>0</v>
      </c>
      <c r="L427" s="53">
        <v>0</v>
      </c>
      <c r="M427" s="53">
        <v>0</v>
      </c>
      <c r="N427" s="54">
        <v>0</v>
      </c>
      <c r="O427" s="6">
        <v>0</v>
      </c>
      <c r="P427" s="54" t="s">
        <v>280</v>
      </c>
    </row>
    <row r="428" spans="1:16" x14ac:dyDescent="0.25">
      <c r="A428" s="6" t="s">
        <v>199</v>
      </c>
      <c r="B428" s="6">
        <v>3.3</v>
      </c>
      <c r="C428" s="6">
        <v>1</v>
      </c>
      <c r="D428" s="35">
        <v>8.3333333333333321</v>
      </c>
      <c r="E428" s="52">
        <v>1.2236095238095236E-3</v>
      </c>
      <c r="F428" s="6">
        <v>0</v>
      </c>
      <c r="G428" s="6">
        <v>0</v>
      </c>
      <c r="H428" s="6">
        <v>0</v>
      </c>
      <c r="I428" s="6">
        <v>0</v>
      </c>
      <c r="J428" s="6">
        <v>0</v>
      </c>
      <c r="K428" s="6">
        <v>0</v>
      </c>
      <c r="L428" s="53">
        <v>0</v>
      </c>
      <c r="M428" s="53">
        <v>0</v>
      </c>
      <c r="N428" s="54">
        <v>0</v>
      </c>
      <c r="O428" s="6">
        <v>0</v>
      </c>
      <c r="P428" s="54" t="s">
        <v>281</v>
      </c>
    </row>
    <row r="429" spans="1:16" x14ac:dyDescent="0.25">
      <c r="A429" s="6" t="s">
        <v>167</v>
      </c>
      <c r="B429" s="6">
        <v>3.3</v>
      </c>
      <c r="C429" s="6">
        <v>1</v>
      </c>
      <c r="D429" s="35">
        <v>9.3454545454545439</v>
      </c>
      <c r="E429" s="52">
        <v>1.2236095238095236E-3</v>
      </c>
      <c r="F429" s="6">
        <v>0</v>
      </c>
      <c r="G429" s="6">
        <v>0</v>
      </c>
      <c r="H429" s="6">
        <v>0</v>
      </c>
      <c r="I429" s="6">
        <v>0</v>
      </c>
      <c r="J429" s="6">
        <v>0</v>
      </c>
      <c r="K429" s="6">
        <v>0</v>
      </c>
      <c r="L429" s="53">
        <v>0</v>
      </c>
      <c r="M429" s="53">
        <v>0</v>
      </c>
      <c r="N429" s="54">
        <v>0</v>
      </c>
      <c r="O429" s="6">
        <v>0</v>
      </c>
      <c r="P429" s="54" t="s">
        <v>282</v>
      </c>
    </row>
    <row r="430" spans="1:16" x14ac:dyDescent="0.25">
      <c r="A430" s="6" t="s">
        <v>200</v>
      </c>
      <c r="B430" s="6">
        <v>3.3</v>
      </c>
      <c r="C430" s="6">
        <v>1</v>
      </c>
      <c r="D430" s="35">
        <v>12.4</v>
      </c>
      <c r="E430" s="52">
        <v>1.5525630952380953E-3</v>
      </c>
      <c r="F430" s="6">
        <v>0</v>
      </c>
      <c r="G430" s="6">
        <v>0</v>
      </c>
      <c r="H430" s="6">
        <v>0</v>
      </c>
      <c r="I430" s="6">
        <v>0</v>
      </c>
      <c r="J430" s="6">
        <v>0</v>
      </c>
      <c r="K430" s="6">
        <v>0</v>
      </c>
      <c r="L430" s="53">
        <v>0</v>
      </c>
      <c r="M430" s="53">
        <v>0</v>
      </c>
      <c r="N430" s="54">
        <v>0</v>
      </c>
      <c r="O430" s="6">
        <v>0</v>
      </c>
      <c r="P430" s="54" t="s">
        <v>283</v>
      </c>
    </row>
    <row r="431" spans="1:16" x14ac:dyDescent="0.25">
      <c r="A431" s="6" t="s">
        <v>168</v>
      </c>
      <c r="B431" s="6">
        <v>3.3</v>
      </c>
      <c r="C431" s="6">
        <v>1</v>
      </c>
      <c r="D431" s="35">
        <v>13.214545454545451</v>
      </c>
      <c r="E431" s="52">
        <v>1.5525630952380953E-3</v>
      </c>
      <c r="F431" s="6">
        <v>0</v>
      </c>
      <c r="G431" s="6">
        <v>0</v>
      </c>
      <c r="H431" s="6">
        <v>0</v>
      </c>
      <c r="I431" s="6">
        <v>0</v>
      </c>
      <c r="J431" s="6">
        <v>0</v>
      </c>
      <c r="K431" s="6">
        <v>0</v>
      </c>
      <c r="L431" s="53">
        <v>0</v>
      </c>
      <c r="M431" s="53">
        <v>0</v>
      </c>
      <c r="N431" s="54">
        <v>0</v>
      </c>
      <c r="O431" s="6">
        <v>0</v>
      </c>
      <c r="P431" s="54" t="s">
        <v>284</v>
      </c>
    </row>
    <row r="432" spans="1:16" x14ac:dyDescent="0.25">
      <c r="A432" s="6" t="s">
        <v>201</v>
      </c>
      <c r="B432" s="6">
        <v>3.3</v>
      </c>
      <c r="C432" s="6">
        <v>1</v>
      </c>
      <c r="D432" s="35">
        <v>16.666666666666671</v>
      </c>
      <c r="E432" s="52">
        <v>2.7099535714285717E-3</v>
      </c>
      <c r="F432" s="6">
        <v>0</v>
      </c>
      <c r="G432" s="6">
        <v>0</v>
      </c>
      <c r="H432" s="6">
        <v>0</v>
      </c>
      <c r="I432" s="6">
        <v>0</v>
      </c>
      <c r="J432" s="6">
        <v>0</v>
      </c>
      <c r="K432" s="6">
        <v>0</v>
      </c>
      <c r="L432" s="53">
        <v>0</v>
      </c>
      <c r="M432" s="53">
        <v>0</v>
      </c>
      <c r="N432" s="54">
        <v>0</v>
      </c>
      <c r="O432" s="6">
        <v>0</v>
      </c>
      <c r="P432" s="54" t="s">
        <v>285</v>
      </c>
    </row>
    <row r="433" spans="1:16" x14ac:dyDescent="0.25">
      <c r="A433" s="6" t="s">
        <v>169</v>
      </c>
      <c r="B433" s="6">
        <v>3.3</v>
      </c>
      <c r="C433" s="6">
        <v>1</v>
      </c>
      <c r="D433" s="35">
        <v>17.636363636363637</v>
      </c>
      <c r="E433" s="52">
        <v>2.7099535714285717E-3</v>
      </c>
      <c r="F433" s="6">
        <v>0</v>
      </c>
      <c r="G433" s="6">
        <v>0</v>
      </c>
      <c r="H433" s="6">
        <v>0</v>
      </c>
      <c r="I433" s="6">
        <v>0</v>
      </c>
      <c r="J433" s="6">
        <v>0</v>
      </c>
      <c r="K433" s="6">
        <v>0</v>
      </c>
      <c r="L433" s="53">
        <v>0</v>
      </c>
      <c r="M433" s="53">
        <v>0</v>
      </c>
      <c r="N433" s="54">
        <v>0</v>
      </c>
      <c r="O433" s="6">
        <v>0</v>
      </c>
      <c r="P433" s="54" t="s">
        <v>286</v>
      </c>
    </row>
    <row r="434" spans="1:16" x14ac:dyDescent="0.25">
      <c r="A434" s="6" t="s">
        <v>202</v>
      </c>
      <c r="B434" s="6">
        <v>3.3</v>
      </c>
      <c r="C434" s="6">
        <v>1</v>
      </c>
      <c r="D434" s="35">
        <v>20.933333333333337</v>
      </c>
      <c r="E434" s="52">
        <v>1.6493357142857142E-3</v>
      </c>
      <c r="F434" s="6">
        <v>0</v>
      </c>
      <c r="G434" s="6">
        <v>0</v>
      </c>
      <c r="H434" s="6">
        <v>0</v>
      </c>
      <c r="I434" s="6">
        <v>0</v>
      </c>
      <c r="J434" s="6">
        <v>0</v>
      </c>
      <c r="K434" s="6">
        <v>0</v>
      </c>
      <c r="L434" s="53">
        <v>0</v>
      </c>
      <c r="M434" s="53">
        <v>0</v>
      </c>
      <c r="N434" s="54">
        <v>0</v>
      </c>
      <c r="O434" s="6">
        <v>0</v>
      </c>
      <c r="P434" s="54" t="s">
        <v>287</v>
      </c>
    </row>
    <row r="435" spans="1:16" x14ac:dyDescent="0.25">
      <c r="A435" s="6" t="s">
        <v>170</v>
      </c>
      <c r="B435" s="6">
        <v>3.3</v>
      </c>
      <c r="C435" s="6">
        <v>1</v>
      </c>
      <c r="D435" s="35">
        <v>19.795454545454543</v>
      </c>
      <c r="E435" s="52">
        <v>1.6493357142857142E-3</v>
      </c>
      <c r="F435" s="6">
        <v>0</v>
      </c>
      <c r="G435" s="6">
        <v>0</v>
      </c>
      <c r="H435" s="6">
        <v>0</v>
      </c>
      <c r="I435" s="6">
        <v>0</v>
      </c>
      <c r="J435" s="6">
        <v>0</v>
      </c>
      <c r="K435" s="6">
        <v>0</v>
      </c>
      <c r="L435" s="53">
        <v>0</v>
      </c>
      <c r="M435" s="53">
        <v>0</v>
      </c>
      <c r="N435" s="54">
        <v>0</v>
      </c>
      <c r="O435" s="6">
        <v>0</v>
      </c>
      <c r="P435" s="54" t="s">
        <v>288</v>
      </c>
    </row>
    <row r="436" spans="1:16" x14ac:dyDescent="0.25">
      <c r="A436" s="6" t="s">
        <v>203</v>
      </c>
      <c r="B436" s="6">
        <v>3.3</v>
      </c>
      <c r="C436" s="6">
        <v>1</v>
      </c>
      <c r="D436" s="35">
        <v>17</v>
      </c>
      <c r="E436" s="52">
        <v>4.272361904761904E-3</v>
      </c>
      <c r="F436" s="6">
        <v>0</v>
      </c>
      <c r="G436" s="6">
        <v>0</v>
      </c>
      <c r="H436" s="6">
        <v>0</v>
      </c>
      <c r="I436" s="6">
        <v>0</v>
      </c>
      <c r="J436" s="6">
        <v>0</v>
      </c>
      <c r="K436" s="6">
        <v>0</v>
      </c>
      <c r="L436" s="53">
        <v>0</v>
      </c>
      <c r="M436" s="53">
        <v>0</v>
      </c>
      <c r="N436" s="54">
        <v>0</v>
      </c>
      <c r="O436" s="6">
        <v>0</v>
      </c>
      <c r="P436" s="54" t="s">
        <v>289</v>
      </c>
    </row>
    <row r="437" spans="1:16" x14ac:dyDescent="0.25">
      <c r="A437" s="6" t="s">
        <v>171</v>
      </c>
      <c r="B437" s="6">
        <v>3.3</v>
      </c>
      <c r="C437" s="6">
        <v>1</v>
      </c>
      <c r="D437" s="35">
        <v>18.26969696969697</v>
      </c>
      <c r="E437" s="52">
        <v>4.272361904761904E-3</v>
      </c>
      <c r="F437" s="6">
        <v>0</v>
      </c>
      <c r="G437" s="6">
        <v>0</v>
      </c>
      <c r="H437" s="6">
        <v>0</v>
      </c>
      <c r="I437" s="6">
        <v>0</v>
      </c>
      <c r="J437" s="6">
        <v>0</v>
      </c>
      <c r="K437" s="6">
        <v>0</v>
      </c>
      <c r="L437" s="53">
        <v>0</v>
      </c>
      <c r="M437" s="53">
        <v>0</v>
      </c>
      <c r="N437" s="54">
        <v>0</v>
      </c>
      <c r="O437" s="6">
        <v>0</v>
      </c>
      <c r="P437" s="54" t="s">
        <v>290</v>
      </c>
    </row>
    <row r="438" spans="1:16" x14ac:dyDescent="0.25">
      <c r="A438" s="6" t="s">
        <v>204</v>
      </c>
      <c r="B438" s="6">
        <v>3.3</v>
      </c>
      <c r="C438" s="6">
        <v>1</v>
      </c>
      <c r="D438" s="35">
        <v>17.54</v>
      </c>
      <c r="E438" s="52">
        <v>3.687308333333333E-3</v>
      </c>
      <c r="F438" s="6">
        <v>0</v>
      </c>
      <c r="G438" s="6">
        <v>0</v>
      </c>
      <c r="H438" s="6">
        <v>0</v>
      </c>
      <c r="I438" s="6">
        <v>0</v>
      </c>
      <c r="J438" s="6">
        <v>0</v>
      </c>
      <c r="K438" s="6">
        <v>0</v>
      </c>
      <c r="L438" s="53">
        <v>0</v>
      </c>
      <c r="M438" s="53">
        <v>0</v>
      </c>
      <c r="N438" s="54">
        <v>0</v>
      </c>
      <c r="O438" s="6">
        <v>0</v>
      </c>
      <c r="P438" s="54" t="s">
        <v>291</v>
      </c>
    </row>
    <row r="439" spans="1:16" x14ac:dyDescent="0.25">
      <c r="A439" s="6" t="s">
        <v>172</v>
      </c>
      <c r="B439" s="6">
        <v>3.3</v>
      </c>
      <c r="C439" s="6">
        <v>1</v>
      </c>
      <c r="D439" s="35">
        <v>18.835090909090912</v>
      </c>
      <c r="E439" s="52">
        <v>3.687308333333333E-3</v>
      </c>
      <c r="F439" s="6">
        <v>0</v>
      </c>
      <c r="G439" s="6">
        <v>0</v>
      </c>
      <c r="H439" s="6">
        <v>0</v>
      </c>
      <c r="I439" s="6">
        <v>0</v>
      </c>
      <c r="J439" s="6">
        <v>0</v>
      </c>
      <c r="K439" s="6">
        <v>0</v>
      </c>
      <c r="L439" s="53">
        <v>0</v>
      </c>
      <c r="M439" s="53">
        <v>0</v>
      </c>
      <c r="N439" s="54">
        <v>0</v>
      </c>
      <c r="O439" s="6">
        <v>0</v>
      </c>
      <c r="P439" s="54" t="s">
        <v>292</v>
      </c>
    </row>
    <row r="440" spans="1:16" x14ac:dyDescent="0.25">
      <c r="A440" s="6" t="s">
        <v>205</v>
      </c>
      <c r="B440" s="6">
        <v>3.3</v>
      </c>
      <c r="C440" s="6">
        <v>1</v>
      </c>
      <c r="D440" s="35">
        <v>18.5</v>
      </c>
      <c r="E440" s="52">
        <v>5.3445988095238081E-3</v>
      </c>
      <c r="F440" s="6">
        <v>0</v>
      </c>
      <c r="G440" s="6">
        <v>0</v>
      </c>
      <c r="H440" s="6">
        <v>0</v>
      </c>
      <c r="I440" s="6">
        <v>0</v>
      </c>
      <c r="J440" s="6">
        <v>0</v>
      </c>
      <c r="K440" s="6">
        <v>0</v>
      </c>
      <c r="L440" s="53">
        <v>0</v>
      </c>
      <c r="M440" s="53">
        <v>0</v>
      </c>
      <c r="N440" s="54">
        <v>0</v>
      </c>
      <c r="O440" s="6">
        <v>0</v>
      </c>
      <c r="P440" s="54" t="s">
        <v>293</v>
      </c>
    </row>
    <row r="441" spans="1:16" x14ac:dyDescent="0.25">
      <c r="A441" s="6" t="s">
        <v>173</v>
      </c>
      <c r="B441" s="6">
        <v>3.3</v>
      </c>
      <c r="C441" s="6">
        <v>1</v>
      </c>
      <c r="D441" s="35">
        <v>20.668686868686869</v>
      </c>
      <c r="E441" s="52">
        <v>5.3445988095238081E-3</v>
      </c>
      <c r="F441" s="6">
        <v>0</v>
      </c>
      <c r="G441" s="6">
        <v>0</v>
      </c>
      <c r="H441" s="6">
        <v>0</v>
      </c>
      <c r="I441" s="6">
        <v>0</v>
      </c>
      <c r="J441" s="6">
        <v>0</v>
      </c>
      <c r="K441" s="6">
        <v>0</v>
      </c>
      <c r="L441" s="53">
        <v>0</v>
      </c>
      <c r="M441" s="53">
        <v>0</v>
      </c>
      <c r="N441" s="54">
        <v>0</v>
      </c>
      <c r="O441" s="6">
        <v>0</v>
      </c>
      <c r="P441" s="54" t="s">
        <v>294</v>
      </c>
    </row>
    <row r="442" spans="1:16" x14ac:dyDescent="0.25">
      <c r="A442" s="6" t="s">
        <v>137</v>
      </c>
      <c r="B442" s="6">
        <v>2.5</v>
      </c>
      <c r="C442" s="6">
        <v>2</v>
      </c>
      <c r="D442" s="35">
        <v>2.2802699999999998</v>
      </c>
      <c r="E442" s="52">
        <v>3.6999999999999999E-4</v>
      </c>
      <c r="F442" s="6">
        <v>2.61</v>
      </c>
      <c r="G442" s="6">
        <v>0</v>
      </c>
      <c r="H442" s="6">
        <v>0</v>
      </c>
      <c r="I442" s="6">
        <v>0</v>
      </c>
      <c r="J442" s="6">
        <v>0</v>
      </c>
      <c r="K442" s="6">
        <f>9.2-1.2</f>
        <v>7.9999999999999991</v>
      </c>
      <c r="L442" s="53">
        <v>0</v>
      </c>
      <c r="M442" s="6">
        <f>B442*K442</f>
        <v>19.999999999999996</v>
      </c>
      <c r="N442" s="54">
        <f>20-1.225</f>
        <v>18.774999999999999</v>
      </c>
      <c r="O442" s="6">
        <v>0</v>
      </c>
      <c r="P442" s="54" t="s">
        <v>295</v>
      </c>
    </row>
    <row r="443" spans="1:16" x14ac:dyDescent="0.25">
      <c r="A443" s="6" t="s">
        <v>401</v>
      </c>
      <c r="B443" s="6">
        <v>3.3</v>
      </c>
      <c r="C443" s="6">
        <v>2</v>
      </c>
      <c r="D443" s="35">
        <v>2.2802699999999998</v>
      </c>
      <c r="E443" s="52">
        <v>3.6999999999999999E-4</v>
      </c>
      <c r="F443" s="6">
        <v>2.61</v>
      </c>
      <c r="G443" s="6">
        <v>0</v>
      </c>
      <c r="H443" s="6">
        <v>0</v>
      </c>
      <c r="I443" s="6">
        <v>0</v>
      </c>
      <c r="J443" s="6">
        <v>0</v>
      </c>
      <c r="K443" s="6">
        <f>9.2-1.2</f>
        <v>7.9999999999999991</v>
      </c>
      <c r="L443" s="53">
        <v>0</v>
      </c>
      <c r="M443" s="6">
        <f>B443*K443</f>
        <v>26.399999999999995</v>
      </c>
      <c r="N443" s="54">
        <f>26.4-1.225</f>
        <v>25.174999999999997</v>
      </c>
      <c r="O443" s="6">
        <v>0</v>
      </c>
      <c r="P443" s="54" t="s">
        <v>377</v>
      </c>
    </row>
    <row r="444" spans="1:16" x14ac:dyDescent="0.25">
      <c r="A444" s="6" t="s">
        <v>482</v>
      </c>
      <c r="B444" s="6">
        <v>2.5</v>
      </c>
      <c r="C444" s="6">
        <v>2</v>
      </c>
      <c r="D444" s="35">
        <v>3.72533</v>
      </c>
      <c r="E444" s="52">
        <v>3.6999999999999999E-4</v>
      </c>
      <c r="F444" s="6">
        <v>2.72</v>
      </c>
      <c r="G444" s="6">
        <v>0</v>
      </c>
      <c r="H444" s="6">
        <v>0</v>
      </c>
      <c r="I444" s="6">
        <v>0</v>
      </c>
      <c r="J444" s="6">
        <v>0</v>
      </c>
      <c r="K444" s="6">
        <f>14.9-1.2</f>
        <v>13.700000000000001</v>
      </c>
      <c r="L444" s="53">
        <v>0</v>
      </c>
      <c r="M444" s="6">
        <f>B444*K444</f>
        <v>34.25</v>
      </c>
      <c r="N444" s="54">
        <f>34.25-5.625</f>
        <v>28.625</v>
      </c>
      <c r="O444" s="6">
        <v>0</v>
      </c>
      <c r="P444" s="54" t="s">
        <v>296</v>
      </c>
    </row>
    <row r="445" spans="1:16" x14ac:dyDescent="0.25">
      <c r="A445" s="6" t="s">
        <v>483</v>
      </c>
      <c r="B445" s="6">
        <v>3.3</v>
      </c>
      <c r="C445" s="6">
        <v>2</v>
      </c>
      <c r="D445" s="35">
        <v>3.72533</v>
      </c>
      <c r="E445" s="52">
        <v>3.6999999999999999E-4</v>
      </c>
      <c r="F445" s="6">
        <v>2.72</v>
      </c>
      <c r="G445" s="6">
        <v>0</v>
      </c>
      <c r="H445" s="6">
        <v>0</v>
      </c>
      <c r="I445" s="6">
        <v>0</v>
      </c>
      <c r="J445" s="6">
        <v>0</v>
      </c>
      <c r="K445" s="6">
        <f>14.9-1.2</f>
        <v>13.700000000000001</v>
      </c>
      <c r="L445" s="53">
        <v>0</v>
      </c>
      <c r="M445" s="6">
        <v>37.25</v>
      </c>
      <c r="N445" s="54">
        <f>37.25-5.625</f>
        <v>31.625</v>
      </c>
      <c r="O445" s="6">
        <v>0</v>
      </c>
      <c r="P445" s="54" t="s">
        <v>484</v>
      </c>
    </row>
    <row r="446" spans="1:16" x14ac:dyDescent="0.25">
      <c r="A446" s="6" t="s">
        <v>174</v>
      </c>
      <c r="B446" s="6">
        <v>3.3</v>
      </c>
      <c r="C446" s="6">
        <v>1</v>
      </c>
      <c r="D446" s="35">
        <v>8.3333333333333321</v>
      </c>
      <c r="E446" s="52">
        <v>1.2274607142857144E-3</v>
      </c>
      <c r="F446" s="6">
        <v>0</v>
      </c>
      <c r="G446" s="6">
        <v>0</v>
      </c>
      <c r="H446" s="6">
        <v>0</v>
      </c>
      <c r="I446" s="6">
        <v>0</v>
      </c>
      <c r="J446" s="6">
        <v>0</v>
      </c>
      <c r="K446" s="6">
        <v>0</v>
      </c>
      <c r="L446" s="53">
        <v>0</v>
      </c>
      <c r="M446" s="53">
        <v>0</v>
      </c>
      <c r="N446" s="54">
        <v>0</v>
      </c>
      <c r="O446" s="6">
        <v>0</v>
      </c>
      <c r="P446" s="54" t="s">
        <v>297</v>
      </c>
    </row>
    <row r="447" spans="1:16" x14ac:dyDescent="0.25">
      <c r="A447" s="6" t="s">
        <v>142</v>
      </c>
      <c r="B447" s="6">
        <v>3.3</v>
      </c>
      <c r="C447" s="6">
        <v>1</v>
      </c>
      <c r="D447" s="35">
        <v>9.3454545454545439</v>
      </c>
      <c r="E447" s="52">
        <v>1.2274607142857144E-3</v>
      </c>
      <c r="F447" s="6">
        <v>0</v>
      </c>
      <c r="G447" s="6">
        <v>0</v>
      </c>
      <c r="H447" s="6">
        <v>0</v>
      </c>
      <c r="I447" s="6">
        <v>0</v>
      </c>
      <c r="J447" s="6">
        <v>0</v>
      </c>
      <c r="K447" s="6">
        <v>0</v>
      </c>
      <c r="L447" s="53">
        <v>0</v>
      </c>
      <c r="M447" s="53">
        <v>0</v>
      </c>
      <c r="N447" s="54">
        <v>0</v>
      </c>
      <c r="O447" s="6">
        <v>0</v>
      </c>
      <c r="P447" s="54" t="s">
        <v>298</v>
      </c>
    </row>
    <row r="448" spans="1:16" x14ac:dyDescent="0.25">
      <c r="A448" s="6" t="s">
        <v>175</v>
      </c>
      <c r="B448" s="6">
        <v>3.3</v>
      </c>
      <c r="C448" s="6">
        <v>1</v>
      </c>
      <c r="D448" s="35">
        <v>12.4</v>
      </c>
      <c r="E448" s="52">
        <v>1.5462476190476191E-3</v>
      </c>
      <c r="F448" s="6">
        <v>0</v>
      </c>
      <c r="G448" s="6">
        <v>0</v>
      </c>
      <c r="H448" s="6">
        <v>0</v>
      </c>
      <c r="I448" s="6">
        <v>0</v>
      </c>
      <c r="J448" s="6">
        <v>0</v>
      </c>
      <c r="K448" s="6">
        <v>0</v>
      </c>
      <c r="L448" s="53">
        <v>0</v>
      </c>
      <c r="M448" s="53">
        <v>0</v>
      </c>
      <c r="N448" s="54">
        <v>0</v>
      </c>
      <c r="O448" s="6">
        <v>0</v>
      </c>
      <c r="P448" s="54" t="s">
        <v>299</v>
      </c>
    </row>
    <row r="449" spans="1:16" x14ac:dyDescent="0.25">
      <c r="A449" s="6" t="s">
        <v>143</v>
      </c>
      <c r="B449" s="6">
        <v>3.3</v>
      </c>
      <c r="C449" s="6">
        <v>1</v>
      </c>
      <c r="D449" s="35">
        <v>13.214545454545451</v>
      </c>
      <c r="E449" s="52">
        <v>1.5462476190476191E-3</v>
      </c>
      <c r="F449" s="6">
        <v>0</v>
      </c>
      <c r="G449" s="6">
        <v>0</v>
      </c>
      <c r="H449" s="6">
        <v>0</v>
      </c>
      <c r="I449" s="6">
        <v>0</v>
      </c>
      <c r="J449" s="6">
        <v>0</v>
      </c>
      <c r="K449" s="6">
        <v>0</v>
      </c>
      <c r="L449" s="53">
        <v>0</v>
      </c>
      <c r="M449" s="53">
        <v>0</v>
      </c>
      <c r="N449" s="54">
        <v>0</v>
      </c>
      <c r="O449" s="6">
        <v>0</v>
      </c>
      <c r="P449" s="54" t="s">
        <v>300</v>
      </c>
    </row>
    <row r="450" spans="1:16" x14ac:dyDescent="0.25">
      <c r="A450" s="6" t="s">
        <v>176</v>
      </c>
      <c r="B450" s="6">
        <v>3.3</v>
      </c>
      <c r="C450" s="6">
        <v>1</v>
      </c>
      <c r="D450" s="35">
        <v>16.666666666666671</v>
      </c>
      <c r="E450" s="52">
        <v>2.7096297619047618E-3</v>
      </c>
      <c r="F450" s="6">
        <v>0</v>
      </c>
      <c r="G450" s="6">
        <v>0</v>
      </c>
      <c r="H450" s="6">
        <v>0</v>
      </c>
      <c r="I450" s="6">
        <v>0</v>
      </c>
      <c r="J450" s="6">
        <v>0</v>
      </c>
      <c r="K450" s="6">
        <v>0</v>
      </c>
      <c r="L450" s="53">
        <v>0</v>
      </c>
      <c r="M450" s="53">
        <v>0</v>
      </c>
      <c r="N450" s="54">
        <v>0</v>
      </c>
      <c r="O450" s="6">
        <v>0</v>
      </c>
      <c r="P450" s="54" t="s">
        <v>301</v>
      </c>
    </row>
    <row r="451" spans="1:16" x14ac:dyDescent="0.25">
      <c r="A451" s="6" t="s">
        <v>144</v>
      </c>
      <c r="B451" s="6">
        <v>3.3</v>
      </c>
      <c r="C451" s="6">
        <v>1</v>
      </c>
      <c r="D451" s="35">
        <v>17.636363636363637</v>
      </c>
      <c r="E451" s="52">
        <v>2.7096297619047618E-3</v>
      </c>
      <c r="F451" s="6">
        <v>0</v>
      </c>
      <c r="G451" s="6">
        <v>0</v>
      </c>
      <c r="H451" s="6">
        <v>0</v>
      </c>
      <c r="I451" s="6">
        <v>0</v>
      </c>
      <c r="J451" s="6">
        <v>0</v>
      </c>
      <c r="K451" s="6">
        <v>0</v>
      </c>
      <c r="L451" s="53">
        <v>0</v>
      </c>
      <c r="M451" s="53">
        <v>0</v>
      </c>
      <c r="N451" s="54">
        <v>0</v>
      </c>
      <c r="O451" s="6">
        <v>0</v>
      </c>
      <c r="P451" s="54" t="s">
        <v>302</v>
      </c>
    </row>
    <row r="452" spans="1:16" x14ac:dyDescent="0.25">
      <c r="A452" s="6" t="s">
        <v>177</v>
      </c>
      <c r="B452" s="6">
        <v>3.3</v>
      </c>
      <c r="C452" s="6">
        <v>1</v>
      </c>
      <c r="D452" s="35">
        <v>20.933333333333337</v>
      </c>
      <c r="E452" s="52">
        <v>1.6434833333333332E-3</v>
      </c>
      <c r="F452" s="6">
        <v>0</v>
      </c>
      <c r="G452" s="6">
        <v>0</v>
      </c>
      <c r="H452" s="6">
        <v>0</v>
      </c>
      <c r="I452" s="6">
        <v>0</v>
      </c>
      <c r="J452" s="6">
        <v>0</v>
      </c>
      <c r="K452" s="6">
        <v>0</v>
      </c>
      <c r="L452" s="53">
        <v>0</v>
      </c>
      <c r="M452" s="53">
        <v>0</v>
      </c>
      <c r="N452" s="54">
        <v>0</v>
      </c>
      <c r="O452" s="6">
        <v>0</v>
      </c>
      <c r="P452" s="54" t="s">
        <v>303</v>
      </c>
    </row>
    <row r="453" spans="1:16" x14ac:dyDescent="0.25">
      <c r="A453" s="6" t="s">
        <v>145</v>
      </c>
      <c r="B453" s="6">
        <v>3.3</v>
      </c>
      <c r="C453" s="6">
        <v>1</v>
      </c>
      <c r="D453" s="35">
        <v>19.795454545454543</v>
      </c>
      <c r="E453" s="52">
        <v>1.6434833333333332E-3</v>
      </c>
      <c r="F453" s="6">
        <v>0</v>
      </c>
      <c r="G453" s="6">
        <v>0</v>
      </c>
      <c r="H453" s="6">
        <v>0</v>
      </c>
      <c r="I453" s="6">
        <v>0</v>
      </c>
      <c r="J453" s="6">
        <v>0</v>
      </c>
      <c r="K453" s="6">
        <v>0</v>
      </c>
      <c r="L453" s="53">
        <v>0</v>
      </c>
      <c r="M453" s="53">
        <v>0</v>
      </c>
      <c r="N453" s="54">
        <v>0</v>
      </c>
      <c r="O453" s="6">
        <v>0</v>
      </c>
      <c r="P453" s="54" t="s">
        <v>304</v>
      </c>
    </row>
    <row r="454" spans="1:16" x14ac:dyDescent="0.25">
      <c r="A454" s="6" t="s">
        <v>178</v>
      </c>
      <c r="B454" s="6">
        <v>3.3</v>
      </c>
      <c r="C454" s="6">
        <v>1</v>
      </c>
      <c r="D454" s="35">
        <v>17</v>
      </c>
      <c r="E454" s="52">
        <v>4.2741178571428576E-3</v>
      </c>
      <c r="F454" s="6">
        <v>0</v>
      </c>
      <c r="G454" s="6">
        <v>0</v>
      </c>
      <c r="H454" s="6">
        <v>0</v>
      </c>
      <c r="I454" s="6">
        <v>0</v>
      </c>
      <c r="J454" s="6">
        <v>0</v>
      </c>
      <c r="K454" s="6">
        <v>0</v>
      </c>
      <c r="L454" s="53">
        <v>0</v>
      </c>
      <c r="M454" s="53">
        <v>0</v>
      </c>
      <c r="N454" s="54">
        <v>0</v>
      </c>
      <c r="O454" s="6">
        <v>0</v>
      </c>
      <c r="P454" s="54" t="s">
        <v>305</v>
      </c>
    </row>
    <row r="455" spans="1:16" x14ac:dyDescent="0.25">
      <c r="A455" s="6" t="s">
        <v>146</v>
      </c>
      <c r="B455" s="6">
        <v>3.3</v>
      </c>
      <c r="C455" s="6">
        <v>1</v>
      </c>
      <c r="D455" s="35">
        <v>18.26969696969697</v>
      </c>
      <c r="E455" s="52">
        <v>4.2741178571428576E-3</v>
      </c>
      <c r="F455" s="6">
        <v>0</v>
      </c>
      <c r="G455" s="6">
        <v>0</v>
      </c>
      <c r="H455" s="6">
        <v>0</v>
      </c>
      <c r="I455" s="6">
        <v>0</v>
      </c>
      <c r="J455" s="6">
        <v>0</v>
      </c>
      <c r="K455" s="6">
        <v>0</v>
      </c>
      <c r="L455" s="53">
        <v>0</v>
      </c>
      <c r="M455" s="53">
        <v>0</v>
      </c>
      <c r="N455" s="54">
        <v>0</v>
      </c>
      <c r="O455" s="6">
        <v>0</v>
      </c>
      <c r="P455" s="54" t="s">
        <v>306</v>
      </c>
    </row>
    <row r="456" spans="1:16" x14ac:dyDescent="0.25">
      <c r="A456" s="6" t="s">
        <v>179</v>
      </c>
      <c r="B456" s="6">
        <v>3.3</v>
      </c>
      <c r="C456" s="6">
        <v>1</v>
      </c>
      <c r="D456" s="35">
        <v>17.54</v>
      </c>
      <c r="E456" s="52">
        <v>3.6894333333333334E-3</v>
      </c>
      <c r="F456" s="6">
        <v>0</v>
      </c>
      <c r="G456" s="6">
        <v>0</v>
      </c>
      <c r="H456" s="6">
        <v>0</v>
      </c>
      <c r="I456" s="6">
        <v>0</v>
      </c>
      <c r="J456" s="6">
        <v>0</v>
      </c>
      <c r="K456" s="6">
        <v>0</v>
      </c>
      <c r="L456" s="53">
        <v>0</v>
      </c>
      <c r="M456" s="53">
        <v>0</v>
      </c>
      <c r="N456" s="54">
        <v>0</v>
      </c>
      <c r="O456" s="6">
        <v>0</v>
      </c>
      <c r="P456" s="54" t="s">
        <v>307</v>
      </c>
    </row>
    <row r="457" spans="1:16" x14ac:dyDescent="0.25">
      <c r="A457" s="6" t="s">
        <v>147</v>
      </c>
      <c r="B457" s="6">
        <v>3.3</v>
      </c>
      <c r="C457" s="6">
        <v>1</v>
      </c>
      <c r="D457" s="35">
        <v>18.835090909090912</v>
      </c>
      <c r="E457" s="52">
        <v>3.6894333333333334E-3</v>
      </c>
      <c r="F457" s="6">
        <v>0</v>
      </c>
      <c r="G457" s="6">
        <v>0</v>
      </c>
      <c r="H457" s="6">
        <v>0</v>
      </c>
      <c r="I457" s="6">
        <v>0</v>
      </c>
      <c r="J457" s="6">
        <v>0</v>
      </c>
      <c r="K457" s="6">
        <v>0</v>
      </c>
      <c r="L457" s="53">
        <v>0</v>
      </c>
      <c r="M457" s="53">
        <v>0</v>
      </c>
      <c r="N457" s="54">
        <v>0</v>
      </c>
      <c r="O457" s="6">
        <v>0</v>
      </c>
      <c r="P457" s="54" t="s">
        <v>308</v>
      </c>
    </row>
    <row r="458" spans="1:16" x14ac:dyDescent="0.25">
      <c r="A458" s="6" t="s">
        <v>180</v>
      </c>
      <c r="B458" s="6">
        <v>3.3</v>
      </c>
      <c r="C458" s="6">
        <v>1</v>
      </c>
      <c r="D458" s="35">
        <v>18.5</v>
      </c>
      <c r="E458" s="52">
        <v>5.3535678571428576E-3</v>
      </c>
      <c r="F458" s="6">
        <v>0</v>
      </c>
      <c r="G458" s="6">
        <v>0</v>
      </c>
      <c r="H458" s="6">
        <v>0</v>
      </c>
      <c r="I458" s="6">
        <v>0</v>
      </c>
      <c r="J458" s="6">
        <v>0</v>
      </c>
      <c r="K458" s="6">
        <v>0</v>
      </c>
      <c r="L458" s="53">
        <v>0</v>
      </c>
      <c r="M458" s="53">
        <v>0</v>
      </c>
      <c r="N458" s="54">
        <v>0</v>
      </c>
      <c r="O458" s="6">
        <v>0</v>
      </c>
      <c r="P458" s="54" t="s">
        <v>309</v>
      </c>
    </row>
    <row r="459" spans="1:16" x14ac:dyDescent="0.25">
      <c r="A459" s="6" t="s">
        <v>148</v>
      </c>
      <c r="B459" s="6">
        <v>3.3</v>
      </c>
      <c r="C459" s="6">
        <v>1</v>
      </c>
      <c r="D459" s="35">
        <v>20.668686868686869</v>
      </c>
      <c r="E459" s="52">
        <v>5.3535678571428576E-3</v>
      </c>
      <c r="F459" s="6">
        <v>0</v>
      </c>
      <c r="G459" s="6">
        <v>0</v>
      </c>
      <c r="H459" s="6">
        <v>0</v>
      </c>
      <c r="I459" s="6">
        <v>0</v>
      </c>
      <c r="J459" s="6">
        <v>0</v>
      </c>
      <c r="K459" s="6">
        <v>0</v>
      </c>
      <c r="L459" s="53">
        <v>0</v>
      </c>
      <c r="M459" s="53">
        <v>0</v>
      </c>
      <c r="N459" s="54">
        <v>0</v>
      </c>
      <c r="O459" s="6">
        <v>0</v>
      </c>
      <c r="P459" s="54" t="s">
        <v>310</v>
      </c>
    </row>
    <row r="460" spans="1:16" x14ac:dyDescent="0.25">
      <c r="A460" s="6" t="s">
        <v>485</v>
      </c>
      <c r="B460" s="6">
        <v>2.5</v>
      </c>
      <c r="C460" s="6">
        <v>2</v>
      </c>
      <c r="D460" s="35">
        <v>2.2802699999999998</v>
      </c>
      <c r="E460" s="52">
        <v>3.6999999999999999E-4</v>
      </c>
      <c r="F460" s="6">
        <v>2.61</v>
      </c>
      <c r="G460" s="6">
        <v>0</v>
      </c>
      <c r="H460" s="6">
        <v>0</v>
      </c>
      <c r="I460" s="6">
        <v>0</v>
      </c>
      <c r="J460" s="6">
        <v>0</v>
      </c>
      <c r="K460" s="6">
        <f>9.2-1.2</f>
        <v>7.9999999999999991</v>
      </c>
      <c r="L460" s="53">
        <v>0</v>
      </c>
      <c r="M460" s="6">
        <f>B460*K460</f>
        <v>19.999999999999996</v>
      </c>
      <c r="N460" s="54">
        <f>20-1.225</f>
        <v>18.774999999999999</v>
      </c>
      <c r="O460" s="6">
        <v>0</v>
      </c>
      <c r="P460" s="54" t="s">
        <v>375</v>
      </c>
    </row>
    <row r="461" spans="1:16" x14ac:dyDescent="0.25">
      <c r="A461" s="6" t="s">
        <v>486</v>
      </c>
      <c r="B461" s="6">
        <v>3.3</v>
      </c>
      <c r="C461" s="6">
        <v>2</v>
      </c>
      <c r="D461" s="35">
        <v>2.2802699999999998</v>
      </c>
      <c r="E461" s="52">
        <v>3.6999999999999999E-4</v>
      </c>
      <c r="F461" s="6">
        <v>2.61</v>
      </c>
      <c r="G461" s="6">
        <v>0</v>
      </c>
      <c r="H461" s="6">
        <v>0</v>
      </c>
      <c r="I461" s="6">
        <v>0</v>
      </c>
      <c r="J461" s="6">
        <v>0</v>
      </c>
      <c r="K461" s="6">
        <f>9.2-1.2</f>
        <v>7.9999999999999991</v>
      </c>
      <c r="L461" s="53">
        <v>0</v>
      </c>
      <c r="M461" s="6">
        <f>B461*K461</f>
        <v>26.399999999999995</v>
      </c>
      <c r="N461" s="54">
        <f>26.4-1.225</f>
        <v>25.174999999999997</v>
      </c>
      <c r="O461" s="6">
        <v>0</v>
      </c>
      <c r="P461" s="54" t="s">
        <v>376</v>
      </c>
    </row>
    <row r="462" spans="1:16" x14ac:dyDescent="0.25">
      <c r="A462" s="6" t="s">
        <v>497</v>
      </c>
      <c r="B462" s="6">
        <v>3.3</v>
      </c>
      <c r="C462" s="6">
        <v>1</v>
      </c>
      <c r="D462" s="35">
        <v>15.050509999999999</v>
      </c>
      <c r="E462" s="52">
        <v>5.6311761904761894E-3</v>
      </c>
      <c r="F462" s="6">
        <v>0</v>
      </c>
      <c r="G462" s="6">
        <v>0</v>
      </c>
      <c r="H462" s="6">
        <v>0</v>
      </c>
      <c r="I462" s="6">
        <v>0</v>
      </c>
      <c r="J462" s="6">
        <v>0</v>
      </c>
      <c r="K462" s="6">
        <v>0</v>
      </c>
      <c r="L462" s="53">
        <v>0</v>
      </c>
      <c r="M462" s="53">
        <v>0</v>
      </c>
      <c r="N462" s="54">
        <v>0</v>
      </c>
      <c r="O462" s="6">
        <v>0</v>
      </c>
      <c r="P462" s="54" t="s">
        <v>311</v>
      </c>
    </row>
    <row r="463" spans="1:16" x14ac:dyDescent="0.25">
      <c r="A463" s="6" t="s">
        <v>498</v>
      </c>
      <c r="B463" s="6">
        <v>3.3</v>
      </c>
      <c r="C463" s="6">
        <v>1</v>
      </c>
      <c r="D463" s="35">
        <v>14.94613</v>
      </c>
      <c r="E463" s="52">
        <v>5.6289785714285718E-3</v>
      </c>
      <c r="F463" s="6">
        <v>0</v>
      </c>
      <c r="G463" s="6">
        <v>0</v>
      </c>
      <c r="H463" s="6">
        <v>0</v>
      </c>
      <c r="I463" s="6">
        <v>0</v>
      </c>
      <c r="J463" s="6">
        <v>0</v>
      </c>
      <c r="K463" s="6">
        <v>0</v>
      </c>
      <c r="L463" s="53">
        <v>0</v>
      </c>
      <c r="M463" s="53">
        <v>0</v>
      </c>
      <c r="N463" s="54">
        <v>0</v>
      </c>
      <c r="O463" s="6">
        <v>0</v>
      </c>
      <c r="P463" s="54" t="s">
        <v>312</v>
      </c>
    </row>
    <row r="464" spans="1:16" x14ac:dyDescent="0.25">
      <c r="A464" s="6" t="s">
        <v>360</v>
      </c>
      <c r="B464" s="6">
        <v>2.5</v>
      </c>
      <c r="C464" s="6">
        <v>2</v>
      </c>
      <c r="D464" s="35">
        <v>2.2802699999999998</v>
      </c>
      <c r="E464" s="52">
        <v>3.6999999999999999E-4</v>
      </c>
      <c r="F464" s="6">
        <v>2.61</v>
      </c>
      <c r="G464" s="6">
        <v>0</v>
      </c>
      <c r="H464" s="6">
        <v>0</v>
      </c>
      <c r="I464" s="6">
        <v>0</v>
      </c>
      <c r="J464" s="6">
        <v>0</v>
      </c>
      <c r="K464" s="6">
        <f>9.2-1.2</f>
        <v>7.9999999999999991</v>
      </c>
      <c r="L464" s="6">
        <v>0</v>
      </c>
      <c r="M464" s="6">
        <f>B464*K464</f>
        <v>19.999999999999996</v>
      </c>
      <c r="N464" s="54">
        <f>20-1.225</f>
        <v>18.774999999999999</v>
      </c>
      <c r="O464" s="6">
        <v>0</v>
      </c>
      <c r="P464" s="54" t="s">
        <v>363</v>
      </c>
    </row>
    <row r="465" spans="1:34" x14ac:dyDescent="0.25">
      <c r="A465" s="6" t="s">
        <v>361</v>
      </c>
      <c r="B465" s="6">
        <v>3.3</v>
      </c>
      <c r="C465" s="6">
        <v>2</v>
      </c>
      <c r="D465" s="35">
        <v>2.2802699999999998</v>
      </c>
      <c r="E465" s="6">
        <v>3.6999999999999999E-4</v>
      </c>
      <c r="F465" s="6">
        <v>2.61</v>
      </c>
      <c r="G465" s="6">
        <v>0</v>
      </c>
      <c r="H465" s="6">
        <v>0</v>
      </c>
      <c r="I465" s="6">
        <v>0</v>
      </c>
      <c r="J465" s="6">
        <v>0</v>
      </c>
      <c r="K465" s="6">
        <f>9.2-1.2</f>
        <v>7.9999999999999991</v>
      </c>
      <c r="L465" s="6">
        <v>0</v>
      </c>
      <c r="M465" s="6">
        <f>B465*K465</f>
        <v>26.399999999999995</v>
      </c>
      <c r="N465" s="54">
        <f>26.4-1.225</f>
        <v>25.174999999999997</v>
      </c>
      <c r="O465" s="6">
        <v>0</v>
      </c>
      <c r="P465" s="54" t="s">
        <v>364</v>
      </c>
    </row>
    <row r="466" spans="1:34" x14ac:dyDescent="0.25">
      <c r="A466" s="6" t="s">
        <v>206</v>
      </c>
      <c r="B466" s="6">
        <v>2.5</v>
      </c>
      <c r="C466" s="6">
        <v>2</v>
      </c>
      <c r="D466" s="35">
        <v>2.2802699999999998</v>
      </c>
      <c r="E466" s="52">
        <v>3.6999999999999999E-4</v>
      </c>
      <c r="F466" s="6">
        <v>2.61</v>
      </c>
      <c r="G466" s="6">
        <v>0</v>
      </c>
      <c r="H466" s="6">
        <v>0</v>
      </c>
      <c r="I466" s="6">
        <v>0</v>
      </c>
      <c r="J466" s="6">
        <v>0</v>
      </c>
      <c r="K466" s="6">
        <f>9.2-1.2</f>
        <v>7.9999999999999991</v>
      </c>
      <c r="L466" s="53">
        <v>0</v>
      </c>
      <c r="M466" s="6">
        <f>B466*K466</f>
        <v>19.999999999999996</v>
      </c>
      <c r="N466" s="54">
        <f>20-1.225</f>
        <v>18.774999999999999</v>
      </c>
      <c r="O466" s="6">
        <v>0</v>
      </c>
      <c r="P466" s="54" t="s">
        <v>313</v>
      </c>
    </row>
    <row r="467" spans="1:34" x14ac:dyDescent="0.25">
      <c r="A467" s="6" t="s">
        <v>404</v>
      </c>
      <c r="B467" s="6">
        <v>3.3</v>
      </c>
      <c r="C467" s="6">
        <v>2</v>
      </c>
      <c r="D467" s="35">
        <v>2.2802699999999998</v>
      </c>
      <c r="E467" s="52">
        <v>3.6999999999999999E-4</v>
      </c>
      <c r="F467" s="6">
        <v>2.61</v>
      </c>
      <c r="G467" s="6">
        <v>0</v>
      </c>
      <c r="H467" s="6">
        <v>0</v>
      </c>
      <c r="I467" s="6">
        <v>0</v>
      </c>
      <c r="J467" s="6">
        <v>0</v>
      </c>
      <c r="K467" s="6">
        <f>9.2-1.2</f>
        <v>7.9999999999999991</v>
      </c>
      <c r="L467" s="53">
        <v>0</v>
      </c>
      <c r="M467" s="6">
        <f>B467*K467</f>
        <v>26.399999999999995</v>
      </c>
      <c r="N467" s="54">
        <f>26.4-1.225</f>
        <v>25.174999999999997</v>
      </c>
      <c r="O467" s="6">
        <v>0</v>
      </c>
      <c r="P467" s="54" t="s">
        <v>362</v>
      </c>
    </row>
    <row r="468" spans="1:34" x14ac:dyDescent="0.25">
      <c r="A468" s="6" t="s">
        <v>214</v>
      </c>
      <c r="B468" s="6">
        <v>1.8</v>
      </c>
      <c r="C468" s="6">
        <v>1</v>
      </c>
      <c r="D468" s="35">
        <v>12.5731</v>
      </c>
      <c r="E468" s="52">
        <v>2.1562666666666667E-3</v>
      </c>
      <c r="F468" s="6">
        <v>2.67</v>
      </c>
      <c r="G468" s="6">
        <v>0</v>
      </c>
      <c r="H468" s="6">
        <v>1.1000000000000001</v>
      </c>
      <c r="I468" s="6">
        <v>1.3</v>
      </c>
      <c r="J468" s="6">
        <v>0.54</v>
      </c>
      <c r="K468" s="6">
        <v>4.7</v>
      </c>
      <c r="L468" s="53">
        <v>18</v>
      </c>
      <c r="M468" s="53">
        <v>6.84</v>
      </c>
      <c r="N468" s="54">
        <v>3.6</v>
      </c>
      <c r="O468" s="6">
        <v>0</v>
      </c>
      <c r="P468" s="54" t="s">
        <v>319</v>
      </c>
    </row>
    <row r="469" spans="1:34" x14ac:dyDescent="0.25">
      <c r="A469" s="6" t="s">
        <v>366</v>
      </c>
      <c r="B469" s="6">
        <v>1.8</v>
      </c>
      <c r="C469" s="6">
        <v>1</v>
      </c>
      <c r="D469" s="35">
        <v>13</v>
      </c>
      <c r="E469" s="52">
        <v>5.7573892857142846E-3</v>
      </c>
      <c r="F469" s="6">
        <v>2.67</v>
      </c>
      <c r="G469" s="6">
        <v>0</v>
      </c>
      <c r="H469" s="6">
        <v>1.1000000000000001</v>
      </c>
      <c r="I469" s="6">
        <v>1.4</v>
      </c>
      <c r="J469" s="6">
        <v>0.4</v>
      </c>
      <c r="K469" s="6">
        <v>8.1</v>
      </c>
      <c r="L469" s="53">
        <v>18</v>
      </c>
      <c r="M469" s="53">
        <v>18</v>
      </c>
      <c r="N469" s="54">
        <v>5.4</v>
      </c>
      <c r="O469" s="6">
        <v>0</v>
      </c>
      <c r="P469" s="54" t="s">
        <v>487</v>
      </c>
    </row>
    <row r="470" spans="1:34" x14ac:dyDescent="0.25">
      <c r="A470" s="6" t="s">
        <v>133</v>
      </c>
      <c r="B470" s="6">
        <v>2.5</v>
      </c>
      <c r="C470" s="6">
        <v>1</v>
      </c>
      <c r="D470" s="35">
        <v>9.8187099999999994</v>
      </c>
      <c r="E470" s="52">
        <v>2.1669988095238094E-3</v>
      </c>
      <c r="F470" s="6">
        <v>2.72</v>
      </c>
      <c r="G470" s="6">
        <v>0</v>
      </c>
      <c r="H470" s="6">
        <v>1.1000000000000001</v>
      </c>
      <c r="I470" s="6">
        <v>1.8</v>
      </c>
      <c r="J470" s="6">
        <v>0.66</v>
      </c>
      <c r="K470" s="6">
        <v>7.8</v>
      </c>
      <c r="L470" s="53">
        <v>25</v>
      </c>
      <c r="M470" s="53">
        <v>14.25</v>
      </c>
      <c r="N470" s="54">
        <v>5.3</v>
      </c>
      <c r="O470" s="6">
        <v>0</v>
      </c>
      <c r="P470" s="54" t="s">
        <v>314</v>
      </c>
    </row>
    <row r="471" spans="1:34" x14ac:dyDescent="0.25">
      <c r="A471" s="6" t="s">
        <v>367</v>
      </c>
      <c r="B471" s="6">
        <v>2.5</v>
      </c>
      <c r="C471" s="6">
        <v>1</v>
      </c>
      <c r="D471" s="35">
        <v>13.28571</v>
      </c>
      <c r="E471" s="52">
        <v>4.5673833333333335E-3</v>
      </c>
      <c r="F471" s="6">
        <v>2.72</v>
      </c>
      <c r="G471" s="6">
        <v>0</v>
      </c>
      <c r="H471" s="6">
        <v>1.1000000000000001</v>
      </c>
      <c r="I471" s="6">
        <v>2</v>
      </c>
      <c r="J471" s="6">
        <v>0.46</v>
      </c>
      <c r="K471" s="6">
        <v>10.4</v>
      </c>
      <c r="L471" s="53">
        <v>25</v>
      </c>
      <c r="M471" s="53">
        <v>38.5</v>
      </c>
      <c r="N471" s="54">
        <v>7.5</v>
      </c>
      <c r="O471" s="6">
        <v>0</v>
      </c>
      <c r="P471" s="54" t="s">
        <v>368</v>
      </c>
    </row>
    <row r="472" spans="1:34" x14ac:dyDescent="0.25">
      <c r="A472" s="6" t="s">
        <v>369</v>
      </c>
      <c r="B472" s="6">
        <v>3.3</v>
      </c>
      <c r="C472" s="6">
        <v>1</v>
      </c>
      <c r="D472" s="35">
        <v>9.8187099999999994</v>
      </c>
      <c r="E472" s="52">
        <v>2.1669988095238094E-3</v>
      </c>
      <c r="F472" s="6">
        <v>2.72</v>
      </c>
      <c r="G472" s="6">
        <v>0</v>
      </c>
      <c r="H472" s="6">
        <v>1.1000000000000001</v>
      </c>
      <c r="I472" s="6">
        <v>1.8</v>
      </c>
      <c r="J472" s="6">
        <v>0.66</v>
      </c>
      <c r="K472" s="6">
        <v>7.8</v>
      </c>
      <c r="L472" s="53">
        <v>25</v>
      </c>
      <c r="M472" s="53">
        <v>14.25</v>
      </c>
      <c r="N472" s="54">
        <v>5.3</v>
      </c>
      <c r="O472" s="6">
        <v>0</v>
      </c>
      <c r="P472" s="54" t="s">
        <v>371</v>
      </c>
    </row>
    <row r="473" spans="1:34" x14ac:dyDescent="0.25">
      <c r="A473" s="6" t="s">
        <v>370</v>
      </c>
      <c r="B473" s="6">
        <v>3.3</v>
      </c>
      <c r="C473" s="6">
        <v>1</v>
      </c>
      <c r="D473" s="35">
        <v>13.28571</v>
      </c>
      <c r="E473" s="52">
        <v>4.5673833333333335E-3</v>
      </c>
      <c r="F473" s="6">
        <v>2.72</v>
      </c>
      <c r="G473" s="6">
        <v>0</v>
      </c>
      <c r="H473" s="6">
        <v>1.1000000000000001</v>
      </c>
      <c r="I473" s="6">
        <v>2</v>
      </c>
      <c r="J473" s="6">
        <v>0.46</v>
      </c>
      <c r="K473" s="6">
        <v>10.4</v>
      </c>
      <c r="L473" s="53">
        <v>25</v>
      </c>
      <c r="M473" s="53">
        <v>38.5</v>
      </c>
      <c r="N473" s="54">
        <v>7.5</v>
      </c>
      <c r="O473" s="6">
        <v>0</v>
      </c>
      <c r="P473" s="54" t="s">
        <v>372</v>
      </c>
    </row>
    <row r="474" spans="1:34" x14ac:dyDescent="0.25">
      <c r="A474" s="6" t="s">
        <v>373</v>
      </c>
      <c r="B474" s="6">
        <v>3.3</v>
      </c>
      <c r="C474" s="6">
        <v>2</v>
      </c>
      <c r="D474" s="35">
        <v>2.2802699999999998</v>
      </c>
      <c r="E474" s="52">
        <v>3.6999999999999999E-4</v>
      </c>
      <c r="F474" s="6">
        <v>2.61</v>
      </c>
      <c r="G474" s="6">
        <v>0</v>
      </c>
      <c r="H474" s="6">
        <v>0</v>
      </c>
      <c r="I474" s="6">
        <v>0</v>
      </c>
      <c r="J474" s="6">
        <v>0</v>
      </c>
      <c r="K474" s="6">
        <f>9.2-1.2</f>
        <v>7.9999999999999991</v>
      </c>
      <c r="L474" s="53">
        <v>0</v>
      </c>
      <c r="M474" s="6">
        <f>B474*K474</f>
        <v>26.399999999999995</v>
      </c>
      <c r="N474" s="54">
        <f>26.4-1.225</f>
        <v>25.174999999999997</v>
      </c>
      <c r="O474" s="6">
        <v>0</v>
      </c>
      <c r="P474" s="54" t="s">
        <v>365</v>
      </c>
    </row>
    <row r="476" spans="1:34" x14ac:dyDescent="0.25">
      <c r="Q476">
        <v>16</v>
      </c>
      <c r="R476">
        <v>17</v>
      </c>
      <c r="S476">
        <v>18</v>
      </c>
      <c r="T476">
        <v>19</v>
      </c>
      <c r="U476">
        <v>20</v>
      </c>
      <c r="V476">
        <v>21</v>
      </c>
      <c r="W476">
        <v>22</v>
      </c>
      <c r="X476">
        <v>23</v>
      </c>
      <c r="Y476">
        <v>24</v>
      </c>
      <c r="Z476">
        <v>25</v>
      </c>
      <c r="AA476">
        <v>26</v>
      </c>
      <c r="AB476">
        <v>27</v>
      </c>
      <c r="AC476">
        <v>28</v>
      </c>
      <c r="AD476">
        <v>29</v>
      </c>
      <c r="AE476">
        <v>30</v>
      </c>
      <c r="AF476">
        <v>31</v>
      </c>
      <c r="AG476">
        <v>32</v>
      </c>
    </row>
    <row r="477" spans="1:34" ht="66" x14ac:dyDescent="0.25">
      <c r="A477" s="7" t="s">
        <v>560</v>
      </c>
      <c r="B477" s="6">
        <v>1</v>
      </c>
      <c r="C477" s="6">
        <v>2</v>
      </c>
      <c r="D477" s="6">
        <v>3</v>
      </c>
      <c r="E477" s="9" t="s">
        <v>111</v>
      </c>
      <c r="F477" s="9" t="s">
        <v>110</v>
      </c>
      <c r="G477" s="9" t="s">
        <v>98</v>
      </c>
      <c r="H477" s="7">
        <v>7</v>
      </c>
      <c r="I477" s="9">
        <v>8</v>
      </c>
      <c r="J477" s="9">
        <v>9</v>
      </c>
      <c r="K477" s="55" t="s">
        <v>464</v>
      </c>
      <c r="L477" s="55" t="s">
        <v>465</v>
      </c>
      <c r="M477" s="55" t="s">
        <v>466</v>
      </c>
      <c r="N477" s="56" t="s">
        <v>467</v>
      </c>
      <c r="O477" s="56" t="s">
        <v>468</v>
      </c>
      <c r="P477" s="7">
        <v>15</v>
      </c>
      <c r="Q477" s="69" t="s">
        <v>662</v>
      </c>
      <c r="R477" s="69" t="s">
        <v>663</v>
      </c>
      <c r="S477" s="69" t="s">
        <v>664</v>
      </c>
      <c r="T477" s="69" t="s">
        <v>665</v>
      </c>
      <c r="U477" s="69" t="s">
        <v>666</v>
      </c>
      <c r="V477" s="69" t="s">
        <v>667</v>
      </c>
      <c r="W477" s="69" t="s">
        <v>668</v>
      </c>
      <c r="X477" s="69" t="s">
        <v>665</v>
      </c>
      <c r="Y477" s="69" t="s">
        <v>669</v>
      </c>
      <c r="Z477" s="69" t="s">
        <v>670</v>
      </c>
      <c r="AA477" s="69" t="s">
        <v>671</v>
      </c>
      <c r="AB477" s="69" t="s">
        <v>672</v>
      </c>
      <c r="AC477" s="69" t="s">
        <v>673</v>
      </c>
      <c r="AD477" s="69" t="s">
        <v>674</v>
      </c>
      <c r="AE477" s="69" t="s">
        <v>675</v>
      </c>
      <c r="AF477" s="69" t="s">
        <v>676</v>
      </c>
      <c r="AG477" s="538" t="s">
        <v>1295</v>
      </c>
      <c r="AH477" s="538"/>
    </row>
    <row r="478" spans="1:34" ht="33.75" customHeight="1" x14ac:dyDescent="0.25">
      <c r="A478" s="9" t="s">
        <v>96</v>
      </c>
      <c r="B478" s="9" t="s">
        <v>115</v>
      </c>
      <c r="C478" s="9" t="s">
        <v>238</v>
      </c>
      <c r="D478" s="9" t="s">
        <v>239</v>
      </c>
      <c r="E478" s="9" t="s">
        <v>240</v>
      </c>
      <c r="F478" s="9" t="s">
        <v>54</v>
      </c>
      <c r="G478" s="9" t="s">
        <v>469</v>
      </c>
      <c r="H478" s="9" t="s">
        <v>97</v>
      </c>
      <c r="I478" s="9" t="s">
        <v>470</v>
      </c>
      <c r="J478" s="9" t="s">
        <v>471</v>
      </c>
      <c r="K478" s="9" t="s">
        <v>416</v>
      </c>
      <c r="L478" s="9" t="s">
        <v>416</v>
      </c>
      <c r="M478" s="9" t="s">
        <v>472</v>
      </c>
      <c r="N478" s="9" t="s">
        <v>472</v>
      </c>
      <c r="O478" s="6"/>
      <c r="P478" s="9" t="s">
        <v>241</v>
      </c>
      <c r="Q478" s="9" t="s">
        <v>416</v>
      </c>
      <c r="R478" s="9" t="s">
        <v>416</v>
      </c>
      <c r="S478" s="9" t="s">
        <v>416</v>
      </c>
      <c r="T478" s="9" t="s">
        <v>416</v>
      </c>
      <c r="U478" s="9" t="s">
        <v>416</v>
      </c>
      <c r="V478" s="9" t="s">
        <v>416</v>
      </c>
      <c r="W478" s="9" t="s">
        <v>416</v>
      </c>
      <c r="X478" s="9" t="s">
        <v>416</v>
      </c>
      <c r="Y478" s="9" t="s">
        <v>472</v>
      </c>
      <c r="Z478" s="9" t="s">
        <v>472</v>
      </c>
      <c r="AA478" s="9" t="s">
        <v>472</v>
      </c>
      <c r="AB478" s="9" t="s">
        <v>472</v>
      </c>
      <c r="AC478" s="9" t="s">
        <v>472</v>
      </c>
      <c r="AD478" s="9" t="s">
        <v>472</v>
      </c>
      <c r="AE478" s="9" t="s">
        <v>472</v>
      </c>
      <c r="AF478" s="9" t="s">
        <v>472</v>
      </c>
    </row>
    <row r="479" spans="1:34" x14ac:dyDescent="0.25">
      <c r="A479" s="384" t="s">
        <v>212</v>
      </c>
      <c r="B479" s="384">
        <f>VCCO25</f>
        <v>2.5</v>
      </c>
      <c r="C479" s="384">
        <v>2</v>
      </c>
      <c r="D479" s="385">
        <v>3.72533</v>
      </c>
      <c r="E479" s="384">
        <v>3.6999999999999999E-4</v>
      </c>
      <c r="F479" s="384">
        <f t="shared" ref="F479:F494" si="4">IF(POWERMODE="Hibernate",0,IF(VCCAUX&lt;=2.625,1.98,IF(VCCAUX&gt;2.625,3.87,0)))</f>
        <v>3.87</v>
      </c>
      <c r="G479" s="384">
        <v>0</v>
      </c>
      <c r="H479" s="384">
        <v>0.28999999999999998</v>
      </c>
      <c r="I479" s="384">
        <v>0</v>
      </c>
      <c r="J479" s="384">
        <v>0</v>
      </c>
      <c r="K479" s="384">
        <v>3.3</v>
      </c>
      <c r="L479" s="384">
        <v>0</v>
      </c>
      <c r="M479" s="384">
        <f>B479*K479</f>
        <v>8.25</v>
      </c>
      <c r="N479" s="384">
        <v>7.75</v>
      </c>
      <c r="O479" s="384">
        <v>1.2250000000000001</v>
      </c>
      <c r="P479" s="384" t="s">
        <v>242</v>
      </c>
      <c r="Q479" s="384">
        <v>0</v>
      </c>
      <c r="R479" s="384">
        <v>0</v>
      </c>
      <c r="S479" s="384">
        <v>0</v>
      </c>
      <c r="T479" s="384">
        <v>0</v>
      </c>
      <c r="U479" s="384">
        <v>0</v>
      </c>
      <c r="V479" s="384">
        <v>0</v>
      </c>
      <c r="W479" s="384">
        <v>0</v>
      </c>
      <c r="X479" s="384">
        <v>0</v>
      </c>
      <c r="Y479" s="384">
        <v>0</v>
      </c>
      <c r="Z479" s="384">
        <v>0</v>
      </c>
      <c r="AA479" s="384">
        <v>0</v>
      </c>
      <c r="AB479" s="384">
        <v>0</v>
      </c>
      <c r="AC479" s="384">
        <v>0</v>
      </c>
      <c r="AD479" s="384">
        <v>0</v>
      </c>
      <c r="AE479" s="384">
        <v>0</v>
      </c>
      <c r="AF479" s="384">
        <v>0</v>
      </c>
      <c r="AG479" s="384">
        <v>2</v>
      </c>
    </row>
    <row r="480" spans="1:34" x14ac:dyDescent="0.25">
      <c r="A480" s="384" t="s">
        <v>990</v>
      </c>
      <c r="B480" s="384">
        <f>VCCO15</f>
        <v>1.5</v>
      </c>
      <c r="C480" s="384">
        <v>1</v>
      </c>
      <c r="D480" s="385">
        <v>31.42858</v>
      </c>
      <c r="E480" s="386">
        <f>0.00351848928571429*2</f>
        <v>7.03697857142858E-3</v>
      </c>
      <c r="F480" s="384">
        <f t="shared" si="4"/>
        <v>3.87</v>
      </c>
      <c r="G480" s="384">
        <v>0</v>
      </c>
      <c r="H480" s="384">
        <f t="shared" ref="H480:H494" si="5">IF(POWERMODE="Hibernate",0,IF(VCCAUX&lt;=2.625,0.73,IF(VCCAUX&gt;2.625,0.85,0)))</f>
        <v>0.85</v>
      </c>
      <c r="I480" s="384">
        <f t="shared" ref="I480:I485" si="6">($B480) - 0.4</f>
        <v>1.1000000000000001</v>
      </c>
      <c r="J480" s="384">
        <v>0.4</v>
      </c>
      <c r="K480" s="384">
        <v>9.6</v>
      </c>
      <c r="L480" s="387">
        <v>0</v>
      </c>
      <c r="M480" s="387">
        <v>10.5</v>
      </c>
      <c r="N480" s="388">
        <f>2*$N495</f>
        <v>5.6</v>
      </c>
      <c r="O480" s="384">
        <v>0</v>
      </c>
      <c r="P480" s="388" t="s">
        <v>949</v>
      </c>
      <c r="Q480" s="384">
        <v>9.6</v>
      </c>
      <c r="R480" s="384">
        <v>19.2</v>
      </c>
      <c r="S480" s="384">
        <v>9.6</v>
      </c>
      <c r="T480" s="384">
        <v>4.8</v>
      </c>
      <c r="U480" s="384">
        <v>0</v>
      </c>
      <c r="V480" s="384">
        <v>0</v>
      </c>
      <c r="W480" s="384">
        <v>0</v>
      </c>
      <c r="X480" s="384">
        <v>0</v>
      </c>
      <c r="Y480" s="384">
        <f>2*1000*(($B480* $B480/2)  + ($B480*($I480 - $J480)) / 2) / 100</f>
        <v>33</v>
      </c>
      <c r="Z480" s="384">
        <f>2*1000*(($B480* $B480/2)  + ($B480*($I480 - $J480)) / 2) / 50</f>
        <v>66</v>
      </c>
      <c r="AA480" s="384">
        <f>2*1000*(($B480* $B480/2)  + ($B480*($I480 - $J480)) / 2) / 100</f>
        <v>33</v>
      </c>
      <c r="AB480" s="384">
        <f>2*1000*(($B480* $B480/2)  + ($B480*($I480 - $J480)) / 2) / 150</f>
        <v>22</v>
      </c>
      <c r="AC480" s="388">
        <v>6.4</v>
      </c>
      <c r="AD480" s="384">
        <v>12.8</v>
      </c>
      <c r="AE480" s="388">
        <v>6.4</v>
      </c>
      <c r="AF480" s="384">
        <v>4.2</v>
      </c>
      <c r="AG480" s="388">
        <v>1</v>
      </c>
    </row>
    <row r="481" spans="1:33" x14ac:dyDescent="0.25">
      <c r="A481" s="498" t="s">
        <v>991</v>
      </c>
      <c r="B481" s="498">
        <f>VCCO15</f>
        <v>1.5</v>
      </c>
      <c r="C481" s="498">
        <v>1</v>
      </c>
      <c r="D481" s="385">
        <v>2</v>
      </c>
      <c r="E481" s="386">
        <f>0.00409514761904762*2</f>
        <v>8.1902952380952399E-3</v>
      </c>
      <c r="F481" s="384">
        <f t="shared" si="4"/>
        <v>3.87</v>
      </c>
      <c r="G481" s="498">
        <v>0</v>
      </c>
      <c r="H481" s="384">
        <f t="shared" si="5"/>
        <v>0.85</v>
      </c>
      <c r="I481" s="384">
        <f t="shared" si="6"/>
        <v>1.1000000000000001</v>
      </c>
      <c r="J481" s="384">
        <v>0.4</v>
      </c>
      <c r="K481" s="384">
        <v>18.600000000000001</v>
      </c>
      <c r="L481" s="387">
        <v>0</v>
      </c>
      <c r="M481" s="387">
        <v>21</v>
      </c>
      <c r="N481" s="388">
        <f>2*$N497</f>
        <v>5.6</v>
      </c>
      <c r="O481" s="384">
        <v>0</v>
      </c>
      <c r="P481" s="388" t="s">
        <v>950</v>
      </c>
      <c r="Q481" s="384">
        <v>18.600000000000001</v>
      </c>
      <c r="R481" s="384">
        <v>31.2</v>
      </c>
      <c r="S481" s="384">
        <v>18.600000000000001</v>
      </c>
      <c r="T481" s="384">
        <v>9.1999999999999993</v>
      </c>
      <c r="U481" s="384">
        <v>0</v>
      </c>
      <c r="V481" s="384">
        <v>0</v>
      </c>
      <c r="W481" s="384">
        <v>0</v>
      </c>
      <c r="X481" s="384">
        <v>0</v>
      </c>
      <c r="Y481" s="384">
        <f>2*1000*(($B481* $B481/2)  + ($B481*($I481 - $J481)) / 2) / 100</f>
        <v>33</v>
      </c>
      <c r="Z481" s="384">
        <f>2*1000*(($B481* $B481/2)  + ($B481*($I481 - $J481)) / 2) / 50</f>
        <v>66</v>
      </c>
      <c r="AA481" s="384">
        <f>2*1000*(($B481* $B481/2)  + ($B481*($I481 - $J481)) / 2) / 100</f>
        <v>33</v>
      </c>
      <c r="AB481" s="384">
        <f>2*1000*(($B481* $B481/2)  + ($B481*($I481 - $J481)) / 2) / 150</f>
        <v>22</v>
      </c>
      <c r="AC481" s="388">
        <v>12.8</v>
      </c>
      <c r="AD481" s="384">
        <v>25.2</v>
      </c>
      <c r="AE481" s="388">
        <v>12.8</v>
      </c>
      <c r="AF481" s="384">
        <v>8.4</v>
      </c>
      <c r="AG481" s="388">
        <v>1</v>
      </c>
    </row>
    <row r="482" spans="1:33" x14ac:dyDescent="0.25">
      <c r="A482" s="384" t="s">
        <v>992</v>
      </c>
      <c r="B482" s="384">
        <f>VCCO15</f>
        <v>1.5</v>
      </c>
      <c r="C482" s="384">
        <v>1</v>
      </c>
      <c r="D482" s="385">
        <v>44.380960000000002</v>
      </c>
      <c r="E482" s="386">
        <f>0.00768964761904762*2</f>
        <v>1.5379295238095241E-2</v>
      </c>
      <c r="F482" s="384">
        <f t="shared" si="4"/>
        <v>3.87</v>
      </c>
      <c r="G482" s="384">
        <v>0</v>
      </c>
      <c r="H482" s="384">
        <f t="shared" si="5"/>
        <v>0.85</v>
      </c>
      <c r="I482" s="384">
        <f t="shared" si="6"/>
        <v>1.1000000000000001</v>
      </c>
      <c r="J482" s="384">
        <v>0.4</v>
      </c>
      <c r="K482" s="384">
        <v>0.96</v>
      </c>
      <c r="L482" s="387">
        <v>0</v>
      </c>
      <c r="M482" s="387">
        <v>21</v>
      </c>
      <c r="N482" s="388">
        <f>2*$N499</f>
        <v>11.999999999999998</v>
      </c>
      <c r="O482" s="384">
        <v>0</v>
      </c>
      <c r="P482" s="388" t="s">
        <v>951</v>
      </c>
      <c r="Q482" s="384">
        <v>0.96</v>
      </c>
      <c r="R482" s="384">
        <v>1.52</v>
      </c>
      <c r="S482" s="384">
        <v>0.96</v>
      </c>
      <c r="T482" s="384">
        <v>0.64</v>
      </c>
      <c r="U482" s="384">
        <v>0</v>
      </c>
      <c r="V482" s="384">
        <v>0</v>
      </c>
      <c r="W482" s="384">
        <v>0</v>
      </c>
      <c r="X482" s="384">
        <v>0</v>
      </c>
      <c r="Y482" s="384">
        <f>2*1000*($B482*($I482 - $J482)) / (4 * 50)</f>
        <v>10.5</v>
      </c>
      <c r="Z482" s="384">
        <f>2*1000*($B482*($I482 - $J482)) / (4 * 25)</f>
        <v>21</v>
      </c>
      <c r="AA482" s="384">
        <f>2*1000*($B482*($I482 - $J482)) / (4 * 50)</f>
        <v>10.5</v>
      </c>
      <c r="AB482" s="384">
        <f>2*1000*($B482*($I482 - $J482)) / (4 * 75)</f>
        <v>7</v>
      </c>
      <c r="AC482" s="388">
        <v>1.44</v>
      </c>
      <c r="AD482" s="384">
        <v>2.88</v>
      </c>
      <c r="AE482" s="388">
        <v>1.44</v>
      </c>
      <c r="AF482" s="384">
        <v>0.8</v>
      </c>
      <c r="AG482" s="388">
        <v>1</v>
      </c>
    </row>
    <row r="483" spans="1:33" x14ac:dyDescent="0.25">
      <c r="A483" s="384" t="s">
        <v>488</v>
      </c>
      <c r="B483" s="384">
        <f>VCCO18</f>
        <v>1.8</v>
      </c>
      <c r="C483" s="384">
        <v>1</v>
      </c>
      <c r="D483" s="385">
        <v>27.11112</v>
      </c>
      <c r="E483" s="386">
        <f>0.00392332619047619*2</f>
        <v>7.8466523809523799E-3</v>
      </c>
      <c r="F483" s="384">
        <f t="shared" si="4"/>
        <v>3.87</v>
      </c>
      <c r="G483" s="384">
        <v>0</v>
      </c>
      <c r="H483" s="384">
        <f t="shared" si="5"/>
        <v>0.85</v>
      </c>
      <c r="I483" s="384">
        <f t="shared" si="6"/>
        <v>1.4</v>
      </c>
      <c r="J483" s="384">
        <v>0.4</v>
      </c>
      <c r="K483" s="384">
        <v>11.6</v>
      </c>
      <c r="L483" s="387">
        <v>0</v>
      </c>
      <c r="M483" s="384">
        <f>2*$M496</f>
        <v>50.4</v>
      </c>
      <c r="N483" s="388">
        <f>2*$N496</f>
        <v>8</v>
      </c>
      <c r="O483" s="384">
        <v>0</v>
      </c>
      <c r="P483" s="384" t="s">
        <v>473</v>
      </c>
      <c r="Q483" s="384">
        <v>11.6</v>
      </c>
      <c r="R483" s="384">
        <v>22.4</v>
      </c>
      <c r="S483" s="384">
        <v>11.6</v>
      </c>
      <c r="T483" s="384">
        <v>6.4</v>
      </c>
      <c r="U483" s="384">
        <v>0</v>
      </c>
      <c r="V483" s="384">
        <v>0</v>
      </c>
      <c r="W483" s="384">
        <v>0</v>
      </c>
      <c r="X483" s="384">
        <v>0</v>
      </c>
      <c r="Y483" s="384">
        <f>1000*2*(($B483* $B483/2)  + ($B483*($I483 - $J483)) / 2) / 100</f>
        <v>50.4</v>
      </c>
      <c r="Z483" s="384">
        <f>1000*2*(($B483* $B483/2)  + ($B483*($I483 - $J483)) / 2) / 50</f>
        <v>100.8</v>
      </c>
      <c r="AA483" s="384">
        <f>1000*2*(($B483* $B483/2)  + ($B483*($I483 - $J483)) / 2) / 100</f>
        <v>50.4</v>
      </c>
      <c r="AB483" s="384">
        <f>1000*2*(($B483* $B483/2)  + ($B483*($I483 - $J483)) / 2) / 150</f>
        <v>33.6</v>
      </c>
      <c r="AC483" s="388">
        <v>6.4</v>
      </c>
      <c r="AD483" s="384">
        <v>12.8</v>
      </c>
      <c r="AE483" s="388">
        <v>6.4</v>
      </c>
      <c r="AF483" s="384">
        <v>4.2</v>
      </c>
      <c r="AG483" s="388">
        <v>1</v>
      </c>
    </row>
    <row r="484" spans="1:33" x14ac:dyDescent="0.25">
      <c r="A484" s="384" t="s">
        <v>489</v>
      </c>
      <c r="B484" s="384">
        <f>VCCO18</f>
        <v>1.8</v>
      </c>
      <c r="C484" s="384">
        <v>1</v>
      </c>
      <c r="D484" s="385">
        <v>2.8888799999999999</v>
      </c>
      <c r="E484" s="386">
        <f>0.00606519523809524*2</f>
        <v>1.2130390476190481E-2</v>
      </c>
      <c r="F484" s="384">
        <f t="shared" si="4"/>
        <v>3.87</v>
      </c>
      <c r="G484" s="384">
        <v>0</v>
      </c>
      <c r="H484" s="384">
        <f t="shared" si="5"/>
        <v>0.85</v>
      </c>
      <c r="I484" s="384">
        <f t="shared" si="6"/>
        <v>1.4</v>
      </c>
      <c r="J484" s="384">
        <v>0.4</v>
      </c>
      <c r="K484" s="384">
        <v>24.4</v>
      </c>
      <c r="L484" s="387">
        <v>0</v>
      </c>
      <c r="M484" s="387">
        <f>2*$M498</f>
        <v>50.4</v>
      </c>
      <c r="N484" s="384">
        <f>2*$N498</f>
        <v>8</v>
      </c>
      <c r="O484" s="384">
        <v>0</v>
      </c>
      <c r="P484" s="384" t="s">
        <v>474</v>
      </c>
      <c r="Q484" s="384">
        <v>24.4</v>
      </c>
      <c r="R484" s="384">
        <v>32.4</v>
      </c>
      <c r="S484" s="384">
        <v>24.4</v>
      </c>
      <c r="T484" s="384">
        <v>15.2</v>
      </c>
      <c r="U484" s="384">
        <v>0</v>
      </c>
      <c r="V484" s="384">
        <v>0</v>
      </c>
      <c r="W484" s="384">
        <v>0</v>
      </c>
      <c r="X484" s="384">
        <v>0</v>
      </c>
      <c r="Y484" s="384">
        <f>1000*(($B484* $B484/2)  + ($B484*($I484 - $J484)) / 2) / 100</f>
        <v>25.2</v>
      </c>
      <c r="Z484" s="384">
        <f>1000*(($B484* $B484/2)  + ($B484*($I484 - $J484)) / 2) / 50</f>
        <v>50.4</v>
      </c>
      <c r="AA484" s="384">
        <f>1000*(($B484* $B484/2)  + ($B484*($I484 - $J484)) / 2) / 100</f>
        <v>25.2</v>
      </c>
      <c r="AB484" s="384">
        <f>1000*(($B484* $B484/2)  + ($B484*($I484 - $J484)) / 2) / 150</f>
        <v>16.8</v>
      </c>
      <c r="AC484" s="384">
        <v>12.8</v>
      </c>
      <c r="AD484" s="384">
        <v>25.6</v>
      </c>
      <c r="AE484" s="384">
        <v>12.8</v>
      </c>
      <c r="AF484" s="384">
        <v>7.8</v>
      </c>
      <c r="AG484" s="388">
        <v>1</v>
      </c>
    </row>
    <row r="485" spans="1:33" x14ac:dyDescent="0.25">
      <c r="A485" s="384" t="s">
        <v>490</v>
      </c>
      <c r="B485" s="384">
        <f>VCCO18</f>
        <v>1.8</v>
      </c>
      <c r="C485" s="384">
        <v>1</v>
      </c>
      <c r="D485" s="385">
        <v>40.88888</v>
      </c>
      <c r="E485" s="386">
        <f>0.00565732261904762*2</f>
        <v>1.131464523809524E-2</v>
      </c>
      <c r="F485" s="384">
        <f t="shared" si="4"/>
        <v>3.87</v>
      </c>
      <c r="G485" s="384">
        <v>0</v>
      </c>
      <c r="H485" s="384">
        <f t="shared" si="5"/>
        <v>0.85</v>
      </c>
      <c r="I485" s="384">
        <f t="shared" si="6"/>
        <v>1.4</v>
      </c>
      <c r="J485" s="384">
        <v>0.4</v>
      </c>
      <c r="K485" s="384">
        <v>1.04</v>
      </c>
      <c r="L485" s="387">
        <v>0</v>
      </c>
      <c r="M485" s="387">
        <f>2*$M500</f>
        <v>50.4</v>
      </c>
      <c r="N485" s="388">
        <f>2*$N500</f>
        <v>14.4</v>
      </c>
      <c r="O485" s="384">
        <v>0</v>
      </c>
      <c r="P485" s="388" t="s">
        <v>475</v>
      </c>
      <c r="Q485" s="384">
        <v>1.04</v>
      </c>
      <c r="R485" s="384">
        <v>1.92</v>
      </c>
      <c r="S485" s="384">
        <v>1.04</v>
      </c>
      <c r="T485" s="384">
        <v>0.8</v>
      </c>
      <c r="U485" s="384">
        <v>0</v>
      </c>
      <c r="V485" s="384">
        <v>0</v>
      </c>
      <c r="W485" s="384">
        <v>0</v>
      </c>
      <c r="X485" s="384">
        <v>0</v>
      </c>
      <c r="Y485" s="384">
        <f>1000*2*($B485*($I485 - $J485)) / (4 * 50)</f>
        <v>17.999999999999996</v>
      </c>
      <c r="Z485" s="384">
        <f>1000*2*($B485*($I485 - $J485)) / (4 * 25)</f>
        <v>35.999999999999993</v>
      </c>
      <c r="AA485" s="384">
        <f>1000*2*($B485*($I485 - $J485)) / (4 * 50)</f>
        <v>17.999999999999996</v>
      </c>
      <c r="AB485" s="384">
        <f>1000*2*($B485*($I485 - $J485)) / (4 * 75)</f>
        <v>11.999999999999998</v>
      </c>
      <c r="AC485" s="388">
        <v>1.8720000000000001</v>
      </c>
      <c r="AD485" s="384">
        <v>3.7440000000000002</v>
      </c>
      <c r="AE485" s="388">
        <v>1.8720000000000001</v>
      </c>
      <c r="AF485" s="384">
        <v>1.1000000000000001</v>
      </c>
      <c r="AG485" s="388">
        <v>1</v>
      </c>
    </row>
    <row r="486" spans="1:33" x14ac:dyDescent="0.25">
      <c r="A486" s="384" t="s">
        <v>491</v>
      </c>
      <c r="B486" s="384">
        <f>VCCO18</f>
        <v>1.8</v>
      </c>
      <c r="C486" s="384">
        <v>1</v>
      </c>
      <c r="D486" s="385">
        <v>25.1462</v>
      </c>
      <c r="E486" s="386">
        <f>0.00215626666666667*2</f>
        <v>4.3125333333333396E-3</v>
      </c>
      <c r="F486" s="384">
        <f t="shared" si="4"/>
        <v>3.87</v>
      </c>
      <c r="G486" s="384">
        <v>0</v>
      </c>
      <c r="H486" s="384">
        <f t="shared" si="5"/>
        <v>0.85</v>
      </c>
      <c r="I486" s="384">
        <f>($B486/2) + 0.47</f>
        <v>1.37</v>
      </c>
      <c r="J486" s="384">
        <f>($B486/2) - 0.47</f>
        <v>0.43000000000000005</v>
      </c>
      <c r="K486" s="384">
        <v>9.4</v>
      </c>
      <c r="L486" s="387">
        <v>0</v>
      </c>
      <c r="M486" s="387">
        <f>2*$M631</f>
        <v>16.920000000000002</v>
      </c>
      <c r="N486" s="384">
        <f t="shared" ref="N486:N492" si="7">2*$N631</f>
        <v>5.774285714285714</v>
      </c>
      <c r="O486" s="384">
        <v>0</v>
      </c>
      <c r="P486" s="384" t="s">
        <v>476</v>
      </c>
      <c r="Q486" s="384">
        <v>9.4</v>
      </c>
      <c r="R486" s="384">
        <v>18.8</v>
      </c>
      <c r="S486" s="384">
        <v>9.4</v>
      </c>
      <c r="T486" s="384">
        <v>4.8</v>
      </c>
      <c r="U486" s="384">
        <v>0</v>
      </c>
      <c r="V486" s="384">
        <v>0</v>
      </c>
      <c r="W486" s="384">
        <v>0</v>
      </c>
      <c r="X486" s="384">
        <v>0</v>
      </c>
      <c r="Y486" s="384">
        <f t="shared" ref="Y486:Y493" si="8">1000*2*(($B486* $B486/2)  + ($B486*($I486 - $J486)) / 2) / 100</f>
        <v>49.32</v>
      </c>
      <c r="Z486" s="384">
        <f t="shared" ref="Z486:Z493" si="9">1000*2*(($B486* $B486/2)  + ($B486*($I486 - $J486)) / 2) / 50</f>
        <v>98.64</v>
      </c>
      <c r="AA486" s="384">
        <f t="shared" ref="AA486:AA493" si="10">1000*2*(($B486* $B486/2)  + ($B486*($I486 - $J486)) / 2) / 100</f>
        <v>49.32</v>
      </c>
      <c r="AB486" s="384">
        <f t="shared" ref="AB486:AB493" si="11">1000*2*(($B486* $B486/2)  + ($B486*($I486 - $J486)) / 2) / 150</f>
        <v>32.880000000000003</v>
      </c>
      <c r="AC486" s="384">
        <v>7.2</v>
      </c>
      <c r="AD486" s="384">
        <v>15.4</v>
      </c>
      <c r="AE486" s="384">
        <v>7.2</v>
      </c>
      <c r="AF486" s="384">
        <v>4</v>
      </c>
      <c r="AG486" s="388">
        <v>1</v>
      </c>
    </row>
    <row r="487" spans="1:33" x14ac:dyDescent="0.25">
      <c r="A487" s="389" t="s">
        <v>677</v>
      </c>
      <c r="B487" s="384">
        <f>VCCO15</f>
        <v>1.5</v>
      </c>
      <c r="C487" s="384">
        <v>1</v>
      </c>
      <c r="D487" s="385">
        <v>26</v>
      </c>
      <c r="E487" s="386">
        <f>0.00575738928571428*2</f>
        <v>1.1514778571428561E-2</v>
      </c>
      <c r="F487" s="384">
        <f t="shared" si="4"/>
        <v>3.87</v>
      </c>
      <c r="G487" s="384">
        <v>0</v>
      </c>
      <c r="H487" s="384">
        <f t="shared" si="5"/>
        <v>0.85</v>
      </c>
      <c r="I487" s="384">
        <f>($B487/2) + 0.4</f>
        <v>1.1499999999999999</v>
      </c>
      <c r="J487" s="384">
        <f>($B487/2) - 0.4</f>
        <v>0.35</v>
      </c>
      <c r="K487" s="384">
        <v>16.2</v>
      </c>
      <c r="L487" s="387">
        <v>0</v>
      </c>
      <c r="M487" s="387">
        <v>36</v>
      </c>
      <c r="N487" s="384">
        <f t="shared" si="7"/>
        <v>5.6</v>
      </c>
      <c r="O487" s="384">
        <v>0</v>
      </c>
      <c r="P487" s="384" t="s">
        <v>678</v>
      </c>
      <c r="Q487" s="384">
        <v>16.2</v>
      </c>
      <c r="R487" s="384">
        <v>32.4</v>
      </c>
      <c r="S487" s="384">
        <v>16.2</v>
      </c>
      <c r="T487" s="384">
        <v>6.4</v>
      </c>
      <c r="U487" s="384">
        <v>0</v>
      </c>
      <c r="V487" s="384">
        <v>0</v>
      </c>
      <c r="W487" s="384">
        <v>0</v>
      </c>
      <c r="X487" s="384">
        <v>0</v>
      </c>
      <c r="Y487" s="384">
        <f t="shared" si="8"/>
        <v>34.5</v>
      </c>
      <c r="Z487" s="384">
        <f t="shared" si="9"/>
        <v>69</v>
      </c>
      <c r="AA487" s="384">
        <f t="shared" si="10"/>
        <v>34.5</v>
      </c>
      <c r="AB487" s="384">
        <f t="shared" si="11"/>
        <v>23</v>
      </c>
      <c r="AC487" s="384">
        <v>10.8</v>
      </c>
      <c r="AD487" s="384">
        <v>21.6</v>
      </c>
      <c r="AE487" s="384">
        <v>10.8</v>
      </c>
      <c r="AF487" s="384">
        <v>6.8</v>
      </c>
      <c r="AG487" s="388">
        <v>1</v>
      </c>
    </row>
    <row r="488" spans="1:33" x14ac:dyDescent="0.25">
      <c r="A488" s="384" t="s">
        <v>492</v>
      </c>
      <c r="B488" s="384">
        <f>VCCO18</f>
        <v>1.8</v>
      </c>
      <c r="C488" s="384">
        <v>1</v>
      </c>
      <c r="D488" s="385">
        <v>26</v>
      </c>
      <c r="E488" s="386">
        <f>0.00575738928571428*2</f>
        <v>1.1514778571428561E-2</v>
      </c>
      <c r="F488" s="384">
        <f t="shared" si="4"/>
        <v>3.87</v>
      </c>
      <c r="G488" s="384">
        <v>0</v>
      </c>
      <c r="H488" s="384">
        <f t="shared" si="5"/>
        <v>0.85</v>
      </c>
      <c r="I488" s="384">
        <f>($B488/2) + 0.6</f>
        <v>1.5</v>
      </c>
      <c r="J488" s="384">
        <f>($B488/2) - 0.6</f>
        <v>0.30000000000000004</v>
      </c>
      <c r="K488" s="384">
        <v>16.2</v>
      </c>
      <c r="L488" s="387">
        <v>0</v>
      </c>
      <c r="M488" s="387">
        <f>2*$M634</f>
        <v>30.499999999999996</v>
      </c>
      <c r="N488" s="384">
        <f t="shared" si="7"/>
        <v>8</v>
      </c>
      <c r="O488" s="384">
        <v>0</v>
      </c>
      <c r="P488" s="384" t="s">
        <v>477</v>
      </c>
      <c r="Q488" s="384">
        <v>16.2</v>
      </c>
      <c r="R488" s="384">
        <v>32.4</v>
      </c>
      <c r="S488" s="384">
        <v>16.2</v>
      </c>
      <c r="T488" s="384">
        <v>6.4</v>
      </c>
      <c r="U488" s="384">
        <v>0</v>
      </c>
      <c r="V488" s="384">
        <v>0</v>
      </c>
      <c r="W488" s="384">
        <v>0</v>
      </c>
      <c r="X488" s="384">
        <v>0</v>
      </c>
      <c r="Y488" s="384">
        <f t="shared" si="8"/>
        <v>54</v>
      </c>
      <c r="Z488" s="384">
        <f t="shared" si="9"/>
        <v>108</v>
      </c>
      <c r="AA488" s="384">
        <f t="shared" si="10"/>
        <v>54</v>
      </c>
      <c r="AB488" s="384">
        <f t="shared" si="11"/>
        <v>36</v>
      </c>
      <c r="AC488" s="384">
        <v>10.8</v>
      </c>
      <c r="AD488" s="384">
        <v>21.6</v>
      </c>
      <c r="AE488" s="384">
        <v>10.8</v>
      </c>
      <c r="AF488" s="384">
        <v>6.8</v>
      </c>
      <c r="AG488" s="388">
        <v>1</v>
      </c>
    </row>
    <row r="489" spans="1:33" x14ac:dyDescent="0.25">
      <c r="A489" s="384" t="s">
        <v>493</v>
      </c>
      <c r="B489" s="384">
        <f>VCCO25</f>
        <v>2.5</v>
      </c>
      <c r="C489" s="384">
        <v>1</v>
      </c>
      <c r="D489" s="385">
        <v>19.637419999999999</v>
      </c>
      <c r="E489" s="386">
        <f>0.00216699880952381*2</f>
        <v>4.3339976190476196E-3</v>
      </c>
      <c r="F489" s="384">
        <f t="shared" si="4"/>
        <v>3.87</v>
      </c>
      <c r="G489" s="384">
        <v>0</v>
      </c>
      <c r="H489" s="384">
        <f t="shared" si="5"/>
        <v>0.85</v>
      </c>
      <c r="I489" s="384">
        <f>($B489/2) + 0.61</f>
        <v>1.8599999999999999</v>
      </c>
      <c r="J489" s="384">
        <f>($B489/2) - 0.61</f>
        <v>0.64</v>
      </c>
      <c r="K489" s="384">
        <v>15.6</v>
      </c>
      <c r="L489" s="387">
        <v>0</v>
      </c>
      <c r="M489" s="387">
        <f>2*$M634</f>
        <v>30.499999999999996</v>
      </c>
      <c r="N489" s="388">
        <f t="shared" si="7"/>
        <v>10.410666666666666</v>
      </c>
      <c r="O489" s="384">
        <v>0</v>
      </c>
      <c r="P489" s="388" t="s">
        <v>478</v>
      </c>
      <c r="Q489" s="384">
        <v>15.4</v>
      </c>
      <c r="R489" s="384">
        <v>30.8</v>
      </c>
      <c r="S489" s="384">
        <v>15.4</v>
      </c>
      <c r="T489" s="384">
        <v>5.8</v>
      </c>
      <c r="U489" s="384">
        <v>0</v>
      </c>
      <c r="V489" s="384">
        <v>0</v>
      </c>
      <c r="W489" s="384">
        <v>0</v>
      </c>
      <c r="X489" s="384">
        <v>0</v>
      </c>
      <c r="Y489" s="384">
        <f t="shared" si="8"/>
        <v>92.999999999999986</v>
      </c>
      <c r="Z489" s="384">
        <f t="shared" si="9"/>
        <v>185.99999999999997</v>
      </c>
      <c r="AA489" s="384">
        <f t="shared" si="10"/>
        <v>92.999999999999986</v>
      </c>
      <c r="AB489" s="384">
        <f t="shared" si="11"/>
        <v>61.999999999999986</v>
      </c>
      <c r="AC489" s="388">
        <v>10.6</v>
      </c>
      <c r="AD489" s="384">
        <v>21.2</v>
      </c>
      <c r="AE489" s="388">
        <v>10.6</v>
      </c>
      <c r="AF489" s="384">
        <v>6.8</v>
      </c>
      <c r="AG489" s="388">
        <v>1</v>
      </c>
    </row>
    <row r="490" spans="1:33" x14ac:dyDescent="0.25">
      <c r="A490" s="384" t="s">
        <v>494</v>
      </c>
      <c r="B490" s="384">
        <f>VCCO25</f>
        <v>2.5</v>
      </c>
      <c r="C490" s="384">
        <v>1</v>
      </c>
      <c r="D490" s="385">
        <v>26.57142</v>
      </c>
      <c r="E490" s="386">
        <f>0.00456738333333333*2</f>
        <v>9.1347666666666601E-3</v>
      </c>
      <c r="F490" s="384">
        <f t="shared" si="4"/>
        <v>3.87</v>
      </c>
      <c r="G490" s="384">
        <v>0</v>
      </c>
      <c r="H490" s="384">
        <f t="shared" si="5"/>
        <v>0.85</v>
      </c>
      <c r="I490" s="384">
        <f>($B490/2) + 0.81</f>
        <v>2.06</v>
      </c>
      <c r="J490" s="384">
        <f>($B490/2) - 0.81</f>
        <v>0.43999999999999995</v>
      </c>
      <c r="K490" s="384">
        <v>20.8</v>
      </c>
      <c r="L490" s="387">
        <v>0</v>
      </c>
      <c r="M490" s="387">
        <f>2*$M635</f>
        <v>35.999999999999993</v>
      </c>
      <c r="N490" s="388">
        <f t="shared" si="7"/>
        <v>14.256</v>
      </c>
      <c r="O490" s="384">
        <v>0</v>
      </c>
      <c r="P490" s="384" t="s">
        <v>479</v>
      </c>
      <c r="Q490" s="384">
        <v>20.8</v>
      </c>
      <c r="R490" s="384">
        <v>41.6</v>
      </c>
      <c r="S490" s="384">
        <v>20.8</v>
      </c>
      <c r="T490" s="384">
        <v>8.4</v>
      </c>
      <c r="U490" s="384">
        <v>0</v>
      </c>
      <c r="V490" s="384">
        <v>0</v>
      </c>
      <c r="W490" s="384">
        <v>0</v>
      </c>
      <c r="X490" s="384">
        <v>0</v>
      </c>
      <c r="Y490" s="384">
        <f t="shared" si="8"/>
        <v>103</v>
      </c>
      <c r="Z490" s="384">
        <f t="shared" si="9"/>
        <v>206</v>
      </c>
      <c r="AA490" s="384">
        <f t="shared" si="10"/>
        <v>103</v>
      </c>
      <c r="AB490" s="384">
        <f t="shared" si="11"/>
        <v>68.666666666666671</v>
      </c>
      <c r="AC490" s="384">
        <v>15</v>
      </c>
      <c r="AD490" s="384">
        <v>30</v>
      </c>
      <c r="AE490" s="384">
        <v>15</v>
      </c>
      <c r="AF490" s="384">
        <v>9</v>
      </c>
      <c r="AG490" s="388">
        <v>1</v>
      </c>
    </row>
    <row r="491" spans="1:33" x14ac:dyDescent="0.25">
      <c r="A491" s="384" t="s">
        <v>495</v>
      </c>
      <c r="B491" s="384">
        <f>VCCO33</f>
        <v>3.3</v>
      </c>
      <c r="C491" s="384">
        <v>1</v>
      </c>
      <c r="D491" s="385">
        <v>19.637419999999999</v>
      </c>
      <c r="E491" s="386">
        <f>0.00216699880952381*2</f>
        <v>4.3339976190476196E-3</v>
      </c>
      <c r="F491" s="384">
        <f t="shared" si="4"/>
        <v>3.87</v>
      </c>
      <c r="G491" s="384">
        <v>0</v>
      </c>
      <c r="H491" s="384">
        <f t="shared" si="5"/>
        <v>0.85</v>
      </c>
      <c r="I491" s="384">
        <f>($B491/2) + 0.6</f>
        <v>2.25</v>
      </c>
      <c r="J491" s="384">
        <f>($B491/2) - 0.6</f>
        <v>1.0499999999999998</v>
      </c>
      <c r="K491" s="384">
        <v>15.6</v>
      </c>
      <c r="L491" s="387">
        <v>0</v>
      </c>
      <c r="M491" s="387">
        <f>2*$M636</f>
        <v>39.6</v>
      </c>
      <c r="N491" s="388">
        <f t="shared" si="7"/>
        <v>16.8</v>
      </c>
      <c r="O491" s="384">
        <v>0</v>
      </c>
      <c r="P491" s="384" t="s">
        <v>480</v>
      </c>
      <c r="Q491" s="384">
        <v>15.4</v>
      </c>
      <c r="R491" s="384">
        <v>30.8</v>
      </c>
      <c r="S491" s="384">
        <v>15.4</v>
      </c>
      <c r="T491" s="384">
        <v>5.6</v>
      </c>
      <c r="U491" s="384">
        <v>0</v>
      </c>
      <c r="V491" s="384">
        <v>0</v>
      </c>
      <c r="W491" s="384">
        <v>0</v>
      </c>
      <c r="X491" s="384">
        <v>0</v>
      </c>
      <c r="Y491" s="384">
        <f t="shared" si="8"/>
        <v>148.5</v>
      </c>
      <c r="Z491" s="384">
        <f t="shared" si="9"/>
        <v>297</v>
      </c>
      <c r="AA491" s="384">
        <f t="shared" si="10"/>
        <v>148.5</v>
      </c>
      <c r="AB491" s="384">
        <f t="shared" si="11"/>
        <v>99</v>
      </c>
      <c r="AC491" s="388">
        <v>10.6</v>
      </c>
      <c r="AD491" s="384">
        <v>21.2</v>
      </c>
      <c r="AE491" s="388">
        <v>10.6</v>
      </c>
      <c r="AF491" s="384">
        <v>6.8</v>
      </c>
      <c r="AG491" s="388">
        <v>1</v>
      </c>
    </row>
    <row r="492" spans="1:33" x14ac:dyDescent="0.25">
      <c r="A492" s="384" t="s">
        <v>496</v>
      </c>
      <c r="B492" s="384">
        <f>VCCO33</f>
        <v>3.3</v>
      </c>
      <c r="C492" s="384">
        <v>1</v>
      </c>
      <c r="D492" s="385">
        <v>26.57142</v>
      </c>
      <c r="E492" s="386">
        <f>0.00456738333333333*2</f>
        <v>9.1347666666666601E-3</v>
      </c>
      <c r="F492" s="384">
        <f t="shared" si="4"/>
        <v>3.87</v>
      </c>
      <c r="G492" s="384">
        <v>0</v>
      </c>
      <c r="H492" s="384">
        <f t="shared" si="5"/>
        <v>0.85</v>
      </c>
      <c r="I492" s="384">
        <f>($B492/2) + 0.8</f>
        <v>2.4500000000000002</v>
      </c>
      <c r="J492" s="384">
        <f>($B492/2) - 0.8</f>
        <v>0.84999999999999987</v>
      </c>
      <c r="K492" s="384">
        <v>20.8</v>
      </c>
      <c r="L492" s="387">
        <v>0</v>
      </c>
      <c r="M492" s="387">
        <f>2*$M637</f>
        <v>105.60000000000002</v>
      </c>
      <c r="N492" s="384">
        <f t="shared" si="7"/>
        <v>27.2</v>
      </c>
      <c r="O492" s="384">
        <v>0</v>
      </c>
      <c r="P492" s="384" t="s">
        <v>481</v>
      </c>
      <c r="Q492" s="384">
        <v>20.8</v>
      </c>
      <c r="R492" s="384">
        <v>41.6</v>
      </c>
      <c r="S492" s="384">
        <v>20.8</v>
      </c>
      <c r="T492" s="384">
        <v>6.8</v>
      </c>
      <c r="U492" s="384">
        <v>0</v>
      </c>
      <c r="V492" s="384">
        <v>0</v>
      </c>
      <c r="W492" s="384">
        <v>0</v>
      </c>
      <c r="X492" s="384">
        <v>0</v>
      </c>
      <c r="Y492" s="384">
        <f t="shared" si="8"/>
        <v>161.70000000000002</v>
      </c>
      <c r="Z492" s="384">
        <f t="shared" si="9"/>
        <v>323.40000000000003</v>
      </c>
      <c r="AA492" s="384">
        <f t="shared" si="10"/>
        <v>161.70000000000002</v>
      </c>
      <c r="AB492" s="384">
        <f t="shared" si="11"/>
        <v>107.80000000000001</v>
      </c>
      <c r="AC492" s="384">
        <v>15</v>
      </c>
      <c r="AD492" s="384">
        <v>30</v>
      </c>
      <c r="AE492" s="384">
        <v>15</v>
      </c>
      <c r="AF492" s="384">
        <v>9</v>
      </c>
      <c r="AG492" s="388">
        <v>1</v>
      </c>
    </row>
    <row r="493" spans="1:33" x14ac:dyDescent="0.25">
      <c r="A493" s="384" t="s">
        <v>900</v>
      </c>
      <c r="B493" s="384">
        <f>VCCO18</f>
        <v>1.8</v>
      </c>
      <c r="C493" s="384">
        <v>1</v>
      </c>
      <c r="D493" s="385">
        <v>47.49924</v>
      </c>
      <c r="E493" s="386">
        <f>0.00328480714285714*2</f>
        <v>6.56961428571428E-3</v>
      </c>
      <c r="F493" s="384">
        <f t="shared" si="4"/>
        <v>3.87</v>
      </c>
      <c r="G493" s="384">
        <v>0</v>
      </c>
      <c r="H493" s="384">
        <f t="shared" si="5"/>
        <v>0.85</v>
      </c>
      <c r="I493" s="384">
        <v>0</v>
      </c>
      <c r="J493" s="384">
        <v>0</v>
      </c>
      <c r="K493" s="384">
        <v>0</v>
      </c>
      <c r="L493" s="387">
        <v>0</v>
      </c>
      <c r="M493" s="387">
        <v>0</v>
      </c>
      <c r="N493" s="384">
        <v>0</v>
      </c>
      <c r="O493" s="384">
        <v>0</v>
      </c>
      <c r="P493" s="384" t="s">
        <v>813</v>
      </c>
      <c r="Q493" s="384">
        <v>0</v>
      </c>
      <c r="R493" s="384"/>
      <c r="S493" s="384">
        <v>0</v>
      </c>
      <c r="T493" s="384">
        <v>0</v>
      </c>
      <c r="U493" s="384">
        <v>0</v>
      </c>
      <c r="V493" s="384">
        <v>0</v>
      </c>
      <c r="W493" s="384">
        <v>0</v>
      </c>
      <c r="X493" s="384">
        <v>0</v>
      </c>
      <c r="Y493" s="384">
        <f t="shared" si="8"/>
        <v>32.4</v>
      </c>
      <c r="Z493" s="384">
        <f t="shared" si="9"/>
        <v>64.8</v>
      </c>
      <c r="AA493" s="384">
        <f t="shared" si="10"/>
        <v>32.4</v>
      </c>
      <c r="AB493" s="384">
        <f t="shared" si="11"/>
        <v>21.6</v>
      </c>
      <c r="AC493" s="384">
        <v>0</v>
      </c>
      <c r="AD493" s="384">
        <v>0</v>
      </c>
      <c r="AE493" s="384">
        <v>0</v>
      </c>
      <c r="AF493" s="384">
        <v>0</v>
      </c>
      <c r="AG493" s="388">
        <v>1</v>
      </c>
    </row>
    <row r="494" spans="1:33" x14ac:dyDescent="0.25">
      <c r="A494" s="384" t="s">
        <v>989</v>
      </c>
      <c r="B494" s="384">
        <f>VCCO25</f>
        <v>2.5</v>
      </c>
      <c r="C494" s="384">
        <v>1</v>
      </c>
      <c r="D494" s="385">
        <v>3.72533</v>
      </c>
      <c r="E494" s="384">
        <v>3.6999999999999999E-4</v>
      </c>
      <c r="F494" s="384">
        <f t="shared" si="4"/>
        <v>3.87</v>
      </c>
      <c r="G494" s="384">
        <v>0</v>
      </c>
      <c r="H494" s="384">
        <f t="shared" si="5"/>
        <v>0.85</v>
      </c>
      <c r="I494" s="384">
        <v>0</v>
      </c>
      <c r="J494" s="384">
        <v>0</v>
      </c>
      <c r="K494" s="384">
        <v>13.7</v>
      </c>
      <c r="L494" s="387">
        <v>0</v>
      </c>
      <c r="M494" s="387">
        <v>34.25</v>
      </c>
      <c r="N494" s="388">
        <v>30.65</v>
      </c>
      <c r="O494" s="384">
        <v>0</v>
      </c>
      <c r="P494" s="388" t="s">
        <v>901</v>
      </c>
      <c r="Q494" s="384">
        <v>0</v>
      </c>
      <c r="R494" s="384">
        <v>0</v>
      </c>
      <c r="S494" s="384">
        <v>0</v>
      </c>
      <c r="T494" s="384">
        <v>0</v>
      </c>
      <c r="U494" s="384">
        <v>0</v>
      </c>
      <c r="V494" s="384">
        <v>0</v>
      </c>
      <c r="W494" s="384">
        <v>0</v>
      </c>
      <c r="X494" s="384">
        <v>0</v>
      </c>
      <c r="Y494" s="384">
        <v>0</v>
      </c>
      <c r="Z494" s="384">
        <v>0</v>
      </c>
      <c r="AA494" s="384">
        <v>0</v>
      </c>
      <c r="AB494" s="384">
        <v>0</v>
      </c>
      <c r="AC494" s="384">
        <v>0</v>
      </c>
      <c r="AD494" s="384">
        <v>0</v>
      </c>
      <c r="AE494" s="384">
        <v>0</v>
      </c>
      <c r="AF494" s="384">
        <v>0</v>
      </c>
      <c r="AG494" s="388">
        <v>1</v>
      </c>
    </row>
    <row r="495" spans="1:33" x14ac:dyDescent="0.25">
      <c r="A495" s="384" t="s">
        <v>134</v>
      </c>
      <c r="B495" s="384">
        <f>VCCO15</f>
        <v>1.5</v>
      </c>
      <c r="C495" s="384">
        <v>1</v>
      </c>
      <c r="D495" s="385">
        <v>15.71429</v>
      </c>
      <c r="E495" s="386">
        <v>3.5184892857142861E-3</v>
      </c>
      <c r="F495" s="384">
        <f t="shared" ref="F495:F501" si="12">IF(POWERMODE="Hibernate",0,IF(VCCAUX&lt;=2.625,0.66,IF(VCCAUX&gt;2.625,0.69,0)))</f>
        <v>0.69</v>
      </c>
      <c r="G495" s="384">
        <v>0</v>
      </c>
      <c r="H495" s="384">
        <v>0.45</v>
      </c>
      <c r="I495" s="384">
        <f t="shared" ref="I495:I500" si="13">($B495) - 0.4</f>
        <v>1.1000000000000001</v>
      </c>
      <c r="J495" s="384">
        <v>0.4</v>
      </c>
      <c r="K495" s="384">
        <v>4.8</v>
      </c>
      <c r="L495" s="384">
        <f t="shared" ref="L495:L500" si="14">1000*($B495-($B495/2))/100</f>
        <v>7.5</v>
      </c>
      <c r="M495" s="384">
        <f t="shared" ref="M495:M500" si="15">1000*(($B495* $B495/2)  + ($B495*($I495 - $J495)) / 2) / 100</f>
        <v>16.5</v>
      </c>
      <c r="N495" s="388">
        <f>((B495-I495)*ABS((B495/2-I495))/50+J495*(B495/2-J495)/50)/2*1000</f>
        <v>2.8</v>
      </c>
      <c r="O495" s="384">
        <v>0</v>
      </c>
      <c r="P495" s="388" t="s">
        <v>347</v>
      </c>
      <c r="Q495" s="384">
        <v>4.8</v>
      </c>
      <c r="R495" s="384">
        <v>9.6</v>
      </c>
      <c r="S495" s="384">
        <v>4.8</v>
      </c>
      <c r="T495" s="384">
        <v>2.4</v>
      </c>
      <c r="U495" s="384">
        <f t="shared" ref="U495:U501" si="16">1000*($B495-($B495/2))/100</f>
        <v>7.5</v>
      </c>
      <c r="V495" s="384">
        <f t="shared" ref="V495:V501" si="17">1000*($B495-($B495/2))/50</f>
        <v>15</v>
      </c>
      <c r="W495" s="384">
        <f t="shared" ref="W495:W501" si="18">1000*($B495-($B495/2))/100</f>
        <v>7.5</v>
      </c>
      <c r="X495" s="384">
        <f t="shared" ref="X495:X501" si="19">1000*($B495-($B495/2))/150</f>
        <v>5</v>
      </c>
      <c r="Y495" s="384">
        <f t="shared" ref="Y495:Y501" si="20">1000*(($B495* $B495/2)  + ($B495*($I495 - $J495)) / 2) / 100</f>
        <v>16.5</v>
      </c>
      <c r="Z495" s="384">
        <f t="shared" ref="Z495:Z501" si="21">1000*(($B495* $B495/2)  + ($B495*($I495 - $J495)) / 2) / 50</f>
        <v>33</v>
      </c>
      <c r="AA495" s="384">
        <f t="shared" ref="AA495:AA501" si="22">1000*(($B495* $B495/2)  + ($B495*($I495 - $J495)) / 2) / 100</f>
        <v>16.5</v>
      </c>
      <c r="AB495" s="384">
        <f t="shared" ref="AB495:AB501" si="23">1000*(($B495* $B495/2)  + ($B495*($I495 - $J495)) / 2) / 150</f>
        <v>11</v>
      </c>
      <c r="AC495" s="384">
        <v>3.2</v>
      </c>
      <c r="AD495" s="384">
        <v>6.4</v>
      </c>
      <c r="AE495" s="384">
        <v>3.2</v>
      </c>
      <c r="AF495" s="384">
        <v>2</v>
      </c>
      <c r="AG495" s="388">
        <v>1</v>
      </c>
    </row>
    <row r="496" spans="1:33" x14ac:dyDescent="0.25">
      <c r="A496" s="384" t="s">
        <v>136</v>
      </c>
      <c r="B496" s="384">
        <f>VCCO18</f>
        <v>1.8</v>
      </c>
      <c r="C496" s="384">
        <v>1</v>
      </c>
      <c r="D496" s="385">
        <v>13.55556</v>
      </c>
      <c r="E496" s="386">
        <v>3.9233261904761899E-3</v>
      </c>
      <c r="F496" s="384">
        <f t="shared" si="12"/>
        <v>0.69</v>
      </c>
      <c r="G496" s="384">
        <v>0</v>
      </c>
      <c r="H496" s="384">
        <v>0.45</v>
      </c>
      <c r="I496" s="384">
        <f t="shared" si="13"/>
        <v>1.4</v>
      </c>
      <c r="J496" s="384">
        <v>0.4</v>
      </c>
      <c r="K496" s="384">
        <v>5.8</v>
      </c>
      <c r="L496" s="384">
        <f t="shared" si="14"/>
        <v>9</v>
      </c>
      <c r="M496" s="384">
        <f t="shared" si="15"/>
        <v>25.2</v>
      </c>
      <c r="N496" s="388">
        <f>((B496-I496)*ABS((B496/2-I496))/50+J496*(B496/2-J496)/50)/2*1000</f>
        <v>4</v>
      </c>
      <c r="O496" s="384">
        <v>0</v>
      </c>
      <c r="P496" s="388" t="s">
        <v>243</v>
      </c>
      <c r="Q496" s="384">
        <v>5.8</v>
      </c>
      <c r="R496" s="384">
        <v>11.2</v>
      </c>
      <c r="S496" s="384">
        <v>5.8</v>
      </c>
      <c r="T496" s="384">
        <v>3.2</v>
      </c>
      <c r="U496" s="384">
        <f t="shared" si="16"/>
        <v>9</v>
      </c>
      <c r="V496" s="384">
        <f t="shared" si="17"/>
        <v>18</v>
      </c>
      <c r="W496" s="384">
        <f t="shared" si="18"/>
        <v>9</v>
      </c>
      <c r="X496" s="384">
        <f t="shared" si="19"/>
        <v>6</v>
      </c>
      <c r="Y496" s="384">
        <f t="shared" si="20"/>
        <v>25.2</v>
      </c>
      <c r="Z496" s="384">
        <f t="shared" si="21"/>
        <v>50.4</v>
      </c>
      <c r="AA496" s="384">
        <f t="shared" si="22"/>
        <v>25.2</v>
      </c>
      <c r="AB496" s="384">
        <f t="shared" si="23"/>
        <v>16.8</v>
      </c>
      <c r="AC496" s="384">
        <v>3.2</v>
      </c>
      <c r="AD496" s="384">
        <v>6.4</v>
      </c>
      <c r="AE496" s="384">
        <v>3.2</v>
      </c>
      <c r="AF496" s="384">
        <v>2</v>
      </c>
      <c r="AG496" s="388">
        <v>1</v>
      </c>
    </row>
    <row r="497" spans="1:33" x14ac:dyDescent="0.25">
      <c r="A497" s="498" t="s">
        <v>759</v>
      </c>
      <c r="B497" s="498">
        <f>VCCO15</f>
        <v>1.5</v>
      </c>
      <c r="C497" s="498">
        <v>1</v>
      </c>
      <c r="D497" s="385">
        <v>1</v>
      </c>
      <c r="E497" s="386">
        <v>4.0951476190476191E-3</v>
      </c>
      <c r="F497" s="384">
        <f t="shared" si="12"/>
        <v>0.69</v>
      </c>
      <c r="G497" s="498">
        <v>0</v>
      </c>
      <c r="H497" s="384">
        <v>0.45</v>
      </c>
      <c r="I497" s="384">
        <f t="shared" si="13"/>
        <v>1.1000000000000001</v>
      </c>
      <c r="J497" s="384">
        <v>0.4</v>
      </c>
      <c r="K497" s="384">
        <v>9.3000000000000007</v>
      </c>
      <c r="L497" s="384">
        <f t="shared" si="14"/>
        <v>7.5</v>
      </c>
      <c r="M497" s="384">
        <f t="shared" si="15"/>
        <v>16.5</v>
      </c>
      <c r="N497" s="388">
        <f>((B497-I497)*ABS((B497/2-I497))/50+J497*(B497/2-J497)/50)/2*1000</f>
        <v>2.8</v>
      </c>
      <c r="O497" s="384">
        <v>0</v>
      </c>
      <c r="P497" s="388" t="s">
        <v>760</v>
      </c>
      <c r="Q497" s="384">
        <v>9.3000000000000007</v>
      </c>
      <c r="R497" s="384">
        <v>15.6</v>
      </c>
      <c r="S497" s="384">
        <v>9.3000000000000007</v>
      </c>
      <c r="T497" s="384">
        <v>4.5999999999999996</v>
      </c>
      <c r="U497" s="384">
        <f t="shared" si="16"/>
        <v>7.5</v>
      </c>
      <c r="V497" s="384">
        <f t="shared" si="17"/>
        <v>15</v>
      </c>
      <c r="W497" s="384">
        <f t="shared" si="18"/>
        <v>7.5</v>
      </c>
      <c r="X497" s="384">
        <f t="shared" si="19"/>
        <v>5</v>
      </c>
      <c r="Y497" s="384">
        <f t="shared" si="20"/>
        <v>16.5</v>
      </c>
      <c r="Z497" s="384">
        <f t="shared" si="21"/>
        <v>33</v>
      </c>
      <c r="AA497" s="384">
        <f t="shared" si="22"/>
        <v>16.5</v>
      </c>
      <c r="AB497" s="384">
        <f t="shared" si="23"/>
        <v>11</v>
      </c>
      <c r="AC497" s="384">
        <v>6.4</v>
      </c>
      <c r="AD497" s="384">
        <v>12.8</v>
      </c>
      <c r="AE497" s="384">
        <v>6.4</v>
      </c>
      <c r="AF497" s="384">
        <v>5.2</v>
      </c>
      <c r="AG497" s="388">
        <v>1</v>
      </c>
    </row>
    <row r="498" spans="1:33" x14ac:dyDescent="0.25">
      <c r="A498" s="384" t="s">
        <v>350</v>
      </c>
      <c r="B498" s="384">
        <f>VCCO18</f>
        <v>1.8</v>
      </c>
      <c r="C498" s="384">
        <v>1</v>
      </c>
      <c r="D498" s="385">
        <v>1.4444399999999999</v>
      </c>
      <c r="E498" s="386">
        <v>6.0651952380952386E-3</v>
      </c>
      <c r="F498" s="384">
        <f t="shared" si="12"/>
        <v>0.69</v>
      </c>
      <c r="G498" s="384">
        <v>0</v>
      </c>
      <c r="H498" s="384">
        <v>0.45</v>
      </c>
      <c r="I498" s="384">
        <f t="shared" si="13"/>
        <v>1.4</v>
      </c>
      <c r="J498" s="384">
        <v>0.4</v>
      </c>
      <c r="K498" s="384">
        <v>12.2</v>
      </c>
      <c r="L498" s="384">
        <f t="shared" si="14"/>
        <v>9</v>
      </c>
      <c r="M498" s="384">
        <f t="shared" si="15"/>
        <v>25.2</v>
      </c>
      <c r="N498" s="388">
        <f>((B498-I498)*ABS((B498/2-I498))/50+J498*(B498/2-J498)/50)/2*1000</f>
        <v>4</v>
      </c>
      <c r="O498" s="384">
        <v>0</v>
      </c>
      <c r="P498" s="388" t="s">
        <v>351</v>
      </c>
      <c r="Q498" s="384">
        <v>12.2</v>
      </c>
      <c r="R498" s="384">
        <v>16.2</v>
      </c>
      <c r="S498" s="384">
        <v>12.2</v>
      </c>
      <c r="T498" s="384">
        <v>7.6</v>
      </c>
      <c r="U498" s="384">
        <f t="shared" si="16"/>
        <v>9</v>
      </c>
      <c r="V498" s="384">
        <f t="shared" si="17"/>
        <v>18</v>
      </c>
      <c r="W498" s="384">
        <f t="shared" si="18"/>
        <v>9</v>
      </c>
      <c r="X498" s="384">
        <f t="shared" si="19"/>
        <v>6</v>
      </c>
      <c r="Y498" s="384">
        <f t="shared" si="20"/>
        <v>25.2</v>
      </c>
      <c r="Z498" s="384">
        <f t="shared" si="21"/>
        <v>50.4</v>
      </c>
      <c r="AA498" s="384">
        <f t="shared" si="22"/>
        <v>25.2</v>
      </c>
      <c r="AB498" s="384">
        <f t="shared" si="23"/>
        <v>16.8</v>
      </c>
      <c r="AC498" s="384">
        <v>6.4</v>
      </c>
      <c r="AD498" s="384">
        <v>12.8</v>
      </c>
      <c r="AE498" s="384">
        <v>6.4</v>
      </c>
      <c r="AF498" s="384">
        <v>5.2</v>
      </c>
      <c r="AG498" s="388">
        <v>1</v>
      </c>
    </row>
    <row r="499" spans="1:33" x14ac:dyDescent="0.25">
      <c r="A499" s="384" t="s">
        <v>348</v>
      </c>
      <c r="B499" s="384">
        <f>VCCO15</f>
        <v>1.5</v>
      </c>
      <c r="C499" s="384">
        <v>1</v>
      </c>
      <c r="D499" s="385">
        <v>22.190480000000001</v>
      </c>
      <c r="E499" s="386">
        <v>7.6896476190476196E-3</v>
      </c>
      <c r="F499" s="384">
        <f t="shared" si="12"/>
        <v>0.69</v>
      </c>
      <c r="G499" s="384">
        <v>0</v>
      </c>
      <c r="H499" s="384">
        <v>0.45</v>
      </c>
      <c r="I499" s="384">
        <f t="shared" si="13"/>
        <v>1.1000000000000001</v>
      </c>
      <c r="J499" s="384">
        <v>0.4</v>
      </c>
      <c r="K499" s="384">
        <v>0.48</v>
      </c>
      <c r="L499" s="384">
        <f t="shared" si="14"/>
        <v>7.5</v>
      </c>
      <c r="M499" s="384">
        <f t="shared" si="15"/>
        <v>16.5</v>
      </c>
      <c r="N499" s="388">
        <f>((B499-I499)*ABS(($B499-I499))/50+J499*(B499-J499)/50)/2*1000</f>
        <v>5.9999999999999991</v>
      </c>
      <c r="O499" s="384">
        <v>0</v>
      </c>
      <c r="P499" s="388" t="s">
        <v>349</v>
      </c>
      <c r="Q499" s="384">
        <v>0.48</v>
      </c>
      <c r="R499" s="384">
        <v>0.76</v>
      </c>
      <c r="S499" s="384">
        <v>0.48</v>
      </c>
      <c r="T499" s="384">
        <v>0.32</v>
      </c>
      <c r="U499" s="384">
        <f t="shared" si="16"/>
        <v>7.5</v>
      </c>
      <c r="V499" s="384">
        <f t="shared" si="17"/>
        <v>15</v>
      </c>
      <c r="W499" s="384">
        <f t="shared" si="18"/>
        <v>7.5</v>
      </c>
      <c r="X499" s="384">
        <f t="shared" si="19"/>
        <v>5</v>
      </c>
      <c r="Y499" s="384">
        <f t="shared" si="20"/>
        <v>16.5</v>
      </c>
      <c r="Z499" s="384">
        <f t="shared" si="21"/>
        <v>33</v>
      </c>
      <c r="AA499" s="384">
        <f t="shared" si="22"/>
        <v>16.5</v>
      </c>
      <c r="AB499" s="384">
        <f t="shared" si="23"/>
        <v>11</v>
      </c>
      <c r="AC499" s="384">
        <v>0.72</v>
      </c>
      <c r="AD499" s="384">
        <v>1.44</v>
      </c>
      <c r="AE499" s="384">
        <v>0.72</v>
      </c>
      <c r="AF499" s="384">
        <v>0.4</v>
      </c>
      <c r="AG499" s="388">
        <v>1</v>
      </c>
    </row>
    <row r="500" spans="1:33" x14ac:dyDescent="0.25">
      <c r="A500" s="384" t="s">
        <v>135</v>
      </c>
      <c r="B500" s="384">
        <f>VCCO18</f>
        <v>1.8</v>
      </c>
      <c r="C500" s="384">
        <v>1</v>
      </c>
      <c r="D500" s="385">
        <v>20.44444</v>
      </c>
      <c r="E500" s="386">
        <v>5.6573226190476198E-3</v>
      </c>
      <c r="F500" s="384">
        <f t="shared" si="12"/>
        <v>0.69</v>
      </c>
      <c r="G500" s="384">
        <v>0</v>
      </c>
      <c r="H500" s="384">
        <v>0.45</v>
      </c>
      <c r="I500" s="384">
        <f t="shared" si="13"/>
        <v>1.4</v>
      </c>
      <c r="J500" s="384">
        <v>0.4</v>
      </c>
      <c r="K500" s="384">
        <v>0.52</v>
      </c>
      <c r="L500" s="384">
        <f t="shared" si="14"/>
        <v>9</v>
      </c>
      <c r="M500" s="384">
        <f t="shared" si="15"/>
        <v>25.2</v>
      </c>
      <c r="N500" s="388">
        <f>((B500-I500)*ABS((B500-I500))/50+J500*(B500-J500)/50)/2*1000</f>
        <v>7.2</v>
      </c>
      <c r="O500" s="384">
        <v>0</v>
      </c>
      <c r="P500" s="388" t="s">
        <v>244</v>
      </c>
      <c r="Q500" s="384">
        <v>0.52</v>
      </c>
      <c r="R500" s="384">
        <v>0.96</v>
      </c>
      <c r="S500" s="384">
        <v>0.52</v>
      </c>
      <c r="T500" s="384">
        <v>0.4</v>
      </c>
      <c r="U500" s="384">
        <f t="shared" si="16"/>
        <v>9</v>
      </c>
      <c r="V500" s="384">
        <f t="shared" si="17"/>
        <v>18</v>
      </c>
      <c r="W500" s="384">
        <f t="shared" si="18"/>
        <v>9</v>
      </c>
      <c r="X500" s="384">
        <f t="shared" si="19"/>
        <v>6</v>
      </c>
      <c r="Y500" s="384">
        <f t="shared" si="20"/>
        <v>25.2</v>
      </c>
      <c r="Z500" s="384">
        <f t="shared" si="21"/>
        <v>50.4</v>
      </c>
      <c r="AA500" s="384">
        <f t="shared" si="22"/>
        <v>25.2</v>
      </c>
      <c r="AB500" s="384">
        <f t="shared" si="23"/>
        <v>16.8</v>
      </c>
      <c r="AC500" s="384">
        <v>0.93600000000000005</v>
      </c>
      <c r="AD500" s="384">
        <v>1.8720000000000001</v>
      </c>
      <c r="AE500" s="384">
        <v>0.93600000000000005</v>
      </c>
      <c r="AF500" s="384">
        <v>0.7</v>
      </c>
      <c r="AG500" s="388">
        <v>1</v>
      </c>
    </row>
    <row r="501" spans="1:33" x14ac:dyDescent="0.25">
      <c r="A501" s="384" t="s">
        <v>1326</v>
      </c>
      <c r="B501" s="384">
        <f>VCCO33</f>
        <v>3.3</v>
      </c>
      <c r="C501" s="384">
        <v>1</v>
      </c>
      <c r="D501" s="385">
        <v>13.55556</v>
      </c>
      <c r="E501" s="386">
        <v>3.9233261904761899E-3</v>
      </c>
      <c r="F501" s="384">
        <f t="shared" si="12"/>
        <v>0.69</v>
      </c>
      <c r="G501" s="384">
        <v>0</v>
      </c>
      <c r="H501" s="384">
        <v>0.45</v>
      </c>
      <c r="I501" s="384">
        <f>($B501) - 0.36</f>
        <v>2.94</v>
      </c>
      <c r="J501" s="384">
        <f>$B501*0.2</f>
        <v>0.66</v>
      </c>
      <c r="K501" s="384">
        <v>3</v>
      </c>
      <c r="L501" s="384">
        <f>1000*($B501-($B501/2))/(2*1000)</f>
        <v>0.82499999999999996</v>
      </c>
      <c r="M501" s="384">
        <f>1000*(($B501* $B501/2)  + ($B501*($I501 - $J501)) / 2) / (2*1000)</f>
        <v>4.6034999999999995</v>
      </c>
      <c r="N501" s="388">
        <f>((B501-I501)*ABS((B501-I501))/1000+J501*(B501-J501)/1000)/2*1000</f>
        <v>0.93599999999999983</v>
      </c>
      <c r="O501" s="384">
        <v>0</v>
      </c>
      <c r="P501" s="388" t="s">
        <v>896</v>
      </c>
      <c r="Q501" s="384">
        <v>3</v>
      </c>
      <c r="R501" s="384">
        <v>6</v>
      </c>
      <c r="S501" s="384">
        <v>3</v>
      </c>
      <c r="T501" s="384">
        <v>1.5</v>
      </c>
      <c r="U501" s="384">
        <f t="shared" si="16"/>
        <v>16.5</v>
      </c>
      <c r="V501" s="384">
        <f t="shared" si="17"/>
        <v>33</v>
      </c>
      <c r="W501" s="384">
        <f t="shared" si="18"/>
        <v>16.5</v>
      </c>
      <c r="X501" s="384">
        <f t="shared" si="19"/>
        <v>11</v>
      </c>
      <c r="Y501" s="384">
        <f t="shared" si="20"/>
        <v>92.069999999999979</v>
      </c>
      <c r="Z501" s="384">
        <f t="shared" si="21"/>
        <v>184.13999999999996</v>
      </c>
      <c r="AA501" s="384">
        <f t="shared" si="22"/>
        <v>92.069999999999979</v>
      </c>
      <c r="AB501" s="384">
        <f t="shared" si="23"/>
        <v>61.379999999999988</v>
      </c>
      <c r="AC501" s="384">
        <v>3.2</v>
      </c>
      <c r="AD501" s="384">
        <v>6.4</v>
      </c>
      <c r="AE501" s="384">
        <v>3.2</v>
      </c>
      <c r="AF501" s="384">
        <v>2</v>
      </c>
      <c r="AG501" s="388">
        <v>1</v>
      </c>
    </row>
    <row r="502" spans="1:33" x14ac:dyDescent="0.25">
      <c r="A502" s="384" t="s">
        <v>340</v>
      </c>
      <c r="B502" s="384">
        <f t="shared" ref="B502:B521" si="24">VCCO12</f>
        <v>1.2</v>
      </c>
      <c r="C502" s="384">
        <v>1</v>
      </c>
      <c r="D502" s="385">
        <v>12.58667</v>
      </c>
      <c r="E502" s="386">
        <v>1.231525E-3</v>
      </c>
      <c r="F502" s="384">
        <v>0</v>
      </c>
      <c r="G502" s="384">
        <v>0</v>
      </c>
      <c r="H502" s="384">
        <v>0</v>
      </c>
      <c r="I502" s="384">
        <v>0</v>
      </c>
      <c r="J502" s="384">
        <v>0</v>
      </c>
      <c r="K502" s="384">
        <v>0</v>
      </c>
      <c r="L502" s="384">
        <v>0</v>
      </c>
      <c r="M502" s="387">
        <v>0</v>
      </c>
      <c r="N502" s="388">
        <v>0</v>
      </c>
      <c r="O502" s="384">
        <v>0</v>
      </c>
      <c r="P502" s="388" t="s">
        <v>342</v>
      </c>
      <c r="Q502" s="384">
        <v>0</v>
      </c>
      <c r="R502" s="384">
        <v>0</v>
      </c>
      <c r="S502" s="384">
        <v>0</v>
      </c>
      <c r="T502" s="384">
        <v>0</v>
      </c>
      <c r="U502" s="384">
        <v>0</v>
      </c>
      <c r="V502" s="384">
        <v>0</v>
      </c>
      <c r="W502" s="384">
        <v>0</v>
      </c>
      <c r="X502" s="384">
        <v>0</v>
      </c>
      <c r="Y502" s="384">
        <v>0</v>
      </c>
      <c r="Z502" s="384">
        <v>0</v>
      </c>
      <c r="AA502" s="384">
        <v>0</v>
      </c>
      <c r="AB502" s="384">
        <v>0</v>
      </c>
      <c r="AC502" s="384">
        <v>0</v>
      </c>
      <c r="AD502" s="384">
        <v>0</v>
      </c>
      <c r="AE502" s="384">
        <v>0</v>
      </c>
      <c r="AF502" s="384">
        <v>0</v>
      </c>
      <c r="AG502" s="388">
        <v>1</v>
      </c>
    </row>
    <row r="503" spans="1:33" x14ac:dyDescent="0.25">
      <c r="A503" s="384" t="s">
        <v>341</v>
      </c>
      <c r="B503" s="384">
        <f t="shared" si="24"/>
        <v>1.2</v>
      </c>
      <c r="C503" s="384">
        <v>1</v>
      </c>
      <c r="D503" s="385">
        <v>16.751999999999999</v>
      </c>
      <c r="E503" s="386">
        <v>1.231525E-3</v>
      </c>
      <c r="F503" s="384">
        <v>0</v>
      </c>
      <c r="G503" s="384">
        <v>0</v>
      </c>
      <c r="H503" s="384">
        <v>0</v>
      </c>
      <c r="I503" s="384">
        <v>0</v>
      </c>
      <c r="J503" s="384">
        <v>0</v>
      </c>
      <c r="K503" s="387">
        <v>0</v>
      </c>
      <c r="L503" s="387">
        <v>0</v>
      </c>
      <c r="M503" s="387">
        <v>0</v>
      </c>
      <c r="N503" s="388">
        <v>0</v>
      </c>
      <c r="O503" s="384">
        <v>0</v>
      </c>
      <c r="P503" s="388" t="s">
        <v>343</v>
      </c>
      <c r="Q503" s="384">
        <v>0</v>
      </c>
      <c r="R503" s="384">
        <v>0</v>
      </c>
      <c r="S503" s="384">
        <v>0</v>
      </c>
      <c r="T503" s="384">
        <v>0</v>
      </c>
      <c r="U503" s="384">
        <v>0</v>
      </c>
      <c r="V503" s="384">
        <v>0</v>
      </c>
      <c r="W503" s="384">
        <v>0</v>
      </c>
      <c r="X503" s="384">
        <v>0</v>
      </c>
      <c r="Y503" s="384">
        <v>0</v>
      </c>
      <c r="Z503" s="384">
        <v>0</v>
      </c>
      <c r="AA503" s="384">
        <v>0</v>
      </c>
      <c r="AB503" s="384">
        <v>0</v>
      </c>
      <c r="AC503" s="384">
        <v>0</v>
      </c>
      <c r="AD503" s="384">
        <v>0</v>
      </c>
      <c r="AE503" s="384">
        <v>0</v>
      </c>
      <c r="AF503" s="384">
        <v>0</v>
      </c>
      <c r="AG503" s="388">
        <v>1</v>
      </c>
    </row>
    <row r="504" spans="1:33" x14ac:dyDescent="0.25">
      <c r="A504" s="384" t="s">
        <v>352</v>
      </c>
      <c r="B504" s="384">
        <f t="shared" si="24"/>
        <v>1.2</v>
      </c>
      <c r="C504" s="384">
        <v>1</v>
      </c>
      <c r="D504" s="385">
        <v>17.72</v>
      </c>
      <c r="E504" s="386">
        <v>1.5522202380952382E-3</v>
      </c>
      <c r="F504" s="384">
        <v>0</v>
      </c>
      <c r="G504" s="384">
        <v>0</v>
      </c>
      <c r="H504" s="384">
        <v>0</v>
      </c>
      <c r="I504" s="384">
        <v>0</v>
      </c>
      <c r="J504" s="384">
        <v>0</v>
      </c>
      <c r="K504" s="387">
        <v>0</v>
      </c>
      <c r="L504" s="387">
        <v>0</v>
      </c>
      <c r="M504" s="387">
        <v>0</v>
      </c>
      <c r="N504" s="388">
        <v>0</v>
      </c>
      <c r="O504" s="384">
        <v>0</v>
      </c>
      <c r="P504" s="388" t="s">
        <v>356</v>
      </c>
      <c r="Q504" s="384">
        <v>0</v>
      </c>
      <c r="R504" s="384">
        <v>0</v>
      </c>
      <c r="S504" s="384">
        <v>0</v>
      </c>
      <c r="T504" s="384">
        <v>0</v>
      </c>
      <c r="U504" s="384">
        <v>0</v>
      </c>
      <c r="V504" s="384">
        <v>0</v>
      </c>
      <c r="W504" s="384">
        <v>0</v>
      </c>
      <c r="X504" s="384">
        <v>0</v>
      </c>
      <c r="Y504" s="384">
        <v>0</v>
      </c>
      <c r="Z504" s="384">
        <v>0</v>
      </c>
      <c r="AA504" s="384">
        <v>0</v>
      </c>
      <c r="AB504" s="384">
        <v>0</v>
      </c>
      <c r="AC504" s="384">
        <v>0</v>
      </c>
      <c r="AD504" s="384">
        <v>0</v>
      </c>
      <c r="AE504" s="384">
        <v>0</v>
      </c>
      <c r="AF504" s="384">
        <v>0</v>
      </c>
      <c r="AG504" s="388">
        <v>1</v>
      </c>
    </row>
    <row r="505" spans="1:33" x14ac:dyDescent="0.25">
      <c r="A505" s="384" t="s">
        <v>353</v>
      </c>
      <c r="B505" s="384">
        <f t="shared" si="24"/>
        <v>1.2</v>
      </c>
      <c r="C505" s="384">
        <v>1</v>
      </c>
      <c r="D505" s="385">
        <v>17.706559999999996</v>
      </c>
      <c r="E505" s="386">
        <v>1.5522202380952382E-3</v>
      </c>
      <c r="F505" s="384">
        <v>0</v>
      </c>
      <c r="G505" s="384">
        <v>0</v>
      </c>
      <c r="H505" s="384">
        <v>0</v>
      </c>
      <c r="I505" s="384">
        <v>0</v>
      </c>
      <c r="J505" s="384">
        <v>0</v>
      </c>
      <c r="K505" s="387">
        <v>0</v>
      </c>
      <c r="L505" s="387">
        <v>0</v>
      </c>
      <c r="M505" s="387">
        <v>0</v>
      </c>
      <c r="N505" s="388">
        <v>0</v>
      </c>
      <c r="O505" s="384">
        <v>0</v>
      </c>
      <c r="P505" s="388" t="s">
        <v>357</v>
      </c>
      <c r="Q505" s="384">
        <v>0</v>
      </c>
      <c r="R505" s="384">
        <v>0</v>
      </c>
      <c r="S505" s="384">
        <v>0</v>
      </c>
      <c r="T505" s="384">
        <v>0</v>
      </c>
      <c r="U505" s="384">
        <v>0</v>
      </c>
      <c r="V505" s="384">
        <v>0</v>
      </c>
      <c r="W505" s="384">
        <v>0</v>
      </c>
      <c r="X505" s="384">
        <v>0</v>
      </c>
      <c r="Y505" s="384">
        <v>0</v>
      </c>
      <c r="Z505" s="384">
        <v>0</v>
      </c>
      <c r="AA505" s="384">
        <v>0</v>
      </c>
      <c r="AB505" s="384">
        <v>0</v>
      </c>
      <c r="AC505" s="384">
        <v>0</v>
      </c>
      <c r="AD505" s="384">
        <v>0</v>
      </c>
      <c r="AE505" s="384">
        <v>0</v>
      </c>
      <c r="AF505" s="384">
        <v>0</v>
      </c>
      <c r="AG505" s="388">
        <v>1</v>
      </c>
    </row>
    <row r="506" spans="1:33" x14ac:dyDescent="0.25">
      <c r="A506" s="384" t="s">
        <v>354</v>
      </c>
      <c r="B506" s="384">
        <f t="shared" si="24"/>
        <v>1.2</v>
      </c>
      <c r="C506" s="384">
        <v>1</v>
      </c>
      <c r="D506" s="385">
        <v>23</v>
      </c>
      <c r="E506" s="386">
        <v>2.7123738095238092E-3</v>
      </c>
      <c r="F506" s="384">
        <v>0</v>
      </c>
      <c r="G506" s="384">
        <v>0</v>
      </c>
      <c r="H506" s="384">
        <v>0</v>
      </c>
      <c r="I506" s="384">
        <v>0</v>
      </c>
      <c r="J506" s="384">
        <v>0</v>
      </c>
      <c r="K506" s="387">
        <v>0</v>
      </c>
      <c r="L506" s="387">
        <v>0</v>
      </c>
      <c r="M506" s="387">
        <v>0</v>
      </c>
      <c r="N506" s="388">
        <v>0</v>
      </c>
      <c r="O506" s="384">
        <v>0</v>
      </c>
      <c r="P506" s="388" t="s">
        <v>358</v>
      </c>
      <c r="Q506" s="384">
        <v>0</v>
      </c>
      <c r="R506" s="384">
        <v>0</v>
      </c>
      <c r="S506" s="384">
        <v>0</v>
      </c>
      <c r="T506" s="384">
        <v>0</v>
      </c>
      <c r="U506" s="384">
        <v>0</v>
      </c>
      <c r="V506" s="384">
        <v>0</v>
      </c>
      <c r="W506" s="384">
        <v>0</v>
      </c>
      <c r="X506" s="384">
        <v>0</v>
      </c>
      <c r="Y506" s="384">
        <v>0</v>
      </c>
      <c r="Z506" s="384">
        <v>0</v>
      </c>
      <c r="AA506" s="384">
        <v>0</v>
      </c>
      <c r="AB506" s="384">
        <v>0</v>
      </c>
      <c r="AC506" s="384">
        <v>0</v>
      </c>
      <c r="AD506" s="384">
        <v>0</v>
      </c>
      <c r="AE506" s="384">
        <v>0</v>
      </c>
      <c r="AF506" s="384">
        <v>0</v>
      </c>
      <c r="AG506" s="388">
        <v>1</v>
      </c>
    </row>
    <row r="507" spans="1:33" x14ac:dyDescent="0.25">
      <c r="A507" s="384" t="s">
        <v>355</v>
      </c>
      <c r="B507" s="384">
        <f t="shared" si="24"/>
        <v>1.2</v>
      </c>
      <c r="C507" s="384">
        <v>1</v>
      </c>
      <c r="D507" s="385">
        <v>22.983999999999995</v>
      </c>
      <c r="E507" s="386">
        <v>2.7123738095238092E-3</v>
      </c>
      <c r="F507" s="384">
        <v>0</v>
      </c>
      <c r="G507" s="384">
        <v>0</v>
      </c>
      <c r="H507" s="384">
        <v>0</v>
      </c>
      <c r="I507" s="384">
        <v>0</v>
      </c>
      <c r="J507" s="384">
        <v>0</v>
      </c>
      <c r="K507" s="387">
        <v>0</v>
      </c>
      <c r="L507" s="387">
        <v>0</v>
      </c>
      <c r="M507" s="387">
        <v>0</v>
      </c>
      <c r="N507" s="388">
        <v>0</v>
      </c>
      <c r="O507" s="384">
        <v>0</v>
      </c>
      <c r="P507" s="388" t="s">
        <v>359</v>
      </c>
      <c r="Q507" s="384">
        <v>0</v>
      </c>
      <c r="R507" s="384">
        <v>0</v>
      </c>
      <c r="S507" s="384">
        <v>0</v>
      </c>
      <c r="T507" s="384">
        <v>0</v>
      </c>
      <c r="U507" s="384">
        <v>0</v>
      </c>
      <c r="V507" s="384">
        <v>0</v>
      </c>
      <c r="W507" s="384">
        <v>0</v>
      </c>
      <c r="X507" s="384">
        <v>0</v>
      </c>
      <c r="Y507" s="384">
        <v>0</v>
      </c>
      <c r="Z507" s="384">
        <v>0</v>
      </c>
      <c r="AA507" s="384">
        <v>0</v>
      </c>
      <c r="AB507" s="384">
        <v>0</v>
      </c>
      <c r="AC507" s="384">
        <v>0</v>
      </c>
      <c r="AD507" s="384">
        <v>0</v>
      </c>
      <c r="AE507" s="384">
        <v>0</v>
      </c>
      <c r="AF507" s="384">
        <v>0</v>
      </c>
      <c r="AG507" s="388">
        <v>1</v>
      </c>
    </row>
    <row r="508" spans="1:33" x14ac:dyDescent="0.25">
      <c r="A508" s="384" t="s">
        <v>814</v>
      </c>
      <c r="B508" s="384">
        <f t="shared" si="24"/>
        <v>1.2</v>
      </c>
      <c r="C508" s="384">
        <v>1</v>
      </c>
      <c r="D508" s="385">
        <v>28.28</v>
      </c>
      <c r="E508" s="386">
        <v>1.6531404761904759E-3</v>
      </c>
      <c r="F508" s="384">
        <v>0</v>
      </c>
      <c r="G508" s="384">
        <v>0</v>
      </c>
      <c r="H508" s="384">
        <v>0</v>
      </c>
      <c r="I508" s="384">
        <v>0</v>
      </c>
      <c r="J508" s="384">
        <v>0</v>
      </c>
      <c r="K508" s="387">
        <v>0</v>
      </c>
      <c r="L508" s="387">
        <v>0</v>
      </c>
      <c r="M508" s="387">
        <v>0</v>
      </c>
      <c r="N508" s="388">
        <v>0</v>
      </c>
      <c r="O508" s="384">
        <v>0</v>
      </c>
      <c r="P508" s="388" t="s">
        <v>815</v>
      </c>
      <c r="Q508" s="384">
        <v>0</v>
      </c>
      <c r="R508" s="384">
        <v>0</v>
      </c>
      <c r="S508" s="384">
        <v>0</v>
      </c>
      <c r="T508" s="384">
        <v>0</v>
      </c>
      <c r="U508" s="384">
        <v>0</v>
      </c>
      <c r="V508" s="384">
        <v>0</v>
      </c>
      <c r="W508" s="384">
        <v>0</v>
      </c>
      <c r="X508" s="384">
        <v>0</v>
      </c>
      <c r="Y508" s="384">
        <v>0</v>
      </c>
      <c r="Z508" s="384">
        <v>0</v>
      </c>
      <c r="AA508" s="384">
        <v>0</v>
      </c>
      <c r="AB508" s="384">
        <v>0</v>
      </c>
      <c r="AC508" s="384">
        <v>0</v>
      </c>
      <c r="AD508" s="384">
        <v>0</v>
      </c>
      <c r="AE508" s="384">
        <v>0</v>
      </c>
      <c r="AF508" s="384">
        <v>0</v>
      </c>
      <c r="AG508" s="388">
        <v>1</v>
      </c>
    </row>
    <row r="509" spans="1:33" x14ac:dyDescent="0.25">
      <c r="A509" s="384" t="s">
        <v>816</v>
      </c>
      <c r="B509" s="384">
        <f t="shared" si="24"/>
        <v>1.2</v>
      </c>
      <c r="C509" s="384">
        <v>1</v>
      </c>
      <c r="D509" s="385">
        <v>26.183599999999991</v>
      </c>
      <c r="E509" s="386">
        <v>1.6531404761904759E-3</v>
      </c>
      <c r="F509" s="384">
        <v>0</v>
      </c>
      <c r="G509" s="384">
        <v>0</v>
      </c>
      <c r="H509" s="384">
        <v>0</v>
      </c>
      <c r="I509" s="384">
        <v>0</v>
      </c>
      <c r="J509" s="384">
        <v>0</v>
      </c>
      <c r="K509" s="387">
        <v>0</v>
      </c>
      <c r="L509" s="387">
        <v>0</v>
      </c>
      <c r="M509" s="387">
        <v>0</v>
      </c>
      <c r="N509" s="388">
        <v>0</v>
      </c>
      <c r="O509" s="384">
        <v>0</v>
      </c>
      <c r="P509" s="388" t="s">
        <v>817</v>
      </c>
      <c r="Q509" s="384">
        <v>0</v>
      </c>
      <c r="R509" s="384">
        <v>0</v>
      </c>
      <c r="S509" s="384">
        <v>0</v>
      </c>
      <c r="T509" s="384">
        <v>0</v>
      </c>
      <c r="U509" s="384">
        <v>0</v>
      </c>
      <c r="V509" s="384">
        <v>0</v>
      </c>
      <c r="W509" s="384">
        <v>0</v>
      </c>
      <c r="X509" s="384">
        <v>0</v>
      </c>
      <c r="Y509" s="384">
        <v>0</v>
      </c>
      <c r="Z509" s="384">
        <v>0</v>
      </c>
      <c r="AA509" s="384">
        <v>0</v>
      </c>
      <c r="AB509" s="384">
        <v>0</v>
      </c>
      <c r="AC509" s="384">
        <v>0</v>
      </c>
      <c r="AD509" s="384">
        <v>0</v>
      </c>
      <c r="AE509" s="384">
        <v>0</v>
      </c>
      <c r="AF509" s="384">
        <v>0</v>
      </c>
      <c r="AG509" s="388">
        <v>1</v>
      </c>
    </row>
    <row r="510" spans="1:33" x14ac:dyDescent="0.25">
      <c r="A510" s="384" t="s">
        <v>818</v>
      </c>
      <c r="B510" s="384">
        <f t="shared" si="24"/>
        <v>1.2</v>
      </c>
      <c r="C510" s="384">
        <v>1</v>
      </c>
      <c r="D510" s="385">
        <v>38.722700000000003</v>
      </c>
      <c r="E510" s="386">
        <v>1.6731404761904801E-3</v>
      </c>
      <c r="F510" s="384">
        <v>0</v>
      </c>
      <c r="G510" s="384">
        <v>0</v>
      </c>
      <c r="H510" s="384">
        <v>0</v>
      </c>
      <c r="I510" s="384">
        <v>0</v>
      </c>
      <c r="J510" s="384">
        <v>0</v>
      </c>
      <c r="K510" s="387">
        <v>0</v>
      </c>
      <c r="L510" s="387">
        <v>0</v>
      </c>
      <c r="M510" s="387">
        <v>0</v>
      </c>
      <c r="N510" s="388">
        <v>0</v>
      </c>
      <c r="O510" s="384">
        <v>0</v>
      </c>
      <c r="P510" s="388" t="s">
        <v>819</v>
      </c>
      <c r="Q510" s="384">
        <v>1.6</v>
      </c>
      <c r="R510" s="384">
        <v>3.2</v>
      </c>
      <c r="S510" s="384">
        <v>1.6</v>
      </c>
      <c r="T510" s="384">
        <v>1.0667</v>
      </c>
      <c r="U510" s="384">
        <f>1000*($B510-($B510/2))/100</f>
        <v>6</v>
      </c>
      <c r="V510" s="384">
        <f>1000*($B510-($B510/2))/50</f>
        <v>12</v>
      </c>
      <c r="W510" s="384">
        <f>1000*($B510-($B510/2))/100</f>
        <v>6</v>
      </c>
      <c r="X510" s="384">
        <f>1000*($B510-($B510/2))/150</f>
        <v>4</v>
      </c>
      <c r="Y510" s="384">
        <f>1000*(($B510* $B510/2)  + ($B510*($I510 - $J510)) / 2) / 100</f>
        <v>7.2</v>
      </c>
      <c r="Z510" s="384">
        <f>1000*(($B510* $B510/2)  + ($B510*($I510 - $J510)) / 2) / 50</f>
        <v>14.4</v>
      </c>
      <c r="AA510" s="384">
        <f>1000*(($B510* $B510/2)  + ($B510*($I510 - $J510)) / 2) / 100</f>
        <v>7.2</v>
      </c>
      <c r="AB510" s="384">
        <f>1000*(($B510* $B510/2)  + ($B510*($I510 - $J510)) / 2) / 150</f>
        <v>4.8</v>
      </c>
      <c r="AC510" s="384">
        <v>1.33</v>
      </c>
      <c r="AD510" s="384">
        <v>2.6669999999999998</v>
      </c>
      <c r="AE510" s="384">
        <v>1.33</v>
      </c>
      <c r="AF510" s="384">
        <v>0.88890000000000002</v>
      </c>
      <c r="AG510" s="388">
        <v>1</v>
      </c>
    </row>
    <row r="511" spans="1:33" x14ac:dyDescent="0.25">
      <c r="A511" s="384" t="s">
        <v>820</v>
      </c>
      <c r="B511" s="384">
        <f t="shared" si="24"/>
        <v>1.2</v>
      </c>
      <c r="C511" s="384">
        <v>1</v>
      </c>
      <c r="D511" s="385">
        <v>32.655200000000001</v>
      </c>
      <c r="E511" s="386">
        <v>1.689E-3</v>
      </c>
      <c r="F511" s="384">
        <v>0</v>
      </c>
      <c r="G511" s="384">
        <v>0</v>
      </c>
      <c r="H511" s="384">
        <v>0</v>
      </c>
      <c r="I511" s="384">
        <v>0</v>
      </c>
      <c r="J511" s="384">
        <v>0</v>
      </c>
      <c r="K511" s="387">
        <v>0</v>
      </c>
      <c r="L511" s="387">
        <v>0</v>
      </c>
      <c r="M511" s="387">
        <v>0</v>
      </c>
      <c r="N511" s="388">
        <v>0</v>
      </c>
      <c r="O511" s="384">
        <v>0</v>
      </c>
      <c r="P511" s="388" t="s">
        <v>821</v>
      </c>
      <c r="Q511" s="384">
        <v>1.6</v>
      </c>
      <c r="R511" s="384">
        <v>3.2</v>
      </c>
      <c r="S511" s="384">
        <v>1.6</v>
      </c>
      <c r="T511" s="384">
        <v>1.0667</v>
      </c>
      <c r="U511" s="384">
        <f>1000*($B511-($B511/2))/100</f>
        <v>6</v>
      </c>
      <c r="V511" s="384">
        <f>1000*($B511-($B511/2))/50</f>
        <v>12</v>
      </c>
      <c r="W511" s="384">
        <f>1000*($B511-($B511/2))/100</f>
        <v>6</v>
      </c>
      <c r="X511" s="384">
        <f>1000*($B511-($B511/2))/150</f>
        <v>4</v>
      </c>
      <c r="Y511" s="384">
        <f>1000*(($B511* $B511/2)  + ($B511*($I511 - $J511)) / 2) / 100</f>
        <v>7.2</v>
      </c>
      <c r="Z511" s="384">
        <f>1000*(($B511* $B511/2)  + ($B511*($I511 - $J511)) / 2) / 50</f>
        <v>14.4</v>
      </c>
      <c r="AA511" s="384">
        <f>1000*(($B511* $B511/2)  + ($B511*($I511 - $J511)) / 2) / 100</f>
        <v>7.2</v>
      </c>
      <c r="AB511" s="384">
        <f>1000*(($B511* $B511/2)  + ($B511*($I511 - $J511)) / 2) / 150</f>
        <v>4.8</v>
      </c>
      <c r="AC511" s="384">
        <v>1.33</v>
      </c>
      <c r="AD511" s="384">
        <v>2.6669999999999998</v>
      </c>
      <c r="AE511" s="384">
        <v>1.33</v>
      </c>
      <c r="AF511" s="384">
        <v>0.88890000000000002</v>
      </c>
      <c r="AG511" s="388">
        <v>1</v>
      </c>
    </row>
    <row r="512" spans="1:33" x14ac:dyDescent="0.25">
      <c r="A512" s="384" t="s">
        <v>822</v>
      </c>
      <c r="B512" s="384">
        <f t="shared" si="24"/>
        <v>1.2</v>
      </c>
      <c r="C512" s="384">
        <v>1</v>
      </c>
      <c r="D512" s="385">
        <v>12.58667</v>
      </c>
      <c r="E512" s="386">
        <v>1.689E-3</v>
      </c>
      <c r="F512" s="384">
        <v>0</v>
      </c>
      <c r="G512" s="384">
        <v>0</v>
      </c>
      <c r="H512" s="384">
        <v>0</v>
      </c>
      <c r="I512" s="384">
        <v>0</v>
      </c>
      <c r="J512" s="384">
        <v>0</v>
      </c>
      <c r="K512" s="387">
        <v>0</v>
      </c>
      <c r="L512" s="387">
        <v>0</v>
      </c>
      <c r="M512" s="387">
        <v>0</v>
      </c>
      <c r="N512" s="388">
        <v>0</v>
      </c>
      <c r="O512" s="384">
        <v>0</v>
      </c>
      <c r="P512" s="388" t="s">
        <v>823</v>
      </c>
      <c r="Q512" s="384">
        <v>0</v>
      </c>
      <c r="R512" s="384">
        <v>0</v>
      </c>
      <c r="S512" s="384">
        <v>0</v>
      </c>
      <c r="T512" s="384">
        <v>0</v>
      </c>
      <c r="U512" s="384">
        <v>0</v>
      </c>
      <c r="V512" s="384">
        <v>0</v>
      </c>
      <c r="W512" s="384">
        <v>0</v>
      </c>
      <c r="X512" s="384">
        <v>0</v>
      </c>
      <c r="Y512" s="384">
        <v>0</v>
      </c>
      <c r="Z512" s="384">
        <v>0</v>
      </c>
      <c r="AA512" s="384">
        <v>0</v>
      </c>
      <c r="AB512" s="384">
        <v>0</v>
      </c>
      <c r="AC512" s="384">
        <v>0</v>
      </c>
      <c r="AD512" s="384">
        <v>0</v>
      </c>
      <c r="AE512" s="384">
        <v>0</v>
      </c>
      <c r="AF512" s="384">
        <v>0</v>
      </c>
      <c r="AG512" s="388">
        <v>1</v>
      </c>
    </row>
    <row r="513" spans="1:33" x14ac:dyDescent="0.25">
      <c r="A513" s="384" t="s">
        <v>824</v>
      </c>
      <c r="B513" s="384">
        <f t="shared" si="24"/>
        <v>1.2</v>
      </c>
      <c r="C513" s="384">
        <v>1</v>
      </c>
      <c r="D513" s="385">
        <v>16.751999999999999</v>
      </c>
      <c r="E513" s="386">
        <v>1.231525E-3</v>
      </c>
      <c r="F513" s="384">
        <v>0</v>
      </c>
      <c r="G513" s="384">
        <v>0</v>
      </c>
      <c r="H513" s="384">
        <v>0</v>
      </c>
      <c r="I513" s="384">
        <v>0</v>
      </c>
      <c r="J513" s="384">
        <v>0</v>
      </c>
      <c r="K513" s="387">
        <v>0</v>
      </c>
      <c r="L513" s="387">
        <v>0</v>
      </c>
      <c r="M513" s="387">
        <v>0</v>
      </c>
      <c r="N513" s="388">
        <v>0</v>
      </c>
      <c r="O513" s="384">
        <v>0</v>
      </c>
      <c r="P513" s="388" t="s">
        <v>825</v>
      </c>
      <c r="Q513" s="384">
        <v>0</v>
      </c>
      <c r="R513" s="384">
        <v>0</v>
      </c>
      <c r="S513" s="384">
        <v>0</v>
      </c>
      <c r="T513" s="384">
        <v>0</v>
      </c>
      <c r="U513" s="384">
        <v>0</v>
      </c>
      <c r="V513" s="384">
        <v>0</v>
      </c>
      <c r="W513" s="384">
        <v>0</v>
      </c>
      <c r="X513" s="384">
        <v>0</v>
      </c>
      <c r="Y513" s="384">
        <v>0</v>
      </c>
      <c r="Z513" s="384">
        <v>0</v>
      </c>
      <c r="AA513" s="384">
        <v>0</v>
      </c>
      <c r="AB513" s="384">
        <v>0</v>
      </c>
      <c r="AC513" s="384">
        <v>0</v>
      </c>
      <c r="AD513" s="384">
        <v>0</v>
      </c>
      <c r="AE513" s="384">
        <v>0</v>
      </c>
      <c r="AF513" s="384">
        <v>0</v>
      </c>
      <c r="AG513" s="388">
        <v>1</v>
      </c>
    </row>
    <row r="514" spans="1:33" x14ac:dyDescent="0.25">
      <c r="A514" s="384" t="s">
        <v>826</v>
      </c>
      <c r="B514" s="384">
        <f t="shared" si="24"/>
        <v>1.2</v>
      </c>
      <c r="C514" s="384">
        <v>1</v>
      </c>
      <c r="D514" s="385">
        <v>17.72</v>
      </c>
      <c r="E514" s="386">
        <v>1.5522202380952382E-3</v>
      </c>
      <c r="F514" s="384">
        <v>0</v>
      </c>
      <c r="G514" s="384">
        <v>0</v>
      </c>
      <c r="H514" s="384">
        <v>0</v>
      </c>
      <c r="I514" s="384">
        <v>0</v>
      </c>
      <c r="J514" s="384">
        <v>0</v>
      </c>
      <c r="K514" s="387">
        <v>0</v>
      </c>
      <c r="L514" s="387">
        <v>0</v>
      </c>
      <c r="M514" s="387">
        <v>0</v>
      </c>
      <c r="N514" s="388">
        <v>0</v>
      </c>
      <c r="O514" s="384">
        <v>0</v>
      </c>
      <c r="P514" s="388" t="s">
        <v>827</v>
      </c>
      <c r="Q514" s="384">
        <v>0</v>
      </c>
      <c r="R514" s="384">
        <v>0</v>
      </c>
      <c r="S514" s="384">
        <v>0</v>
      </c>
      <c r="T514" s="384">
        <v>0</v>
      </c>
      <c r="U514" s="384">
        <v>0</v>
      </c>
      <c r="V514" s="384">
        <v>0</v>
      </c>
      <c r="W514" s="384">
        <v>0</v>
      </c>
      <c r="X514" s="384">
        <v>0</v>
      </c>
      <c r="Y514" s="384">
        <v>0</v>
      </c>
      <c r="Z514" s="384">
        <v>0</v>
      </c>
      <c r="AA514" s="384">
        <v>0</v>
      </c>
      <c r="AB514" s="384">
        <v>0</v>
      </c>
      <c r="AC514" s="384">
        <v>0</v>
      </c>
      <c r="AD514" s="384">
        <v>0</v>
      </c>
      <c r="AE514" s="384">
        <v>0</v>
      </c>
      <c r="AF514" s="384">
        <v>0</v>
      </c>
      <c r="AG514" s="388">
        <v>1</v>
      </c>
    </row>
    <row r="515" spans="1:33" x14ac:dyDescent="0.25">
      <c r="A515" s="384" t="s">
        <v>828</v>
      </c>
      <c r="B515" s="384">
        <f t="shared" si="24"/>
        <v>1.2</v>
      </c>
      <c r="C515" s="384">
        <v>1</v>
      </c>
      <c r="D515" s="385">
        <v>17.706559999999996</v>
      </c>
      <c r="E515" s="386">
        <v>1.5522202380952382E-3</v>
      </c>
      <c r="F515" s="384">
        <v>0</v>
      </c>
      <c r="G515" s="384">
        <v>0</v>
      </c>
      <c r="H515" s="384">
        <v>0</v>
      </c>
      <c r="I515" s="384">
        <v>0</v>
      </c>
      <c r="J515" s="384">
        <v>0</v>
      </c>
      <c r="K515" s="387">
        <v>0</v>
      </c>
      <c r="L515" s="387">
        <v>0</v>
      </c>
      <c r="M515" s="387">
        <v>0</v>
      </c>
      <c r="N515" s="388">
        <v>0</v>
      </c>
      <c r="O515" s="384">
        <v>0</v>
      </c>
      <c r="P515" s="388" t="s">
        <v>829</v>
      </c>
      <c r="Q515" s="384">
        <v>0</v>
      </c>
      <c r="R515" s="384">
        <v>0</v>
      </c>
      <c r="S515" s="384">
        <v>0</v>
      </c>
      <c r="T515" s="384">
        <v>0</v>
      </c>
      <c r="U515" s="384">
        <v>0</v>
      </c>
      <c r="V515" s="384">
        <v>0</v>
      </c>
      <c r="W515" s="384">
        <v>0</v>
      </c>
      <c r="X515" s="384">
        <v>0</v>
      </c>
      <c r="Y515" s="384">
        <v>0</v>
      </c>
      <c r="Z515" s="384">
        <v>0</v>
      </c>
      <c r="AA515" s="384">
        <v>0</v>
      </c>
      <c r="AB515" s="384">
        <v>0</v>
      </c>
      <c r="AC515" s="384">
        <v>0</v>
      </c>
      <c r="AD515" s="384">
        <v>0</v>
      </c>
      <c r="AE515" s="384">
        <v>0</v>
      </c>
      <c r="AF515" s="384">
        <v>0</v>
      </c>
      <c r="AG515" s="388">
        <v>1</v>
      </c>
    </row>
    <row r="516" spans="1:33" x14ac:dyDescent="0.25">
      <c r="A516" s="384" t="s">
        <v>830</v>
      </c>
      <c r="B516" s="384">
        <f t="shared" si="24"/>
        <v>1.2</v>
      </c>
      <c r="C516" s="384">
        <v>1</v>
      </c>
      <c r="D516" s="385">
        <v>23</v>
      </c>
      <c r="E516" s="386">
        <v>2.7123738095238092E-3</v>
      </c>
      <c r="F516" s="384">
        <v>0</v>
      </c>
      <c r="G516" s="384">
        <v>0</v>
      </c>
      <c r="H516" s="384">
        <v>0</v>
      </c>
      <c r="I516" s="384">
        <v>0</v>
      </c>
      <c r="J516" s="384">
        <v>0</v>
      </c>
      <c r="K516" s="387">
        <v>0</v>
      </c>
      <c r="L516" s="387">
        <v>0</v>
      </c>
      <c r="M516" s="387">
        <v>0</v>
      </c>
      <c r="N516" s="388">
        <v>0</v>
      </c>
      <c r="O516" s="384">
        <v>0</v>
      </c>
      <c r="P516" s="388" t="s">
        <v>831</v>
      </c>
      <c r="Q516" s="384">
        <v>0</v>
      </c>
      <c r="R516" s="384">
        <v>0</v>
      </c>
      <c r="S516" s="384">
        <v>0</v>
      </c>
      <c r="T516" s="384">
        <v>0</v>
      </c>
      <c r="U516" s="384">
        <v>0</v>
      </c>
      <c r="V516" s="384">
        <v>0</v>
      </c>
      <c r="W516" s="384">
        <v>0</v>
      </c>
      <c r="X516" s="384">
        <v>0</v>
      </c>
      <c r="Y516" s="384">
        <v>0</v>
      </c>
      <c r="Z516" s="384">
        <v>0</v>
      </c>
      <c r="AA516" s="384">
        <v>0</v>
      </c>
      <c r="AB516" s="384">
        <v>0</v>
      </c>
      <c r="AC516" s="384">
        <v>0</v>
      </c>
      <c r="AD516" s="384">
        <v>0</v>
      </c>
      <c r="AE516" s="384">
        <v>0</v>
      </c>
      <c r="AF516" s="384">
        <v>0</v>
      </c>
      <c r="AG516" s="388">
        <v>1</v>
      </c>
    </row>
    <row r="517" spans="1:33" x14ac:dyDescent="0.25">
      <c r="A517" s="384" t="s">
        <v>832</v>
      </c>
      <c r="B517" s="384">
        <f t="shared" si="24"/>
        <v>1.2</v>
      </c>
      <c r="C517" s="384">
        <v>1</v>
      </c>
      <c r="D517" s="385">
        <v>22.983999999999995</v>
      </c>
      <c r="E517" s="386">
        <v>2.7123738095238092E-3</v>
      </c>
      <c r="F517" s="384">
        <v>0</v>
      </c>
      <c r="G517" s="384">
        <v>0</v>
      </c>
      <c r="H517" s="384">
        <v>0</v>
      </c>
      <c r="I517" s="384">
        <v>0</v>
      </c>
      <c r="J517" s="384">
        <v>0</v>
      </c>
      <c r="K517" s="387">
        <v>0</v>
      </c>
      <c r="L517" s="387">
        <v>0</v>
      </c>
      <c r="M517" s="387">
        <v>0</v>
      </c>
      <c r="N517" s="388">
        <v>0</v>
      </c>
      <c r="O517" s="384">
        <v>0</v>
      </c>
      <c r="P517" s="388" t="s">
        <v>833</v>
      </c>
      <c r="Q517" s="384">
        <v>0</v>
      </c>
      <c r="R517" s="384">
        <v>0</v>
      </c>
      <c r="S517" s="384">
        <v>0</v>
      </c>
      <c r="T517" s="384">
        <v>0</v>
      </c>
      <c r="U517" s="384">
        <v>0</v>
      </c>
      <c r="V517" s="384">
        <v>0</v>
      </c>
      <c r="W517" s="384">
        <v>0</v>
      </c>
      <c r="X517" s="384">
        <v>0</v>
      </c>
      <c r="Y517" s="384">
        <v>0</v>
      </c>
      <c r="Z517" s="384">
        <v>0</v>
      </c>
      <c r="AA517" s="384">
        <v>0</v>
      </c>
      <c r="AB517" s="384">
        <v>0</v>
      </c>
      <c r="AC517" s="384">
        <v>0</v>
      </c>
      <c r="AD517" s="384">
        <v>0</v>
      </c>
      <c r="AE517" s="384">
        <v>0</v>
      </c>
      <c r="AF517" s="384">
        <v>0</v>
      </c>
      <c r="AG517" s="388">
        <v>1</v>
      </c>
    </row>
    <row r="518" spans="1:33" x14ac:dyDescent="0.25">
      <c r="A518" s="384" t="s">
        <v>834</v>
      </c>
      <c r="B518" s="384">
        <f t="shared" si="24"/>
        <v>1.2</v>
      </c>
      <c r="C518" s="384">
        <v>1</v>
      </c>
      <c r="D518" s="385">
        <v>28.28</v>
      </c>
      <c r="E518" s="386">
        <v>1.6531404761904759E-3</v>
      </c>
      <c r="F518" s="384">
        <v>0</v>
      </c>
      <c r="G518" s="384">
        <v>0</v>
      </c>
      <c r="H518" s="384">
        <v>0</v>
      </c>
      <c r="I518" s="384">
        <v>0</v>
      </c>
      <c r="J518" s="384">
        <v>0</v>
      </c>
      <c r="K518" s="387">
        <v>0</v>
      </c>
      <c r="L518" s="387">
        <v>0</v>
      </c>
      <c r="M518" s="387">
        <v>0</v>
      </c>
      <c r="N518" s="388">
        <v>0</v>
      </c>
      <c r="O518" s="384">
        <v>0</v>
      </c>
      <c r="P518" s="388" t="s">
        <v>835</v>
      </c>
      <c r="Q518" s="384">
        <v>0</v>
      </c>
      <c r="R518" s="384">
        <v>0</v>
      </c>
      <c r="S518" s="384">
        <v>0</v>
      </c>
      <c r="T518" s="384">
        <v>0</v>
      </c>
      <c r="U518" s="384">
        <v>0</v>
      </c>
      <c r="V518" s="384">
        <v>0</v>
      </c>
      <c r="W518" s="384">
        <v>0</v>
      </c>
      <c r="X518" s="384">
        <v>0</v>
      </c>
      <c r="Y518" s="384">
        <v>0</v>
      </c>
      <c r="Z518" s="384">
        <v>0</v>
      </c>
      <c r="AA518" s="384">
        <v>0</v>
      </c>
      <c r="AB518" s="384">
        <v>0</v>
      </c>
      <c r="AC518" s="384">
        <v>0</v>
      </c>
      <c r="AD518" s="384">
        <v>0</v>
      </c>
      <c r="AE518" s="384">
        <v>0</v>
      </c>
      <c r="AF518" s="384">
        <v>0</v>
      </c>
      <c r="AG518" s="388">
        <v>1</v>
      </c>
    </row>
    <row r="519" spans="1:33" x14ac:dyDescent="0.25">
      <c r="A519" s="384" t="s">
        <v>902</v>
      </c>
      <c r="B519" s="384">
        <f t="shared" si="24"/>
        <v>1.2</v>
      </c>
      <c r="C519" s="384">
        <v>1</v>
      </c>
      <c r="D519" s="385">
        <v>26.183599999999991</v>
      </c>
      <c r="E519" s="386">
        <v>1.6531404761904759E-3</v>
      </c>
      <c r="F519" s="384">
        <v>0</v>
      </c>
      <c r="G519" s="384">
        <v>0</v>
      </c>
      <c r="H519" s="384">
        <v>0</v>
      </c>
      <c r="I519" s="384">
        <v>0</v>
      </c>
      <c r="J519" s="384">
        <v>0</v>
      </c>
      <c r="K519" s="387">
        <v>0</v>
      </c>
      <c r="L519" s="387">
        <v>0</v>
      </c>
      <c r="M519" s="387">
        <v>0</v>
      </c>
      <c r="N519" s="388">
        <v>0</v>
      </c>
      <c r="O519" s="384">
        <v>0</v>
      </c>
      <c r="P519" s="388" t="s">
        <v>836</v>
      </c>
      <c r="Q519" s="384">
        <v>0</v>
      </c>
      <c r="R519" s="384">
        <v>0</v>
      </c>
      <c r="S519" s="384">
        <v>0</v>
      </c>
      <c r="T519" s="384">
        <v>0</v>
      </c>
      <c r="U519" s="384">
        <v>0</v>
      </c>
      <c r="V519" s="384">
        <v>0</v>
      </c>
      <c r="W519" s="384">
        <v>0</v>
      </c>
      <c r="X519" s="384">
        <v>0</v>
      </c>
      <c r="Y519" s="384">
        <v>0</v>
      </c>
      <c r="Z519" s="384">
        <v>0</v>
      </c>
      <c r="AA519" s="384">
        <v>0</v>
      </c>
      <c r="AB519" s="384">
        <v>0</v>
      </c>
      <c r="AC519" s="384">
        <v>0</v>
      </c>
      <c r="AD519" s="384">
        <v>0</v>
      </c>
      <c r="AE519" s="384">
        <v>0</v>
      </c>
      <c r="AF519" s="384">
        <v>0</v>
      </c>
      <c r="AG519" s="388">
        <v>1</v>
      </c>
    </row>
    <row r="520" spans="1:33" x14ac:dyDescent="0.25">
      <c r="A520" s="384" t="s">
        <v>837</v>
      </c>
      <c r="B520" s="384">
        <f t="shared" si="24"/>
        <v>1.2</v>
      </c>
      <c r="C520" s="384">
        <v>1</v>
      </c>
      <c r="D520" s="385">
        <v>38.722700000000003</v>
      </c>
      <c r="E520" s="386">
        <v>1.689E-3</v>
      </c>
      <c r="F520" s="384">
        <v>0</v>
      </c>
      <c r="G520" s="384">
        <v>0</v>
      </c>
      <c r="H520" s="384">
        <v>0</v>
      </c>
      <c r="I520" s="384">
        <v>0</v>
      </c>
      <c r="J520" s="384">
        <v>0</v>
      </c>
      <c r="K520" s="387">
        <v>0</v>
      </c>
      <c r="L520" s="387">
        <v>0</v>
      </c>
      <c r="M520" s="387">
        <v>0</v>
      </c>
      <c r="N520" s="388">
        <v>0</v>
      </c>
      <c r="O520" s="384">
        <v>0</v>
      </c>
      <c r="P520" s="388" t="s">
        <v>838</v>
      </c>
      <c r="Q520" s="384">
        <v>1.6</v>
      </c>
      <c r="R520" s="384">
        <v>3.2</v>
      </c>
      <c r="S520" s="384">
        <v>1.6</v>
      </c>
      <c r="T520" s="384">
        <v>1.0667</v>
      </c>
      <c r="U520" s="384">
        <f>1000*($B520-($B520/2))/100</f>
        <v>6</v>
      </c>
      <c r="V520" s="384">
        <f>1000*($B520-($B520/2))/50</f>
        <v>12</v>
      </c>
      <c r="W520" s="384">
        <f>1000*($B520-($B520/2))/100</f>
        <v>6</v>
      </c>
      <c r="X520" s="384">
        <f>1000*($B520-($B520/2))/150</f>
        <v>4</v>
      </c>
      <c r="Y520" s="384">
        <f>1000*(($B520* $B520/2)  + ($B520*($I520 - $J520)) / 2) / 100</f>
        <v>7.2</v>
      </c>
      <c r="Z520" s="384">
        <f>1000*(($B520* $B520/2)  + ($B520*($I520 - $J520)) / 2) / 50</f>
        <v>14.4</v>
      </c>
      <c r="AA520" s="384">
        <f>1000*(($B520* $B520/2)  + ($B520*($I520 - $J520)) / 2) / 100</f>
        <v>7.2</v>
      </c>
      <c r="AB520" s="384">
        <f>1000*(($B520* $B520/2)  + ($B520*($I520 - $J520)) / 2) / 150</f>
        <v>4.8</v>
      </c>
      <c r="AC520" s="384">
        <v>1.33</v>
      </c>
      <c r="AD520" s="384">
        <v>2.6669999999999998</v>
      </c>
      <c r="AE520" s="384">
        <v>1.33</v>
      </c>
      <c r="AF520" s="384">
        <v>0.88890000000000002</v>
      </c>
      <c r="AG520" s="388">
        <v>1</v>
      </c>
    </row>
    <row r="521" spans="1:33" x14ac:dyDescent="0.25">
      <c r="A521" s="384" t="s">
        <v>903</v>
      </c>
      <c r="B521" s="384">
        <f t="shared" si="24"/>
        <v>1.2</v>
      </c>
      <c r="C521" s="384">
        <v>1</v>
      </c>
      <c r="D521" s="385">
        <v>32.655200000000001</v>
      </c>
      <c r="E521" s="386">
        <v>1.689E-3</v>
      </c>
      <c r="F521" s="384">
        <v>0</v>
      </c>
      <c r="G521" s="384">
        <v>0</v>
      </c>
      <c r="H521" s="384">
        <v>0</v>
      </c>
      <c r="I521" s="384">
        <v>0</v>
      </c>
      <c r="J521" s="384">
        <v>0</v>
      </c>
      <c r="K521" s="387">
        <v>0</v>
      </c>
      <c r="L521" s="387">
        <v>0</v>
      </c>
      <c r="M521" s="387">
        <v>0</v>
      </c>
      <c r="N521" s="388">
        <v>0</v>
      </c>
      <c r="O521" s="384">
        <v>0</v>
      </c>
      <c r="P521" s="388" t="s">
        <v>839</v>
      </c>
      <c r="Q521" s="384">
        <v>1.6</v>
      </c>
      <c r="R521" s="384">
        <v>3.2</v>
      </c>
      <c r="S521" s="384">
        <v>1.6</v>
      </c>
      <c r="T521" s="384">
        <v>1.0667</v>
      </c>
      <c r="U521" s="384">
        <f>1000*($B521-($B521/2))/100</f>
        <v>6</v>
      </c>
      <c r="V521" s="384">
        <f>1000*($B521-($B521/2))/50</f>
        <v>12</v>
      </c>
      <c r="W521" s="384">
        <f>1000*($B521-($B521/2))/100</f>
        <v>6</v>
      </c>
      <c r="X521" s="384">
        <f>1000*($B521-($B521/2))/150</f>
        <v>4</v>
      </c>
      <c r="Y521" s="384">
        <f>1000*(($B521* $B521/2)  + ($B521*($I521 - $J521)) / 2) / 100</f>
        <v>7.2</v>
      </c>
      <c r="Z521" s="384">
        <f>1000*(($B521* $B521/2)  + ($B521*($I521 - $J521)) / 2) / 50</f>
        <v>14.4</v>
      </c>
      <c r="AA521" s="384">
        <f>1000*(($B521* $B521/2)  + ($B521*($I521 - $J521)) / 2) / 100</f>
        <v>7.2</v>
      </c>
      <c r="AB521" s="384">
        <f>1000*(($B521* $B521/2)  + ($B521*($I521 - $J521)) / 2) / 150</f>
        <v>4.8</v>
      </c>
      <c r="AC521" s="384">
        <v>1.33</v>
      </c>
      <c r="AD521" s="384">
        <v>2.6669999999999998</v>
      </c>
      <c r="AE521" s="384">
        <v>1.33</v>
      </c>
      <c r="AF521" s="384">
        <v>0.88890000000000002</v>
      </c>
      <c r="AG521" s="388">
        <v>1</v>
      </c>
    </row>
    <row r="522" spans="1:33" x14ac:dyDescent="0.25">
      <c r="A522" s="384" t="s">
        <v>181</v>
      </c>
      <c r="B522" s="384">
        <f t="shared" ref="B522:B545" si="25">VCCO15</f>
        <v>1.5</v>
      </c>
      <c r="C522" s="384">
        <v>1</v>
      </c>
      <c r="D522" s="385">
        <v>12.58667</v>
      </c>
      <c r="E522" s="386">
        <v>1.231525E-3</v>
      </c>
      <c r="F522" s="384">
        <v>0</v>
      </c>
      <c r="G522" s="384">
        <v>0</v>
      </c>
      <c r="H522" s="384">
        <v>0</v>
      </c>
      <c r="I522" s="384">
        <v>0</v>
      </c>
      <c r="J522" s="384">
        <v>0</v>
      </c>
      <c r="K522" s="387">
        <v>0</v>
      </c>
      <c r="L522" s="387">
        <v>0</v>
      </c>
      <c r="M522" s="387">
        <v>0</v>
      </c>
      <c r="N522" s="388">
        <v>0</v>
      </c>
      <c r="O522" s="384">
        <v>0</v>
      </c>
      <c r="P522" s="388" t="s">
        <v>245</v>
      </c>
      <c r="Q522" s="384">
        <v>0</v>
      </c>
      <c r="R522" s="384">
        <v>0</v>
      </c>
      <c r="S522" s="384">
        <v>0</v>
      </c>
      <c r="T522" s="384">
        <v>0</v>
      </c>
      <c r="U522" s="384">
        <v>0</v>
      </c>
      <c r="V522" s="384">
        <v>0</v>
      </c>
      <c r="W522" s="384">
        <v>0</v>
      </c>
      <c r="X522" s="384">
        <v>0</v>
      </c>
      <c r="Y522" s="384">
        <v>0</v>
      </c>
      <c r="Z522" s="384">
        <v>0</v>
      </c>
      <c r="AA522" s="384">
        <v>0</v>
      </c>
      <c r="AB522" s="384">
        <v>0</v>
      </c>
      <c r="AC522" s="384">
        <v>0</v>
      </c>
      <c r="AD522" s="384">
        <v>0</v>
      </c>
      <c r="AE522" s="384">
        <v>0</v>
      </c>
      <c r="AF522" s="384">
        <v>0</v>
      </c>
      <c r="AG522" s="388">
        <v>1</v>
      </c>
    </row>
    <row r="523" spans="1:33" x14ac:dyDescent="0.25">
      <c r="A523" s="384" t="s">
        <v>149</v>
      </c>
      <c r="B523" s="384">
        <f t="shared" si="25"/>
        <v>1.5</v>
      </c>
      <c r="C523" s="384">
        <v>1</v>
      </c>
      <c r="D523" s="385">
        <v>16.751999999999999</v>
      </c>
      <c r="E523" s="386">
        <v>1.231525E-3</v>
      </c>
      <c r="F523" s="384">
        <v>0</v>
      </c>
      <c r="G523" s="384">
        <v>0</v>
      </c>
      <c r="H523" s="384">
        <v>0</v>
      </c>
      <c r="I523" s="384">
        <v>0</v>
      </c>
      <c r="J523" s="384">
        <v>0</v>
      </c>
      <c r="K523" s="387">
        <v>0</v>
      </c>
      <c r="L523" s="387">
        <v>0</v>
      </c>
      <c r="M523" s="387">
        <v>0</v>
      </c>
      <c r="N523" s="388">
        <v>0</v>
      </c>
      <c r="O523" s="384">
        <v>0</v>
      </c>
      <c r="P523" s="388" t="s">
        <v>246</v>
      </c>
      <c r="Q523" s="384">
        <v>0</v>
      </c>
      <c r="R523" s="384">
        <v>0</v>
      </c>
      <c r="S523" s="384">
        <v>0</v>
      </c>
      <c r="T523" s="384">
        <v>0</v>
      </c>
      <c r="U523" s="384">
        <v>0</v>
      </c>
      <c r="V523" s="384">
        <v>0</v>
      </c>
      <c r="W523" s="384">
        <v>0</v>
      </c>
      <c r="X523" s="384">
        <v>0</v>
      </c>
      <c r="Y523" s="384">
        <v>0</v>
      </c>
      <c r="Z523" s="384">
        <v>0</v>
      </c>
      <c r="AA523" s="384">
        <v>0</v>
      </c>
      <c r="AB523" s="384">
        <v>0</v>
      </c>
      <c r="AC523" s="384">
        <v>0</v>
      </c>
      <c r="AD523" s="384">
        <v>0</v>
      </c>
      <c r="AE523" s="384">
        <v>0</v>
      </c>
      <c r="AF523" s="384">
        <v>0</v>
      </c>
      <c r="AG523" s="388">
        <v>1</v>
      </c>
    </row>
    <row r="524" spans="1:33" x14ac:dyDescent="0.25">
      <c r="A524" s="384" t="s">
        <v>182</v>
      </c>
      <c r="B524" s="384">
        <f t="shared" si="25"/>
        <v>1.5</v>
      </c>
      <c r="C524" s="384">
        <v>1</v>
      </c>
      <c r="D524" s="385">
        <v>17.72</v>
      </c>
      <c r="E524" s="386">
        <v>1.5522202380952382E-3</v>
      </c>
      <c r="F524" s="384">
        <v>0</v>
      </c>
      <c r="G524" s="384">
        <v>0</v>
      </c>
      <c r="H524" s="384">
        <v>0</v>
      </c>
      <c r="I524" s="384">
        <v>0</v>
      </c>
      <c r="J524" s="384">
        <v>0</v>
      </c>
      <c r="K524" s="387">
        <v>0</v>
      </c>
      <c r="L524" s="387">
        <v>0</v>
      </c>
      <c r="M524" s="387">
        <v>0</v>
      </c>
      <c r="N524" s="388">
        <v>0</v>
      </c>
      <c r="O524" s="384">
        <v>0</v>
      </c>
      <c r="P524" s="388" t="s">
        <v>247</v>
      </c>
      <c r="Q524" s="384">
        <v>0</v>
      </c>
      <c r="R524" s="384">
        <v>0</v>
      </c>
      <c r="S524" s="384">
        <v>0</v>
      </c>
      <c r="T524" s="384">
        <v>0</v>
      </c>
      <c r="U524" s="384">
        <v>0</v>
      </c>
      <c r="V524" s="384">
        <v>0</v>
      </c>
      <c r="W524" s="384">
        <v>0</v>
      </c>
      <c r="X524" s="384">
        <v>0</v>
      </c>
      <c r="Y524" s="384">
        <v>0</v>
      </c>
      <c r="Z524" s="384">
        <v>0</v>
      </c>
      <c r="AA524" s="384">
        <v>0</v>
      </c>
      <c r="AB524" s="384">
        <v>0</v>
      </c>
      <c r="AC524" s="384">
        <v>0</v>
      </c>
      <c r="AD524" s="384">
        <v>0</v>
      </c>
      <c r="AE524" s="384">
        <v>0</v>
      </c>
      <c r="AF524" s="384">
        <v>0</v>
      </c>
      <c r="AG524" s="388">
        <v>1</v>
      </c>
    </row>
    <row r="525" spans="1:33" x14ac:dyDescent="0.25">
      <c r="A525" s="384" t="s">
        <v>150</v>
      </c>
      <c r="B525" s="384">
        <f t="shared" si="25"/>
        <v>1.5</v>
      </c>
      <c r="C525" s="384">
        <v>1</v>
      </c>
      <c r="D525" s="385">
        <v>17.706559999999996</v>
      </c>
      <c r="E525" s="386">
        <v>1.5522202380952382E-3</v>
      </c>
      <c r="F525" s="384">
        <v>0</v>
      </c>
      <c r="G525" s="384">
        <v>0</v>
      </c>
      <c r="H525" s="384">
        <v>0</v>
      </c>
      <c r="I525" s="384">
        <v>0</v>
      </c>
      <c r="J525" s="384">
        <v>0</v>
      </c>
      <c r="K525" s="387">
        <v>0</v>
      </c>
      <c r="L525" s="387">
        <v>0</v>
      </c>
      <c r="M525" s="387">
        <v>0</v>
      </c>
      <c r="N525" s="388">
        <v>0</v>
      </c>
      <c r="O525" s="384">
        <v>0</v>
      </c>
      <c r="P525" s="388" t="s">
        <v>248</v>
      </c>
      <c r="Q525" s="384">
        <v>0</v>
      </c>
      <c r="R525" s="384">
        <v>0</v>
      </c>
      <c r="S525" s="384">
        <v>0</v>
      </c>
      <c r="T525" s="384">
        <v>0</v>
      </c>
      <c r="U525" s="384">
        <v>0</v>
      </c>
      <c r="V525" s="384">
        <v>0</v>
      </c>
      <c r="W525" s="384">
        <v>0</v>
      </c>
      <c r="X525" s="384">
        <v>0</v>
      </c>
      <c r="Y525" s="384">
        <v>0</v>
      </c>
      <c r="Z525" s="384">
        <v>0</v>
      </c>
      <c r="AA525" s="384">
        <v>0</v>
      </c>
      <c r="AB525" s="384">
        <v>0</v>
      </c>
      <c r="AC525" s="384">
        <v>0</v>
      </c>
      <c r="AD525" s="384">
        <v>0</v>
      </c>
      <c r="AE525" s="384">
        <v>0</v>
      </c>
      <c r="AF525" s="384">
        <v>0</v>
      </c>
      <c r="AG525" s="388">
        <v>1</v>
      </c>
    </row>
    <row r="526" spans="1:33" x14ac:dyDescent="0.25">
      <c r="A526" s="384" t="s">
        <v>183</v>
      </c>
      <c r="B526" s="384">
        <f t="shared" si="25"/>
        <v>1.5</v>
      </c>
      <c r="C526" s="384">
        <v>1</v>
      </c>
      <c r="D526" s="385">
        <v>23</v>
      </c>
      <c r="E526" s="386">
        <v>2.7123738095238092E-3</v>
      </c>
      <c r="F526" s="384">
        <v>0</v>
      </c>
      <c r="G526" s="384">
        <v>0</v>
      </c>
      <c r="H526" s="384">
        <v>0</v>
      </c>
      <c r="I526" s="384">
        <v>0</v>
      </c>
      <c r="J526" s="384">
        <v>0</v>
      </c>
      <c r="K526" s="387">
        <v>0</v>
      </c>
      <c r="L526" s="387">
        <v>0</v>
      </c>
      <c r="M526" s="387">
        <v>0</v>
      </c>
      <c r="N526" s="388">
        <v>0</v>
      </c>
      <c r="O526" s="384">
        <v>0</v>
      </c>
      <c r="P526" s="388" t="s">
        <v>249</v>
      </c>
      <c r="Q526" s="384">
        <v>0</v>
      </c>
      <c r="R526" s="384">
        <v>0</v>
      </c>
      <c r="S526" s="384">
        <v>0</v>
      </c>
      <c r="T526" s="384">
        <v>0</v>
      </c>
      <c r="U526" s="384">
        <v>0</v>
      </c>
      <c r="V526" s="384">
        <v>0</v>
      </c>
      <c r="W526" s="384">
        <v>0</v>
      </c>
      <c r="X526" s="384">
        <v>0</v>
      </c>
      <c r="Y526" s="384">
        <v>0</v>
      </c>
      <c r="Z526" s="384">
        <v>0</v>
      </c>
      <c r="AA526" s="384">
        <v>0</v>
      </c>
      <c r="AB526" s="384">
        <v>0</v>
      </c>
      <c r="AC526" s="384">
        <v>0</v>
      </c>
      <c r="AD526" s="384">
        <v>0</v>
      </c>
      <c r="AE526" s="384">
        <v>0</v>
      </c>
      <c r="AF526" s="384">
        <v>0</v>
      </c>
      <c r="AG526" s="388">
        <v>1</v>
      </c>
    </row>
    <row r="527" spans="1:33" x14ac:dyDescent="0.25">
      <c r="A527" s="384" t="s">
        <v>151</v>
      </c>
      <c r="B527" s="384">
        <f t="shared" si="25"/>
        <v>1.5</v>
      </c>
      <c r="C527" s="384">
        <v>1</v>
      </c>
      <c r="D527" s="385">
        <v>22.983999999999995</v>
      </c>
      <c r="E527" s="386">
        <v>2.7123738095238092E-3</v>
      </c>
      <c r="F527" s="384">
        <v>0</v>
      </c>
      <c r="G527" s="384">
        <v>0</v>
      </c>
      <c r="H527" s="384">
        <v>0</v>
      </c>
      <c r="I527" s="384">
        <v>0</v>
      </c>
      <c r="J527" s="384">
        <v>0</v>
      </c>
      <c r="K527" s="387">
        <v>0</v>
      </c>
      <c r="L527" s="387">
        <v>0</v>
      </c>
      <c r="M527" s="387">
        <v>0</v>
      </c>
      <c r="N527" s="388">
        <v>0</v>
      </c>
      <c r="O527" s="384">
        <v>0</v>
      </c>
      <c r="P527" s="388" t="s">
        <v>250</v>
      </c>
      <c r="Q527" s="384">
        <v>0</v>
      </c>
      <c r="R527" s="384">
        <v>0</v>
      </c>
      <c r="S527" s="384">
        <v>0</v>
      </c>
      <c r="T527" s="384">
        <v>0</v>
      </c>
      <c r="U527" s="384">
        <v>0</v>
      </c>
      <c r="V527" s="384">
        <v>0</v>
      </c>
      <c r="W527" s="384">
        <v>0</v>
      </c>
      <c r="X527" s="384">
        <v>0</v>
      </c>
      <c r="Y527" s="384">
        <v>0</v>
      </c>
      <c r="Z527" s="384">
        <v>0</v>
      </c>
      <c r="AA527" s="384">
        <v>0</v>
      </c>
      <c r="AB527" s="384">
        <v>0</v>
      </c>
      <c r="AC527" s="384">
        <v>0</v>
      </c>
      <c r="AD527" s="384">
        <v>0</v>
      </c>
      <c r="AE527" s="384">
        <v>0</v>
      </c>
      <c r="AF527" s="384">
        <v>0</v>
      </c>
      <c r="AG527" s="388">
        <v>1</v>
      </c>
    </row>
    <row r="528" spans="1:33" x14ac:dyDescent="0.25">
      <c r="A528" s="384" t="s">
        <v>184</v>
      </c>
      <c r="B528" s="384">
        <f t="shared" si="25"/>
        <v>1.5</v>
      </c>
      <c r="C528" s="384">
        <v>1</v>
      </c>
      <c r="D528" s="385">
        <v>28.28</v>
      </c>
      <c r="E528" s="386">
        <v>1.6531404761904759E-3</v>
      </c>
      <c r="F528" s="384">
        <v>0</v>
      </c>
      <c r="G528" s="384">
        <v>0</v>
      </c>
      <c r="H528" s="384">
        <v>0</v>
      </c>
      <c r="I528" s="384">
        <v>0</v>
      </c>
      <c r="J528" s="384">
        <v>0</v>
      </c>
      <c r="K528" s="387">
        <v>0</v>
      </c>
      <c r="L528" s="387">
        <v>0</v>
      </c>
      <c r="M528" s="387">
        <v>0</v>
      </c>
      <c r="N528" s="388">
        <v>0</v>
      </c>
      <c r="O528" s="384">
        <v>0</v>
      </c>
      <c r="P528" s="388" t="s">
        <v>251</v>
      </c>
      <c r="Q528" s="384">
        <v>0</v>
      </c>
      <c r="R528" s="384">
        <v>0</v>
      </c>
      <c r="S528" s="384">
        <v>0</v>
      </c>
      <c r="T528" s="384">
        <v>0</v>
      </c>
      <c r="U528" s="384">
        <v>0</v>
      </c>
      <c r="V528" s="384">
        <v>0</v>
      </c>
      <c r="W528" s="384">
        <v>0</v>
      </c>
      <c r="X528" s="384">
        <v>0</v>
      </c>
      <c r="Y528" s="384">
        <v>0</v>
      </c>
      <c r="Z528" s="384">
        <v>0</v>
      </c>
      <c r="AA528" s="384">
        <v>0</v>
      </c>
      <c r="AB528" s="384">
        <v>0</v>
      </c>
      <c r="AC528" s="384">
        <v>0</v>
      </c>
      <c r="AD528" s="384">
        <v>0</v>
      </c>
      <c r="AE528" s="384">
        <v>0</v>
      </c>
      <c r="AF528" s="384">
        <v>0</v>
      </c>
      <c r="AG528" s="388">
        <v>1</v>
      </c>
    </row>
    <row r="529" spans="1:33" x14ac:dyDescent="0.25">
      <c r="A529" s="384" t="s">
        <v>152</v>
      </c>
      <c r="B529" s="384">
        <f t="shared" si="25"/>
        <v>1.5</v>
      </c>
      <c r="C529" s="384">
        <v>1</v>
      </c>
      <c r="D529" s="385">
        <v>26.183599999999991</v>
      </c>
      <c r="E529" s="386">
        <v>1.6531404761904759E-3</v>
      </c>
      <c r="F529" s="384">
        <v>0</v>
      </c>
      <c r="G529" s="384">
        <v>0</v>
      </c>
      <c r="H529" s="384">
        <v>0</v>
      </c>
      <c r="I529" s="384">
        <v>0</v>
      </c>
      <c r="J529" s="384">
        <v>0</v>
      </c>
      <c r="K529" s="387">
        <v>0</v>
      </c>
      <c r="L529" s="387">
        <v>0</v>
      </c>
      <c r="M529" s="387">
        <v>0</v>
      </c>
      <c r="N529" s="388">
        <v>0</v>
      </c>
      <c r="O529" s="384">
        <v>0</v>
      </c>
      <c r="P529" s="388" t="s">
        <v>252</v>
      </c>
      <c r="Q529" s="384">
        <v>0</v>
      </c>
      <c r="R529" s="384">
        <v>0</v>
      </c>
      <c r="S529" s="384">
        <v>0</v>
      </c>
      <c r="T529" s="384">
        <v>0</v>
      </c>
      <c r="U529" s="384">
        <v>0</v>
      </c>
      <c r="V529" s="384">
        <v>0</v>
      </c>
      <c r="W529" s="384">
        <v>0</v>
      </c>
      <c r="X529" s="384">
        <v>0</v>
      </c>
      <c r="Y529" s="384">
        <v>0</v>
      </c>
      <c r="Z529" s="384">
        <v>0</v>
      </c>
      <c r="AA529" s="384">
        <v>0</v>
      </c>
      <c r="AB529" s="384">
        <v>0</v>
      </c>
      <c r="AC529" s="384">
        <v>0</v>
      </c>
      <c r="AD529" s="384">
        <v>0</v>
      </c>
      <c r="AE529" s="384">
        <v>0</v>
      </c>
      <c r="AF529" s="384">
        <v>0</v>
      </c>
      <c r="AG529" s="388">
        <v>1</v>
      </c>
    </row>
    <row r="530" spans="1:33" x14ac:dyDescent="0.25">
      <c r="A530" s="384" t="s">
        <v>185</v>
      </c>
      <c r="B530" s="384">
        <f t="shared" si="25"/>
        <v>1.5</v>
      </c>
      <c r="C530" s="384">
        <v>1</v>
      </c>
      <c r="D530" s="385">
        <v>24.50333333333333</v>
      </c>
      <c r="E530" s="386">
        <v>3.1101619047619045E-3</v>
      </c>
      <c r="F530" s="384">
        <v>0</v>
      </c>
      <c r="G530" s="384">
        <v>0</v>
      </c>
      <c r="H530" s="384">
        <v>0</v>
      </c>
      <c r="I530" s="384">
        <v>0</v>
      </c>
      <c r="J530" s="384">
        <v>0</v>
      </c>
      <c r="K530" s="387">
        <v>0</v>
      </c>
      <c r="L530" s="387">
        <v>0</v>
      </c>
      <c r="M530" s="387">
        <v>0</v>
      </c>
      <c r="N530" s="388">
        <v>0</v>
      </c>
      <c r="O530" s="384">
        <v>0</v>
      </c>
      <c r="P530" s="388" t="s">
        <v>253</v>
      </c>
      <c r="Q530" s="384">
        <v>2.8125</v>
      </c>
      <c r="R530" s="384">
        <v>5.625</v>
      </c>
      <c r="S530" s="384">
        <v>2.8125</v>
      </c>
      <c r="T530" s="384">
        <v>1.875</v>
      </c>
      <c r="U530" s="384">
        <f>1000*($B530-($B530/2))/100</f>
        <v>7.5</v>
      </c>
      <c r="V530" s="384">
        <f>1000*($B530-($B530/2))/50</f>
        <v>15</v>
      </c>
      <c r="W530" s="384">
        <f>1000*($B530-($B530/2))/100</f>
        <v>7.5</v>
      </c>
      <c r="X530" s="384">
        <f>1000*($B530-($B530/2))/150</f>
        <v>5</v>
      </c>
      <c r="Y530" s="384">
        <f>1000*(($B530* $B530/2)  + ($B530*($I530 - $J530)) / 2) / 100</f>
        <v>11.25</v>
      </c>
      <c r="Z530" s="384">
        <f>1000*(($B530* $B530/2)  + ($B530*($I530 - $J530)) / 2) / 50</f>
        <v>22.5</v>
      </c>
      <c r="AA530" s="384">
        <f>1000*(($B530* $B530/2)  + ($B530*($I530 - $J530)) / 2) / 100</f>
        <v>11.25</v>
      </c>
      <c r="AB530" s="384">
        <f>1000*(($B530* $B530/2)  + ($B530*($I530 - $J530)) / 2) / 150</f>
        <v>7.5</v>
      </c>
      <c r="AC530" s="384">
        <v>1.875</v>
      </c>
      <c r="AD530" s="384">
        <v>3.75</v>
      </c>
      <c r="AE530" s="384">
        <v>1.875</v>
      </c>
      <c r="AF530" s="384">
        <v>1.25</v>
      </c>
      <c r="AG530" s="388">
        <v>1</v>
      </c>
    </row>
    <row r="531" spans="1:33" x14ac:dyDescent="0.25">
      <c r="A531" s="384" t="s">
        <v>153</v>
      </c>
      <c r="B531" s="384">
        <f t="shared" si="25"/>
        <v>1.5</v>
      </c>
      <c r="C531" s="384">
        <v>1</v>
      </c>
      <c r="D531" s="385">
        <v>25.770666666666656</v>
      </c>
      <c r="E531" s="386">
        <v>3.1101619047619045E-3</v>
      </c>
      <c r="F531" s="384">
        <v>0</v>
      </c>
      <c r="G531" s="384">
        <v>0</v>
      </c>
      <c r="H531" s="384">
        <v>0</v>
      </c>
      <c r="I531" s="384">
        <v>0</v>
      </c>
      <c r="J531" s="384">
        <v>0</v>
      </c>
      <c r="K531" s="387">
        <v>0</v>
      </c>
      <c r="L531" s="387">
        <v>0</v>
      </c>
      <c r="M531" s="387">
        <v>0</v>
      </c>
      <c r="N531" s="388">
        <v>0</v>
      </c>
      <c r="O531" s="384">
        <v>0</v>
      </c>
      <c r="P531" s="388" t="s">
        <v>254</v>
      </c>
      <c r="Q531" s="384">
        <v>2.8125</v>
      </c>
      <c r="R531" s="384">
        <v>5.625</v>
      </c>
      <c r="S531" s="384">
        <v>2.8125</v>
      </c>
      <c r="T531" s="384">
        <v>1.875</v>
      </c>
      <c r="U531" s="384">
        <f>1000*($B531-($B531/2))/100</f>
        <v>7.5</v>
      </c>
      <c r="V531" s="384">
        <f>1000*($B531-($B531/2))/50</f>
        <v>15</v>
      </c>
      <c r="W531" s="384">
        <f>1000*($B531-($B531/2))/100</f>
        <v>7.5</v>
      </c>
      <c r="X531" s="384">
        <f>1000*($B531-($B531/2))/150</f>
        <v>5</v>
      </c>
      <c r="Y531" s="384">
        <f>1000*(($B531* $B531/2)  + ($B531*($I531 - $J531)) / 2) / 100</f>
        <v>11.25</v>
      </c>
      <c r="Z531" s="384">
        <f>1000*(($B531* $B531/2)  + ($B531*($I531 - $J531)) / 2) / 50</f>
        <v>22.5</v>
      </c>
      <c r="AA531" s="384">
        <f>1000*(($B531* $B531/2)  + ($B531*($I531 - $J531)) / 2) / 100</f>
        <v>11.25</v>
      </c>
      <c r="AB531" s="384">
        <f>1000*(($B531* $B531/2)  + ($B531*($I531 - $J531)) / 2) / 150</f>
        <v>7.5</v>
      </c>
      <c r="AC531" s="384">
        <v>1.875</v>
      </c>
      <c r="AD531" s="384">
        <v>3.75</v>
      </c>
      <c r="AE531" s="384">
        <v>1.875</v>
      </c>
      <c r="AF531" s="384">
        <v>1.25</v>
      </c>
      <c r="AG531" s="388">
        <v>1</v>
      </c>
    </row>
    <row r="532" spans="1:33" x14ac:dyDescent="0.25">
      <c r="A532" s="384" t="s">
        <v>840</v>
      </c>
      <c r="B532" s="384">
        <f t="shared" si="25"/>
        <v>1.5</v>
      </c>
      <c r="C532" s="384">
        <v>1</v>
      </c>
      <c r="D532" s="385">
        <v>30.000515351642001</v>
      </c>
      <c r="E532" s="386">
        <v>2.9953298500158001E-3</v>
      </c>
      <c r="F532" s="384">
        <v>0</v>
      </c>
      <c r="G532" s="384">
        <v>0</v>
      </c>
      <c r="H532" s="384">
        <v>0</v>
      </c>
      <c r="I532" s="384">
        <v>0</v>
      </c>
      <c r="J532" s="384">
        <v>0</v>
      </c>
      <c r="K532" s="387">
        <v>0</v>
      </c>
      <c r="L532" s="387">
        <v>0</v>
      </c>
      <c r="M532" s="387">
        <v>0</v>
      </c>
      <c r="N532" s="388">
        <v>0</v>
      </c>
      <c r="O532" s="384">
        <v>0</v>
      </c>
      <c r="P532" s="388" t="s">
        <v>904</v>
      </c>
      <c r="Q532" s="384">
        <v>2.8125</v>
      </c>
      <c r="R532" s="384">
        <v>5.625</v>
      </c>
      <c r="S532" s="384">
        <v>2.8125</v>
      </c>
      <c r="T532" s="384">
        <v>1.875</v>
      </c>
      <c r="U532" s="384">
        <f>1000*($B532-($B532/2))/100</f>
        <v>7.5</v>
      </c>
      <c r="V532" s="384">
        <f>1000*($B532-($B532/2))/50</f>
        <v>15</v>
      </c>
      <c r="W532" s="384">
        <f>1000*($B532-($B532/2))/100</f>
        <v>7.5</v>
      </c>
      <c r="X532" s="384">
        <f>1000*($B532-($B532/2))/150</f>
        <v>5</v>
      </c>
      <c r="Y532" s="384">
        <f>1000*(($B532* $B532/2)  + ($B532*($I532 - $J532)) / 2) / 100</f>
        <v>11.25</v>
      </c>
      <c r="Z532" s="384">
        <f>1000*(($B532* $B532/2)  + ($B532*($I532 - $J532)) / 2) / 50</f>
        <v>22.5</v>
      </c>
      <c r="AA532" s="384">
        <f>1000*(($B532* $B532/2)  + ($B532*($I532 - $J532)) / 2) / 100</f>
        <v>11.25</v>
      </c>
      <c r="AB532" s="384">
        <f>1000*(($B532* $B532/2)  + ($B532*($I532 - $J532)) / 2) / 150</f>
        <v>7.5</v>
      </c>
      <c r="AC532" s="384">
        <v>1.875</v>
      </c>
      <c r="AD532" s="384">
        <v>3.75</v>
      </c>
      <c r="AE532" s="384">
        <v>1.875</v>
      </c>
      <c r="AF532" s="384">
        <v>1.25</v>
      </c>
      <c r="AG532" s="388">
        <v>1</v>
      </c>
    </row>
    <row r="533" spans="1:33" x14ac:dyDescent="0.25">
      <c r="A533" s="384" t="s">
        <v>841</v>
      </c>
      <c r="B533" s="384">
        <f t="shared" si="25"/>
        <v>1.5</v>
      </c>
      <c r="C533" s="384">
        <v>1</v>
      </c>
      <c r="D533" s="385">
        <v>29.653179655669501</v>
      </c>
      <c r="E533" s="386">
        <v>2.9953298500158001E-3</v>
      </c>
      <c r="F533" s="384">
        <v>0</v>
      </c>
      <c r="G533" s="384">
        <v>0</v>
      </c>
      <c r="H533" s="384">
        <v>0</v>
      </c>
      <c r="I533" s="384">
        <v>0</v>
      </c>
      <c r="J533" s="384">
        <v>0</v>
      </c>
      <c r="K533" s="387">
        <v>0</v>
      </c>
      <c r="L533" s="387">
        <v>0</v>
      </c>
      <c r="M533" s="387">
        <v>0</v>
      </c>
      <c r="N533" s="388">
        <v>0</v>
      </c>
      <c r="O533" s="384">
        <v>0</v>
      </c>
      <c r="P533" s="388" t="s">
        <v>905</v>
      </c>
      <c r="Q533" s="384">
        <v>2.8125</v>
      </c>
      <c r="R533" s="384">
        <v>5.625</v>
      </c>
      <c r="S533" s="384">
        <v>2.8125</v>
      </c>
      <c r="T533" s="384">
        <v>1.875</v>
      </c>
      <c r="U533" s="384">
        <f>1000*($B533-($B533/2))/100</f>
        <v>7.5</v>
      </c>
      <c r="V533" s="384">
        <f>1000*($B533-($B533/2))/50</f>
        <v>15</v>
      </c>
      <c r="W533" s="384">
        <f>1000*($B533-($B533/2))/100</f>
        <v>7.5</v>
      </c>
      <c r="X533" s="384">
        <f>1000*($B533-($B533/2))/150</f>
        <v>5</v>
      </c>
      <c r="Y533" s="384">
        <f>1000*(($B533* $B533/2)  + ($B533*($I533 - $J533)) / 2) / 100</f>
        <v>11.25</v>
      </c>
      <c r="Z533" s="384">
        <f>1000*(($B533* $B533/2)  + ($B533*($I533 - $J533)) / 2) / 50</f>
        <v>22.5</v>
      </c>
      <c r="AA533" s="384">
        <f>1000*(($B533* $B533/2)  + ($B533*($I533 - $J533)) / 2) / 100</f>
        <v>11.25</v>
      </c>
      <c r="AB533" s="384">
        <f>1000*(($B533* $B533/2)  + ($B533*($I533 - $J533)) / 2) / 150</f>
        <v>7.5</v>
      </c>
      <c r="AC533" s="384">
        <v>1.875</v>
      </c>
      <c r="AD533" s="384">
        <v>3.75</v>
      </c>
      <c r="AE533" s="384">
        <v>1.875</v>
      </c>
      <c r="AF533" s="384">
        <v>1.25</v>
      </c>
      <c r="AG533" s="388">
        <v>1</v>
      </c>
    </row>
    <row r="534" spans="1:33" x14ac:dyDescent="0.25">
      <c r="A534" s="384" t="s">
        <v>842</v>
      </c>
      <c r="B534" s="384">
        <f t="shared" si="25"/>
        <v>1.5</v>
      </c>
      <c r="C534" s="384">
        <v>1</v>
      </c>
      <c r="D534" s="385">
        <v>12.58667</v>
      </c>
      <c r="E534" s="386">
        <v>1.231525E-3</v>
      </c>
      <c r="F534" s="384">
        <v>0</v>
      </c>
      <c r="G534" s="384">
        <v>0</v>
      </c>
      <c r="H534" s="384">
        <v>0</v>
      </c>
      <c r="I534" s="384">
        <v>0</v>
      </c>
      <c r="J534" s="384">
        <v>0</v>
      </c>
      <c r="K534" s="384">
        <v>0</v>
      </c>
      <c r="L534" s="384">
        <v>0</v>
      </c>
      <c r="M534" s="387">
        <f t="shared" ref="M534:M591" si="26">1000*$B534*($I534-$J534)/(4*50)</f>
        <v>0</v>
      </c>
      <c r="N534" s="388">
        <v>0</v>
      </c>
      <c r="O534" s="384">
        <v>0</v>
      </c>
      <c r="P534" s="388" t="s">
        <v>843</v>
      </c>
      <c r="Q534" s="384">
        <v>0</v>
      </c>
      <c r="R534" s="384">
        <v>0</v>
      </c>
      <c r="S534" s="384">
        <v>0</v>
      </c>
      <c r="T534" s="384">
        <v>0</v>
      </c>
      <c r="U534" s="384">
        <v>0</v>
      </c>
      <c r="V534" s="384">
        <v>0</v>
      </c>
      <c r="W534" s="384">
        <v>0</v>
      </c>
      <c r="X534" s="384">
        <v>0</v>
      </c>
      <c r="Y534" s="384">
        <v>0</v>
      </c>
      <c r="Z534" s="384">
        <v>0</v>
      </c>
      <c r="AA534" s="384">
        <v>0</v>
      </c>
      <c r="AB534" s="384">
        <v>0</v>
      </c>
      <c r="AC534" s="384">
        <v>0</v>
      </c>
      <c r="AD534" s="384">
        <v>0</v>
      </c>
      <c r="AE534" s="384">
        <v>0</v>
      </c>
      <c r="AF534" s="384">
        <v>0</v>
      </c>
      <c r="AG534" s="388">
        <v>1</v>
      </c>
    </row>
    <row r="535" spans="1:33" x14ac:dyDescent="0.25">
      <c r="A535" s="384" t="s">
        <v>844</v>
      </c>
      <c r="B535" s="384">
        <f t="shared" si="25"/>
        <v>1.5</v>
      </c>
      <c r="C535" s="384">
        <v>1</v>
      </c>
      <c r="D535" s="385">
        <v>16.751999999999999</v>
      </c>
      <c r="E535" s="386">
        <v>1.231525E-3</v>
      </c>
      <c r="F535" s="384">
        <v>0</v>
      </c>
      <c r="G535" s="384">
        <v>0</v>
      </c>
      <c r="H535" s="384">
        <v>0</v>
      </c>
      <c r="I535" s="384">
        <v>0</v>
      </c>
      <c r="J535" s="384">
        <v>0</v>
      </c>
      <c r="K535" s="384">
        <v>0</v>
      </c>
      <c r="L535" s="384">
        <v>0</v>
      </c>
      <c r="M535" s="387">
        <f t="shared" si="26"/>
        <v>0</v>
      </c>
      <c r="N535" s="388">
        <v>0</v>
      </c>
      <c r="O535" s="384">
        <v>0</v>
      </c>
      <c r="P535" s="388" t="s">
        <v>845</v>
      </c>
      <c r="Q535" s="384">
        <v>0</v>
      </c>
      <c r="R535" s="384">
        <v>0</v>
      </c>
      <c r="S535" s="384">
        <v>0</v>
      </c>
      <c r="T535" s="384">
        <v>0</v>
      </c>
      <c r="U535" s="384">
        <v>0</v>
      </c>
      <c r="V535" s="384">
        <v>0</v>
      </c>
      <c r="W535" s="384">
        <v>0</v>
      </c>
      <c r="X535" s="384">
        <v>0</v>
      </c>
      <c r="Y535" s="384">
        <v>0</v>
      </c>
      <c r="Z535" s="384">
        <v>0</v>
      </c>
      <c r="AA535" s="384">
        <v>0</v>
      </c>
      <c r="AB535" s="384">
        <v>0</v>
      </c>
      <c r="AC535" s="384">
        <v>0</v>
      </c>
      <c r="AD535" s="384">
        <v>0</v>
      </c>
      <c r="AE535" s="384">
        <v>0</v>
      </c>
      <c r="AF535" s="384">
        <v>0</v>
      </c>
      <c r="AG535" s="388">
        <v>1</v>
      </c>
    </row>
    <row r="536" spans="1:33" x14ac:dyDescent="0.25">
      <c r="A536" s="384" t="s">
        <v>846</v>
      </c>
      <c r="B536" s="384">
        <f t="shared" si="25"/>
        <v>1.5</v>
      </c>
      <c r="C536" s="384">
        <v>1</v>
      </c>
      <c r="D536" s="385">
        <v>17.72</v>
      </c>
      <c r="E536" s="386">
        <v>1.5522202380952382E-3</v>
      </c>
      <c r="F536" s="384">
        <v>0</v>
      </c>
      <c r="G536" s="384">
        <v>0</v>
      </c>
      <c r="H536" s="384">
        <v>0</v>
      </c>
      <c r="I536" s="384">
        <v>0</v>
      </c>
      <c r="J536" s="384">
        <v>0</v>
      </c>
      <c r="K536" s="384">
        <v>0</v>
      </c>
      <c r="L536" s="384">
        <v>0</v>
      </c>
      <c r="M536" s="387">
        <f t="shared" si="26"/>
        <v>0</v>
      </c>
      <c r="N536" s="388">
        <v>0</v>
      </c>
      <c r="O536" s="384">
        <v>0</v>
      </c>
      <c r="P536" s="388" t="s">
        <v>847</v>
      </c>
      <c r="Q536" s="384">
        <v>0</v>
      </c>
      <c r="R536" s="384">
        <v>0</v>
      </c>
      <c r="S536" s="384">
        <v>0</v>
      </c>
      <c r="T536" s="384">
        <v>0</v>
      </c>
      <c r="U536" s="384">
        <v>0</v>
      </c>
      <c r="V536" s="384">
        <v>0</v>
      </c>
      <c r="W536" s="384">
        <v>0</v>
      </c>
      <c r="X536" s="384">
        <v>0</v>
      </c>
      <c r="Y536" s="384">
        <v>0</v>
      </c>
      <c r="Z536" s="384">
        <v>0</v>
      </c>
      <c r="AA536" s="384">
        <v>0</v>
      </c>
      <c r="AB536" s="384">
        <v>0</v>
      </c>
      <c r="AC536" s="384">
        <v>0</v>
      </c>
      <c r="AD536" s="384">
        <v>0</v>
      </c>
      <c r="AE536" s="384">
        <v>0</v>
      </c>
      <c r="AF536" s="384">
        <v>0</v>
      </c>
      <c r="AG536" s="388">
        <v>1</v>
      </c>
    </row>
    <row r="537" spans="1:33" x14ac:dyDescent="0.25">
      <c r="A537" s="384" t="s">
        <v>848</v>
      </c>
      <c r="B537" s="384">
        <f t="shared" si="25"/>
        <v>1.5</v>
      </c>
      <c r="C537" s="384">
        <v>1</v>
      </c>
      <c r="D537" s="385">
        <v>17.706559999999996</v>
      </c>
      <c r="E537" s="386">
        <v>1.5522202380952382E-3</v>
      </c>
      <c r="F537" s="384">
        <v>0</v>
      </c>
      <c r="G537" s="384">
        <v>0</v>
      </c>
      <c r="H537" s="384">
        <v>0</v>
      </c>
      <c r="I537" s="384">
        <v>0</v>
      </c>
      <c r="J537" s="384">
        <v>0</v>
      </c>
      <c r="K537" s="384">
        <v>0</v>
      </c>
      <c r="L537" s="384">
        <v>0</v>
      </c>
      <c r="M537" s="387">
        <f t="shared" si="26"/>
        <v>0</v>
      </c>
      <c r="N537" s="388">
        <v>0</v>
      </c>
      <c r="O537" s="384">
        <v>0</v>
      </c>
      <c r="P537" s="388" t="s">
        <v>849</v>
      </c>
      <c r="Q537" s="384">
        <v>0</v>
      </c>
      <c r="R537" s="384">
        <v>0</v>
      </c>
      <c r="S537" s="384">
        <v>0</v>
      </c>
      <c r="T537" s="384">
        <v>0</v>
      </c>
      <c r="U537" s="384">
        <v>0</v>
      </c>
      <c r="V537" s="384">
        <v>0</v>
      </c>
      <c r="W537" s="384">
        <v>0</v>
      </c>
      <c r="X537" s="384">
        <v>0</v>
      </c>
      <c r="Y537" s="384">
        <v>0</v>
      </c>
      <c r="Z537" s="384">
        <v>0</v>
      </c>
      <c r="AA537" s="384">
        <v>0</v>
      </c>
      <c r="AB537" s="384">
        <v>0</v>
      </c>
      <c r="AC537" s="384">
        <v>0</v>
      </c>
      <c r="AD537" s="384">
        <v>0</v>
      </c>
      <c r="AE537" s="384">
        <v>0</v>
      </c>
      <c r="AF537" s="384">
        <v>0</v>
      </c>
      <c r="AG537" s="388">
        <v>1</v>
      </c>
    </row>
    <row r="538" spans="1:33" x14ac:dyDescent="0.25">
      <c r="A538" s="384" t="s">
        <v>850</v>
      </c>
      <c r="B538" s="384">
        <f t="shared" si="25"/>
        <v>1.5</v>
      </c>
      <c r="C538" s="384">
        <v>1</v>
      </c>
      <c r="D538" s="385">
        <v>23</v>
      </c>
      <c r="E538" s="386">
        <v>2.7123738095238092E-3</v>
      </c>
      <c r="F538" s="384">
        <v>0</v>
      </c>
      <c r="G538" s="384">
        <v>0</v>
      </c>
      <c r="H538" s="384">
        <v>0</v>
      </c>
      <c r="I538" s="384">
        <v>0</v>
      </c>
      <c r="J538" s="384">
        <v>0</v>
      </c>
      <c r="K538" s="384">
        <v>0</v>
      </c>
      <c r="L538" s="384">
        <v>0</v>
      </c>
      <c r="M538" s="387">
        <f t="shared" si="26"/>
        <v>0</v>
      </c>
      <c r="N538" s="388">
        <v>0</v>
      </c>
      <c r="O538" s="384">
        <v>0</v>
      </c>
      <c r="P538" s="388" t="s">
        <v>851</v>
      </c>
      <c r="Q538" s="384">
        <v>0</v>
      </c>
      <c r="R538" s="384">
        <v>0</v>
      </c>
      <c r="S538" s="384">
        <v>0</v>
      </c>
      <c r="T538" s="384">
        <v>0</v>
      </c>
      <c r="U538" s="384">
        <v>0</v>
      </c>
      <c r="V538" s="384">
        <v>0</v>
      </c>
      <c r="W538" s="384">
        <v>0</v>
      </c>
      <c r="X538" s="384">
        <v>0</v>
      </c>
      <c r="Y538" s="384">
        <v>0</v>
      </c>
      <c r="Z538" s="384">
        <v>0</v>
      </c>
      <c r="AA538" s="384">
        <v>0</v>
      </c>
      <c r="AB538" s="384">
        <v>0</v>
      </c>
      <c r="AC538" s="384">
        <v>0</v>
      </c>
      <c r="AD538" s="384">
        <v>0</v>
      </c>
      <c r="AE538" s="384">
        <v>0</v>
      </c>
      <c r="AF538" s="384">
        <v>0</v>
      </c>
      <c r="AG538" s="388">
        <v>1</v>
      </c>
    </row>
    <row r="539" spans="1:33" x14ac:dyDescent="0.25">
      <c r="A539" s="384" t="s">
        <v>852</v>
      </c>
      <c r="B539" s="384">
        <f t="shared" si="25"/>
        <v>1.5</v>
      </c>
      <c r="C539" s="384">
        <v>1</v>
      </c>
      <c r="D539" s="385">
        <v>22.983999999999995</v>
      </c>
      <c r="E539" s="386">
        <v>2.7123738095238092E-3</v>
      </c>
      <c r="F539" s="384">
        <v>0</v>
      </c>
      <c r="G539" s="384">
        <v>0</v>
      </c>
      <c r="H539" s="384">
        <v>0</v>
      </c>
      <c r="I539" s="384">
        <v>0</v>
      </c>
      <c r="J539" s="384">
        <v>0</v>
      </c>
      <c r="K539" s="384">
        <v>0</v>
      </c>
      <c r="L539" s="384">
        <v>0</v>
      </c>
      <c r="M539" s="387">
        <f t="shared" si="26"/>
        <v>0</v>
      </c>
      <c r="N539" s="388">
        <v>0</v>
      </c>
      <c r="O539" s="384">
        <v>0</v>
      </c>
      <c r="P539" s="388" t="s">
        <v>853</v>
      </c>
      <c r="Q539" s="384">
        <v>0</v>
      </c>
      <c r="R539" s="384">
        <v>0</v>
      </c>
      <c r="S539" s="384">
        <v>0</v>
      </c>
      <c r="T539" s="384">
        <v>0</v>
      </c>
      <c r="U539" s="384">
        <v>0</v>
      </c>
      <c r="V539" s="384">
        <v>0</v>
      </c>
      <c r="W539" s="384">
        <v>0</v>
      </c>
      <c r="X539" s="384">
        <v>0</v>
      </c>
      <c r="Y539" s="384">
        <v>0</v>
      </c>
      <c r="Z539" s="384">
        <v>0</v>
      </c>
      <c r="AA539" s="384">
        <v>0</v>
      </c>
      <c r="AB539" s="384">
        <v>0</v>
      </c>
      <c r="AC539" s="384">
        <v>0</v>
      </c>
      <c r="AD539" s="384">
        <v>0</v>
      </c>
      <c r="AE539" s="384">
        <v>0</v>
      </c>
      <c r="AF539" s="384">
        <v>0</v>
      </c>
      <c r="AG539" s="388">
        <v>1</v>
      </c>
    </row>
    <row r="540" spans="1:33" x14ac:dyDescent="0.25">
      <c r="A540" s="384" t="s">
        <v>854</v>
      </c>
      <c r="B540" s="384">
        <f t="shared" si="25"/>
        <v>1.5</v>
      </c>
      <c r="C540" s="384">
        <v>1</v>
      </c>
      <c r="D540" s="385">
        <v>28.28</v>
      </c>
      <c r="E540" s="386">
        <v>1.6531404761904759E-3</v>
      </c>
      <c r="F540" s="384">
        <v>0</v>
      </c>
      <c r="G540" s="384">
        <v>0</v>
      </c>
      <c r="H540" s="384">
        <v>0</v>
      </c>
      <c r="I540" s="384">
        <v>0</v>
      </c>
      <c r="J540" s="384">
        <v>0</v>
      </c>
      <c r="K540" s="384">
        <v>0</v>
      </c>
      <c r="L540" s="384">
        <v>0</v>
      </c>
      <c r="M540" s="387">
        <f t="shared" si="26"/>
        <v>0</v>
      </c>
      <c r="N540" s="388">
        <v>0</v>
      </c>
      <c r="O540" s="384">
        <v>0</v>
      </c>
      <c r="P540" s="388" t="s">
        <v>855</v>
      </c>
      <c r="Q540" s="384">
        <v>0</v>
      </c>
      <c r="R540" s="384">
        <v>0</v>
      </c>
      <c r="S540" s="384">
        <v>0</v>
      </c>
      <c r="T540" s="384">
        <v>0</v>
      </c>
      <c r="U540" s="384">
        <v>0</v>
      </c>
      <c r="V540" s="384">
        <v>0</v>
      </c>
      <c r="W540" s="384">
        <v>0</v>
      </c>
      <c r="X540" s="384">
        <v>0</v>
      </c>
      <c r="Y540" s="384">
        <v>0</v>
      </c>
      <c r="Z540" s="384">
        <v>0</v>
      </c>
      <c r="AA540" s="384">
        <v>0</v>
      </c>
      <c r="AB540" s="384">
        <v>0</v>
      </c>
      <c r="AC540" s="384">
        <v>0</v>
      </c>
      <c r="AD540" s="384">
        <v>0</v>
      </c>
      <c r="AE540" s="384">
        <v>0</v>
      </c>
      <c r="AF540" s="384">
        <v>0</v>
      </c>
      <c r="AG540" s="388">
        <v>1</v>
      </c>
    </row>
    <row r="541" spans="1:33" x14ac:dyDescent="0.25">
      <c r="A541" s="384" t="s">
        <v>856</v>
      </c>
      <c r="B541" s="384">
        <f t="shared" si="25"/>
        <v>1.5</v>
      </c>
      <c r="C541" s="384">
        <v>1</v>
      </c>
      <c r="D541" s="385">
        <v>26.183599999999991</v>
      </c>
      <c r="E541" s="386">
        <v>1.6531404761904759E-3</v>
      </c>
      <c r="F541" s="384">
        <v>0</v>
      </c>
      <c r="G541" s="384">
        <v>0</v>
      </c>
      <c r="H541" s="384">
        <v>0</v>
      </c>
      <c r="I541" s="384">
        <v>0</v>
      </c>
      <c r="J541" s="384">
        <v>0</v>
      </c>
      <c r="K541" s="384">
        <v>0</v>
      </c>
      <c r="L541" s="384">
        <v>0</v>
      </c>
      <c r="M541" s="387">
        <f t="shared" si="26"/>
        <v>0</v>
      </c>
      <c r="N541" s="388">
        <v>0</v>
      </c>
      <c r="O541" s="384">
        <v>0</v>
      </c>
      <c r="P541" s="388" t="s">
        <v>857</v>
      </c>
      <c r="Q541" s="384">
        <v>0</v>
      </c>
      <c r="R541" s="384">
        <v>0</v>
      </c>
      <c r="S541" s="384">
        <v>0</v>
      </c>
      <c r="T541" s="384">
        <v>0</v>
      </c>
      <c r="U541" s="384">
        <v>0</v>
      </c>
      <c r="V541" s="384">
        <v>0</v>
      </c>
      <c r="W541" s="384">
        <v>0</v>
      </c>
      <c r="X541" s="384">
        <v>0</v>
      </c>
      <c r="Y541" s="384">
        <v>0</v>
      </c>
      <c r="Z541" s="384">
        <v>0</v>
      </c>
      <c r="AA541" s="384">
        <v>0</v>
      </c>
      <c r="AB541" s="384">
        <v>0</v>
      </c>
      <c r="AC541" s="384">
        <v>0</v>
      </c>
      <c r="AD541" s="384">
        <v>0</v>
      </c>
      <c r="AE541" s="384">
        <v>0</v>
      </c>
      <c r="AF541" s="384">
        <v>0</v>
      </c>
      <c r="AG541" s="388">
        <v>1</v>
      </c>
    </row>
    <row r="542" spans="1:33" x14ac:dyDescent="0.25">
      <c r="A542" s="384" t="s">
        <v>858</v>
      </c>
      <c r="B542" s="384">
        <f t="shared" si="25"/>
        <v>1.5</v>
      </c>
      <c r="C542" s="384">
        <v>1</v>
      </c>
      <c r="D542" s="385">
        <v>24.50333333333333</v>
      </c>
      <c r="E542" s="386">
        <v>3.1101619047619045E-3</v>
      </c>
      <c r="F542" s="384">
        <v>0</v>
      </c>
      <c r="G542" s="384">
        <v>0</v>
      </c>
      <c r="H542" s="384">
        <v>0</v>
      </c>
      <c r="I542" s="384">
        <v>0</v>
      </c>
      <c r="J542" s="384">
        <v>0</v>
      </c>
      <c r="K542" s="384">
        <v>0</v>
      </c>
      <c r="L542" s="384">
        <v>0</v>
      </c>
      <c r="M542" s="387">
        <f t="shared" si="26"/>
        <v>0</v>
      </c>
      <c r="N542" s="388">
        <v>0</v>
      </c>
      <c r="O542" s="384">
        <v>0</v>
      </c>
      <c r="P542" s="388" t="s">
        <v>859</v>
      </c>
      <c r="Q542" s="384">
        <v>2.8125</v>
      </c>
      <c r="R542" s="384">
        <v>5.625</v>
      </c>
      <c r="S542" s="384">
        <v>2.8125</v>
      </c>
      <c r="T542" s="384">
        <v>1.875</v>
      </c>
      <c r="U542" s="384">
        <f>1000*($B542-($B542/2))/100</f>
        <v>7.5</v>
      </c>
      <c r="V542" s="384">
        <f>1000*($B542-($B542/2))/50</f>
        <v>15</v>
      </c>
      <c r="W542" s="384">
        <f>1000*($B542-($B542/2))/100</f>
        <v>7.5</v>
      </c>
      <c r="X542" s="384">
        <f>1000*($B542-($B542/2))/150</f>
        <v>5</v>
      </c>
      <c r="Y542" s="384">
        <f>1000*(($B542* $B542/2)  + ($B542*($I542 - $J542)) / 2) / 100</f>
        <v>11.25</v>
      </c>
      <c r="Z542" s="384">
        <f>1000*(($B542* $B542/2)  + ($B542*($I542 - $J542)) / 2) / 50</f>
        <v>22.5</v>
      </c>
      <c r="AA542" s="384">
        <f>1000*(($B542* $B542/2)  + ($B542*($I542 - $J542)) / 2) / 100</f>
        <v>11.25</v>
      </c>
      <c r="AB542" s="384">
        <f>1000*(($B542* $B542/2)  + ($B542*($I542 - $J542)) / 2) / 150</f>
        <v>7.5</v>
      </c>
      <c r="AC542" s="384">
        <v>1.875</v>
      </c>
      <c r="AD542" s="384">
        <v>3.75</v>
      </c>
      <c r="AE542" s="384">
        <v>1.875</v>
      </c>
      <c r="AF542" s="384">
        <v>1.25</v>
      </c>
      <c r="AG542" s="388">
        <v>1</v>
      </c>
    </row>
    <row r="543" spans="1:33" x14ac:dyDescent="0.25">
      <c r="A543" s="384" t="s">
        <v>860</v>
      </c>
      <c r="B543" s="384">
        <f t="shared" si="25"/>
        <v>1.5</v>
      </c>
      <c r="C543" s="384">
        <v>1</v>
      </c>
      <c r="D543" s="385">
        <v>25.770666666666656</v>
      </c>
      <c r="E543" s="386">
        <v>3.1101619047619045E-3</v>
      </c>
      <c r="F543" s="384">
        <v>0</v>
      </c>
      <c r="G543" s="384">
        <v>0</v>
      </c>
      <c r="H543" s="384">
        <v>0</v>
      </c>
      <c r="I543" s="384">
        <v>0</v>
      </c>
      <c r="J543" s="384">
        <v>0</v>
      </c>
      <c r="K543" s="384">
        <v>0</v>
      </c>
      <c r="L543" s="384">
        <v>0</v>
      </c>
      <c r="M543" s="387">
        <f t="shared" si="26"/>
        <v>0</v>
      </c>
      <c r="N543" s="388">
        <v>0</v>
      </c>
      <c r="O543" s="384">
        <v>0</v>
      </c>
      <c r="P543" s="388" t="s">
        <v>861</v>
      </c>
      <c r="Q543" s="384">
        <v>2.8125</v>
      </c>
      <c r="R543" s="384">
        <v>5.625</v>
      </c>
      <c r="S543" s="384">
        <v>2.8125</v>
      </c>
      <c r="T543" s="384">
        <v>1.875</v>
      </c>
      <c r="U543" s="384">
        <f>1000*($B543-($B543/2))/100</f>
        <v>7.5</v>
      </c>
      <c r="V543" s="384">
        <f>1000*($B543-($B543/2))/50</f>
        <v>15</v>
      </c>
      <c r="W543" s="384">
        <f>1000*($B543-($B543/2))/100</f>
        <v>7.5</v>
      </c>
      <c r="X543" s="384">
        <f>1000*($B543-($B543/2))/150</f>
        <v>5</v>
      </c>
      <c r="Y543" s="384">
        <f>1000*(($B543* $B543/2)  + ($B543*($I543 - $J543)) / 2) / 100</f>
        <v>11.25</v>
      </c>
      <c r="Z543" s="384">
        <f>1000*(($B543* $B543/2)  + ($B543*($I543 - $J543)) / 2) / 50</f>
        <v>22.5</v>
      </c>
      <c r="AA543" s="384">
        <f>1000*(($B543* $B543/2)  + ($B543*($I543 - $J543)) / 2) / 100</f>
        <v>11.25</v>
      </c>
      <c r="AB543" s="384">
        <f>1000*(($B543* $B543/2)  + ($B543*($I543 - $J543)) / 2) / 150</f>
        <v>7.5</v>
      </c>
      <c r="AC543" s="384">
        <v>1.875</v>
      </c>
      <c r="AD543" s="384">
        <v>3.75</v>
      </c>
      <c r="AE543" s="384">
        <v>1.875</v>
      </c>
      <c r="AF543" s="384">
        <v>1.25</v>
      </c>
      <c r="AG543" s="388">
        <v>1</v>
      </c>
    </row>
    <row r="544" spans="1:33" x14ac:dyDescent="0.25">
      <c r="A544" s="384" t="s">
        <v>862</v>
      </c>
      <c r="B544" s="384">
        <f t="shared" si="25"/>
        <v>1.5</v>
      </c>
      <c r="C544" s="384">
        <v>1</v>
      </c>
      <c r="D544" s="385">
        <v>30.000515351642001</v>
      </c>
      <c r="E544" s="386">
        <v>2.9953298500158001E-3</v>
      </c>
      <c r="F544" s="384">
        <v>0</v>
      </c>
      <c r="G544" s="384">
        <v>0</v>
      </c>
      <c r="H544" s="384">
        <v>0</v>
      </c>
      <c r="I544" s="384">
        <v>0</v>
      </c>
      <c r="J544" s="384">
        <v>0</v>
      </c>
      <c r="K544" s="384">
        <v>0</v>
      </c>
      <c r="L544" s="384">
        <v>0</v>
      </c>
      <c r="M544" s="387">
        <f t="shared" si="26"/>
        <v>0</v>
      </c>
      <c r="N544" s="388">
        <v>0</v>
      </c>
      <c r="O544" s="384">
        <v>0</v>
      </c>
      <c r="P544" s="388" t="s">
        <v>906</v>
      </c>
      <c r="Q544" s="384">
        <v>2.8125</v>
      </c>
      <c r="R544" s="384">
        <v>5.625</v>
      </c>
      <c r="S544" s="384">
        <v>2.8125</v>
      </c>
      <c r="T544" s="384">
        <v>1.875</v>
      </c>
      <c r="U544" s="384">
        <f>1000*($B544-($B544/2))/100</f>
        <v>7.5</v>
      </c>
      <c r="V544" s="384">
        <f>1000*($B544-($B544/2))/50</f>
        <v>15</v>
      </c>
      <c r="W544" s="384">
        <f>1000*($B544-($B544/2))/100</f>
        <v>7.5</v>
      </c>
      <c r="X544" s="384">
        <f>1000*($B544-($B544/2))/150</f>
        <v>5</v>
      </c>
      <c r="Y544" s="384">
        <f>1000*(($B544* $B544/2)  + ($B544*($I544 - $J544)) / 2) / 100</f>
        <v>11.25</v>
      </c>
      <c r="Z544" s="384">
        <f>1000*(($B544* $B544/2)  + ($B544*($I544 - $J544)) / 2) / 50</f>
        <v>22.5</v>
      </c>
      <c r="AA544" s="384">
        <f>1000*(($B544* $B544/2)  + ($B544*($I544 - $J544)) / 2) / 100</f>
        <v>11.25</v>
      </c>
      <c r="AB544" s="384">
        <f>1000*(($B544* $B544/2)  + ($B544*($I544 - $J544)) / 2) / 150</f>
        <v>7.5</v>
      </c>
      <c r="AC544" s="384">
        <v>1.875</v>
      </c>
      <c r="AD544" s="384">
        <v>3.75</v>
      </c>
      <c r="AE544" s="384">
        <v>1.875</v>
      </c>
      <c r="AF544" s="384">
        <v>1.25</v>
      </c>
      <c r="AG544" s="388">
        <v>1</v>
      </c>
    </row>
    <row r="545" spans="1:33" x14ac:dyDescent="0.25">
      <c r="A545" s="384" t="s">
        <v>863</v>
      </c>
      <c r="B545" s="384">
        <f t="shared" si="25"/>
        <v>1.5</v>
      </c>
      <c r="C545" s="384">
        <v>1</v>
      </c>
      <c r="D545" s="385">
        <v>29.653179655669501</v>
      </c>
      <c r="E545" s="386">
        <v>2.9953298500158001E-3</v>
      </c>
      <c r="F545" s="384">
        <v>0</v>
      </c>
      <c r="G545" s="384">
        <v>0</v>
      </c>
      <c r="H545" s="384">
        <v>0</v>
      </c>
      <c r="I545" s="384">
        <v>0</v>
      </c>
      <c r="J545" s="384">
        <v>0</v>
      </c>
      <c r="K545" s="384">
        <v>0</v>
      </c>
      <c r="L545" s="384">
        <v>0</v>
      </c>
      <c r="M545" s="387">
        <f t="shared" si="26"/>
        <v>0</v>
      </c>
      <c r="N545" s="388">
        <v>0</v>
      </c>
      <c r="O545" s="384">
        <v>0</v>
      </c>
      <c r="P545" s="388" t="s">
        <v>907</v>
      </c>
      <c r="Q545" s="384">
        <v>2.8125</v>
      </c>
      <c r="R545" s="384">
        <v>5.625</v>
      </c>
      <c r="S545" s="384">
        <v>2.8125</v>
      </c>
      <c r="T545" s="384">
        <v>1.875</v>
      </c>
      <c r="U545" s="384">
        <f>1000*($B545-($B545/2))/100</f>
        <v>7.5</v>
      </c>
      <c r="V545" s="384">
        <f>1000*($B545-($B545/2))/50</f>
        <v>15</v>
      </c>
      <c r="W545" s="384">
        <f>1000*($B545-($B545/2))/100</f>
        <v>7.5</v>
      </c>
      <c r="X545" s="384">
        <f>1000*($B545-($B545/2))/150</f>
        <v>5</v>
      </c>
      <c r="Y545" s="384">
        <f>1000*(($B545* $B545/2)  + ($B545*($I545 - $J545)) / 2) / 100</f>
        <v>11.25</v>
      </c>
      <c r="Z545" s="384">
        <f>1000*(($B545* $B545/2)  + ($B545*($I545 - $J545)) / 2) / 50</f>
        <v>22.5</v>
      </c>
      <c r="AA545" s="384">
        <f>1000*(($B545* $B545/2)  + ($B545*($I545 - $J545)) / 2) / 100</f>
        <v>11.25</v>
      </c>
      <c r="AB545" s="384">
        <f>1000*(($B545* $B545/2)  + ($B545*($I545 - $J545)) / 2) / 150</f>
        <v>7.5</v>
      </c>
      <c r="AC545" s="384">
        <v>1.875</v>
      </c>
      <c r="AD545" s="384">
        <v>3.75</v>
      </c>
      <c r="AE545" s="384">
        <v>1.875</v>
      </c>
      <c r="AF545" s="384">
        <v>1.25</v>
      </c>
      <c r="AG545" s="388">
        <v>1</v>
      </c>
    </row>
    <row r="546" spans="1:33" x14ac:dyDescent="0.25">
      <c r="A546" s="384" t="s">
        <v>186</v>
      </c>
      <c r="B546" s="384">
        <f t="shared" ref="B546:B573" si="27">VCCO18</f>
        <v>1.8</v>
      </c>
      <c r="C546" s="384">
        <v>1</v>
      </c>
      <c r="D546" s="385">
        <v>14.7</v>
      </c>
      <c r="E546" s="386">
        <v>1.2312190476190476E-3</v>
      </c>
      <c r="F546" s="384">
        <v>0</v>
      </c>
      <c r="G546" s="384">
        <v>0</v>
      </c>
      <c r="H546" s="384">
        <v>0</v>
      </c>
      <c r="I546" s="384">
        <v>0</v>
      </c>
      <c r="J546" s="384">
        <v>0</v>
      </c>
      <c r="K546" s="384">
        <v>0</v>
      </c>
      <c r="L546" s="384">
        <v>0</v>
      </c>
      <c r="M546" s="387">
        <f t="shared" si="26"/>
        <v>0</v>
      </c>
      <c r="N546" s="388">
        <v>0</v>
      </c>
      <c r="O546" s="384">
        <v>0</v>
      </c>
      <c r="P546" s="388" t="s">
        <v>255</v>
      </c>
      <c r="Q546" s="384">
        <v>0</v>
      </c>
      <c r="R546" s="384">
        <v>0</v>
      </c>
      <c r="S546" s="384">
        <v>0</v>
      </c>
      <c r="T546" s="384">
        <v>0</v>
      </c>
      <c r="U546" s="384">
        <v>0</v>
      </c>
      <c r="V546" s="384">
        <v>0</v>
      </c>
      <c r="W546" s="384">
        <v>0</v>
      </c>
      <c r="X546" s="384">
        <v>0</v>
      </c>
      <c r="Y546" s="384">
        <v>0</v>
      </c>
      <c r="Z546" s="384">
        <v>0</v>
      </c>
      <c r="AA546" s="384">
        <v>0</v>
      </c>
      <c r="AB546" s="384">
        <v>0</v>
      </c>
      <c r="AC546" s="384">
        <v>0</v>
      </c>
      <c r="AD546" s="384">
        <v>0</v>
      </c>
      <c r="AE546" s="384">
        <v>0</v>
      </c>
      <c r="AF546" s="384">
        <v>0</v>
      </c>
      <c r="AG546" s="388">
        <v>1</v>
      </c>
    </row>
    <row r="547" spans="1:33" x14ac:dyDescent="0.25">
      <c r="A547" s="384" t="s">
        <v>154</v>
      </c>
      <c r="B547" s="384">
        <f t="shared" si="27"/>
        <v>1.8</v>
      </c>
      <c r="C547" s="384">
        <v>1</v>
      </c>
      <c r="D547" s="385">
        <v>16.766666666666673</v>
      </c>
      <c r="E547" s="386">
        <v>1.2312190476190476E-3</v>
      </c>
      <c r="F547" s="384">
        <v>0</v>
      </c>
      <c r="G547" s="384">
        <v>0</v>
      </c>
      <c r="H547" s="384">
        <v>0</v>
      </c>
      <c r="I547" s="384">
        <v>0</v>
      </c>
      <c r="J547" s="384">
        <v>0</v>
      </c>
      <c r="K547" s="384">
        <v>0</v>
      </c>
      <c r="L547" s="384">
        <v>0</v>
      </c>
      <c r="M547" s="387">
        <f t="shared" si="26"/>
        <v>0</v>
      </c>
      <c r="N547" s="388">
        <v>0</v>
      </c>
      <c r="O547" s="384">
        <v>0</v>
      </c>
      <c r="P547" s="388" t="s">
        <v>256</v>
      </c>
      <c r="Q547" s="384">
        <v>0</v>
      </c>
      <c r="R547" s="384">
        <v>0</v>
      </c>
      <c r="S547" s="384">
        <v>0</v>
      </c>
      <c r="T547" s="384">
        <v>0</v>
      </c>
      <c r="U547" s="384">
        <v>0</v>
      </c>
      <c r="V547" s="384">
        <v>0</v>
      </c>
      <c r="W547" s="384">
        <v>0</v>
      </c>
      <c r="X547" s="384">
        <v>0</v>
      </c>
      <c r="Y547" s="384">
        <v>0</v>
      </c>
      <c r="Z547" s="384">
        <v>0</v>
      </c>
      <c r="AA547" s="384">
        <v>0</v>
      </c>
      <c r="AB547" s="384">
        <v>0</v>
      </c>
      <c r="AC547" s="384">
        <v>0</v>
      </c>
      <c r="AD547" s="384">
        <v>0</v>
      </c>
      <c r="AE547" s="384">
        <v>0</v>
      </c>
      <c r="AF547" s="384">
        <v>0</v>
      </c>
      <c r="AG547" s="388">
        <v>1</v>
      </c>
    </row>
    <row r="548" spans="1:33" x14ac:dyDescent="0.25">
      <c r="A548" s="384" t="s">
        <v>187</v>
      </c>
      <c r="B548" s="384">
        <f t="shared" si="27"/>
        <v>1.8</v>
      </c>
      <c r="C548" s="384">
        <v>1</v>
      </c>
      <c r="D548" s="385">
        <v>15.628568000000001</v>
      </c>
      <c r="E548" s="386">
        <v>1.5492023809523807E-3</v>
      </c>
      <c r="F548" s="384">
        <v>0</v>
      </c>
      <c r="G548" s="384">
        <v>0</v>
      </c>
      <c r="H548" s="384">
        <v>0</v>
      </c>
      <c r="I548" s="384">
        <v>0</v>
      </c>
      <c r="J548" s="384">
        <v>0</v>
      </c>
      <c r="K548" s="384">
        <v>0</v>
      </c>
      <c r="L548" s="384">
        <v>0</v>
      </c>
      <c r="M548" s="387">
        <f t="shared" si="26"/>
        <v>0</v>
      </c>
      <c r="N548" s="388">
        <v>0</v>
      </c>
      <c r="O548" s="384">
        <v>0</v>
      </c>
      <c r="P548" s="388" t="s">
        <v>257</v>
      </c>
      <c r="Q548" s="384">
        <v>0</v>
      </c>
      <c r="R548" s="384">
        <v>0</v>
      </c>
      <c r="S548" s="384">
        <v>0</v>
      </c>
      <c r="T548" s="384">
        <v>0</v>
      </c>
      <c r="U548" s="384">
        <v>0</v>
      </c>
      <c r="V548" s="384">
        <v>0</v>
      </c>
      <c r="W548" s="384">
        <v>0</v>
      </c>
      <c r="X548" s="384">
        <v>0</v>
      </c>
      <c r="Y548" s="384">
        <v>0</v>
      </c>
      <c r="Z548" s="384">
        <v>0</v>
      </c>
      <c r="AA548" s="384">
        <v>0</v>
      </c>
      <c r="AB548" s="384">
        <v>0</v>
      </c>
      <c r="AC548" s="384">
        <v>0</v>
      </c>
      <c r="AD548" s="384">
        <v>0</v>
      </c>
      <c r="AE548" s="384">
        <v>0</v>
      </c>
      <c r="AF548" s="384">
        <v>0</v>
      </c>
      <c r="AG548" s="388">
        <v>1</v>
      </c>
    </row>
    <row r="549" spans="1:33" x14ac:dyDescent="0.25">
      <c r="A549" s="384" t="s">
        <v>155</v>
      </c>
      <c r="B549" s="384">
        <f t="shared" si="27"/>
        <v>1.8</v>
      </c>
      <c r="C549" s="384">
        <v>1</v>
      </c>
      <c r="D549" s="385">
        <v>22.545333333333332</v>
      </c>
      <c r="E549" s="386">
        <v>1.5492023809523807E-3</v>
      </c>
      <c r="F549" s="384">
        <v>0</v>
      </c>
      <c r="G549" s="384">
        <v>0</v>
      </c>
      <c r="H549" s="384">
        <v>0</v>
      </c>
      <c r="I549" s="384">
        <v>0</v>
      </c>
      <c r="J549" s="384">
        <v>0</v>
      </c>
      <c r="K549" s="384">
        <v>0</v>
      </c>
      <c r="L549" s="384">
        <v>0</v>
      </c>
      <c r="M549" s="387">
        <f t="shared" si="26"/>
        <v>0</v>
      </c>
      <c r="N549" s="388">
        <v>0</v>
      </c>
      <c r="O549" s="384">
        <v>0</v>
      </c>
      <c r="P549" s="388" t="s">
        <v>258</v>
      </c>
      <c r="Q549" s="384">
        <v>0</v>
      </c>
      <c r="R549" s="384">
        <v>0</v>
      </c>
      <c r="S549" s="384">
        <v>0</v>
      </c>
      <c r="T549" s="384">
        <v>0</v>
      </c>
      <c r="U549" s="384">
        <v>0</v>
      </c>
      <c r="V549" s="384">
        <v>0</v>
      </c>
      <c r="W549" s="384">
        <v>0</v>
      </c>
      <c r="X549" s="384">
        <v>0</v>
      </c>
      <c r="Y549" s="384">
        <v>0</v>
      </c>
      <c r="Z549" s="384">
        <v>0</v>
      </c>
      <c r="AA549" s="384">
        <v>0</v>
      </c>
      <c r="AB549" s="384">
        <v>0</v>
      </c>
      <c r="AC549" s="384">
        <v>0</v>
      </c>
      <c r="AD549" s="384">
        <v>0</v>
      </c>
      <c r="AE549" s="384">
        <v>0</v>
      </c>
      <c r="AF549" s="384">
        <v>0</v>
      </c>
      <c r="AG549" s="388">
        <v>1</v>
      </c>
    </row>
    <row r="550" spans="1:33" x14ac:dyDescent="0.25">
      <c r="A550" s="384" t="s">
        <v>188</v>
      </c>
      <c r="B550" s="384">
        <f t="shared" si="27"/>
        <v>1.8</v>
      </c>
      <c r="C550" s="384">
        <v>1</v>
      </c>
      <c r="D550" s="385">
        <v>20.510199999999994</v>
      </c>
      <c r="E550" s="386">
        <v>2.7112452380952377E-3</v>
      </c>
      <c r="F550" s="384">
        <v>0</v>
      </c>
      <c r="G550" s="384">
        <v>0</v>
      </c>
      <c r="H550" s="384">
        <v>0</v>
      </c>
      <c r="I550" s="384">
        <v>0</v>
      </c>
      <c r="J550" s="384">
        <v>0</v>
      </c>
      <c r="K550" s="384">
        <v>0</v>
      </c>
      <c r="L550" s="384">
        <v>0</v>
      </c>
      <c r="M550" s="387">
        <f t="shared" si="26"/>
        <v>0</v>
      </c>
      <c r="N550" s="388">
        <v>0</v>
      </c>
      <c r="O550" s="384">
        <v>0</v>
      </c>
      <c r="P550" s="388" t="s">
        <v>259</v>
      </c>
      <c r="Q550" s="384">
        <v>0</v>
      </c>
      <c r="R550" s="384">
        <v>0</v>
      </c>
      <c r="S550" s="384">
        <v>0</v>
      </c>
      <c r="T550" s="384">
        <v>0</v>
      </c>
      <c r="U550" s="384">
        <v>0</v>
      </c>
      <c r="V550" s="384">
        <v>0</v>
      </c>
      <c r="W550" s="384">
        <v>0</v>
      </c>
      <c r="X550" s="384">
        <v>0</v>
      </c>
      <c r="Y550" s="384">
        <v>0</v>
      </c>
      <c r="Z550" s="384">
        <v>0</v>
      </c>
      <c r="AA550" s="384">
        <v>0</v>
      </c>
      <c r="AB550" s="384">
        <v>0</v>
      </c>
      <c r="AC550" s="384">
        <v>0</v>
      </c>
      <c r="AD550" s="384">
        <v>0</v>
      </c>
      <c r="AE550" s="384">
        <v>0</v>
      </c>
      <c r="AF550" s="384">
        <v>0</v>
      </c>
      <c r="AG550" s="388">
        <v>1</v>
      </c>
    </row>
    <row r="551" spans="1:33" x14ac:dyDescent="0.25">
      <c r="A551" s="384" t="s">
        <v>156</v>
      </c>
      <c r="B551" s="384">
        <f t="shared" si="27"/>
        <v>1.8</v>
      </c>
      <c r="C551" s="384">
        <v>1</v>
      </c>
      <c r="D551" s="385">
        <v>28.74444444444444</v>
      </c>
      <c r="E551" s="386">
        <v>2.7112452380952377E-3</v>
      </c>
      <c r="F551" s="384">
        <v>0</v>
      </c>
      <c r="G551" s="384">
        <v>0</v>
      </c>
      <c r="H551" s="384">
        <v>0</v>
      </c>
      <c r="I551" s="384">
        <v>0</v>
      </c>
      <c r="J551" s="384">
        <v>0</v>
      </c>
      <c r="K551" s="384">
        <v>0</v>
      </c>
      <c r="L551" s="384">
        <v>0</v>
      </c>
      <c r="M551" s="387">
        <f t="shared" si="26"/>
        <v>0</v>
      </c>
      <c r="N551" s="388">
        <v>0</v>
      </c>
      <c r="O551" s="384">
        <v>0</v>
      </c>
      <c r="P551" s="388" t="s">
        <v>260</v>
      </c>
      <c r="Q551" s="384">
        <v>0</v>
      </c>
      <c r="R551" s="384">
        <v>0</v>
      </c>
      <c r="S551" s="384">
        <v>0</v>
      </c>
      <c r="T551" s="384">
        <v>0</v>
      </c>
      <c r="U551" s="384">
        <v>0</v>
      </c>
      <c r="V551" s="384">
        <v>0</v>
      </c>
      <c r="W551" s="384">
        <v>0</v>
      </c>
      <c r="X551" s="384">
        <v>0</v>
      </c>
      <c r="Y551" s="384">
        <v>0</v>
      </c>
      <c r="Z551" s="384">
        <v>0</v>
      </c>
      <c r="AA551" s="384">
        <v>0</v>
      </c>
      <c r="AB551" s="384">
        <v>0</v>
      </c>
      <c r="AC551" s="384">
        <v>0</v>
      </c>
      <c r="AD551" s="384">
        <v>0</v>
      </c>
      <c r="AE551" s="384">
        <v>0</v>
      </c>
      <c r="AF551" s="384">
        <v>0</v>
      </c>
      <c r="AG551" s="388">
        <v>1</v>
      </c>
    </row>
    <row r="552" spans="1:33" x14ac:dyDescent="0.25">
      <c r="A552" s="384" t="s">
        <v>189</v>
      </c>
      <c r="B552" s="384">
        <f t="shared" si="27"/>
        <v>1.8</v>
      </c>
      <c r="C552" s="384">
        <v>1</v>
      </c>
      <c r="D552" s="385">
        <v>23.469829999999995</v>
      </c>
      <c r="E552" s="386">
        <v>1.8531988094999999E-3</v>
      </c>
      <c r="F552" s="384">
        <v>0</v>
      </c>
      <c r="G552" s="384">
        <v>0</v>
      </c>
      <c r="H552" s="384">
        <v>0</v>
      </c>
      <c r="I552" s="384">
        <v>0</v>
      </c>
      <c r="J552" s="384">
        <v>0</v>
      </c>
      <c r="K552" s="384">
        <v>0</v>
      </c>
      <c r="L552" s="384">
        <v>0</v>
      </c>
      <c r="M552" s="387">
        <f t="shared" si="26"/>
        <v>0</v>
      </c>
      <c r="N552" s="388">
        <v>0</v>
      </c>
      <c r="O552" s="384">
        <v>0</v>
      </c>
      <c r="P552" s="388" t="s">
        <v>261</v>
      </c>
      <c r="Q552" s="384">
        <v>0</v>
      </c>
      <c r="R552" s="384">
        <v>0</v>
      </c>
      <c r="S552" s="384">
        <v>0</v>
      </c>
      <c r="T552" s="384">
        <v>0</v>
      </c>
      <c r="U552" s="384">
        <v>0</v>
      </c>
      <c r="V552" s="384">
        <v>0</v>
      </c>
      <c r="W552" s="384">
        <v>0</v>
      </c>
      <c r="X552" s="384">
        <v>0</v>
      </c>
      <c r="Y552" s="384">
        <v>0</v>
      </c>
      <c r="Z552" s="384">
        <v>0</v>
      </c>
      <c r="AA552" s="384">
        <v>0</v>
      </c>
      <c r="AB552" s="384">
        <v>0</v>
      </c>
      <c r="AC552" s="384">
        <v>0</v>
      </c>
      <c r="AD552" s="384">
        <v>0</v>
      </c>
      <c r="AE552" s="384">
        <v>0</v>
      </c>
      <c r="AF552" s="384">
        <v>0</v>
      </c>
      <c r="AG552" s="388">
        <v>1</v>
      </c>
    </row>
    <row r="553" spans="1:33" x14ac:dyDescent="0.25">
      <c r="A553" s="384" t="s">
        <v>157</v>
      </c>
      <c r="B553" s="384">
        <f t="shared" si="27"/>
        <v>1.8</v>
      </c>
      <c r="C553" s="384">
        <v>1</v>
      </c>
      <c r="D553" s="385">
        <v>34.943555555555562</v>
      </c>
      <c r="E553" s="386">
        <v>1.8531988094999999E-3</v>
      </c>
      <c r="F553" s="384">
        <v>0</v>
      </c>
      <c r="G553" s="384">
        <v>0</v>
      </c>
      <c r="H553" s="384">
        <v>0</v>
      </c>
      <c r="I553" s="384">
        <v>0</v>
      </c>
      <c r="J553" s="384">
        <v>0</v>
      </c>
      <c r="K553" s="384">
        <v>0</v>
      </c>
      <c r="L553" s="384">
        <v>0</v>
      </c>
      <c r="M553" s="387">
        <f t="shared" si="26"/>
        <v>0</v>
      </c>
      <c r="N553" s="388">
        <v>0</v>
      </c>
      <c r="O553" s="384">
        <v>0</v>
      </c>
      <c r="P553" s="388" t="s">
        <v>262</v>
      </c>
      <c r="Q553" s="384">
        <v>0</v>
      </c>
      <c r="R553" s="384">
        <v>0</v>
      </c>
      <c r="S553" s="384">
        <v>0</v>
      </c>
      <c r="T553" s="384">
        <v>0</v>
      </c>
      <c r="U553" s="384">
        <v>0</v>
      </c>
      <c r="V553" s="384">
        <v>0</v>
      </c>
      <c r="W553" s="384">
        <v>0</v>
      </c>
      <c r="X553" s="384">
        <v>0</v>
      </c>
      <c r="Y553" s="384">
        <v>0</v>
      </c>
      <c r="Z553" s="384">
        <v>0</v>
      </c>
      <c r="AA553" s="384">
        <v>0</v>
      </c>
      <c r="AB553" s="384">
        <v>0</v>
      </c>
      <c r="AC553" s="384">
        <v>0</v>
      </c>
      <c r="AD553" s="384">
        <v>0</v>
      </c>
      <c r="AE553" s="384">
        <v>0</v>
      </c>
      <c r="AF553" s="384">
        <v>0</v>
      </c>
      <c r="AG553" s="388">
        <v>1</v>
      </c>
    </row>
    <row r="554" spans="1:33" x14ac:dyDescent="0.25">
      <c r="A554" s="384" t="s">
        <v>190</v>
      </c>
      <c r="B554" s="384">
        <f t="shared" si="27"/>
        <v>1.8</v>
      </c>
      <c r="C554" s="384">
        <v>1</v>
      </c>
      <c r="D554" s="385">
        <v>23.08786666666667</v>
      </c>
      <c r="E554" s="386">
        <v>3.1106857142857145E-3</v>
      </c>
      <c r="F554" s="384">
        <v>0</v>
      </c>
      <c r="G554" s="384">
        <v>0</v>
      </c>
      <c r="H554" s="384">
        <v>0</v>
      </c>
      <c r="I554" s="384">
        <v>0</v>
      </c>
      <c r="J554" s="384">
        <v>0</v>
      </c>
      <c r="K554" s="384">
        <v>0</v>
      </c>
      <c r="L554" s="384">
        <v>0</v>
      </c>
      <c r="M554" s="387">
        <f t="shared" si="26"/>
        <v>0</v>
      </c>
      <c r="N554" s="388">
        <v>0</v>
      </c>
      <c r="O554" s="384">
        <v>0</v>
      </c>
      <c r="P554" s="388" t="s">
        <v>263</v>
      </c>
      <c r="Q554" s="384">
        <v>4.05</v>
      </c>
      <c r="R554" s="384">
        <v>8.1</v>
      </c>
      <c r="S554" s="384">
        <v>4.05</v>
      </c>
      <c r="T554" s="384">
        <v>2.7</v>
      </c>
      <c r="U554" s="384">
        <f t="shared" ref="U554:U559" si="28">1000*($B554-($B554/2))/100</f>
        <v>9</v>
      </c>
      <c r="V554" s="384">
        <f t="shared" ref="V554:V559" si="29">1000*($B554-($B554/2))/50</f>
        <v>18</v>
      </c>
      <c r="W554" s="384">
        <f t="shared" ref="W554:W559" si="30">1000*($B554-($B554/2))/100</f>
        <v>9</v>
      </c>
      <c r="X554" s="384">
        <f t="shared" ref="X554:X559" si="31">1000*($B554-($B554/2))/150</f>
        <v>6</v>
      </c>
      <c r="Y554" s="384">
        <f t="shared" ref="Y554:Y559" si="32">1000*(($B554* $B554/2)  + ($B554*($I554 - $J554)) / 2) / 100</f>
        <v>16.2</v>
      </c>
      <c r="Z554" s="384">
        <f t="shared" ref="Z554:Z559" si="33">1000*(($B554* $B554/2)  + ($B554*($I554 - $J554)) / 2) / 50</f>
        <v>32.4</v>
      </c>
      <c r="AA554" s="384">
        <f t="shared" ref="AA554:AA559" si="34">1000*(($B554* $B554/2)  + ($B554*($I554 - $J554)) / 2) / 100</f>
        <v>16.2</v>
      </c>
      <c r="AB554" s="384">
        <f t="shared" ref="AB554:AB559" si="35">1000*(($B554* $B554/2)  + ($B554*($I554 - $J554)) / 2) / 150</f>
        <v>10.8</v>
      </c>
      <c r="AC554" s="384">
        <v>2.25</v>
      </c>
      <c r="AD554" s="384">
        <v>4.5</v>
      </c>
      <c r="AE554" s="384">
        <v>2.25</v>
      </c>
      <c r="AF554" s="384">
        <v>1.5</v>
      </c>
      <c r="AG554" s="388">
        <v>1</v>
      </c>
    </row>
    <row r="555" spans="1:33" x14ac:dyDescent="0.25">
      <c r="A555" s="384" t="s">
        <v>158</v>
      </c>
      <c r="B555" s="384">
        <f t="shared" si="27"/>
        <v>1.8</v>
      </c>
      <c r="C555" s="384">
        <v>1</v>
      </c>
      <c r="D555" s="385">
        <v>29.233333333333341</v>
      </c>
      <c r="E555" s="386">
        <v>3.1106857142857145E-3</v>
      </c>
      <c r="F555" s="384">
        <v>0</v>
      </c>
      <c r="G555" s="384">
        <v>0</v>
      </c>
      <c r="H555" s="384">
        <v>0</v>
      </c>
      <c r="I555" s="384">
        <v>0</v>
      </c>
      <c r="J555" s="384">
        <v>0</v>
      </c>
      <c r="K555" s="384">
        <v>0</v>
      </c>
      <c r="L555" s="384">
        <v>0</v>
      </c>
      <c r="M555" s="387">
        <f t="shared" si="26"/>
        <v>0</v>
      </c>
      <c r="N555" s="388">
        <v>0</v>
      </c>
      <c r="O555" s="384">
        <v>0</v>
      </c>
      <c r="P555" s="388" t="s">
        <v>264</v>
      </c>
      <c r="Q555" s="384">
        <v>4.05</v>
      </c>
      <c r="R555" s="384">
        <v>8.1</v>
      </c>
      <c r="S555" s="384">
        <v>4.05</v>
      </c>
      <c r="T555" s="384">
        <v>2.7</v>
      </c>
      <c r="U555" s="384">
        <f t="shared" si="28"/>
        <v>9</v>
      </c>
      <c r="V555" s="384">
        <f t="shared" si="29"/>
        <v>18</v>
      </c>
      <c r="W555" s="384">
        <f t="shared" si="30"/>
        <v>9</v>
      </c>
      <c r="X555" s="384">
        <f t="shared" si="31"/>
        <v>6</v>
      </c>
      <c r="Y555" s="384">
        <f t="shared" si="32"/>
        <v>16.2</v>
      </c>
      <c r="Z555" s="384">
        <f t="shared" si="33"/>
        <v>32.4</v>
      </c>
      <c r="AA555" s="384">
        <f t="shared" si="34"/>
        <v>16.2</v>
      </c>
      <c r="AB555" s="384">
        <f t="shared" si="35"/>
        <v>10.8</v>
      </c>
      <c r="AC555" s="384">
        <v>2.25</v>
      </c>
      <c r="AD555" s="384">
        <v>4.5</v>
      </c>
      <c r="AE555" s="384">
        <v>2.25</v>
      </c>
      <c r="AF555" s="384">
        <v>1.5</v>
      </c>
      <c r="AG555" s="388">
        <v>1</v>
      </c>
    </row>
    <row r="556" spans="1:33" x14ac:dyDescent="0.25">
      <c r="A556" s="384" t="s">
        <v>191</v>
      </c>
      <c r="B556" s="384">
        <f t="shared" si="27"/>
        <v>1.8</v>
      </c>
      <c r="C556" s="384">
        <v>1</v>
      </c>
      <c r="D556" s="385">
        <v>23.749623999999997</v>
      </c>
      <c r="E556" s="386">
        <v>3.2848071428571426E-3</v>
      </c>
      <c r="F556" s="384">
        <v>0</v>
      </c>
      <c r="G556" s="384">
        <v>0</v>
      </c>
      <c r="H556" s="384">
        <v>0</v>
      </c>
      <c r="I556" s="384">
        <v>0</v>
      </c>
      <c r="J556" s="384">
        <v>0</v>
      </c>
      <c r="K556" s="384">
        <v>0</v>
      </c>
      <c r="L556" s="384">
        <v>0</v>
      </c>
      <c r="M556" s="387">
        <f t="shared" si="26"/>
        <v>0</v>
      </c>
      <c r="N556" s="388">
        <v>0</v>
      </c>
      <c r="O556" s="384">
        <v>0</v>
      </c>
      <c r="P556" s="388" t="s">
        <v>265</v>
      </c>
      <c r="Q556" s="384">
        <v>4.05</v>
      </c>
      <c r="R556" s="384">
        <v>8.1</v>
      </c>
      <c r="S556" s="384">
        <v>4.05</v>
      </c>
      <c r="T556" s="384">
        <v>2.7</v>
      </c>
      <c r="U556" s="384">
        <f t="shared" si="28"/>
        <v>9</v>
      </c>
      <c r="V556" s="384">
        <f t="shared" si="29"/>
        <v>18</v>
      </c>
      <c r="W556" s="384">
        <f t="shared" si="30"/>
        <v>9</v>
      </c>
      <c r="X556" s="384">
        <f t="shared" si="31"/>
        <v>6</v>
      </c>
      <c r="Y556" s="384">
        <f t="shared" si="32"/>
        <v>16.2</v>
      </c>
      <c r="Z556" s="384">
        <f t="shared" si="33"/>
        <v>32.4</v>
      </c>
      <c r="AA556" s="384">
        <f t="shared" si="34"/>
        <v>16.2</v>
      </c>
      <c r="AB556" s="384">
        <f t="shared" si="35"/>
        <v>10.8</v>
      </c>
      <c r="AC556" s="384">
        <v>2.25</v>
      </c>
      <c r="AD556" s="384">
        <v>4.5</v>
      </c>
      <c r="AE556" s="384">
        <v>2.25</v>
      </c>
      <c r="AF556" s="384">
        <v>1.5</v>
      </c>
      <c r="AG556" s="388">
        <v>1</v>
      </c>
    </row>
    <row r="557" spans="1:33" x14ac:dyDescent="0.25">
      <c r="A557" s="384" t="s">
        <v>159</v>
      </c>
      <c r="B557" s="384">
        <f t="shared" si="27"/>
        <v>1.8</v>
      </c>
      <c r="C557" s="384">
        <v>1</v>
      </c>
      <c r="D557" s="385">
        <v>30.018000000000008</v>
      </c>
      <c r="E557" s="386">
        <v>3.2848071428571426E-3</v>
      </c>
      <c r="F557" s="384">
        <v>0</v>
      </c>
      <c r="G557" s="384">
        <v>0</v>
      </c>
      <c r="H557" s="384">
        <v>0</v>
      </c>
      <c r="I557" s="384">
        <v>0</v>
      </c>
      <c r="J557" s="384">
        <v>0</v>
      </c>
      <c r="K557" s="384">
        <v>0</v>
      </c>
      <c r="L557" s="384">
        <v>0</v>
      </c>
      <c r="M557" s="387">
        <f t="shared" si="26"/>
        <v>0</v>
      </c>
      <c r="N557" s="388">
        <v>0</v>
      </c>
      <c r="O557" s="384">
        <v>0</v>
      </c>
      <c r="P557" s="388" t="s">
        <v>266</v>
      </c>
      <c r="Q557" s="384">
        <v>4.05</v>
      </c>
      <c r="R557" s="384">
        <v>8.1</v>
      </c>
      <c r="S557" s="384">
        <v>4.05</v>
      </c>
      <c r="T557" s="384">
        <v>2.7</v>
      </c>
      <c r="U557" s="384">
        <f t="shared" si="28"/>
        <v>9</v>
      </c>
      <c r="V557" s="384">
        <f t="shared" si="29"/>
        <v>18</v>
      </c>
      <c r="W557" s="384">
        <f t="shared" si="30"/>
        <v>9</v>
      </c>
      <c r="X557" s="384">
        <f t="shared" si="31"/>
        <v>6</v>
      </c>
      <c r="Y557" s="384">
        <f t="shared" si="32"/>
        <v>16.2</v>
      </c>
      <c r="Z557" s="384">
        <f t="shared" si="33"/>
        <v>32.4</v>
      </c>
      <c r="AA557" s="384">
        <f t="shared" si="34"/>
        <v>16.2</v>
      </c>
      <c r="AB557" s="384">
        <f t="shared" si="35"/>
        <v>10.8</v>
      </c>
      <c r="AC557" s="384">
        <v>2.25</v>
      </c>
      <c r="AD557" s="384">
        <v>4.5</v>
      </c>
      <c r="AE557" s="384">
        <v>2.25</v>
      </c>
      <c r="AF557" s="384">
        <v>1.5</v>
      </c>
      <c r="AG557" s="388">
        <v>1</v>
      </c>
    </row>
    <row r="558" spans="1:33" x14ac:dyDescent="0.25">
      <c r="A558" s="384" t="s">
        <v>864</v>
      </c>
      <c r="B558" s="384">
        <f t="shared" si="27"/>
        <v>1.8</v>
      </c>
      <c r="C558" s="384">
        <v>1</v>
      </c>
      <c r="D558" s="385">
        <v>26.7484</v>
      </c>
      <c r="E558" s="386">
        <v>3.57805383034794E-3</v>
      </c>
      <c r="F558" s="384">
        <v>0</v>
      </c>
      <c r="G558" s="384">
        <v>0</v>
      </c>
      <c r="H558" s="384">
        <v>0</v>
      </c>
      <c r="I558" s="384">
        <v>0</v>
      </c>
      <c r="J558" s="384">
        <v>0</v>
      </c>
      <c r="K558" s="384">
        <v>0</v>
      </c>
      <c r="L558" s="384">
        <v>0</v>
      </c>
      <c r="M558" s="387">
        <f t="shared" si="26"/>
        <v>0</v>
      </c>
      <c r="N558" s="388">
        <v>0</v>
      </c>
      <c r="O558" s="384">
        <v>0</v>
      </c>
      <c r="P558" s="388" t="s">
        <v>865</v>
      </c>
      <c r="Q558" s="384">
        <v>4.05</v>
      </c>
      <c r="R558" s="384">
        <v>8.1</v>
      </c>
      <c r="S558" s="384">
        <v>4.05</v>
      </c>
      <c r="T558" s="384">
        <v>2.7</v>
      </c>
      <c r="U558" s="384">
        <f t="shared" si="28"/>
        <v>9</v>
      </c>
      <c r="V558" s="384">
        <f t="shared" si="29"/>
        <v>18</v>
      </c>
      <c r="W558" s="384">
        <f t="shared" si="30"/>
        <v>9</v>
      </c>
      <c r="X558" s="384">
        <f t="shared" si="31"/>
        <v>6</v>
      </c>
      <c r="Y558" s="384">
        <f t="shared" si="32"/>
        <v>16.2</v>
      </c>
      <c r="Z558" s="384">
        <f t="shared" si="33"/>
        <v>32.4</v>
      </c>
      <c r="AA558" s="384">
        <f t="shared" si="34"/>
        <v>16.2</v>
      </c>
      <c r="AB558" s="384">
        <f t="shared" si="35"/>
        <v>10.8</v>
      </c>
      <c r="AC558" s="384">
        <v>2.25</v>
      </c>
      <c r="AD558" s="384">
        <v>4.5</v>
      </c>
      <c r="AE558" s="384">
        <v>2.25</v>
      </c>
      <c r="AF558" s="384">
        <v>1.5</v>
      </c>
      <c r="AG558" s="388">
        <v>1</v>
      </c>
    </row>
    <row r="559" spans="1:33" x14ac:dyDescent="0.25">
      <c r="A559" s="384" t="s">
        <v>866</v>
      </c>
      <c r="B559" s="384">
        <f t="shared" si="27"/>
        <v>1.8</v>
      </c>
      <c r="C559" s="384">
        <v>1</v>
      </c>
      <c r="D559" s="385">
        <v>36.1143</v>
      </c>
      <c r="E559" s="386">
        <v>3.57805383034794E-3</v>
      </c>
      <c r="F559" s="384">
        <v>0</v>
      </c>
      <c r="G559" s="384">
        <v>0</v>
      </c>
      <c r="H559" s="384">
        <v>0</v>
      </c>
      <c r="I559" s="384">
        <v>0</v>
      </c>
      <c r="J559" s="384">
        <v>0</v>
      </c>
      <c r="K559" s="384">
        <v>0</v>
      </c>
      <c r="L559" s="384">
        <v>0</v>
      </c>
      <c r="M559" s="387">
        <f t="shared" si="26"/>
        <v>0</v>
      </c>
      <c r="N559" s="388">
        <v>0</v>
      </c>
      <c r="O559" s="384">
        <v>0</v>
      </c>
      <c r="P559" s="388" t="s">
        <v>867</v>
      </c>
      <c r="Q559" s="384">
        <v>4.05</v>
      </c>
      <c r="R559" s="384">
        <v>8.1</v>
      </c>
      <c r="S559" s="384">
        <v>4.05</v>
      </c>
      <c r="T559" s="384">
        <v>2.7</v>
      </c>
      <c r="U559" s="384">
        <f t="shared" si="28"/>
        <v>9</v>
      </c>
      <c r="V559" s="384">
        <f t="shared" si="29"/>
        <v>18</v>
      </c>
      <c r="W559" s="384">
        <f t="shared" si="30"/>
        <v>9</v>
      </c>
      <c r="X559" s="384">
        <f t="shared" si="31"/>
        <v>6</v>
      </c>
      <c r="Y559" s="384">
        <f t="shared" si="32"/>
        <v>16.2</v>
      </c>
      <c r="Z559" s="384">
        <f t="shared" si="33"/>
        <v>32.4</v>
      </c>
      <c r="AA559" s="384">
        <f t="shared" si="34"/>
        <v>16.2</v>
      </c>
      <c r="AB559" s="384">
        <f t="shared" si="35"/>
        <v>10.8</v>
      </c>
      <c r="AC559" s="384">
        <v>2.25</v>
      </c>
      <c r="AD559" s="384">
        <v>4.5</v>
      </c>
      <c r="AE559" s="384">
        <v>2.25</v>
      </c>
      <c r="AF559" s="384">
        <v>1.5</v>
      </c>
      <c r="AG559" s="388">
        <v>1</v>
      </c>
    </row>
    <row r="560" spans="1:33" x14ac:dyDescent="0.25">
      <c r="A560" s="384" t="s">
        <v>868</v>
      </c>
      <c r="B560" s="384">
        <f t="shared" si="27"/>
        <v>1.8</v>
      </c>
      <c r="C560" s="384">
        <v>1</v>
      </c>
      <c r="D560" s="385">
        <v>14.7</v>
      </c>
      <c r="E560" s="386">
        <v>1.2312190476190476E-3</v>
      </c>
      <c r="F560" s="384">
        <v>0</v>
      </c>
      <c r="G560" s="384">
        <v>0</v>
      </c>
      <c r="H560" s="384">
        <v>0</v>
      </c>
      <c r="I560" s="384">
        <v>0</v>
      </c>
      <c r="J560" s="384">
        <v>0</v>
      </c>
      <c r="K560" s="384">
        <v>0</v>
      </c>
      <c r="L560" s="384">
        <v>0</v>
      </c>
      <c r="M560" s="387">
        <f t="shared" si="26"/>
        <v>0</v>
      </c>
      <c r="N560" s="388">
        <v>0</v>
      </c>
      <c r="O560" s="384">
        <v>0</v>
      </c>
      <c r="P560" s="388" t="s">
        <v>869</v>
      </c>
      <c r="Q560" s="384">
        <v>0</v>
      </c>
      <c r="R560" s="384">
        <v>0</v>
      </c>
      <c r="S560" s="384">
        <v>0</v>
      </c>
      <c r="T560" s="384">
        <v>0</v>
      </c>
      <c r="U560" s="384">
        <v>0</v>
      </c>
      <c r="V560" s="384">
        <v>0</v>
      </c>
      <c r="W560" s="384">
        <v>0</v>
      </c>
      <c r="X560" s="384">
        <v>0</v>
      </c>
      <c r="Y560" s="384">
        <v>0</v>
      </c>
      <c r="Z560" s="384">
        <v>0</v>
      </c>
      <c r="AA560" s="384">
        <v>0</v>
      </c>
      <c r="AB560" s="384">
        <v>0</v>
      </c>
      <c r="AC560" s="384">
        <v>0</v>
      </c>
      <c r="AD560" s="384">
        <v>0</v>
      </c>
      <c r="AE560" s="384">
        <v>0</v>
      </c>
      <c r="AF560" s="384">
        <v>0</v>
      </c>
      <c r="AG560" s="388">
        <v>1</v>
      </c>
    </row>
    <row r="561" spans="1:33" x14ac:dyDescent="0.25">
      <c r="A561" s="384" t="s">
        <v>870</v>
      </c>
      <c r="B561" s="384">
        <f t="shared" si="27"/>
        <v>1.8</v>
      </c>
      <c r="C561" s="384">
        <v>1</v>
      </c>
      <c r="D561" s="385">
        <v>16.766666666666673</v>
      </c>
      <c r="E561" s="386">
        <v>1.2312190476190476E-3</v>
      </c>
      <c r="F561" s="384">
        <v>0</v>
      </c>
      <c r="G561" s="384">
        <v>0</v>
      </c>
      <c r="H561" s="384">
        <v>0</v>
      </c>
      <c r="I561" s="384">
        <v>0</v>
      </c>
      <c r="J561" s="384">
        <v>0</v>
      </c>
      <c r="K561" s="384">
        <v>0</v>
      </c>
      <c r="L561" s="384">
        <v>0</v>
      </c>
      <c r="M561" s="387">
        <f t="shared" si="26"/>
        <v>0</v>
      </c>
      <c r="N561" s="388">
        <v>0</v>
      </c>
      <c r="O561" s="384">
        <v>0</v>
      </c>
      <c r="P561" s="388" t="s">
        <v>871</v>
      </c>
      <c r="Q561" s="384">
        <v>0</v>
      </c>
      <c r="R561" s="384">
        <v>0</v>
      </c>
      <c r="S561" s="384">
        <v>0</v>
      </c>
      <c r="T561" s="384">
        <v>0</v>
      </c>
      <c r="U561" s="384">
        <v>0</v>
      </c>
      <c r="V561" s="384">
        <v>0</v>
      </c>
      <c r="W561" s="384">
        <v>0</v>
      </c>
      <c r="X561" s="384">
        <v>0</v>
      </c>
      <c r="Y561" s="384">
        <v>0</v>
      </c>
      <c r="Z561" s="384">
        <v>0</v>
      </c>
      <c r="AA561" s="384">
        <v>0</v>
      </c>
      <c r="AB561" s="384">
        <v>0</v>
      </c>
      <c r="AC561" s="384">
        <v>0</v>
      </c>
      <c r="AD561" s="384">
        <v>0</v>
      </c>
      <c r="AE561" s="384">
        <v>0</v>
      </c>
      <c r="AF561" s="384">
        <v>0</v>
      </c>
      <c r="AG561" s="388">
        <v>1</v>
      </c>
    </row>
    <row r="562" spans="1:33" x14ac:dyDescent="0.25">
      <c r="A562" s="384" t="s">
        <v>872</v>
      </c>
      <c r="B562" s="384">
        <f t="shared" si="27"/>
        <v>1.8</v>
      </c>
      <c r="C562" s="384">
        <v>1</v>
      </c>
      <c r="D562" s="385">
        <v>15.628568000000001</v>
      </c>
      <c r="E562" s="386">
        <v>1.5492023809523807E-3</v>
      </c>
      <c r="F562" s="384">
        <v>0</v>
      </c>
      <c r="G562" s="384">
        <v>0</v>
      </c>
      <c r="H562" s="384">
        <v>0</v>
      </c>
      <c r="I562" s="384">
        <v>0</v>
      </c>
      <c r="J562" s="384">
        <v>0</v>
      </c>
      <c r="K562" s="384">
        <v>0</v>
      </c>
      <c r="L562" s="384">
        <v>0</v>
      </c>
      <c r="M562" s="387">
        <f t="shared" si="26"/>
        <v>0</v>
      </c>
      <c r="N562" s="388">
        <v>0</v>
      </c>
      <c r="O562" s="384">
        <v>0</v>
      </c>
      <c r="P562" s="388" t="s">
        <v>873</v>
      </c>
      <c r="Q562" s="384">
        <v>0</v>
      </c>
      <c r="R562" s="384">
        <v>0</v>
      </c>
      <c r="S562" s="384">
        <v>0</v>
      </c>
      <c r="T562" s="384">
        <v>0</v>
      </c>
      <c r="U562" s="384">
        <v>0</v>
      </c>
      <c r="V562" s="384">
        <v>0</v>
      </c>
      <c r="W562" s="384">
        <v>0</v>
      </c>
      <c r="X562" s="384">
        <v>0</v>
      </c>
      <c r="Y562" s="384">
        <v>0</v>
      </c>
      <c r="Z562" s="384">
        <v>0</v>
      </c>
      <c r="AA562" s="384">
        <v>0</v>
      </c>
      <c r="AB562" s="384">
        <v>0</v>
      </c>
      <c r="AC562" s="384">
        <v>0</v>
      </c>
      <c r="AD562" s="384">
        <v>0</v>
      </c>
      <c r="AE562" s="384">
        <v>0</v>
      </c>
      <c r="AF562" s="384">
        <v>0</v>
      </c>
      <c r="AG562" s="388">
        <v>1</v>
      </c>
    </row>
    <row r="563" spans="1:33" x14ac:dyDescent="0.25">
      <c r="A563" s="384" t="s">
        <v>874</v>
      </c>
      <c r="B563" s="384">
        <f t="shared" si="27"/>
        <v>1.8</v>
      </c>
      <c r="C563" s="384">
        <v>1</v>
      </c>
      <c r="D563" s="385">
        <v>22.545333333333332</v>
      </c>
      <c r="E563" s="386">
        <v>1.5492023809523807E-3</v>
      </c>
      <c r="F563" s="384">
        <v>0</v>
      </c>
      <c r="G563" s="384">
        <v>0</v>
      </c>
      <c r="H563" s="384">
        <v>0</v>
      </c>
      <c r="I563" s="384">
        <v>0</v>
      </c>
      <c r="J563" s="384">
        <v>0</v>
      </c>
      <c r="K563" s="384">
        <v>0</v>
      </c>
      <c r="L563" s="384">
        <v>0</v>
      </c>
      <c r="M563" s="387">
        <f t="shared" si="26"/>
        <v>0</v>
      </c>
      <c r="N563" s="388">
        <v>0</v>
      </c>
      <c r="O563" s="384">
        <v>0</v>
      </c>
      <c r="P563" s="388" t="s">
        <v>875</v>
      </c>
      <c r="Q563" s="384">
        <v>0</v>
      </c>
      <c r="R563" s="384">
        <v>0</v>
      </c>
      <c r="S563" s="384">
        <v>0</v>
      </c>
      <c r="T563" s="384">
        <v>0</v>
      </c>
      <c r="U563" s="384">
        <v>0</v>
      </c>
      <c r="V563" s="384">
        <v>0</v>
      </c>
      <c r="W563" s="384">
        <v>0</v>
      </c>
      <c r="X563" s="384">
        <v>0</v>
      </c>
      <c r="Y563" s="384">
        <v>0</v>
      </c>
      <c r="Z563" s="384">
        <v>0</v>
      </c>
      <c r="AA563" s="384">
        <v>0</v>
      </c>
      <c r="AB563" s="384">
        <v>0</v>
      </c>
      <c r="AC563" s="384">
        <v>0</v>
      </c>
      <c r="AD563" s="384">
        <v>0</v>
      </c>
      <c r="AE563" s="384">
        <v>0</v>
      </c>
      <c r="AF563" s="384">
        <v>0</v>
      </c>
      <c r="AG563" s="388">
        <v>1</v>
      </c>
    </row>
    <row r="564" spans="1:33" x14ac:dyDescent="0.25">
      <c r="A564" s="384" t="s">
        <v>876</v>
      </c>
      <c r="B564" s="384">
        <f t="shared" si="27"/>
        <v>1.8</v>
      </c>
      <c r="C564" s="384">
        <v>1</v>
      </c>
      <c r="D564" s="385">
        <v>20.510199999999994</v>
      </c>
      <c r="E564" s="386">
        <v>2.7112452380952377E-3</v>
      </c>
      <c r="F564" s="384">
        <v>0</v>
      </c>
      <c r="G564" s="384">
        <v>0</v>
      </c>
      <c r="H564" s="384">
        <v>0</v>
      </c>
      <c r="I564" s="384">
        <v>0</v>
      </c>
      <c r="J564" s="384">
        <v>0</v>
      </c>
      <c r="K564" s="384">
        <v>0</v>
      </c>
      <c r="L564" s="384">
        <v>0</v>
      </c>
      <c r="M564" s="387">
        <f t="shared" si="26"/>
        <v>0</v>
      </c>
      <c r="N564" s="388">
        <v>0</v>
      </c>
      <c r="O564" s="384">
        <v>0</v>
      </c>
      <c r="P564" s="388" t="s">
        <v>877</v>
      </c>
      <c r="Q564" s="384">
        <v>0</v>
      </c>
      <c r="R564" s="384">
        <v>0</v>
      </c>
      <c r="S564" s="384">
        <v>0</v>
      </c>
      <c r="T564" s="384">
        <v>0</v>
      </c>
      <c r="U564" s="384">
        <v>0</v>
      </c>
      <c r="V564" s="384">
        <v>0</v>
      </c>
      <c r="W564" s="384">
        <v>0</v>
      </c>
      <c r="X564" s="384">
        <v>0</v>
      </c>
      <c r="Y564" s="384">
        <v>0</v>
      </c>
      <c r="Z564" s="384">
        <v>0</v>
      </c>
      <c r="AA564" s="384">
        <v>0</v>
      </c>
      <c r="AB564" s="384">
        <v>0</v>
      </c>
      <c r="AC564" s="384">
        <v>0</v>
      </c>
      <c r="AD564" s="384">
        <v>0</v>
      </c>
      <c r="AE564" s="384">
        <v>0</v>
      </c>
      <c r="AF564" s="384">
        <v>0</v>
      </c>
      <c r="AG564" s="388">
        <v>1</v>
      </c>
    </row>
    <row r="565" spans="1:33" x14ac:dyDescent="0.25">
      <c r="A565" s="384" t="s">
        <v>878</v>
      </c>
      <c r="B565" s="384">
        <f t="shared" si="27"/>
        <v>1.8</v>
      </c>
      <c r="C565" s="384">
        <v>1</v>
      </c>
      <c r="D565" s="385">
        <v>28.74444444444444</v>
      </c>
      <c r="E565" s="386">
        <v>2.7112452380952377E-3</v>
      </c>
      <c r="F565" s="384">
        <v>0</v>
      </c>
      <c r="G565" s="384">
        <v>0</v>
      </c>
      <c r="H565" s="384">
        <v>0</v>
      </c>
      <c r="I565" s="384">
        <v>0</v>
      </c>
      <c r="J565" s="384">
        <v>0</v>
      </c>
      <c r="K565" s="384">
        <v>0</v>
      </c>
      <c r="L565" s="384">
        <v>0</v>
      </c>
      <c r="M565" s="387">
        <f t="shared" si="26"/>
        <v>0</v>
      </c>
      <c r="N565" s="388">
        <v>0</v>
      </c>
      <c r="O565" s="384">
        <v>0</v>
      </c>
      <c r="P565" s="388" t="s">
        <v>879</v>
      </c>
      <c r="Q565" s="384">
        <v>0</v>
      </c>
      <c r="R565" s="384">
        <v>0</v>
      </c>
      <c r="S565" s="384">
        <v>0</v>
      </c>
      <c r="T565" s="384">
        <v>0</v>
      </c>
      <c r="U565" s="384">
        <v>0</v>
      </c>
      <c r="V565" s="384">
        <v>0</v>
      </c>
      <c r="W565" s="384">
        <v>0</v>
      </c>
      <c r="X565" s="384">
        <v>0</v>
      </c>
      <c r="Y565" s="384">
        <v>0</v>
      </c>
      <c r="Z565" s="384">
        <v>0</v>
      </c>
      <c r="AA565" s="384">
        <v>0</v>
      </c>
      <c r="AB565" s="384">
        <v>0</v>
      </c>
      <c r="AC565" s="384">
        <v>0</v>
      </c>
      <c r="AD565" s="384">
        <v>0</v>
      </c>
      <c r="AE565" s="384">
        <v>0</v>
      </c>
      <c r="AF565" s="384">
        <v>0</v>
      </c>
      <c r="AG565" s="388">
        <v>1</v>
      </c>
    </row>
    <row r="566" spans="1:33" x14ac:dyDescent="0.25">
      <c r="A566" s="384" t="s">
        <v>880</v>
      </c>
      <c r="B566" s="384">
        <f t="shared" si="27"/>
        <v>1.8</v>
      </c>
      <c r="C566" s="384">
        <v>1</v>
      </c>
      <c r="D566" s="385">
        <v>23.469829999999995</v>
      </c>
      <c r="E566" s="386">
        <v>1.8531988094999999E-3</v>
      </c>
      <c r="F566" s="384">
        <v>0</v>
      </c>
      <c r="G566" s="384">
        <v>0</v>
      </c>
      <c r="H566" s="384">
        <v>0</v>
      </c>
      <c r="I566" s="384">
        <v>0</v>
      </c>
      <c r="J566" s="384">
        <v>0</v>
      </c>
      <c r="K566" s="384">
        <v>0</v>
      </c>
      <c r="L566" s="384">
        <v>0</v>
      </c>
      <c r="M566" s="387">
        <f t="shared" si="26"/>
        <v>0</v>
      </c>
      <c r="N566" s="388">
        <v>0</v>
      </c>
      <c r="O566" s="384">
        <v>0</v>
      </c>
      <c r="P566" s="388" t="s">
        <v>881</v>
      </c>
      <c r="Q566" s="384">
        <v>0</v>
      </c>
      <c r="R566" s="384">
        <v>0</v>
      </c>
      <c r="S566" s="384">
        <v>0</v>
      </c>
      <c r="T566" s="384">
        <v>0</v>
      </c>
      <c r="U566" s="384">
        <v>0</v>
      </c>
      <c r="V566" s="384">
        <v>0</v>
      </c>
      <c r="W566" s="384">
        <v>0</v>
      </c>
      <c r="X566" s="384">
        <v>0</v>
      </c>
      <c r="Y566" s="384">
        <v>0</v>
      </c>
      <c r="Z566" s="384">
        <v>0</v>
      </c>
      <c r="AA566" s="384">
        <v>0</v>
      </c>
      <c r="AB566" s="384">
        <v>0</v>
      </c>
      <c r="AC566" s="384">
        <v>0</v>
      </c>
      <c r="AD566" s="384">
        <v>0</v>
      </c>
      <c r="AE566" s="384">
        <v>0</v>
      </c>
      <c r="AF566" s="384">
        <v>0</v>
      </c>
      <c r="AG566" s="388">
        <v>1</v>
      </c>
    </row>
    <row r="567" spans="1:33" x14ac:dyDescent="0.25">
      <c r="A567" s="384" t="s">
        <v>882</v>
      </c>
      <c r="B567" s="384">
        <f t="shared" si="27"/>
        <v>1.8</v>
      </c>
      <c r="C567" s="384">
        <v>1</v>
      </c>
      <c r="D567" s="385">
        <v>34.943555555555562</v>
      </c>
      <c r="E567" s="386">
        <v>1.8531988094999999E-3</v>
      </c>
      <c r="F567" s="384">
        <v>0</v>
      </c>
      <c r="G567" s="384">
        <v>0</v>
      </c>
      <c r="H567" s="384">
        <v>0</v>
      </c>
      <c r="I567" s="384">
        <v>0</v>
      </c>
      <c r="J567" s="384">
        <v>0</v>
      </c>
      <c r="K567" s="384">
        <v>0</v>
      </c>
      <c r="L567" s="384">
        <v>0</v>
      </c>
      <c r="M567" s="387">
        <f t="shared" si="26"/>
        <v>0</v>
      </c>
      <c r="N567" s="388">
        <v>0</v>
      </c>
      <c r="O567" s="384">
        <v>0</v>
      </c>
      <c r="P567" s="388" t="s">
        <v>883</v>
      </c>
      <c r="Q567" s="384">
        <v>0</v>
      </c>
      <c r="R567" s="384">
        <v>0</v>
      </c>
      <c r="S567" s="384">
        <v>0</v>
      </c>
      <c r="T567" s="384">
        <v>0</v>
      </c>
      <c r="U567" s="384">
        <v>0</v>
      </c>
      <c r="V567" s="384">
        <v>0</v>
      </c>
      <c r="W567" s="384">
        <v>0</v>
      </c>
      <c r="X567" s="384">
        <v>0</v>
      </c>
      <c r="Y567" s="384">
        <v>0</v>
      </c>
      <c r="Z567" s="384">
        <v>0</v>
      </c>
      <c r="AA567" s="384">
        <v>0</v>
      </c>
      <c r="AB567" s="384">
        <v>0</v>
      </c>
      <c r="AC567" s="384">
        <v>0</v>
      </c>
      <c r="AD567" s="384">
        <v>0</v>
      </c>
      <c r="AE567" s="384">
        <v>0</v>
      </c>
      <c r="AF567" s="384">
        <v>0</v>
      </c>
      <c r="AG567" s="388">
        <v>1</v>
      </c>
    </row>
    <row r="568" spans="1:33" x14ac:dyDescent="0.25">
      <c r="A568" s="384" t="s">
        <v>884</v>
      </c>
      <c r="B568" s="384">
        <f t="shared" si="27"/>
        <v>1.8</v>
      </c>
      <c r="C568" s="384">
        <v>1</v>
      </c>
      <c r="D568" s="385">
        <v>23.08786666666667</v>
      </c>
      <c r="E568" s="386">
        <v>3.1106857142857145E-3</v>
      </c>
      <c r="F568" s="384">
        <v>0</v>
      </c>
      <c r="G568" s="384">
        <v>0</v>
      </c>
      <c r="H568" s="384">
        <v>0</v>
      </c>
      <c r="I568" s="384">
        <v>0</v>
      </c>
      <c r="J568" s="384">
        <v>0</v>
      </c>
      <c r="K568" s="384">
        <v>0</v>
      </c>
      <c r="L568" s="384">
        <v>0</v>
      </c>
      <c r="M568" s="387">
        <f t="shared" si="26"/>
        <v>0</v>
      </c>
      <c r="N568" s="388">
        <v>0</v>
      </c>
      <c r="O568" s="384">
        <v>0</v>
      </c>
      <c r="P568" s="388" t="s">
        <v>885</v>
      </c>
      <c r="Q568" s="384">
        <v>4.05</v>
      </c>
      <c r="R568" s="384">
        <v>8.1</v>
      </c>
      <c r="S568" s="384">
        <v>4.05</v>
      </c>
      <c r="T568" s="384">
        <v>2.7</v>
      </c>
      <c r="U568" s="384">
        <f t="shared" ref="U568:U573" si="36">1000*($B568-($B568/2))/100</f>
        <v>9</v>
      </c>
      <c r="V568" s="384">
        <f t="shared" ref="V568:V573" si="37">1000*($B568-($B568/2))/50</f>
        <v>18</v>
      </c>
      <c r="W568" s="384">
        <f t="shared" ref="W568:W573" si="38">1000*($B568-($B568/2))/100</f>
        <v>9</v>
      </c>
      <c r="X568" s="384">
        <f t="shared" ref="X568:X573" si="39">1000*($B568-($B568/2))/150</f>
        <v>6</v>
      </c>
      <c r="Y568" s="384">
        <f t="shared" ref="Y568:Y573" si="40">1000*(($B568* $B568/2)  + ($B568*($I568 - $J568)) / 2) / 100</f>
        <v>16.2</v>
      </c>
      <c r="Z568" s="384">
        <f t="shared" ref="Z568:Z573" si="41">1000*(($B568* $B568/2)  + ($B568*($I568 - $J568)) / 2) / 50</f>
        <v>32.4</v>
      </c>
      <c r="AA568" s="384">
        <f t="shared" ref="AA568:AA573" si="42">1000*(($B568* $B568/2)  + ($B568*($I568 - $J568)) / 2) / 100</f>
        <v>16.2</v>
      </c>
      <c r="AB568" s="384">
        <f t="shared" ref="AB568:AB573" si="43">1000*(($B568* $B568/2)  + ($B568*($I568 - $J568)) / 2) / 150</f>
        <v>10.8</v>
      </c>
      <c r="AC568" s="384">
        <v>2.25</v>
      </c>
      <c r="AD568" s="384">
        <v>4.5</v>
      </c>
      <c r="AE568" s="384">
        <v>2.25</v>
      </c>
      <c r="AF568" s="384">
        <v>1.5</v>
      </c>
      <c r="AG568" s="388">
        <v>1</v>
      </c>
    </row>
    <row r="569" spans="1:33" x14ac:dyDescent="0.25">
      <c r="A569" s="384" t="s">
        <v>886</v>
      </c>
      <c r="B569" s="384">
        <f t="shared" si="27"/>
        <v>1.8</v>
      </c>
      <c r="C569" s="384">
        <v>1</v>
      </c>
      <c r="D569" s="385">
        <v>29.233333333333341</v>
      </c>
      <c r="E569" s="386">
        <v>3.1106857142857145E-3</v>
      </c>
      <c r="F569" s="384">
        <v>0</v>
      </c>
      <c r="G569" s="384">
        <v>0</v>
      </c>
      <c r="H569" s="384">
        <v>0</v>
      </c>
      <c r="I569" s="384">
        <v>0</v>
      </c>
      <c r="J569" s="384">
        <v>0</v>
      </c>
      <c r="K569" s="384">
        <v>0</v>
      </c>
      <c r="L569" s="384">
        <v>0</v>
      </c>
      <c r="M569" s="387">
        <f t="shared" si="26"/>
        <v>0</v>
      </c>
      <c r="N569" s="388">
        <v>0</v>
      </c>
      <c r="O569" s="384">
        <v>0</v>
      </c>
      <c r="P569" s="388" t="s">
        <v>887</v>
      </c>
      <c r="Q569" s="384">
        <v>4.05</v>
      </c>
      <c r="R569" s="384">
        <v>8.1</v>
      </c>
      <c r="S569" s="384">
        <v>4.05</v>
      </c>
      <c r="T569" s="384">
        <v>2.7</v>
      </c>
      <c r="U569" s="384">
        <f t="shared" si="36"/>
        <v>9</v>
      </c>
      <c r="V569" s="384">
        <f t="shared" si="37"/>
        <v>18</v>
      </c>
      <c r="W569" s="384">
        <f t="shared" si="38"/>
        <v>9</v>
      </c>
      <c r="X569" s="384">
        <f t="shared" si="39"/>
        <v>6</v>
      </c>
      <c r="Y569" s="384">
        <f t="shared" si="40"/>
        <v>16.2</v>
      </c>
      <c r="Z569" s="384">
        <f t="shared" si="41"/>
        <v>32.4</v>
      </c>
      <c r="AA569" s="384">
        <f t="shared" si="42"/>
        <v>16.2</v>
      </c>
      <c r="AB569" s="384">
        <f t="shared" si="43"/>
        <v>10.8</v>
      </c>
      <c r="AC569" s="384">
        <v>2.25</v>
      </c>
      <c r="AD569" s="384">
        <v>4.5</v>
      </c>
      <c r="AE569" s="384">
        <v>2.25</v>
      </c>
      <c r="AF569" s="384">
        <v>1.5</v>
      </c>
      <c r="AG569" s="388">
        <v>1</v>
      </c>
    </row>
    <row r="570" spans="1:33" x14ac:dyDescent="0.25">
      <c r="A570" s="384" t="s">
        <v>888</v>
      </c>
      <c r="B570" s="384">
        <f t="shared" si="27"/>
        <v>1.8</v>
      </c>
      <c r="C570" s="384">
        <v>1</v>
      </c>
      <c r="D570" s="385">
        <v>23.749623999999997</v>
      </c>
      <c r="E570" s="386">
        <v>3.2848071428571426E-3</v>
      </c>
      <c r="F570" s="384">
        <v>0</v>
      </c>
      <c r="G570" s="384">
        <v>0</v>
      </c>
      <c r="H570" s="384">
        <v>0</v>
      </c>
      <c r="I570" s="384">
        <v>0</v>
      </c>
      <c r="J570" s="384">
        <v>0</v>
      </c>
      <c r="K570" s="384">
        <v>0</v>
      </c>
      <c r="L570" s="384">
        <v>0</v>
      </c>
      <c r="M570" s="387">
        <f t="shared" si="26"/>
        <v>0</v>
      </c>
      <c r="N570" s="388">
        <v>0</v>
      </c>
      <c r="O570" s="384">
        <v>0</v>
      </c>
      <c r="P570" s="388" t="s">
        <v>889</v>
      </c>
      <c r="Q570" s="384">
        <v>4.05</v>
      </c>
      <c r="R570" s="384">
        <v>8.1</v>
      </c>
      <c r="S570" s="384">
        <v>4.05</v>
      </c>
      <c r="T570" s="384">
        <v>2.7</v>
      </c>
      <c r="U570" s="384">
        <f t="shared" si="36"/>
        <v>9</v>
      </c>
      <c r="V570" s="384">
        <f t="shared" si="37"/>
        <v>18</v>
      </c>
      <c r="W570" s="384">
        <f t="shared" si="38"/>
        <v>9</v>
      </c>
      <c r="X570" s="384">
        <f t="shared" si="39"/>
        <v>6</v>
      </c>
      <c r="Y570" s="384">
        <f t="shared" si="40"/>
        <v>16.2</v>
      </c>
      <c r="Z570" s="384">
        <f t="shared" si="41"/>
        <v>32.4</v>
      </c>
      <c r="AA570" s="384">
        <f t="shared" si="42"/>
        <v>16.2</v>
      </c>
      <c r="AB570" s="384">
        <f t="shared" si="43"/>
        <v>10.8</v>
      </c>
      <c r="AC570" s="384">
        <v>2.25</v>
      </c>
      <c r="AD570" s="384">
        <v>4.5</v>
      </c>
      <c r="AE570" s="384">
        <v>2.25</v>
      </c>
      <c r="AF570" s="384">
        <v>1.5</v>
      </c>
      <c r="AG570" s="388">
        <v>1</v>
      </c>
    </row>
    <row r="571" spans="1:33" x14ac:dyDescent="0.25">
      <c r="A571" s="384" t="s">
        <v>890</v>
      </c>
      <c r="B571" s="384">
        <f t="shared" si="27"/>
        <v>1.8</v>
      </c>
      <c r="C571" s="384">
        <v>1</v>
      </c>
      <c r="D571" s="385">
        <v>30.018000000000008</v>
      </c>
      <c r="E571" s="386">
        <v>3.2848071428571426E-3</v>
      </c>
      <c r="F571" s="384">
        <v>0</v>
      </c>
      <c r="G571" s="384">
        <v>0</v>
      </c>
      <c r="H571" s="384">
        <v>0</v>
      </c>
      <c r="I571" s="384">
        <v>0</v>
      </c>
      <c r="J571" s="384">
        <v>0</v>
      </c>
      <c r="K571" s="384">
        <v>0</v>
      </c>
      <c r="L571" s="384">
        <v>0</v>
      </c>
      <c r="M571" s="387">
        <f t="shared" si="26"/>
        <v>0</v>
      </c>
      <c r="N571" s="388">
        <v>0</v>
      </c>
      <c r="O571" s="384">
        <v>0</v>
      </c>
      <c r="P571" s="388" t="s">
        <v>891</v>
      </c>
      <c r="Q571" s="384">
        <v>4.05</v>
      </c>
      <c r="R571" s="384">
        <v>8.1</v>
      </c>
      <c r="S571" s="384">
        <v>4.05</v>
      </c>
      <c r="T571" s="384">
        <v>2.7</v>
      </c>
      <c r="U571" s="384">
        <f t="shared" si="36"/>
        <v>9</v>
      </c>
      <c r="V571" s="384">
        <f t="shared" si="37"/>
        <v>18</v>
      </c>
      <c r="W571" s="384">
        <f t="shared" si="38"/>
        <v>9</v>
      </c>
      <c r="X571" s="384">
        <f t="shared" si="39"/>
        <v>6</v>
      </c>
      <c r="Y571" s="384">
        <f t="shared" si="40"/>
        <v>16.2</v>
      </c>
      <c r="Z571" s="384">
        <f t="shared" si="41"/>
        <v>32.4</v>
      </c>
      <c r="AA571" s="384">
        <f t="shared" si="42"/>
        <v>16.2</v>
      </c>
      <c r="AB571" s="384">
        <f t="shared" si="43"/>
        <v>10.8</v>
      </c>
      <c r="AC571" s="384">
        <v>2.25</v>
      </c>
      <c r="AD571" s="384">
        <v>4.5</v>
      </c>
      <c r="AE571" s="384">
        <v>2.25</v>
      </c>
      <c r="AF571" s="384">
        <v>1.5</v>
      </c>
      <c r="AG571" s="388">
        <v>1</v>
      </c>
    </row>
    <row r="572" spans="1:33" x14ac:dyDescent="0.25">
      <c r="A572" s="384" t="s">
        <v>892</v>
      </c>
      <c r="B572" s="384">
        <f t="shared" si="27"/>
        <v>1.8</v>
      </c>
      <c r="C572" s="384">
        <v>1</v>
      </c>
      <c r="D572" s="385">
        <v>26.7484</v>
      </c>
      <c r="E572" s="386">
        <v>3.57805383034794E-3</v>
      </c>
      <c r="F572" s="384">
        <v>0</v>
      </c>
      <c r="G572" s="384">
        <v>0</v>
      </c>
      <c r="H572" s="384">
        <v>0</v>
      </c>
      <c r="I572" s="384">
        <v>0</v>
      </c>
      <c r="J572" s="384">
        <v>0</v>
      </c>
      <c r="K572" s="384">
        <v>0</v>
      </c>
      <c r="L572" s="384">
        <v>0</v>
      </c>
      <c r="M572" s="387">
        <f t="shared" si="26"/>
        <v>0</v>
      </c>
      <c r="N572" s="388">
        <v>0</v>
      </c>
      <c r="O572" s="384">
        <v>0</v>
      </c>
      <c r="P572" s="388" t="s">
        <v>893</v>
      </c>
      <c r="Q572" s="384">
        <v>4.05</v>
      </c>
      <c r="R572" s="384">
        <v>8.1</v>
      </c>
      <c r="S572" s="384">
        <v>4.05</v>
      </c>
      <c r="T572" s="384">
        <v>2.7</v>
      </c>
      <c r="U572" s="384">
        <f t="shared" si="36"/>
        <v>9</v>
      </c>
      <c r="V572" s="384">
        <f t="shared" si="37"/>
        <v>18</v>
      </c>
      <c r="W572" s="384">
        <f t="shared" si="38"/>
        <v>9</v>
      </c>
      <c r="X572" s="384">
        <f t="shared" si="39"/>
        <v>6</v>
      </c>
      <c r="Y572" s="384">
        <f t="shared" si="40"/>
        <v>16.2</v>
      </c>
      <c r="Z572" s="384">
        <f t="shared" si="41"/>
        <v>32.4</v>
      </c>
      <c r="AA572" s="384">
        <f t="shared" si="42"/>
        <v>16.2</v>
      </c>
      <c r="AB572" s="384">
        <f t="shared" si="43"/>
        <v>10.8</v>
      </c>
      <c r="AC572" s="384">
        <v>2.25</v>
      </c>
      <c r="AD572" s="384">
        <v>4.5</v>
      </c>
      <c r="AE572" s="384">
        <v>2.25</v>
      </c>
      <c r="AF572" s="384">
        <v>1.5</v>
      </c>
      <c r="AG572" s="388">
        <v>1</v>
      </c>
    </row>
    <row r="573" spans="1:33" x14ac:dyDescent="0.25">
      <c r="A573" s="384" t="s">
        <v>894</v>
      </c>
      <c r="B573" s="384">
        <f t="shared" si="27"/>
        <v>1.8</v>
      </c>
      <c r="C573" s="384">
        <v>1</v>
      </c>
      <c r="D573" s="385">
        <v>36.1143</v>
      </c>
      <c r="E573" s="386">
        <v>3.57805383034794E-3</v>
      </c>
      <c r="F573" s="384">
        <v>0</v>
      </c>
      <c r="G573" s="384">
        <v>0</v>
      </c>
      <c r="H573" s="384">
        <v>0</v>
      </c>
      <c r="I573" s="384">
        <v>0</v>
      </c>
      <c r="J573" s="384">
        <v>0</v>
      </c>
      <c r="K573" s="384">
        <v>0</v>
      </c>
      <c r="L573" s="384">
        <v>0</v>
      </c>
      <c r="M573" s="387">
        <f t="shared" si="26"/>
        <v>0</v>
      </c>
      <c r="N573" s="388">
        <v>0</v>
      </c>
      <c r="O573" s="384">
        <v>0</v>
      </c>
      <c r="P573" s="388" t="s">
        <v>895</v>
      </c>
      <c r="Q573" s="384">
        <v>4.05</v>
      </c>
      <c r="R573" s="384">
        <v>8.1</v>
      </c>
      <c r="S573" s="384">
        <v>4.05</v>
      </c>
      <c r="T573" s="384">
        <v>2.7</v>
      </c>
      <c r="U573" s="384">
        <f t="shared" si="36"/>
        <v>9</v>
      </c>
      <c r="V573" s="384">
        <f t="shared" si="37"/>
        <v>18</v>
      </c>
      <c r="W573" s="384">
        <f t="shared" si="38"/>
        <v>9</v>
      </c>
      <c r="X573" s="384">
        <f t="shared" si="39"/>
        <v>6</v>
      </c>
      <c r="Y573" s="384">
        <f t="shared" si="40"/>
        <v>16.2</v>
      </c>
      <c r="Z573" s="384">
        <f t="shared" si="41"/>
        <v>32.4</v>
      </c>
      <c r="AA573" s="384">
        <f t="shared" si="42"/>
        <v>16.2</v>
      </c>
      <c r="AB573" s="384">
        <f t="shared" si="43"/>
        <v>10.8</v>
      </c>
      <c r="AC573" s="384">
        <v>2.25</v>
      </c>
      <c r="AD573" s="384">
        <v>4.5</v>
      </c>
      <c r="AE573" s="384">
        <v>2.25</v>
      </c>
      <c r="AF573" s="384">
        <v>1.5</v>
      </c>
      <c r="AG573" s="388">
        <v>1</v>
      </c>
    </row>
    <row r="574" spans="1:33" x14ac:dyDescent="0.25">
      <c r="A574" s="384" t="s">
        <v>192</v>
      </c>
      <c r="B574" s="384">
        <f t="shared" ref="B574:B587" si="44">VCCO25</f>
        <v>2.5</v>
      </c>
      <c r="C574" s="384">
        <v>1</v>
      </c>
      <c r="D574" s="385">
        <v>9.9759999999999991</v>
      </c>
      <c r="E574" s="386">
        <v>1.2323035714285713E-3</v>
      </c>
      <c r="F574" s="384">
        <v>0</v>
      </c>
      <c r="G574" s="384">
        <v>0</v>
      </c>
      <c r="H574" s="384">
        <v>0</v>
      </c>
      <c r="I574" s="384">
        <v>0</v>
      </c>
      <c r="J574" s="384">
        <v>0</v>
      </c>
      <c r="K574" s="384">
        <v>0</v>
      </c>
      <c r="L574" s="384">
        <v>0</v>
      </c>
      <c r="M574" s="387">
        <f t="shared" si="26"/>
        <v>0</v>
      </c>
      <c r="N574" s="388">
        <v>0</v>
      </c>
      <c r="O574" s="384">
        <v>0</v>
      </c>
      <c r="P574" s="388" t="s">
        <v>267</v>
      </c>
      <c r="Q574" s="384">
        <v>0</v>
      </c>
      <c r="R574" s="384">
        <v>0</v>
      </c>
      <c r="S574" s="384">
        <v>0</v>
      </c>
      <c r="T574" s="384">
        <v>0</v>
      </c>
      <c r="U574" s="384">
        <v>0</v>
      </c>
      <c r="V574" s="384">
        <v>0</v>
      </c>
      <c r="W574" s="384">
        <v>0</v>
      </c>
      <c r="X574" s="384">
        <v>0</v>
      </c>
      <c r="Y574" s="384">
        <v>0</v>
      </c>
      <c r="Z574" s="384">
        <v>0</v>
      </c>
      <c r="AA574" s="384">
        <v>0</v>
      </c>
      <c r="AB574" s="384">
        <v>0</v>
      </c>
      <c r="AC574" s="384">
        <v>0</v>
      </c>
      <c r="AD574" s="384">
        <v>0</v>
      </c>
      <c r="AE574" s="384">
        <v>0</v>
      </c>
      <c r="AF574" s="384">
        <v>0</v>
      </c>
      <c r="AG574" s="388">
        <v>1</v>
      </c>
    </row>
    <row r="575" spans="1:33" x14ac:dyDescent="0.25">
      <c r="A575" s="384" t="s">
        <v>160</v>
      </c>
      <c r="B575" s="384">
        <f t="shared" si="44"/>
        <v>2.5</v>
      </c>
      <c r="C575" s="384">
        <v>1</v>
      </c>
      <c r="D575" s="385">
        <v>13.073599999999992</v>
      </c>
      <c r="E575" s="386">
        <v>1.2323035714285713E-3</v>
      </c>
      <c r="F575" s="384">
        <v>0</v>
      </c>
      <c r="G575" s="384">
        <v>0</v>
      </c>
      <c r="H575" s="384">
        <v>0</v>
      </c>
      <c r="I575" s="384">
        <v>0</v>
      </c>
      <c r="J575" s="384">
        <v>0</v>
      </c>
      <c r="K575" s="384">
        <v>0</v>
      </c>
      <c r="L575" s="384">
        <v>0</v>
      </c>
      <c r="M575" s="387">
        <f t="shared" si="26"/>
        <v>0</v>
      </c>
      <c r="N575" s="388">
        <v>0</v>
      </c>
      <c r="O575" s="384">
        <v>0</v>
      </c>
      <c r="P575" s="388" t="s">
        <v>268</v>
      </c>
      <c r="Q575" s="384">
        <v>0</v>
      </c>
      <c r="R575" s="384">
        <v>0</v>
      </c>
      <c r="S575" s="384">
        <v>0</v>
      </c>
      <c r="T575" s="384">
        <v>0</v>
      </c>
      <c r="U575" s="384">
        <v>0</v>
      </c>
      <c r="V575" s="384">
        <v>0</v>
      </c>
      <c r="W575" s="384">
        <v>0</v>
      </c>
      <c r="X575" s="384">
        <v>0</v>
      </c>
      <c r="Y575" s="384">
        <v>0</v>
      </c>
      <c r="Z575" s="384">
        <v>0</v>
      </c>
      <c r="AA575" s="384">
        <v>0</v>
      </c>
      <c r="AB575" s="384">
        <v>0</v>
      </c>
      <c r="AC575" s="384">
        <v>0</v>
      </c>
      <c r="AD575" s="384">
        <v>0</v>
      </c>
      <c r="AE575" s="384">
        <v>0</v>
      </c>
      <c r="AF575" s="384">
        <v>0</v>
      </c>
      <c r="AG575" s="388">
        <v>1</v>
      </c>
    </row>
    <row r="576" spans="1:33" x14ac:dyDescent="0.25">
      <c r="A576" s="384" t="s">
        <v>193</v>
      </c>
      <c r="B576" s="384">
        <f t="shared" si="44"/>
        <v>2.5</v>
      </c>
      <c r="C576" s="384">
        <v>1</v>
      </c>
      <c r="D576" s="385">
        <v>14.541439999999998</v>
      </c>
      <c r="E576" s="386">
        <v>1.5443499999999999E-3</v>
      </c>
      <c r="F576" s="384">
        <v>0</v>
      </c>
      <c r="G576" s="384">
        <v>0</v>
      </c>
      <c r="H576" s="384">
        <v>0</v>
      </c>
      <c r="I576" s="384">
        <v>0</v>
      </c>
      <c r="J576" s="384">
        <v>0</v>
      </c>
      <c r="K576" s="384">
        <v>0</v>
      </c>
      <c r="L576" s="384">
        <v>0</v>
      </c>
      <c r="M576" s="387">
        <f t="shared" si="26"/>
        <v>0</v>
      </c>
      <c r="N576" s="388">
        <v>0</v>
      </c>
      <c r="O576" s="384">
        <v>0</v>
      </c>
      <c r="P576" s="388" t="s">
        <v>269</v>
      </c>
      <c r="Q576" s="384">
        <v>0</v>
      </c>
      <c r="R576" s="384">
        <v>0</v>
      </c>
      <c r="S576" s="384">
        <v>0</v>
      </c>
      <c r="T576" s="384">
        <v>0</v>
      </c>
      <c r="U576" s="384">
        <v>0</v>
      </c>
      <c r="V576" s="384">
        <v>0</v>
      </c>
      <c r="W576" s="384">
        <v>0</v>
      </c>
      <c r="X576" s="384">
        <v>0</v>
      </c>
      <c r="Y576" s="384">
        <v>0</v>
      </c>
      <c r="Z576" s="384">
        <v>0</v>
      </c>
      <c r="AA576" s="384">
        <v>0</v>
      </c>
      <c r="AB576" s="384">
        <v>0</v>
      </c>
      <c r="AC576" s="384">
        <v>0</v>
      </c>
      <c r="AD576" s="384">
        <v>0</v>
      </c>
      <c r="AE576" s="384">
        <v>0</v>
      </c>
      <c r="AF576" s="384">
        <v>0</v>
      </c>
      <c r="AG576" s="388">
        <v>1</v>
      </c>
    </row>
    <row r="577" spans="1:33" x14ac:dyDescent="0.25">
      <c r="A577" s="384" t="s">
        <v>161</v>
      </c>
      <c r="B577" s="384">
        <f t="shared" si="44"/>
        <v>2.5</v>
      </c>
      <c r="C577" s="384">
        <v>1</v>
      </c>
      <c r="D577" s="385">
        <v>15.587071999999996</v>
      </c>
      <c r="E577" s="386">
        <v>1.5443499999999999E-3</v>
      </c>
      <c r="F577" s="384">
        <v>0</v>
      </c>
      <c r="G577" s="384">
        <v>0</v>
      </c>
      <c r="H577" s="384">
        <v>0</v>
      </c>
      <c r="I577" s="384">
        <v>0</v>
      </c>
      <c r="J577" s="384">
        <v>0</v>
      </c>
      <c r="K577" s="384">
        <v>0</v>
      </c>
      <c r="L577" s="384">
        <v>0</v>
      </c>
      <c r="M577" s="387">
        <f t="shared" si="26"/>
        <v>0</v>
      </c>
      <c r="N577" s="388">
        <v>0</v>
      </c>
      <c r="O577" s="384">
        <v>0</v>
      </c>
      <c r="P577" s="388" t="s">
        <v>270</v>
      </c>
      <c r="Q577" s="384">
        <v>0</v>
      </c>
      <c r="R577" s="384">
        <v>0</v>
      </c>
      <c r="S577" s="384">
        <v>0</v>
      </c>
      <c r="T577" s="384">
        <v>0</v>
      </c>
      <c r="U577" s="384">
        <v>0</v>
      </c>
      <c r="V577" s="384">
        <v>0</v>
      </c>
      <c r="W577" s="384">
        <v>0</v>
      </c>
      <c r="X577" s="384">
        <v>0</v>
      </c>
      <c r="Y577" s="384">
        <v>0</v>
      </c>
      <c r="Z577" s="384">
        <v>0</v>
      </c>
      <c r="AA577" s="384">
        <v>0</v>
      </c>
      <c r="AB577" s="384">
        <v>0</v>
      </c>
      <c r="AC577" s="384">
        <v>0</v>
      </c>
      <c r="AD577" s="384">
        <v>0</v>
      </c>
      <c r="AE577" s="384">
        <v>0</v>
      </c>
      <c r="AF577" s="384">
        <v>0</v>
      </c>
      <c r="AG577" s="388">
        <v>1</v>
      </c>
    </row>
    <row r="578" spans="1:33" x14ac:dyDescent="0.25">
      <c r="A578" s="384" t="s">
        <v>194</v>
      </c>
      <c r="B578" s="384">
        <f t="shared" si="44"/>
        <v>2.5</v>
      </c>
      <c r="C578" s="384">
        <v>1</v>
      </c>
      <c r="D578" s="385">
        <v>19.216000000000001</v>
      </c>
      <c r="E578" s="386">
        <v>2.7068452380952382E-3</v>
      </c>
      <c r="F578" s="384">
        <v>0</v>
      </c>
      <c r="G578" s="384">
        <v>0</v>
      </c>
      <c r="H578" s="384">
        <v>0</v>
      </c>
      <c r="I578" s="384">
        <v>0</v>
      </c>
      <c r="J578" s="384">
        <v>0</v>
      </c>
      <c r="K578" s="384">
        <v>0</v>
      </c>
      <c r="L578" s="384">
        <v>0</v>
      </c>
      <c r="M578" s="387">
        <f t="shared" si="26"/>
        <v>0</v>
      </c>
      <c r="N578" s="388">
        <v>0</v>
      </c>
      <c r="O578" s="384">
        <v>0</v>
      </c>
      <c r="P578" s="388" t="s">
        <v>271</v>
      </c>
      <c r="Q578" s="384">
        <v>0</v>
      </c>
      <c r="R578" s="384">
        <v>0</v>
      </c>
      <c r="S578" s="384">
        <v>0</v>
      </c>
      <c r="T578" s="384">
        <v>0</v>
      </c>
      <c r="U578" s="384">
        <v>0</v>
      </c>
      <c r="V578" s="384">
        <v>0</v>
      </c>
      <c r="W578" s="384">
        <v>0</v>
      </c>
      <c r="X578" s="384">
        <v>0</v>
      </c>
      <c r="Y578" s="384">
        <v>0</v>
      </c>
      <c r="Z578" s="384">
        <v>0</v>
      </c>
      <c r="AA578" s="384">
        <v>0</v>
      </c>
      <c r="AB578" s="384">
        <v>0</v>
      </c>
      <c r="AC578" s="384">
        <v>0</v>
      </c>
      <c r="AD578" s="384">
        <v>0</v>
      </c>
      <c r="AE578" s="384">
        <v>0</v>
      </c>
      <c r="AF578" s="384">
        <v>0</v>
      </c>
      <c r="AG578" s="388">
        <v>1</v>
      </c>
    </row>
    <row r="579" spans="1:33" x14ac:dyDescent="0.25">
      <c r="A579" s="384" t="s">
        <v>162</v>
      </c>
      <c r="B579" s="384">
        <f t="shared" si="44"/>
        <v>2.5</v>
      </c>
      <c r="C579" s="384">
        <v>1</v>
      </c>
      <c r="D579" s="385">
        <v>20.460799999999992</v>
      </c>
      <c r="E579" s="386">
        <v>2.7068452380952382E-3</v>
      </c>
      <c r="F579" s="384">
        <v>0</v>
      </c>
      <c r="G579" s="384">
        <v>0</v>
      </c>
      <c r="H579" s="384">
        <v>0</v>
      </c>
      <c r="I579" s="384">
        <v>0</v>
      </c>
      <c r="J579" s="384">
        <v>0</v>
      </c>
      <c r="K579" s="384">
        <v>0</v>
      </c>
      <c r="L579" s="384">
        <v>0</v>
      </c>
      <c r="M579" s="387">
        <f t="shared" si="26"/>
        <v>0</v>
      </c>
      <c r="N579" s="388">
        <v>0</v>
      </c>
      <c r="O579" s="384">
        <v>0</v>
      </c>
      <c r="P579" s="388" t="s">
        <v>272</v>
      </c>
      <c r="Q579" s="384">
        <v>0</v>
      </c>
      <c r="R579" s="384">
        <v>0</v>
      </c>
      <c r="S579" s="384">
        <v>0</v>
      </c>
      <c r="T579" s="384">
        <v>0</v>
      </c>
      <c r="U579" s="384">
        <v>0</v>
      </c>
      <c r="V579" s="384">
        <v>0</v>
      </c>
      <c r="W579" s="384">
        <v>0</v>
      </c>
      <c r="X579" s="384">
        <v>0</v>
      </c>
      <c r="Y579" s="384">
        <v>0</v>
      </c>
      <c r="Z579" s="384">
        <v>0</v>
      </c>
      <c r="AA579" s="384">
        <v>0</v>
      </c>
      <c r="AB579" s="384">
        <v>0</v>
      </c>
      <c r="AC579" s="384">
        <v>0</v>
      </c>
      <c r="AD579" s="384">
        <v>0</v>
      </c>
      <c r="AE579" s="384">
        <v>0</v>
      </c>
      <c r="AF579" s="384">
        <v>0</v>
      </c>
      <c r="AG579" s="388">
        <v>1</v>
      </c>
    </row>
    <row r="580" spans="1:33" x14ac:dyDescent="0.25">
      <c r="A580" s="384" t="s">
        <v>195</v>
      </c>
      <c r="B580" s="384">
        <f t="shared" si="44"/>
        <v>2.5</v>
      </c>
      <c r="C580" s="384">
        <v>1</v>
      </c>
      <c r="D580" s="385">
        <v>23.890560000000001</v>
      </c>
      <c r="E580" s="386">
        <v>2.8032345238095235E-3</v>
      </c>
      <c r="F580" s="384">
        <v>0</v>
      </c>
      <c r="G580" s="384">
        <v>0</v>
      </c>
      <c r="H580" s="384">
        <v>0</v>
      </c>
      <c r="I580" s="384">
        <v>0</v>
      </c>
      <c r="J580" s="384">
        <v>0</v>
      </c>
      <c r="K580" s="384">
        <v>0</v>
      </c>
      <c r="L580" s="384">
        <v>0</v>
      </c>
      <c r="M580" s="387">
        <f t="shared" si="26"/>
        <v>0</v>
      </c>
      <c r="N580" s="388">
        <v>0</v>
      </c>
      <c r="O580" s="384">
        <v>0</v>
      </c>
      <c r="P580" s="388" t="s">
        <v>273</v>
      </c>
      <c r="Q580" s="384">
        <v>0</v>
      </c>
      <c r="R580" s="384">
        <v>0</v>
      </c>
      <c r="S580" s="384">
        <v>0</v>
      </c>
      <c r="T580" s="384">
        <v>0</v>
      </c>
      <c r="U580" s="384">
        <v>0</v>
      </c>
      <c r="V580" s="384">
        <v>0</v>
      </c>
      <c r="W580" s="384">
        <v>0</v>
      </c>
      <c r="X580" s="384">
        <v>0</v>
      </c>
      <c r="Y580" s="384">
        <v>0</v>
      </c>
      <c r="Z580" s="384">
        <v>0</v>
      </c>
      <c r="AA580" s="384">
        <v>0</v>
      </c>
      <c r="AB580" s="384">
        <v>0</v>
      </c>
      <c r="AC580" s="384">
        <v>0</v>
      </c>
      <c r="AD580" s="384">
        <v>0</v>
      </c>
      <c r="AE580" s="384">
        <v>0</v>
      </c>
      <c r="AF580" s="384">
        <v>0</v>
      </c>
      <c r="AG580" s="388">
        <v>1</v>
      </c>
    </row>
    <row r="581" spans="1:33" x14ac:dyDescent="0.25">
      <c r="A581" s="384" t="s">
        <v>163</v>
      </c>
      <c r="B581" s="384">
        <f t="shared" si="44"/>
        <v>2.5</v>
      </c>
      <c r="C581" s="384">
        <v>1</v>
      </c>
      <c r="D581" s="385">
        <v>23.561599999999991</v>
      </c>
      <c r="E581" s="386">
        <v>2.8032345238095235E-3</v>
      </c>
      <c r="F581" s="384">
        <v>0</v>
      </c>
      <c r="G581" s="384">
        <v>0</v>
      </c>
      <c r="H581" s="384">
        <v>0</v>
      </c>
      <c r="I581" s="384">
        <v>0</v>
      </c>
      <c r="J581" s="384">
        <v>0</v>
      </c>
      <c r="K581" s="384">
        <v>0</v>
      </c>
      <c r="L581" s="384">
        <v>0</v>
      </c>
      <c r="M581" s="387">
        <f t="shared" si="26"/>
        <v>0</v>
      </c>
      <c r="N581" s="388">
        <v>0</v>
      </c>
      <c r="O581" s="384">
        <v>0</v>
      </c>
      <c r="P581" s="388" t="s">
        <v>274</v>
      </c>
      <c r="Q581" s="384">
        <v>0</v>
      </c>
      <c r="R581" s="384">
        <v>0</v>
      </c>
      <c r="S581" s="384">
        <v>0</v>
      </c>
      <c r="T581" s="384">
        <v>0</v>
      </c>
      <c r="U581" s="384">
        <v>0</v>
      </c>
      <c r="V581" s="384">
        <v>0</v>
      </c>
      <c r="W581" s="384">
        <v>0</v>
      </c>
      <c r="X581" s="384">
        <v>0</v>
      </c>
      <c r="Y581" s="384">
        <v>0</v>
      </c>
      <c r="Z581" s="384">
        <v>0</v>
      </c>
      <c r="AA581" s="384">
        <v>0</v>
      </c>
      <c r="AB581" s="384">
        <v>0</v>
      </c>
      <c r="AC581" s="384">
        <v>0</v>
      </c>
      <c r="AD581" s="384">
        <v>0</v>
      </c>
      <c r="AE581" s="384">
        <v>0</v>
      </c>
      <c r="AF581" s="384">
        <v>0</v>
      </c>
      <c r="AG581" s="388">
        <v>1</v>
      </c>
    </row>
    <row r="582" spans="1:33" x14ac:dyDescent="0.25">
      <c r="A582" s="384" t="s">
        <v>196</v>
      </c>
      <c r="B582" s="384">
        <f t="shared" si="44"/>
        <v>2.5</v>
      </c>
      <c r="C582" s="384">
        <v>1</v>
      </c>
      <c r="D582" s="385">
        <v>19.832000000000004</v>
      </c>
      <c r="E582" s="386">
        <v>3.3904773809000002E-3</v>
      </c>
      <c r="F582" s="384">
        <v>0</v>
      </c>
      <c r="G582" s="384">
        <v>0</v>
      </c>
      <c r="H582" s="384">
        <v>0</v>
      </c>
      <c r="I582" s="384">
        <v>0</v>
      </c>
      <c r="J582" s="384">
        <v>0</v>
      </c>
      <c r="K582" s="384">
        <v>0</v>
      </c>
      <c r="L582" s="384">
        <v>0</v>
      </c>
      <c r="M582" s="387">
        <f t="shared" si="26"/>
        <v>0</v>
      </c>
      <c r="N582" s="388">
        <v>0</v>
      </c>
      <c r="O582" s="384">
        <v>0</v>
      </c>
      <c r="P582" s="388" t="s">
        <v>275</v>
      </c>
      <c r="Q582" s="384">
        <v>6.8</v>
      </c>
      <c r="R582" s="384">
        <v>13.6</v>
      </c>
      <c r="S582" s="384">
        <v>6.8</v>
      </c>
      <c r="T582" s="384">
        <v>4.5330000000000004</v>
      </c>
      <c r="U582" s="384">
        <f t="shared" ref="U582:U587" si="45">1000*($B582-($B582/2))/100</f>
        <v>12.5</v>
      </c>
      <c r="V582" s="384">
        <f t="shared" ref="V582:V587" si="46">1000*($B582-($B582/2))/50</f>
        <v>25</v>
      </c>
      <c r="W582" s="384">
        <f t="shared" ref="W582:W587" si="47">1000*($B582-($B582/2))/100</f>
        <v>12.5</v>
      </c>
      <c r="X582" s="384">
        <f t="shared" ref="X582:X587" si="48">1000*($B582-($B582/2))/150</f>
        <v>8.3333333333333339</v>
      </c>
      <c r="Y582" s="384">
        <f t="shared" ref="Y582:Y587" si="49">1000*(($B582* $B582/2)  + ($B582*($I582 - $J582)) / 2) / 100</f>
        <v>31.25</v>
      </c>
      <c r="Z582" s="384">
        <f t="shared" ref="Z582:Z587" si="50">1000*(($B582* $B582/2)  + ($B582*($I582 - $J582)) / 2) / 50</f>
        <v>62.5</v>
      </c>
      <c r="AA582" s="384">
        <f t="shared" ref="AA582:AA587" si="51">1000*(($B582* $B582/2)  + ($B582*($I582 - $J582)) / 2) / 100</f>
        <v>31.25</v>
      </c>
      <c r="AB582" s="384">
        <f t="shared" ref="AB582:AB587" si="52">1000*(($B582* $B582/2)  + ($B582*($I582 - $J582)) / 2) / 150</f>
        <v>20.833333333333332</v>
      </c>
      <c r="AC582" s="384">
        <v>2.77</v>
      </c>
      <c r="AD582" s="384">
        <v>5.44</v>
      </c>
      <c r="AE582" s="384">
        <v>2.77</v>
      </c>
      <c r="AF582" s="384">
        <v>1.8132999999999999</v>
      </c>
      <c r="AG582" s="388">
        <v>1</v>
      </c>
    </row>
    <row r="583" spans="1:33" x14ac:dyDescent="0.25">
      <c r="A583" s="384" t="s">
        <v>164</v>
      </c>
      <c r="B583" s="384">
        <f t="shared" si="44"/>
        <v>2.5</v>
      </c>
      <c r="C583" s="384">
        <v>1</v>
      </c>
      <c r="D583" s="385">
        <v>20.96746666666666</v>
      </c>
      <c r="E583" s="386">
        <v>3.3904773809000002E-3</v>
      </c>
      <c r="F583" s="384">
        <v>0</v>
      </c>
      <c r="G583" s="384">
        <v>0</v>
      </c>
      <c r="H583" s="384">
        <v>0</v>
      </c>
      <c r="I583" s="384">
        <v>0</v>
      </c>
      <c r="J583" s="384">
        <v>0</v>
      </c>
      <c r="K583" s="384">
        <v>0</v>
      </c>
      <c r="L583" s="384">
        <v>0</v>
      </c>
      <c r="M583" s="387">
        <f t="shared" si="26"/>
        <v>0</v>
      </c>
      <c r="N583" s="388">
        <v>0</v>
      </c>
      <c r="O583" s="384">
        <v>0</v>
      </c>
      <c r="P583" s="388" t="s">
        <v>276</v>
      </c>
      <c r="Q583" s="384">
        <v>6.8</v>
      </c>
      <c r="R583" s="384">
        <v>13.6</v>
      </c>
      <c r="S583" s="384">
        <v>6.8</v>
      </c>
      <c r="T583" s="384">
        <v>4.5330000000000004</v>
      </c>
      <c r="U583" s="384">
        <f t="shared" si="45"/>
        <v>12.5</v>
      </c>
      <c r="V583" s="384">
        <f t="shared" si="46"/>
        <v>25</v>
      </c>
      <c r="W583" s="384">
        <f t="shared" si="47"/>
        <v>12.5</v>
      </c>
      <c r="X583" s="384">
        <f t="shared" si="48"/>
        <v>8.3333333333333339</v>
      </c>
      <c r="Y583" s="384">
        <f t="shared" si="49"/>
        <v>31.25</v>
      </c>
      <c r="Z583" s="384">
        <f t="shared" si="50"/>
        <v>62.5</v>
      </c>
      <c r="AA583" s="384">
        <f t="shared" si="51"/>
        <v>31.25</v>
      </c>
      <c r="AB583" s="384">
        <f t="shared" si="52"/>
        <v>20.833333333333332</v>
      </c>
      <c r="AC583" s="384">
        <v>2.77</v>
      </c>
      <c r="AD583" s="384">
        <v>5.44</v>
      </c>
      <c r="AE583" s="384">
        <v>2.77</v>
      </c>
      <c r="AF583" s="384">
        <v>1.8132999999999999</v>
      </c>
      <c r="AG583" s="388">
        <v>1</v>
      </c>
    </row>
    <row r="584" spans="1:33" x14ac:dyDescent="0.25">
      <c r="A584" s="384" t="s">
        <v>197</v>
      </c>
      <c r="B584" s="384">
        <f t="shared" si="44"/>
        <v>2.5</v>
      </c>
      <c r="C584" s="384">
        <v>1</v>
      </c>
      <c r="D584" s="385">
        <v>20.428640000000001</v>
      </c>
      <c r="E584" s="386">
        <v>3.6634178571428571E-3</v>
      </c>
      <c r="F584" s="384">
        <v>0</v>
      </c>
      <c r="G584" s="384">
        <v>0</v>
      </c>
      <c r="H584" s="384">
        <v>0</v>
      </c>
      <c r="I584" s="384">
        <v>0</v>
      </c>
      <c r="J584" s="384">
        <v>0</v>
      </c>
      <c r="K584" s="384">
        <v>0</v>
      </c>
      <c r="L584" s="384">
        <v>0</v>
      </c>
      <c r="M584" s="387">
        <f t="shared" si="26"/>
        <v>0</v>
      </c>
      <c r="N584" s="388">
        <v>0</v>
      </c>
      <c r="O584" s="384">
        <v>0</v>
      </c>
      <c r="P584" s="388" t="s">
        <v>277</v>
      </c>
      <c r="Q584" s="384">
        <v>6.8</v>
      </c>
      <c r="R584" s="384">
        <v>13.6</v>
      </c>
      <c r="S584" s="384">
        <v>6.8</v>
      </c>
      <c r="T584" s="384">
        <v>4.5330000000000004</v>
      </c>
      <c r="U584" s="384">
        <f t="shared" si="45"/>
        <v>12.5</v>
      </c>
      <c r="V584" s="384">
        <f t="shared" si="46"/>
        <v>25</v>
      </c>
      <c r="W584" s="384">
        <f t="shared" si="47"/>
        <v>12.5</v>
      </c>
      <c r="X584" s="384">
        <f t="shared" si="48"/>
        <v>8.3333333333333339</v>
      </c>
      <c r="Y584" s="384">
        <f t="shared" si="49"/>
        <v>31.25</v>
      </c>
      <c r="Z584" s="384">
        <f t="shared" si="50"/>
        <v>62.5</v>
      </c>
      <c r="AA584" s="384">
        <f t="shared" si="51"/>
        <v>31.25</v>
      </c>
      <c r="AB584" s="384">
        <f t="shared" si="52"/>
        <v>20.833333333333332</v>
      </c>
      <c r="AC584" s="384">
        <v>2.77</v>
      </c>
      <c r="AD584" s="384">
        <v>5.44</v>
      </c>
      <c r="AE584" s="384">
        <v>2.77</v>
      </c>
      <c r="AF584" s="384">
        <v>1.8132999999999999</v>
      </c>
      <c r="AG584" s="388">
        <v>1</v>
      </c>
    </row>
    <row r="585" spans="1:33" x14ac:dyDescent="0.25">
      <c r="A585" s="384" t="s">
        <v>165</v>
      </c>
      <c r="B585" s="384">
        <f t="shared" si="44"/>
        <v>2.5</v>
      </c>
      <c r="C585" s="384">
        <v>1</v>
      </c>
      <c r="D585" s="385">
        <v>21.586816000000002</v>
      </c>
      <c r="E585" s="386">
        <v>3.6634178571428571E-3</v>
      </c>
      <c r="F585" s="384">
        <v>0</v>
      </c>
      <c r="G585" s="384">
        <v>0</v>
      </c>
      <c r="H585" s="384">
        <v>0</v>
      </c>
      <c r="I585" s="384">
        <v>0</v>
      </c>
      <c r="J585" s="384">
        <v>0</v>
      </c>
      <c r="K585" s="384">
        <v>0</v>
      </c>
      <c r="L585" s="384">
        <v>0</v>
      </c>
      <c r="M585" s="387">
        <f t="shared" si="26"/>
        <v>0</v>
      </c>
      <c r="N585" s="388">
        <v>0</v>
      </c>
      <c r="O585" s="384">
        <v>0</v>
      </c>
      <c r="P585" s="388" t="s">
        <v>278</v>
      </c>
      <c r="Q585" s="384">
        <v>6.8</v>
      </c>
      <c r="R585" s="384">
        <v>13.6</v>
      </c>
      <c r="S585" s="384">
        <v>6.8</v>
      </c>
      <c r="T585" s="384">
        <v>4.5330000000000004</v>
      </c>
      <c r="U585" s="384">
        <f t="shared" si="45"/>
        <v>12.5</v>
      </c>
      <c r="V585" s="384">
        <f t="shared" si="46"/>
        <v>25</v>
      </c>
      <c r="W585" s="384">
        <f t="shared" si="47"/>
        <v>12.5</v>
      </c>
      <c r="X585" s="384">
        <f t="shared" si="48"/>
        <v>8.3333333333333339</v>
      </c>
      <c r="Y585" s="384">
        <f t="shared" si="49"/>
        <v>31.25</v>
      </c>
      <c r="Z585" s="384">
        <f t="shared" si="50"/>
        <v>62.5</v>
      </c>
      <c r="AA585" s="384">
        <f t="shared" si="51"/>
        <v>31.25</v>
      </c>
      <c r="AB585" s="384">
        <f t="shared" si="52"/>
        <v>20.833333333333332</v>
      </c>
      <c r="AC585" s="384">
        <v>2.77</v>
      </c>
      <c r="AD585" s="384">
        <v>5.44</v>
      </c>
      <c r="AE585" s="384">
        <v>2.77</v>
      </c>
      <c r="AF585" s="384">
        <v>1.8132999999999999</v>
      </c>
      <c r="AG585" s="388">
        <v>1</v>
      </c>
    </row>
    <row r="586" spans="1:33" x14ac:dyDescent="0.25">
      <c r="A586" s="384" t="s">
        <v>198</v>
      </c>
      <c r="B586" s="384">
        <f t="shared" si="44"/>
        <v>2.5</v>
      </c>
      <c r="C586" s="384">
        <v>1</v>
      </c>
      <c r="D586" s="385">
        <v>21.24</v>
      </c>
      <c r="E586" s="386">
        <v>5.6364773809523816E-3</v>
      </c>
      <c r="F586" s="384">
        <v>0</v>
      </c>
      <c r="G586" s="384">
        <v>0</v>
      </c>
      <c r="H586" s="384">
        <v>0</v>
      </c>
      <c r="I586" s="384">
        <v>0</v>
      </c>
      <c r="J586" s="384">
        <v>0</v>
      </c>
      <c r="K586" s="384">
        <v>0</v>
      </c>
      <c r="L586" s="384">
        <v>0</v>
      </c>
      <c r="M586" s="387">
        <f t="shared" si="26"/>
        <v>0</v>
      </c>
      <c r="N586" s="388">
        <v>0</v>
      </c>
      <c r="O586" s="384">
        <v>0</v>
      </c>
      <c r="P586" s="388" t="s">
        <v>279</v>
      </c>
      <c r="Q586" s="384">
        <v>6.8</v>
      </c>
      <c r="R586" s="384">
        <v>13.6</v>
      </c>
      <c r="S586" s="384">
        <v>6.8</v>
      </c>
      <c r="T586" s="384">
        <v>4.5330000000000004</v>
      </c>
      <c r="U586" s="384">
        <f t="shared" si="45"/>
        <v>12.5</v>
      </c>
      <c r="V586" s="384">
        <f t="shared" si="46"/>
        <v>25</v>
      </c>
      <c r="W586" s="384">
        <f t="shared" si="47"/>
        <v>12.5</v>
      </c>
      <c r="X586" s="384">
        <f t="shared" si="48"/>
        <v>8.3333333333333339</v>
      </c>
      <c r="Y586" s="384">
        <f t="shared" si="49"/>
        <v>31.25</v>
      </c>
      <c r="Z586" s="384">
        <f t="shared" si="50"/>
        <v>62.5</v>
      </c>
      <c r="AA586" s="384">
        <f t="shared" si="51"/>
        <v>31.25</v>
      </c>
      <c r="AB586" s="384">
        <f t="shared" si="52"/>
        <v>20.833333333333332</v>
      </c>
      <c r="AC586" s="384">
        <v>2.77</v>
      </c>
      <c r="AD586" s="384">
        <v>5.44</v>
      </c>
      <c r="AE586" s="384">
        <v>2.77</v>
      </c>
      <c r="AF586" s="384">
        <v>1.8132999999999999</v>
      </c>
      <c r="AG586" s="388">
        <v>1</v>
      </c>
    </row>
    <row r="587" spans="1:33" x14ac:dyDescent="0.25">
      <c r="A587" s="384" t="s">
        <v>166</v>
      </c>
      <c r="B587" s="384">
        <f t="shared" si="44"/>
        <v>2.5</v>
      </c>
      <c r="C587" s="384">
        <v>1</v>
      </c>
      <c r="D587" s="385">
        <v>23.521066666666663</v>
      </c>
      <c r="E587" s="386">
        <v>5.6364773809523816E-3</v>
      </c>
      <c r="F587" s="384">
        <v>0</v>
      </c>
      <c r="G587" s="384">
        <v>0</v>
      </c>
      <c r="H587" s="384">
        <v>0</v>
      </c>
      <c r="I587" s="384">
        <v>0</v>
      </c>
      <c r="J587" s="384">
        <v>0</v>
      </c>
      <c r="K587" s="384">
        <v>0</v>
      </c>
      <c r="L587" s="384">
        <v>0</v>
      </c>
      <c r="M587" s="387">
        <f t="shared" si="26"/>
        <v>0</v>
      </c>
      <c r="N587" s="388">
        <v>0</v>
      </c>
      <c r="O587" s="384">
        <v>0</v>
      </c>
      <c r="P587" s="388" t="s">
        <v>280</v>
      </c>
      <c r="Q587" s="384">
        <v>6.8</v>
      </c>
      <c r="R587" s="384">
        <v>13.6</v>
      </c>
      <c r="S587" s="384">
        <v>6.8</v>
      </c>
      <c r="T587" s="384">
        <v>4.5330000000000004</v>
      </c>
      <c r="U587" s="384">
        <f t="shared" si="45"/>
        <v>12.5</v>
      </c>
      <c r="V587" s="384">
        <f t="shared" si="46"/>
        <v>25</v>
      </c>
      <c r="W587" s="384">
        <f t="shared" si="47"/>
        <v>12.5</v>
      </c>
      <c r="X587" s="384">
        <f t="shared" si="48"/>
        <v>8.3333333333333339</v>
      </c>
      <c r="Y587" s="384">
        <f t="shared" si="49"/>
        <v>31.25</v>
      </c>
      <c r="Z587" s="384">
        <f t="shared" si="50"/>
        <v>62.5</v>
      </c>
      <c r="AA587" s="384">
        <f t="shared" si="51"/>
        <v>31.25</v>
      </c>
      <c r="AB587" s="384">
        <f t="shared" si="52"/>
        <v>20.833333333333332</v>
      </c>
      <c r="AC587" s="384">
        <v>2.77</v>
      </c>
      <c r="AD587" s="384">
        <v>5.44</v>
      </c>
      <c r="AE587" s="384">
        <v>2.77</v>
      </c>
      <c r="AF587" s="384">
        <v>1.8132999999999999</v>
      </c>
      <c r="AG587" s="388">
        <v>1</v>
      </c>
    </row>
    <row r="588" spans="1:33" x14ac:dyDescent="0.25">
      <c r="A588" s="384" t="s">
        <v>199</v>
      </c>
      <c r="B588" s="384">
        <f t="shared" ref="B588:B601" si="53">VCCO33</f>
        <v>3.3</v>
      </c>
      <c r="C588" s="384">
        <v>1</v>
      </c>
      <c r="D588" s="385">
        <v>8.3333333333333321</v>
      </c>
      <c r="E588" s="386">
        <v>1.2236095238095236E-3</v>
      </c>
      <c r="F588" s="384">
        <v>0</v>
      </c>
      <c r="G588" s="384">
        <v>0</v>
      </c>
      <c r="H588" s="384">
        <v>0</v>
      </c>
      <c r="I588" s="384">
        <v>0</v>
      </c>
      <c r="J588" s="384">
        <v>0</v>
      </c>
      <c r="K588" s="384">
        <v>0</v>
      </c>
      <c r="L588" s="384">
        <v>0</v>
      </c>
      <c r="M588" s="387">
        <f t="shared" si="26"/>
        <v>0</v>
      </c>
      <c r="N588" s="388">
        <v>0</v>
      </c>
      <c r="O588" s="384">
        <v>0</v>
      </c>
      <c r="P588" s="388" t="s">
        <v>281</v>
      </c>
      <c r="Q588" s="384">
        <v>0</v>
      </c>
      <c r="R588" s="384">
        <v>0</v>
      </c>
      <c r="S588" s="384">
        <v>0</v>
      </c>
      <c r="T588" s="384">
        <v>0</v>
      </c>
      <c r="U588" s="384">
        <v>0</v>
      </c>
      <c r="V588" s="384">
        <v>0</v>
      </c>
      <c r="W588" s="384">
        <v>0</v>
      </c>
      <c r="X588" s="384">
        <v>0</v>
      </c>
      <c r="Y588" s="384">
        <v>0</v>
      </c>
      <c r="Z588" s="384">
        <v>0</v>
      </c>
      <c r="AA588" s="384">
        <v>0</v>
      </c>
      <c r="AB588" s="384">
        <v>0</v>
      </c>
      <c r="AC588" s="384">
        <v>0</v>
      </c>
      <c r="AD588" s="384">
        <v>0</v>
      </c>
      <c r="AE588" s="384">
        <v>0</v>
      </c>
      <c r="AF588" s="384">
        <v>0</v>
      </c>
      <c r="AG588" s="388">
        <v>1</v>
      </c>
    </row>
    <row r="589" spans="1:33" x14ac:dyDescent="0.25">
      <c r="A589" s="384" t="s">
        <v>167</v>
      </c>
      <c r="B589" s="384">
        <f t="shared" si="53"/>
        <v>3.3</v>
      </c>
      <c r="C589" s="384">
        <v>1</v>
      </c>
      <c r="D589" s="385">
        <v>9.3454545454545439</v>
      </c>
      <c r="E589" s="386">
        <v>1.2236095238095236E-3</v>
      </c>
      <c r="F589" s="384">
        <v>0</v>
      </c>
      <c r="G589" s="384">
        <v>0</v>
      </c>
      <c r="H589" s="384">
        <v>0</v>
      </c>
      <c r="I589" s="384">
        <v>0</v>
      </c>
      <c r="J589" s="384">
        <v>0</v>
      </c>
      <c r="K589" s="384">
        <v>0</v>
      </c>
      <c r="L589" s="384">
        <v>0</v>
      </c>
      <c r="M589" s="387">
        <f t="shared" si="26"/>
        <v>0</v>
      </c>
      <c r="N589" s="388">
        <v>0</v>
      </c>
      <c r="O589" s="384">
        <v>0</v>
      </c>
      <c r="P589" s="388" t="s">
        <v>282</v>
      </c>
      <c r="Q589" s="384">
        <v>0</v>
      </c>
      <c r="R589" s="384">
        <v>0</v>
      </c>
      <c r="S589" s="384">
        <v>0</v>
      </c>
      <c r="T589" s="384">
        <v>0</v>
      </c>
      <c r="U589" s="384">
        <v>0</v>
      </c>
      <c r="V589" s="384">
        <v>0</v>
      </c>
      <c r="W589" s="384">
        <v>0</v>
      </c>
      <c r="X589" s="384">
        <v>0</v>
      </c>
      <c r="Y589" s="384">
        <v>0</v>
      </c>
      <c r="Z589" s="384">
        <v>0</v>
      </c>
      <c r="AA589" s="384">
        <v>0</v>
      </c>
      <c r="AB589" s="384">
        <v>0</v>
      </c>
      <c r="AC589" s="384">
        <v>0</v>
      </c>
      <c r="AD589" s="384">
        <v>0</v>
      </c>
      <c r="AE589" s="384">
        <v>0</v>
      </c>
      <c r="AF589" s="384">
        <v>0</v>
      </c>
      <c r="AG589" s="388">
        <v>1</v>
      </c>
    </row>
    <row r="590" spans="1:33" x14ac:dyDescent="0.25">
      <c r="A590" s="384" t="s">
        <v>200</v>
      </c>
      <c r="B590" s="384">
        <f t="shared" si="53"/>
        <v>3.3</v>
      </c>
      <c r="C590" s="384">
        <v>1</v>
      </c>
      <c r="D590" s="385">
        <v>12.4</v>
      </c>
      <c r="E590" s="386">
        <v>1.5525630952380953E-3</v>
      </c>
      <c r="F590" s="384">
        <v>0</v>
      </c>
      <c r="G590" s="384">
        <v>0</v>
      </c>
      <c r="H590" s="384">
        <v>0</v>
      </c>
      <c r="I590" s="384">
        <v>0</v>
      </c>
      <c r="J590" s="384">
        <v>0</v>
      </c>
      <c r="K590" s="384">
        <v>0</v>
      </c>
      <c r="L590" s="384">
        <v>0</v>
      </c>
      <c r="M590" s="387">
        <f t="shared" si="26"/>
        <v>0</v>
      </c>
      <c r="N590" s="388">
        <v>0</v>
      </c>
      <c r="O590" s="384">
        <v>0</v>
      </c>
      <c r="P590" s="388" t="s">
        <v>283</v>
      </c>
      <c r="Q590" s="384">
        <v>0</v>
      </c>
      <c r="R590" s="384">
        <v>0</v>
      </c>
      <c r="S590" s="384">
        <v>0</v>
      </c>
      <c r="T590" s="384">
        <v>0</v>
      </c>
      <c r="U590" s="384">
        <v>0</v>
      </c>
      <c r="V590" s="384">
        <v>0</v>
      </c>
      <c r="W590" s="384">
        <v>0</v>
      </c>
      <c r="X590" s="384">
        <v>0</v>
      </c>
      <c r="Y590" s="384">
        <v>0</v>
      </c>
      <c r="Z590" s="384">
        <v>0</v>
      </c>
      <c r="AA590" s="384">
        <v>0</v>
      </c>
      <c r="AB590" s="384">
        <v>0</v>
      </c>
      <c r="AC590" s="384">
        <v>0</v>
      </c>
      <c r="AD590" s="384">
        <v>0</v>
      </c>
      <c r="AE590" s="384">
        <v>0</v>
      </c>
      <c r="AF590" s="384">
        <v>0</v>
      </c>
      <c r="AG590" s="388">
        <v>1</v>
      </c>
    </row>
    <row r="591" spans="1:33" x14ac:dyDescent="0.25">
      <c r="A591" s="384" t="s">
        <v>168</v>
      </c>
      <c r="B591" s="384">
        <f t="shared" si="53"/>
        <v>3.3</v>
      </c>
      <c r="C591" s="384">
        <v>1</v>
      </c>
      <c r="D591" s="385">
        <v>13.214545454545451</v>
      </c>
      <c r="E591" s="386">
        <v>1.5525630952380953E-3</v>
      </c>
      <c r="F591" s="384">
        <v>0</v>
      </c>
      <c r="G591" s="384">
        <v>0</v>
      </c>
      <c r="H591" s="384">
        <v>0</v>
      </c>
      <c r="I591" s="384">
        <v>0</v>
      </c>
      <c r="J591" s="384">
        <v>0</v>
      </c>
      <c r="K591" s="384">
        <v>0</v>
      </c>
      <c r="L591" s="384">
        <v>0</v>
      </c>
      <c r="M591" s="387">
        <f t="shared" si="26"/>
        <v>0</v>
      </c>
      <c r="N591" s="388">
        <v>0</v>
      </c>
      <c r="O591" s="384">
        <v>0</v>
      </c>
      <c r="P591" s="388" t="s">
        <v>284</v>
      </c>
      <c r="Q591" s="384">
        <v>0</v>
      </c>
      <c r="R591" s="384">
        <v>0</v>
      </c>
      <c r="S591" s="384">
        <v>0</v>
      </c>
      <c r="T591" s="384">
        <v>0</v>
      </c>
      <c r="U591" s="384">
        <v>0</v>
      </c>
      <c r="V591" s="384">
        <v>0</v>
      </c>
      <c r="W591" s="384">
        <v>0</v>
      </c>
      <c r="X591" s="384">
        <v>0</v>
      </c>
      <c r="Y591" s="384">
        <v>0</v>
      </c>
      <c r="Z591" s="384">
        <v>0</v>
      </c>
      <c r="AA591" s="384">
        <v>0</v>
      </c>
      <c r="AB591" s="384">
        <v>0</v>
      </c>
      <c r="AC591" s="384">
        <v>0</v>
      </c>
      <c r="AD591" s="384">
        <v>0</v>
      </c>
      <c r="AE591" s="384">
        <v>0</v>
      </c>
      <c r="AF591" s="384">
        <v>0</v>
      </c>
      <c r="AG591" s="388">
        <v>1</v>
      </c>
    </row>
    <row r="592" spans="1:33" x14ac:dyDescent="0.25">
      <c r="A592" s="384" t="s">
        <v>201</v>
      </c>
      <c r="B592" s="384">
        <f t="shared" si="53"/>
        <v>3.3</v>
      </c>
      <c r="C592" s="384">
        <v>1</v>
      </c>
      <c r="D592" s="385">
        <v>16.666666666666671</v>
      </c>
      <c r="E592" s="386">
        <v>2.7099535714285717E-3</v>
      </c>
      <c r="F592" s="384">
        <v>0</v>
      </c>
      <c r="G592" s="384">
        <v>0</v>
      </c>
      <c r="H592" s="384">
        <v>0</v>
      </c>
      <c r="I592" s="384">
        <v>0</v>
      </c>
      <c r="J592" s="384">
        <v>0</v>
      </c>
      <c r="K592" s="384">
        <v>0</v>
      </c>
      <c r="L592" s="387">
        <v>0</v>
      </c>
      <c r="M592" s="387">
        <v>0</v>
      </c>
      <c r="N592" s="388">
        <v>0</v>
      </c>
      <c r="O592" s="384">
        <v>0</v>
      </c>
      <c r="P592" s="388" t="s">
        <v>285</v>
      </c>
      <c r="Q592" s="384">
        <v>0</v>
      </c>
      <c r="R592" s="384">
        <v>0</v>
      </c>
      <c r="S592" s="384">
        <v>0</v>
      </c>
      <c r="T592" s="384">
        <v>0</v>
      </c>
      <c r="U592" s="384">
        <v>0</v>
      </c>
      <c r="V592" s="384">
        <v>0</v>
      </c>
      <c r="W592" s="384">
        <v>0</v>
      </c>
      <c r="X592" s="384">
        <v>0</v>
      </c>
      <c r="Y592" s="384">
        <v>0</v>
      </c>
      <c r="Z592" s="384">
        <v>0</v>
      </c>
      <c r="AA592" s="384">
        <v>0</v>
      </c>
      <c r="AB592" s="384">
        <v>0</v>
      </c>
      <c r="AC592" s="384">
        <v>0</v>
      </c>
      <c r="AD592" s="384">
        <v>0</v>
      </c>
      <c r="AE592" s="384">
        <v>0</v>
      </c>
      <c r="AF592" s="384">
        <v>0</v>
      </c>
      <c r="AG592" s="388">
        <v>1</v>
      </c>
    </row>
    <row r="593" spans="1:33" x14ac:dyDescent="0.25">
      <c r="A593" s="384" t="s">
        <v>169</v>
      </c>
      <c r="B593" s="384">
        <f t="shared" si="53"/>
        <v>3.3</v>
      </c>
      <c r="C593" s="384">
        <v>1</v>
      </c>
      <c r="D593" s="385">
        <v>17.636363636363637</v>
      </c>
      <c r="E593" s="386">
        <v>2.7099535714285717E-3</v>
      </c>
      <c r="F593" s="384">
        <v>0</v>
      </c>
      <c r="G593" s="384">
        <v>0</v>
      </c>
      <c r="H593" s="384">
        <v>0</v>
      </c>
      <c r="I593" s="384">
        <v>0</v>
      </c>
      <c r="J593" s="384">
        <v>0</v>
      </c>
      <c r="K593" s="384">
        <v>0</v>
      </c>
      <c r="L593" s="387">
        <v>0</v>
      </c>
      <c r="M593" s="387">
        <v>0</v>
      </c>
      <c r="N593" s="388">
        <v>0</v>
      </c>
      <c r="O593" s="384">
        <v>0</v>
      </c>
      <c r="P593" s="388" t="s">
        <v>286</v>
      </c>
      <c r="Q593" s="384">
        <v>0</v>
      </c>
      <c r="R593" s="384">
        <v>0</v>
      </c>
      <c r="S593" s="384">
        <v>0</v>
      </c>
      <c r="T593" s="384">
        <v>0</v>
      </c>
      <c r="U593" s="384">
        <v>0</v>
      </c>
      <c r="V593" s="384">
        <v>0</v>
      </c>
      <c r="W593" s="384">
        <v>0</v>
      </c>
      <c r="X593" s="384">
        <v>0</v>
      </c>
      <c r="Y593" s="384">
        <v>0</v>
      </c>
      <c r="Z593" s="384">
        <v>0</v>
      </c>
      <c r="AA593" s="384">
        <v>0</v>
      </c>
      <c r="AB593" s="384">
        <v>0</v>
      </c>
      <c r="AC593" s="384">
        <v>0</v>
      </c>
      <c r="AD593" s="384">
        <v>0</v>
      </c>
      <c r="AE593" s="384">
        <v>0</v>
      </c>
      <c r="AF593" s="384">
        <v>0</v>
      </c>
      <c r="AG593" s="388">
        <v>1</v>
      </c>
    </row>
    <row r="594" spans="1:33" x14ac:dyDescent="0.25">
      <c r="A594" s="384" t="s">
        <v>202</v>
      </c>
      <c r="B594" s="384">
        <f t="shared" si="53"/>
        <v>3.3</v>
      </c>
      <c r="C594" s="384">
        <v>1</v>
      </c>
      <c r="D594" s="385">
        <v>20.933333333333337</v>
      </c>
      <c r="E594" s="386">
        <v>1.6493357142857142E-3</v>
      </c>
      <c r="F594" s="384">
        <v>0</v>
      </c>
      <c r="G594" s="384">
        <v>0</v>
      </c>
      <c r="H594" s="384">
        <v>0</v>
      </c>
      <c r="I594" s="384">
        <v>0</v>
      </c>
      <c r="J594" s="384">
        <v>0</v>
      </c>
      <c r="K594" s="384">
        <v>0</v>
      </c>
      <c r="L594" s="387">
        <v>0</v>
      </c>
      <c r="M594" s="387">
        <v>0</v>
      </c>
      <c r="N594" s="388">
        <v>0</v>
      </c>
      <c r="O594" s="384">
        <v>0</v>
      </c>
      <c r="P594" s="388" t="s">
        <v>287</v>
      </c>
      <c r="Q594" s="384">
        <v>0</v>
      </c>
      <c r="R594" s="384">
        <v>0</v>
      </c>
      <c r="S594" s="384">
        <v>0</v>
      </c>
      <c r="T594" s="384">
        <v>0</v>
      </c>
      <c r="U594" s="384">
        <v>0</v>
      </c>
      <c r="V594" s="384">
        <v>0</v>
      </c>
      <c r="W594" s="384">
        <v>0</v>
      </c>
      <c r="X594" s="384">
        <v>0</v>
      </c>
      <c r="Y594" s="384">
        <v>0</v>
      </c>
      <c r="Z594" s="384">
        <v>0</v>
      </c>
      <c r="AA594" s="384">
        <v>0</v>
      </c>
      <c r="AB594" s="384">
        <v>0</v>
      </c>
      <c r="AC594" s="384">
        <v>0</v>
      </c>
      <c r="AD594" s="384">
        <v>0</v>
      </c>
      <c r="AE594" s="384">
        <v>0</v>
      </c>
      <c r="AF594" s="384">
        <v>0</v>
      </c>
      <c r="AG594" s="388">
        <v>1</v>
      </c>
    </row>
    <row r="595" spans="1:33" x14ac:dyDescent="0.25">
      <c r="A595" s="384" t="s">
        <v>170</v>
      </c>
      <c r="B595" s="384">
        <f t="shared" si="53"/>
        <v>3.3</v>
      </c>
      <c r="C595" s="384">
        <v>1</v>
      </c>
      <c r="D595" s="385">
        <v>19.795454545454543</v>
      </c>
      <c r="E595" s="386">
        <v>1.6493357142857142E-3</v>
      </c>
      <c r="F595" s="384">
        <v>0</v>
      </c>
      <c r="G595" s="384">
        <v>0</v>
      </c>
      <c r="H595" s="384">
        <v>0</v>
      </c>
      <c r="I595" s="384">
        <v>0</v>
      </c>
      <c r="J595" s="384">
        <v>0</v>
      </c>
      <c r="K595" s="384">
        <v>0</v>
      </c>
      <c r="L595" s="387">
        <v>0</v>
      </c>
      <c r="M595" s="387">
        <v>0</v>
      </c>
      <c r="N595" s="388">
        <v>0</v>
      </c>
      <c r="O595" s="384">
        <v>0</v>
      </c>
      <c r="P595" s="388" t="s">
        <v>288</v>
      </c>
      <c r="Q595" s="384">
        <v>0</v>
      </c>
      <c r="R595" s="384">
        <v>0</v>
      </c>
      <c r="S595" s="384">
        <v>0</v>
      </c>
      <c r="T595" s="384">
        <v>0</v>
      </c>
      <c r="U595" s="384">
        <v>0</v>
      </c>
      <c r="V595" s="384">
        <v>0</v>
      </c>
      <c r="W595" s="384">
        <v>0</v>
      </c>
      <c r="X595" s="384">
        <v>0</v>
      </c>
      <c r="Y595" s="384">
        <v>0</v>
      </c>
      <c r="Z595" s="384">
        <v>0</v>
      </c>
      <c r="AA595" s="384">
        <v>0</v>
      </c>
      <c r="AB595" s="384">
        <v>0</v>
      </c>
      <c r="AC595" s="384">
        <v>0</v>
      </c>
      <c r="AD595" s="384">
        <v>0</v>
      </c>
      <c r="AE595" s="384">
        <v>0</v>
      </c>
      <c r="AF595" s="384">
        <v>0</v>
      </c>
      <c r="AG595" s="388">
        <v>1</v>
      </c>
    </row>
    <row r="596" spans="1:33" x14ac:dyDescent="0.25">
      <c r="A596" s="384" t="s">
        <v>203</v>
      </c>
      <c r="B596" s="384">
        <f t="shared" si="53"/>
        <v>3.3</v>
      </c>
      <c r="C596" s="384">
        <v>1</v>
      </c>
      <c r="D596" s="385">
        <v>17</v>
      </c>
      <c r="E596" s="386">
        <v>4.272361904761904E-3</v>
      </c>
      <c r="F596" s="384">
        <v>0</v>
      </c>
      <c r="G596" s="384">
        <v>0</v>
      </c>
      <c r="H596" s="384">
        <v>0</v>
      </c>
      <c r="I596" s="384">
        <v>0</v>
      </c>
      <c r="J596" s="384">
        <v>0</v>
      </c>
      <c r="K596" s="384">
        <v>0</v>
      </c>
      <c r="L596" s="387">
        <v>0</v>
      </c>
      <c r="M596" s="387">
        <v>0</v>
      </c>
      <c r="N596" s="388">
        <v>0</v>
      </c>
      <c r="O596" s="384">
        <v>0</v>
      </c>
      <c r="P596" s="388" t="s">
        <v>289</v>
      </c>
      <c r="Q596" s="384">
        <v>10</v>
      </c>
      <c r="R596" s="384">
        <v>20</v>
      </c>
      <c r="S596" s="384">
        <v>10</v>
      </c>
      <c r="T596" s="384">
        <v>6.6666999999999996</v>
      </c>
      <c r="U596" s="384">
        <f t="shared" ref="U596:U601" si="54">1000*($B596-($B596/2))/100</f>
        <v>16.5</v>
      </c>
      <c r="V596" s="384">
        <f t="shared" ref="V596:V601" si="55">1000*($B596-($B596/2))/50</f>
        <v>33</v>
      </c>
      <c r="W596" s="384">
        <f t="shared" ref="W596:W601" si="56">1000*($B596-($B596/2))/100</f>
        <v>16.5</v>
      </c>
      <c r="X596" s="384">
        <f t="shared" ref="X596:X601" si="57">1000*($B596-($B596/2))/150</f>
        <v>11</v>
      </c>
      <c r="Y596" s="384">
        <f t="shared" ref="Y596:Y601" si="58">1000*(($B596* $B596/2)  + ($B596*($I596 - $J596)) / 2) / 100</f>
        <v>54.449999999999989</v>
      </c>
      <c r="Z596" s="384">
        <f t="shared" ref="Z596:Z601" si="59">1000*(($B596* $B596/2)  + ($B596*($I596 - $J596)) / 2) / 50</f>
        <v>108.89999999999998</v>
      </c>
      <c r="AA596" s="384">
        <f t="shared" ref="AA596:AA601" si="60">1000*(($B596* $B596/2)  + ($B596*($I596 - $J596)) / 2) / 100</f>
        <v>54.449999999999989</v>
      </c>
      <c r="AB596" s="384">
        <f t="shared" ref="AB596:AB601" si="61">1000*(($B596* $B596/2)  + ($B596*($I596 - $J596)) / 2) / 150</f>
        <v>36.299999999999997</v>
      </c>
      <c r="AC596" s="384">
        <v>3.03</v>
      </c>
      <c r="AD596" s="384">
        <v>6.0609999999999999</v>
      </c>
      <c r="AE596" s="384">
        <v>3.03</v>
      </c>
      <c r="AF596" s="384">
        <v>2.0202</v>
      </c>
      <c r="AG596" s="388">
        <v>1</v>
      </c>
    </row>
    <row r="597" spans="1:33" x14ac:dyDescent="0.25">
      <c r="A597" s="384" t="s">
        <v>171</v>
      </c>
      <c r="B597" s="384">
        <f t="shared" si="53"/>
        <v>3.3</v>
      </c>
      <c r="C597" s="384">
        <v>1</v>
      </c>
      <c r="D597" s="385">
        <v>18.26969696969697</v>
      </c>
      <c r="E597" s="386">
        <v>4.272361904761904E-3</v>
      </c>
      <c r="F597" s="384">
        <v>0</v>
      </c>
      <c r="G597" s="384">
        <v>0</v>
      </c>
      <c r="H597" s="384">
        <v>0</v>
      </c>
      <c r="I597" s="384">
        <v>0</v>
      </c>
      <c r="J597" s="384">
        <v>0</v>
      </c>
      <c r="K597" s="384">
        <v>0</v>
      </c>
      <c r="L597" s="387">
        <v>0</v>
      </c>
      <c r="M597" s="387">
        <v>0</v>
      </c>
      <c r="N597" s="388">
        <v>0</v>
      </c>
      <c r="O597" s="384">
        <v>0</v>
      </c>
      <c r="P597" s="388" t="s">
        <v>290</v>
      </c>
      <c r="Q597" s="384">
        <v>10</v>
      </c>
      <c r="R597" s="384">
        <v>20</v>
      </c>
      <c r="S597" s="384">
        <v>10</v>
      </c>
      <c r="T597" s="384">
        <v>6.6666999999999996</v>
      </c>
      <c r="U597" s="384">
        <f t="shared" si="54"/>
        <v>16.5</v>
      </c>
      <c r="V597" s="384">
        <f t="shared" si="55"/>
        <v>33</v>
      </c>
      <c r="W597" s="384">
        <f t="shared" si="56"/>
        <v>16.5</v>
      </c>
      <c r="X597" s="384">
        <f t="shared" si="57"/>
        <v>11</v>
      </c>
      <c r="Y597" s="384">
        <f t="shared" si="58"/>
        <v>54.449999999999989</v>
      </c>
      <c r="Z597" s="384">
        <f t="shared" si="59"/>
        <v>108.89999999999998</v>
      </c>
      <c r="AA597" s="384">
        <f t="shared" si="60"/>
        <v>54.449999999999989</v>
      </c>
      <c r="AB597" s="384">
        <f t="shared" si="61"/>
        <v>36.299999999999997</v>
      </c>
      <c r="AC597" s="384">
        <v>3.03</v>
      </c>
      <c r="AD597" s="384">
        <v>6.0609999999999999</v>
      </c>
      <c r="AE597" s="384">
        <v>3.03</v>
      </c>
      <c r="AF597" s="384">
        <v>2.0202</v>
      </c>
      <c r="AG597" s="388">
        <v>1</v>
      </c>
    </row>
    <row r="598" spans="1:33" x14ac:dyDescent="0.25">
      <c r="A598" s="384" t="s">
        <v>204</v>
      </c>
      <c r="B598" s="384">
        <f t="shared" si="53"/>
        <v>3.3</v>
      </c>
      <c r="C598" s="384">
        <v>1</v>
      </c>
      <c r="D598" s="385">
        <v>17.54</v>
      </c>
      <c r="E598" s="386">
        <v>3.687308333333333E-3</v>
      </c>
      <c r="F598" s="384">
        <v>0</v>
      </c>
      <c r="G598" s="384">
        <v>0</v>
      </c>
      <c r="H598" s="384">
        <v>0</v>
      </c>
      <c r="I598" s="384">
        <v>0</v>
      </c>
      <c r="J598" s="384">
        <v>0</v>
      </c>
      <c r="K598" s="384">
        <v>0</v>
      </c>
      <c r="L598" s="387">
        <v>0</v>
      </c>
      <c r="M598" s="387">
        <v>0</v>
      </c>
      <c r="N598" s="388">
        <v>0</v>
      </c>
      <c r="O598" s="384">
        <v>0</v>
      </c>
      <c r="P598" s="388" t="s">
        <v>291</v>
      </c>
      <c r="Q598" s="384">
        <v>10</v>
      </c>
      <c r="R598" s="384">
        <v>20</v>
      </c>
      <c r="S598" s="384">
        <v>10</v>
      </c>
      <c r="T598" s="384">
        <v>6.6666999999999996</v>
      </c>
      <c r="U598" s="384">
        <f t="shared" si="54"/>
        <v>16.5</v>
      </c>
      <c r="V598" s="384">
        <f t="shared" si="55"/>
        <v>33</v>
      </c>
      <c r="W598" s="384">
        <f t="shared" si="56"/>
        <v>16.5</v>
      </c>
      <c r="X598" s="384">
        <f t="shared" si="57"/>
        <v>11</v>
      </c>
      <c r="Y598" s="384">
        <f t="shared" si="58"/>
        <v>54.449999999999989</v>
      </c>
      <c r="Z598" s="384">
        <f t="shared" si="59"/>
        <v>108.89999999999998</v>
      </c>
      <c r="AA598" s="384">
        <f t="shared" si="60"/>
        <v>54.449999999999989</v>
      </c>
      <c r="AB598" s="384">
        <f t="shared" si="61"/>
        <v>36.299999999999997</v>
      </c>
      <c r="AC598" s="384">
        <v>3.03</v>
      </c>
      <c r="AD598" s="384">
        <v>6.0609999999999999</v>
      </c>
      <c r="AE598" s="384">
        <v>3.03</v>
      </c>
      <c r="AF598" s="384">
        <v>2.0202</v>
      </c>
      <c r="AG598" s="388">
        <v>1</v>
      </c>
    </row>
    <row r="599" spans="1:33" x14ac:dyDescent="0.25">
      <c r="A599" s="384" t="s">
        <v>172</v>
      </c>
      <c r="B599" s="384">
        <f t="shared" si="53"/>
        <v>3.3</v>
      </c>
      <c r="C599" s="384">
        <v>1</v>
      </c>
      <c r="D599" s="385">
        <v>18.835090909090912</v>
      </c>
      <c r="E599" s="386">
        <v>3.687308333333333E-3</v>
      </c>
      <c r="F599" s="384">
        <v>0</v>
      </c>
      <c r="G599" s="384">
        <v>0</v>
      </c>
      <c r="H599" s="384">
        <v>0</v>
      </c>
      <c r="I599" s="384">
        <v>0</v>
      </c>
      <c r="J599" s="384">
        <v>0</v>
      </c>
      <c r="K599" s="384">
        <v>0</v>
      </c>
      <c r="L599" s="387">
        <v>0</v>
      </c>
      <c r="M599" s="387">
        <v>0</v>
      </c>
      <c r="N599" s="388">
        <v>0</v>
      </c>
      <c r="O599" s="384">
        <v>0</v>
      </c>
      <c r="P599" s="388" t="s">
        <v>292</v>
      </c>
      <c r="Q599" s="384">
        <v>10</v>
      </c>
      <c r="R599" s="384">
        <v>20</v>
      </c>
      <c r="S599" s="384">
        <v>10</v>
      </c>
      <c r="T599" s="384">
        <v>6.6666999999999996</v>
      </c>
      <c r="U599" s="384">
        <f t="shared" si="54"/>
        <v>16.5</v>
      </c>
      <c r="V599" s="384">
        <f t="shared" si="55"/>
        <v>33</v>
      </c>
      <c r="W599" s="384">
        <f t="shared" si="56"/>
        <v>16.5</v>
      </c>
      <c r="X599" s="384">
        <f t="shared" si="57"/>
        <v>11</v>
      </c>
      <c r="Y599" s="384">
        <f t="shared" si="58"/>
        <v>54.449999999999989</v>
      </c>
      <c r="Z599" s="384">
        <f t="shared" si="59"/>
        <v>108.89999999999998</v>
      </c>
      <c r="AA599" s="384">
        <f t="shared" si="60"/>
        <v>54.449999999999989</v>
      </c>
      <c r="AB599" s="384">
        <f t="shared" si="61"/>
        <v>36.299999999999997</v>
      </c>
      <c r="AC599" s="384">
        <v>3.03</v>
      </c>
      <c r="AD599" s="384">
        <v>6.0609999999999999</v>
      </c>
      <c r="AE599" s="384">
        <v>3.03</v>
      </c>
      <c r="AF599" s="384">
        <v>2.0202</v>
      </c>
      <c r="AG599" s="388">
        <v>1</v>
      </c>
    </row>
    <row r="600" spans="1:33" x14ac:dyDescent="0.25">
      <c r="A600" s="384" t="s">
        <v>205</v>
      </c>
      <c r="B600" s="384">
        <f t="shared" si="53"/>
        <v>3.3</v>
      </c>
      <c r="C600" s="384">
        <v>1</v>
      </c>
      <c r="D600" s="385">
        <v>18.5</v>
      </c>
      <c r="E600" s="386">
        <v>5.3445988095238081E-3</v>
      </c>
      <c r="F600" s="384">
        <v>0</v>
      </c>
      <c r="G600" s="384">
        <v>0</v>
      </c>
      <c r="H600" s="384">
        <v>0</v>
      </c>
      <c r="I600" s="384">
        <v>0</v>
      </c>
      <c r="J600" s="384">
        <v>0</v>
      </c>
      <c r="K600" s="384">
        <v>0</v>
      </c>
      <c r="L600" s="387">
        <v>0</v>
      </c>
      <c r="M600" s="387">
        <v>0</v>
      </c>
      <c r="N600" s="388">
        <v>0</v>
      </c>
      <c r="O600" s="384">
        <v>0</v>
      </c>
      <c r="P600" s="388" t="s">
        <v>293</v>
      </c>
      <c r="Q600" s="384">
        <v>10</v>
      </c>
      <c r="R600" s="384">
        <v>20</v>
      </c>
      <c r="S600" s="384">
        <v>10</v>
      </c>
      <c r="T600" s="384">
        <v>6.6666999999999996</v>
      </c>
      <c r="U600" s="384">
        <f t="shared" si="54"/>
        <v>16.5</v>
      </c>
      <c r="V600" s="384">
        <f t="shared" si="55"/>
        <v>33</v>
      </c>
      <c r="W600" s="384">
        <f t="shared" si="56"/>
        <v>16.5</v>
      </c>
      <c r="X600" s="384">
        <f t="shared" si="57"/>
        <v>11</v>
      </c>
      <c r="Y600" s="384">
        <f t="shared" si="58"/>
        <v>54.449999999999989</v>
      </c>
      <c r="Z600" s="384">
        <f t="shared" si="59"/>
        <v>108.89999999999998</v>
      </c>
      <c r="AA600" s="384">
        <f t="shared" si="60"/>
        <v>54.449999999999989</v>
      </c>
      <c r="AB600" s="384">
        <f t="shared" si="61"/>
        <v>36.299999999999997</v>
      </c>
      <c r="AC600" s="384">
        <v>3.03</v>
      </c>
      <c r="AD600" s="384">
        <v>6.0609999999999999</v>
      </c>
      <c r="AE600" s="384">
        <v>3.03</v>
      </c>
      <c r="AF600" s="384">
        <v>2.0202</v>
      </c>
      <c r="AG600" s="388">
        <v>1</v>
      </c>
    </row>
    <row r="601" spans="1:33" x14ac:dyDescent="0.25">
      <c r="A601" s="384" t="s">
        <v>173</v>
      </c>
      <c r="B601" s="384">
        <f t="shared" si="53"/>
        <v>3.3</v>
      </c>
      <c r="C601" s="384">
        <v>1</v>
      </c>
      <c r="D601" s="385">
        <v>20.668686868686869</v>
      </c>
      <c r="E601" s="386">
        <v>5.3445988095238081E-3</v>
      </c>
      <c r="F601" s="384">
        <v>0</v>
      </c>
      <c r="G601" s="384">
        <v>0</v>
      </c>
      <c r="H601" s="384">
        <v>0</v>
      </c>
      <c r="I601" s="384">
        <v>0</v>
      </c>
      <c r="J601" s="384">
        <v>0</v>
      </c>
      <c r="K601" s="384">
        <v>0</v>
      </c>
      <c r="L601" s="387">
        <v>0</v>
      </c>
      <c r="M601" s="387">
        <v>0</v>
      </c>
      <c r="N601" s="388">
        <v>0</v>
      </c>
      <c r="O601" s="384">
        <v>0</v>
      </c>
      <c r="P601" s="388" t="s">
        <v>294</v>
      </c>
      <c r="Q601" s="384">
        <v>10</v>
      </c>
      <c r="R601" s="384">
        <v>20</v>
      </c>
      <c r="S601" s="384">
        <v>10</v>
      </c>
      <c r="T601" s="384">
        <v>6.6666999999999996</v>
      </c>
      <c r="U601" s="384">
        <f t="shared" si="54"/>
        <v>16.5</v>
      </c>
      <c r="V601" s="384">
        <f t="shared" si="55"/>
        <v>33</v>
      </c>
      <c r="W601" s="384">
        <f t="shared" si="56"/>
        <v>16.5</v>
      </c>
      <c r="X601" s="384">
        <f t="shared" si="57"/>
        <v>11</v>
      </c>
      <c r="Y601" s="384">
        <f t="shared" si="58"/>
        <v>54.449999999999989</v>
      </c>
      <c r="Z601" s="384">
        <f t="shared" si="59"/>
        <v>108.89999999999998</v>
      </c>
      <c r="AA601" s="384">
        <f t="shared" si="60"/>
        <v>54.449999999999989</v>
      </c>
      <c r="AB601" s="384">
        <f t="shared" si="61"/>
        <v>36.299999999999997</v>
      </c>
      <c r="AC601" s="384">
        <v>3.03</v>
      </c>
      <c r="AD601" s="384">
        <v>6.0609999999999999</v>
      </c>
      <c r="AE601" s="384">
        <v>3.03</v>
      </c>
      <c r="AF601" s="384">
        <v>2.0202</v>
      </c>
      <c r="AG601" s="388">
        <v>1</v>
      </c>
    </row>
    <row r="602" spans="1:33" x14ac:dyDescent="0.25">
      <c r="A602" s="384" t="s">
        <v>137</v>
      </c>
      <c r="B602" s="384">
        <f>VCCO25</f>
        <v>2.5</v>
      </c>
      <c r="C602" s="384">
        <v>2</v>
      </c>
      <c r="D602" s="385">
        <v>2.2802699999999998</v>
      </c>
      <c r="E602" s="386">
        <v>3.6999999999999999E-4</v>
      </c>
      <c r="F602" s="384">
        <f>IF(POWERMODE="Hibernate",0,IF(VCCAUX&lt;=2.625,1.98,IF(VCCAUX&gt;2.625,3.87,0)))</f>
        <v>3.87</v>
      </c>
      <c r="G602" s="384">
        <v>0</v>
      </c>
      <c r="H602" s="384">
        <v>0.28999999999999998</v>
      </c>
      <c r="I602" s="384">
        <v>0</v>
      </c>
      <c r="J602" s="384">
        <v>0</v>
      </c>
      <c r="K602" s="384">
        <v>3.3</v>
      </c>
      <c r="L602" s="387">
        <v>0</v>
      </c>
      <c r="M602" s="384">
        <f>B602*K602</f>
        <v>8.25</v>
      </c>
      <c r="N602" s="388">
        <v>7.75</v>
      </c>
      <c r="O602" s="384">
        <v>1.2250000000000001</v>
      </c>
      <c r="P602" s="388" t="s">
        <v>295</v>
      </c>
      <c r="Q602" s="384">
        <v>0</v>
      </c>
      <c r="R602" s="384">
        <v>0</v>
      </c>
      <c r="S602" s="384">
        <v>0</v>
      </c>
      <c r="T602" s="384">
        <v>0</v>
      </c>
      <c r="U602" s="384">
        <v>0</v>
      </c>
      <c r="V602" s="384">
        <v>0</v>
      </c>
      <c r="W602" s="384">
        <v>0</v>
      </c>
      <c r="X602" s="384">
        <v>0</v>
      </c>
      <c r="Y602" s="384">
        <v>0</v>
      </c>
      <c r="Z602" s="384">
        <v>0</v>
      </c>
      <c r="AA602" s="384">
        <v>0</v>
      </c>
      <c r="AB602" s="384">
        <v>0</v>
      </c>
      <c r="AC602" s="384">
        <v>0</v>
      </c>
      <c r="AD602" s="384">
        <v>0</v>
      </c>
      <c r="AE602" s="384">
        <v>0</v>
      </c>
      <c r="AF602" s="384">
        <v>0</v>
      </c>
      <c r="AG602" s="388">
        <v>2</v>
      </c>
    </row>
    <row r="603" spans="1:33" x14ac:dyDescent="0.25">
      <c r="A603" s="384" t="s">
        <v>401</v>
      </c>
      <c r="B603" s="384">
        <f>VCCO33</f>
        <v>3.3</v>
      </c>
      <c r="C603" s="384">
        <v>2</v>
      </c>
      <c r="D603" s="385">
        <v>2.2802699999999998</v>
      </c>
      <c r="E603" s="386">
        <v>3.6999999999999999E-4</v>
      </c>
      <c r="F603" s="384">
        <v>3.97</v>
      </c>
      <c r="G603" s="384">
        <v>0</v>
      </c>
      <c r="H603" s="384">
        <v>0.41</v>
      </c>
      <c r="I603" s="384">
        <v>0</v>
      </c>
      <c r="J603" s="384">
        <v>0</v>
      </c>
      <c r="K603" s="384">
        <v>3.3</v>
      </c>
      <c r="L603" s="387">
        <v>0</v>
      </c>
      <c r="M603" s="384">
        <f>B603*K603</f>
        <v>10.889999999999999</v>
      </c>
      <c r="N603" s="388">
        <v>10.38</v>
      </c>
      <c r="O603" s="384">
        <v>1.2250000000000001</v>
      </c>
      <c r="P603" s="388" t="s">
        <v>377</v>
      </c>
      <c r="Q603" s="384">
        <v>0</v>
      </c>
      <c r="R603" s="384">
        <v>0</v>
      </c>
      <c r="S603" s="384">
        <v>0</v>
      </c>
      <c r="T603" s="384">
        <v>0</v>
      </c>
      <c r="U603" s="384">
        <v>0</v>
      </c>
      <c r="V603" s="384">
        <v>0</v>
      </c>
      <c r="W603" s="384">
        <v>0</v>
      </c>
      <c r="X603" s="384">
        <v>0</v>
      </c>
      <c r="Y603" s="384">
        <v>0</v>
      </c>
      <c r="Z603" s="384">
        <v>0</v>
      </c>
      <c r="AA603" s="384">
        <v>0</v>
      </c>
      <c r="AB603" s="384">
        <v>0</v>
      </c>
      <c r="AC603" s="384">
        <v>0</v>
      </c>
      <c r="AD603" s="384">
        <v>0</v>
      </c>
      <c r="AE603" s="384">
        <v>0</v>
      </c>
      <c r="AF603" s="384">
        <v>0</v>
      </c>
      <c r="AG603" s="388">
        <v>2</v>
      </c>
    </row>
    <row r="604" spans="1:33" x14ac:dyDescent="0.25">
      <c r="A604" s="384" t="s">
        <v>482</v>
      </c>
      <c r="B604" s="384">
        <f>VCCO25</f>
        <v>2.5</v>
      </c>
      <c r="C604" s="384">
        <v>2</v>
      </c>
      <c r="D604" s="385">
        <v>3.72533</v>
      </c>
      <c r="E604" s="386">
        <v>3.6999999999999999E-4</v>
      </c>
      <c r="F604" s="384">
        <f>IF(POWERMODE="Hibernate",0,IF(VCCAUX&lt;=2.625,1.98,IF(VCCAUX&gt;2.625,3.87,0)))</f>
        <v>3.87</v>
      </c>
      <c r="G604" s="384">
        <v>0</v>
      </c>
      <c r="H604" s="384">
        <v>0.28999999999999998</v>
      </c>
      <c r="I604" s="384">
        <v>0</v>
      </c>
      <c r="J604" s="384">
        <v>0</v>
      </c>
      <c r="K604" s="384">
        <v>3.3</v>
      </c>
      <c r="L604" s="387">
        <v>0</v>
      </c>
      <c r="M604" s="384">
        <f>B604*K604</f>
        <v>8.25</v>
      </c>
      <c r="N604" s="388">
        <v>7.75</v>
      </c>
      <c r="O604" s="384">
        <v>0</v>
      </c>
      <c r="P604" s="388" t="s">
        <v>296</v>
      </c>
      <c r="Q604" s="384">
        <v>0</v>
      </c>
      <c r="R604" s="384">
        <v>0</v>
      </c>
      <c r="S604" s="384">
        <v>0</v>
      </c>
      <c r="T604" s="384">
        <v>0</v>
      </c>
      <c r="U604" s="384">
        <v>0</v>
      </c>
      <c r="V604" s="384">
        <v>0</v>
      </c>
      <c r="W604" s="384">
        <v>0</v>
      </c>
      <c r="X604" s="384">
        <v>0</v>
      </c>
      <c r="Y604" s="384">
        <v>0</v>
      </c>
      <c r="Z604" s="384">
        <v>0</v>
      </c>
      <c r="AA604" s="384">
        <v>0</v>
      </c>
      <c r="AB604" s="384">
        <v>0</v>
      </c>
      <c r="AC604" s="384">
        <v>0</v>
      </c>
      <c r="AD604" s="384">
        <v>0</v>
      </c>
      <c r="AE604" s="384">
        <v>0</v>
      </c>
      <c r="AF604" s="384">
        <v>0</v>
      </c>
      <c r="AG604" s="388">
        <v>0</v>
      </c>
    </row>
    <row r="605" spans="1:33" x14ac:dyDescent="0.25">
      <c r="A605" s="384" t="s">
        <v>483</v>
      </c>
      <c r="B605" s="384">
        <f t="shared" ref="B605:B619" si="62">VCCO33</f>
        <v>3.3</v>
      </c>
      <c r="C605" s="384">
        <v>2</v>
      </c>
      <c r="D605" s="385">
        <v>3.72533</v>
      </c>
      <c r="E605" s="386">
        <v>3.6999999999999999E-4</v>
      </c>
      <c r="F605" s="384">
        <v>3.97</v>
      </c>
      <c r="G605" s="384">
        <v>0</v>
      </c>
      <c r="H605" s="384">
        <v>0.41</v>
      </c>
      <c r="I605" s="384">
        <v>0</v>
      </c>
      <c r="J605" s="384">
        <v>0</v>
      </c>
      <c r="K605" s="384">
        <v>3.3</v>
      </c>
      <c r="L605" s="387">
        <v>0</v>
      </c>
      <c r="M605" s="384">
        <f>B605*K605</f>
        <v>10.889999999999999</v>
      </c>
      <c r="N605" s="388">
        <v>10.38</v>
      </c>
      <c r="O605" s="384">
        <v>0</v>
      </c>
      <c r="P605" s="388" t="s">
        <v>484</v>
      </c>
      <c r="Q605" s="384">
        <v>0</v>
      </c>
      <c r="R605" s="384">
        <v>0</v>
      </c>
      <c r="S605" s="384">
        <v>0</v>
      </c>
      <c r="T605" s="384">
        <v>0</v>
      </c>
      <c r="U605" s="384">
        <v>0</v>
      </c>
      <c r="V605" s="384">
        <v>0</v>
      </c>
      <c r="W605" s="384">
        <v>0</v>
      </c>
      <c r="X605" s="384">
        <v>0</v>
      </c>
      <c r="Y605" s="384">
        <v>0</v>
      </c>
      <c r="Z605" s="384">
        <v>0</v>
      </c>
      <c r="AA605" s="384">
        <v>0</v>
      </c>
      <c r="AB605" s="384">
        <v>0</v>
      </c>
      <c r="AC605" s="384">
        <v>0</v>
      </c>
      <c r="AD605" s="384">
        <v>0</v>
      </c>
      <c r="AE605" s="384">
        <v>0</v>
      </c>
      <c r="AF605" s="384">
        <v>0</v>
      </c>
      <c r="AG605" s="388">
        <v>0</v>
      </c>
    </row>
    <row r="606" spans="1:33" x14ac:dyDescent="0.25">
      <c r="A606" s="384" t="s">
        <v>174</v>
      </c>
      <c r="B606" s="384">
        <f t="shared" si="62"/>
        <v>3.3</v>
      </c>
      <c r="C606" s="384">
        <v>1</v>
      </c>
      <c r="D606" s="385">
        <v>8.3333333333333321</v>
      </c>
      <c r="E606" s="386">
        <v>1.2274607142857144E-3</v>
      </c>
      <c r="F606" s="384">
        <v>0</v>
      </c>
      <c r="G606" s="384">
        <v>0</v>
      </c>
      <c r="H606" s="384">
        <v>0</v>
      </c>
      <c r="I606" s="384">
        <v>0</v>
      </c>
      <c r="J606" s="384">
        <v>0</v>
      </c>
      <c r="K606" s="384">
        <v>0</v>
      </c>
      <c r="L606" s="387">
        <v>0</v>
      </c>
      <c r="M606" s="387">
        <v>0</v>
      </c>
      <c r="N606" s="388">
        <v>0</v>
      </c>
      <c r="O606" s="384">
        <v>0</v>
      </c>
      <c r="P606" s="388" t="s">
        <v>297</v>
      </c>
      <c r="Q606" s="384">
        <v>0</v>
      </c>
      <c r="R606" s="384">
        <v>0</v>
      </c>
      <c r="S606" s="384">
        <v>0</v>
      </c>
      <c r="T606" s="384">
        <v>0</v>
      </c>
      <c r="U606" s="384">
        <v>0</v>
      </c>
      <c r="V606" s="384">
        <v>0</v>
      </c>
      <c r="W606" s="384">
        <v>0</v>
      </c>
      <c r="X606" s="384">
        <v>0</v>
      </c>
      <c r="Y606" s="384">
        <v>0</v>
      </c>
      <c r="Z606" s="384">
        <v>0</v>
      </c>
      <c r="AA606" s="384">
        <v>0</v>
      </c>
      <c r="AB606" s="384">
        <v>0</v>
      </c>
      <c r="AC606" s="384">
        <v>0</v>
      </c>
      <c r="AD606" s="384">
        <v>0</v>
      </c>
      <c r="AE606" s="384">
        <v>0</v>
      </c>
      <c r="AF606" s="384">
        <v>0</v>
      </c>
      <c r="AG606" s="388">
        <v>1</v>
      </c>
    </row>
    <row r="607" spans="1:33" x14ac:dyDescent="0.25">
      <c r="A607" s="384" t="s">
        <v>142</v>
      </c>
      <c r="B607" s="384">
        <f t="shared" si="62"/>
        <v>3.3</v>
      </c>
      <c r="C607" s="384">
        <v>1</v>
      </c>
      <c r="D607" s="385">
        <v>9.3454545454545439</v>
      </c>
      <c r="E607" s="386">
        <v>1.2274607142857144E-3</v>
      </c>
      <c r="F607" s="384">
        <v>0</v>
      </c>
      <c r="G607" s="384">
        <v>0</v>
      </c>
      <c r="H607" s="384">
        <v>0</v>
      </c>
      <c r="I607" s="384">
        <v>0</v>
      </c>
      <c r="J607" s="384">
        <v>0</v>
      </c>
      <c r="K607" s="384">
        <v>0</v>
      </c>
      <c r="L607" s="387">
        <v>0</v>
      </c>
      <c r="M607" s="387">
        <v>0</v>
      </c>
      <c r="N607" s="388">
        <v>0</v>
      </c>
      <c r="O607" s="384">
        <v>0</v>
      </c>
      <c r="P607" s="388" t="s">
        <v>298</v>
      </c>
      <c r="Q607" s="384">
        <v>0</v>
      </c>
      <c r="R607" s="384">
        <v>0</v>
      </c>
      <c r="S607" s="384">
        <v>0</v>
      </c>
      <c r="T607" s="384">
        <v>0</v>
      </c>
      <c r="U607" s="384">
        <v>0</v>
      </c>
      <c r="V607" s="384">
        <v>0</v>
      </c>
      <c r="W607" s="384">
        <v>0</v>
      </c>
      <c r="X607" s="384">
        <v>0</v>
      </c>
      <c r="Y607" s="384">
        <v>0</v>
      </c>
      <c r="Z607" s="384">
        <v>0</v>
      </c>
      <c r="AA607" s="384">
        <v>0</v>
      </c>
      <c r="AB607" s="384">
        <v>0</v>
      </c>
      <c r="AC607" s="384">
        <v>0</v>
      </c>
      <c r="AD607" s="384">
        <v>0</v>
      </c>
      <c r="AE607" s="384">
        <v>0</v>
      </c>
      <c r="AF607" s="384">
        <v>0</v>
      </c>
      <c r="AG607" s="388">
        <v>1</v>
      </c>
    </row>
    <row r="608" spans="1:33" x14ac:dyDescent="0.25">
      <c r="A608" s="384" t="s">
        <v>175</v>
      </c>
      <c r="B608" s="384">
        <f t="shared" si="62"/>
        <v>3.3</v>
      </c>
      <c r="C608" s="384">
        <v>1</v>
      </c>
      <c r="D608" s="385">
        <v>12.4</v>
      </c>
      <c r="E608" s="386">
        <v>1.5462476190476191E-3</v>
      </c>
      <c r="F608" s="384">
        <v>0</v>
      </c>
      <c r="G608" s="384">
        <v>0</v>
      </c>
      <c r="H608" s="384">
        <v>0</v>
      </c>
      <c r="I608" s="384">
        <v>0</v>
      </c>
      <c r="J608" s="384">
        <v>0</v>
      </c>
      <c r="K608" s="384">
        <v>0</v>
      </c>
      <c r="L608" s="387">
        <v>0</v>
      </c>
      <c r="M608" s="387">
        <v>0</v>
      </c>
      <c r="N608" s="388">
        <v>0</v>
      </c>
      <c r="O608" s="384">
        <v>0</v>
      </c>
      <c r="P608" s="388" t="s">
        <v>299</v>
      </c>
      <c r="Q608" s="384">
        <v>0</v>
      </c>
      <c r="R608" s="384">
        <v>0</v>
      </c>
      <c r="S608" s="384">
        <v>0</v>
      </c>
      <c r="T608" s="384">
        <v>0</v>
      </c>
      <c r="U608" s="384">
        <v>0</v>
      </c>
      <c r="V608" s="384">
        <v>0</v>
      </c>
      <c r="W608" s="384">
        <v>0</v>
      </c>
      <c r="X608" s="384">
        <v>0</v>
      </c>
      <c r="Y608" s="384">
        <v>0</v>
      </c>
      <c r="Z608" s="384">
        <v>0</v>
      </c>
      <c r="AA608" s="384">
        <v>0</v>
      </c>
      <c r="AB608" s="384">
        <v>0</v>
      </c>
      <c r="AC608" s="384">
        <v>0</v>
      </c>
      <c r="AD608" s="384">
        <v>0</v>
      </c>
      <c r="AE608" s="384">
        <v>0</v>
      </c>
      <c r="AF608" s="384">
        <v>0</v>
      </c>
      <c r="AG608" s="388">
        <v>1</v>
      </c>
    </row>
    <row r="609" spans="1:33" x14ac:dyDescent="0.25">
      <c r="A609" s="384" t="s">
        <v>143</v>
      </c>
      <c r="B609" s="384">
        <f t="shared" si="62"/>
        <v>3.3</v>
      </c>
      <c r="C609" s="384">
        <v>1</v>
      </c>
      <c r="D609" s="385">
        <v>13.214545454545451</v>
      </c>
      <c r="E609" s="386">
        <v>1.5462476190476191E-3</v>
      </c>
      <c r="F609" s="384">
        <v>0</v>
      </c>
      <c r="G609" s="384">
        <v>0</v>
      </c>
      <c r="H609" s="384">
        <v>0</v>
      </c>
      <c r="I609" s="384">
        <v>0</v>
      </c>
      <c r="J609" s="384">
        <v>0</v>
      </c>
      <c r="K609" s="384">
        <v>0</v>
      </c>
      <c r="L609" s="387">
        <v>0</v>
      </c>
      <c r="M609" s="387">
        <v>0</v>
      </c>
      <c r="N609" s="388">
        <v>0</v>
      </c>
      <c r="O609" s="384">
        <v>0</v>
      </c>
      <c r="P609" s="388" t="s">
        <v>300</v>
      </c>
      <c r="Q609" s="384">
        <v>0</v>
      </c>
      <c r="R609" s="384">
        <v>0</v>
      </c>
      <c r="S609" s="384">
        <v>0</v>
      </c>
      <c r="T609" s="384">
        <v>0</v>
      </c>
      <c r="U609" s="384">
        <v>0</v>
      </c>
      <c r="V609" s="384">
        <v>0</v>
      </c>
      <c r="W609" s="384">
        <v>0</v>
      </c>
      <c r="X609" s="384">
        <v>0</v>
      </c>
      <c r="Y609" s="384">
        <v>0</v>
      </c>
      <c r="Z609" s="384">
        <v>0</v>
      </c>
      <c r="AA609" s="384">
        <v>0</v>
      </c>
      <c r="AB609" s="384">
        <v>0</v>
      </c>
      <c r="AC609" s="384">
        <v>0</v>
      </c>
      <c r="AD609" s="384">
        <v>0</v>
      </c>
      <c r="AE609" s="384">
        <v>0</v>
      </c>
      <c r="AF609" s="384">
        <v>0</v>
      </c>
      <c r="AG609" s="388">
        <v>1</v>
      </c>
    </row>
    <row r="610" spans="1:33" x14ac:dyDescent="0.25">
      <c r="A610" s="384" t="s">
        <v>176</v>
      </c>
      <c r="B610" s="384">
        <f t="shared" si="62"/>
        <v>3.3</v>
      </c>
      <c r="C610" s="384">
        <v>1</v>
      </c>
      <c r="D610" s="385">
        <v>16.666666666666671</v>
      </c>
      <c r="E610" s="386">
        <v>2.7096297619047618E-3</v>
      </c>
      <c r="F610" s="384">
        <v>0</v>
      </c>
      <c r="G610" s="384">
        <v>0</v>
      </c>
      <c r="H610" s="384">
        <v>0</v>
      </c>
      <c r="I610" s="384">
        <v>0</v>
      </c>
      <c r="J610" s="384">
        <v>0</v>
      </c>
      <c r="K610" s="384">
        <v>0</v>
      </c>
      <c r="L610" s="387">
        <v>0</v>
      </c>
      <c r="M610" s="387">
        <v>0</v>
      </c>
      <c r="N610" s="388">
        <v>0</v>
      </c>
      <c r="O610" s="384">
        <v>0</v>
      </c>
      <c r="P610" s="388" t="s">
        <v>301</v>
      </c>
      <c r="Q610" s="384">
        <v>0</v>
      </c>
      <c r="R610" s="384">
        <v>0</v>
      </c>
      <c r="S610" s="384">
        <v>0</v>
      </c>
      <c r="T610" s="384">
        <v>0</v>
      </c>
      <c r="U610" s="384">
        <v>0</v>
      </c>
      <c r="V610" s="384">
        <v>0</v>
      </c>
      <c r="W610" s="384">
        <v>0</v>
      </c>
      <c r="X610" s="384">
        <v>0</v>
      </c>
      <c r="Y610" s="384">
        <v>0</v>
      </c>
      <c r="Z610" s="384">
        <v>0</v>
      </c>
      <c r="AA610" s="384">
        <v>0</v>
      </c>
      <c r="AB610" s="384">
        <v>0</v>
      </c>
      <c r="AC610" s="384">
        <v>0</v>
      </c>
      <c r="AD610" s="384">
        <v>0</v>
      </c>
      <c r="AE610" s="384">
        <v>0</v>
      </c>
      <c r="AF610" s="384">
        <v>0</v>
      </c>
      <c r="AG610" s="388">
        <v>1</v>
      </c>
    </row>
    <row r="611" spans="1:33" x14ac:dyDescent="0.25">
      <c r="A611" s="384" t="s">
        <v>144</v>
      </c>
      <c r="B611" s="384">
        <f t="shared" si="62"/>
        <v>3.3</v>
      </c>
      <c r="C611" s="384">
        <v>1</v>
      </c>
      <c r="D611" s="385">
        <v>17.636363636363637</v>
      </c>
      <c r="E611" s="386">
        <v>2.7096297619047618E-3</v>
      </c>
      <c r="F611" s="384">
        <v>0</v>
      </c>
      <c r="G611" s="384">
        <v>0</v>
      </c>
      <c r="H611" s="384">
        <v>0</v>
      </c>
      <c r="I611" s="384">
        <v>0</v>
      </c>
      <c r="J611" s="384">
        <v>0</v>
      </c>
      <c r="K611" s="384">
        <v>0</v>
      </c>
      <c r="L611" s="387">
        <v>0</v>
      </c>
      <c r="M611" s="387">
        <v>0</v>
      </c>
      <c r="N611" s="388">
        <v>0</v>
      </c>
      <c r="O611" s="384">
        <v>0</v>
      </c>
      <c r="P611" s="388" t="s">
        <v>302</v>
      </c>
      <c r="Q611" s="384">
        <v>0</v>
      </c>
      <c r="R611" s="384">
        <v>0</v>
      </c>
      <c r="S611" s="384">
        <v>0</v>
      </c>
      <c r="T611" s="384">
        <v>0</v>
      </c>
      <c r="U611" s="384">
        <v>0</v>
      </c>
      <c r="V611" s="384">
        <v>0</v>
      </c>
      <c r="W611" s="384">
        <v>0</v>
      </c>
      <c r="X611" s="384">
        <v>0</v>
      </c>
      <c r="Y611" s="384">
        <v>0</v>
      </c>
      <c r="Z611" s="384">
        <v>0</v>
      </c>
      <c r="AA611" s="384">
        <v>0</v>
      </c>
      <c r="AB611" s="384">
        <v>0</v>
      </c>
      <c r="AC611" s="384">
        <v>0</v>
      </c>
      <c r="AD611" s="384">
        <v>0</v>
      </c>
      <c r="AE611" s="384">
        <v>0</v>
      </c>
      <c r="AF611" s="384">
        <v>0</v>
      </c>
      <c r="AG611" s="388">
        <v>1</v>
      </c>
    </row>
    <row r="612" spans="1:33" x14ac:dyDescent="0.25">
      <c r="A612" s="384" t="s">
        <v>177</v>
      </c>
      <c r="B612" s="384">
        <f t="shared" si="62"/>
        <v>3.3</v>
      </c>
      <c r="C612" s="384">
        <v>1</v>
      </c>
      <c r="D612" s="385">
        <v>20.933333333333337</v>
      </c>
      <c r="E612" s="386">
        <v>1.6434833333333332E-3</v>
      </c>
      <c r="F612" s="384">
        <v>0</v>
      </c>
      <c r="G612" s="384">
        <v>0</v>
      </c>
      <c r="H612" s="384">
        <v>0</v>
      </c>
      <c r="I612" s="384">
        <v>0</v>
      </c>
      <c r="J612" s="384">
        <v>0</v>
      </c>
      <c r="K612" s="384">
        <v>0</v>
      </c>
      <c r="L612" s="387">
        <v>0</v>
      </c>
      <c r="M612" s="387">
        <v>0</v>
      </c>
      <c r="N612" s="388">
        <v>0</v>
      </c>
      <c r="O612" s="384">
        <v>0</v>
      </c>
      <c r="P612" s="388" t="s">
        <v>303</v>
      </c>
      <c r="Q612" s="384">
        <v>0</v>
      </c>
      <c r="R612" s="384">
        <v>0</v>
      </c>
      <c r="S612" s="384">
        <v>0</v>
      </c>
      <c r="T612" s="384">
        <v>0</v>
      </c>
      <c r="U612" s="384">
        <v>0</v>
      </c>
      <c r="V612" s="384">
        <v>0</v>
      </c>
      <c r="W612" s="384">
        <v>0</v>
      </c>
      <c r="X612" s="384">
        <v>0</v>
      </c>
      <c r="Y612" s="384">
        <v>0</v>
      </c>
      <c r="Z612" s="384">
        <v>0</v>
      </c>
      <c r="AA612" s="384">
        <v>0</v>
      </c>
      <c r="AB612" s="384">
        <v>0</v>
      </c>
      <c r="AC612" s="384">
        <v>0</v>
      </c>
      <c r="AD612" s="384">
        <v>0</v>
      </c>
      <c r="AE612" s="384">
        <v>0</v>
      </c>
      <c r="AF612" s="384">
        <v>0</v>
      </c>
      <c r="AG612" s="388">
        <v>1</v>
      </c>
    </row>
    <row r="613" spans="1:33" x14ac:dyDescent="0.25">
      <c r="A613" s="384" t="s">
        <v>145</v>
      </c>
      <c r="B613" s="384">
        <f t="shared" si="62"/>
        <v>3.3</v>
      </c>
      <c r="C613" s="384">
        <v>1</v>
      </c>
      <c r="D613" s="385">
        <v>19.795454545454543</v>
      </c>
      <c r="E613" s="386">
        <v>1.6434833333333332E-3</v>
      </c>
      <c r="F613" s="384">
        <v>0</v>
      </c>
      <c r="G613" s="384">
        <v>0</v>
      </c>
      <c r="H613" s="384">
        <v>0</v>
      </c>
      <c r="I613" s="384">
        <v>0</v>
      </c>
      <c r="J613" s="384">
        <v>0</v>
      </c>
      <c r="K613" s="384">
        <v>0</v>
      </c>
      <c r="L613" s="387">
        <v>0</v>
      </c>
      <c r="M613" s="387">
        <v>0</v>
      </c>
      <c r="N613" s="388">
        <v>0</v>
      </c>
      <c r="O613" s="384">
        <v>0</v>
      </c>
      <c r="P613" s="388" t="s">
        <v>304</v>
      </c>
      <c r="Q613" s="384">
        <v>0</v>
      </c>
      <c r="R613" s="384">
        <v>0</v>
      </c>
      <c r="S613" s="384">
        <v>0</v>
      </c>
      <c r="T613" s="384">
        <v>0</v>
      </c>
      <c r="U613" s="384">
        <v>0</v>
      </c>
      <c r="V613" s="384">
        <v>0</v>
      </c>
      <c r="W613" s="384">
        <v>0</v>
      </c>
      <c r="X613" s="384">
        <v>0</v>
      </c>
      <c r="Y613" s="384">
        <v>0</v>
      </c>
      <c r="Z613" s="384">
        <v>0</v>
      </c>
      <c r="AA613" s="384">
        <v>0</v>
      </c>
      <c r="AB613" s="384">
        <v>0</v>
      </c>
      <c r="AC613" s="384">
        <v>0</v>
      </c>
      <c r="AD613" s="384">
        <v>0</v>
      </c>
      <c r="AE613" s="384">
        <v>0</v>
      </c>
      <c r="AF613" s="384">
        <v>0</v>
      </c>
      <c r="AG613" s="388">
        <v>1</v>
      </c>
    </row>
    <row r="614" spans="1:33" x14ac:dyDescent="0.25">
      <c r="A614" s="384" t="s">
        <v>178</v>
      </c>
      <c r="B614" s="384">
        <f t="shared" si="62"/>
        <v>3.3</v>
      </c>
      <c r="C614" s="384">
        <v>1</v>
      </c>
      <c r="D614" s="385">
        <v>17</v>
      </c>
      <c r="E614" s="386">
        <v>4.2741178571428576E-3</v>
      </c>
      <c r="F614" s="384">
        <v>0</v>
      </c>
      <c r="G614" s="384">
        <v>0</v>
      </c>
      <c r="H614" s="384">
        <v>0</v>
      </c>
      <c r="I614" s="384">
        <v>0</v>
      </c>
      <c r="J614" s="384">
        <v>0</v>
      </c>
      <c r="K614" s="384">
        <v>0</v>
      </c>
      <c r="L614" s="387">
        <v>0</v>
      </c>
      <c r="M614" s="387">
        <v>0</v>
      </c>
      <c r="N614" s="388">
        <v>0</v>
      </c>
      <c r="O614" s="384">
        <v>0</v>
      </c>
      <c r="P614" s="388" t="s">
        <v>305</v>
      </c>
      <c r="Q614" s="384">
        <v>0</v>
      </c>
      <c r="R614" s="384">
        <v>0</v>
      </c>
      <c r="S614" s="384">
        <v>0</v>
      </c>
      <c r="T614" s="384">
        <v>0</v>
      </c>
      <c r="U614" s="384">
        <v>0</v>
      </c>
      <c r="V614" s="384">
        <v>0</v>
      </c>
      <c r="W614" s="384">
        <v>0</v>
      </c>
      <c r="X614" s="384">
        <v>0</v>
      </c>
      <c r="Y614" s="384">
        <v>0</v>
      </c>
      <c r="Z614" s="384">
        <v>0</v>
      </c>
      <c r="AA614" s="384">
        <v>0</v>
      </c>
      <c r="AB614" s="384">
        <v>0</v>
      </c>
      <c r="AC614" s="384">
        <v>0</v>
      </c>
      <c r="AD614" s="384">
        <v>0</v>
      </c>
      <c r="AE614" s="384">
        <v>0</v>
      </c>
      <c r="AF614" s="384">
        <v>0</v>
      </c>
      <c r="AG614" s="388">
        <v>1</v>
      </c>
    </row>
    <row r="615" spans="1:33" x14ac:dyDescent="0.25">
      <c r="A615" s="384" t="s">
        <v>146</v>
      </c>
      <c r="B615" s="384">
        <f t="shared" si="62"/>
        <v>3.3</v>
      </c>
      <c r="C615" s="384">
        <v>1</v>
      </c>
      <c r="D615" s="385">
        <v>18.26969696969697</v>
      </c>
      <c r="E615" s="386">
        <v>4.2741178571428576E-3</v>
      </c>
      <c r="F615" s="384">
        <v>0</v>
      </c>
      <c r="G615" s="384">
        <v>0</v>
      </c>
      <c r="H615" s="384">
        <v>0</v>
      </c>
      <c r="I615" s="384">
        <v>0</v>
      </c>
      <c r="J615" s="384">
        <v>0</v>
      </c>
      <c r="K615" s="384">
        <v>0</v>
      </c>
      <c r="L615" s="387">
        <v>0</v>
      </c>
      <c r="M615" s="387">
        <v>0</v>
      </c>
      <c r="N615" s="388">
        <v>0</v>
      </c>
      <c r="O615" s="384">
        <v>0</v>
      </c>
      <c r="P615" s="388" t="s">
        <v>306</v>
      </c>
      <c r="Q615" s="384">
        <v>0</v>
      </c>
      <c r="R615" s="384">
        <v>0</v>
      </c>
      <c r="S615" s="384">
        <v>0</v>
      </c>
      <c r="T615" s="384">
        <v>0</v>
      </c>
      <c r="U615" s="384">
        <v>0</v>
      </c>
      <c r="V615" s="384">
        <v>0</v>
      </c>
      <c r="W615" s="384">
        <v>0</v>
      </c>
      <c r="X615" s="384">
        <v>0</v>
      </c>
      <c r="Y615" s="384">
        <v>0</v>
      </c>
      <c r="Z615" s="384">
        <v>0</v>
      </c>
      <c r="AA615" s="384">
        <v>0</v>
      </c>
      <c r="AB615" s="384">
        <v>0</v>
      </c>
      <c r="AC615" s="384">
        <v>0</v>
      </c>
      <c r="AD615" s="384">
        <v>0</v>
      </c>
      <c r="AE615" s="384">
        <v>0</v>
      </c>
      <c r="AF615" s="384">
        <v>0</v>
      </c>
      <c r="AG615" s="388">
        <v>1</v>
      </c>
    </row>
    <row r="616" spans="1:33" x14ac:dyDescent="0.25">
      <c r="A616" s="384" t="s">
        <v>179</v>
      </c>
      <c r="B616" s="384">
        <f t="shared" si="62"/>
        <v>3.3</v>
      </c>
      <c r="C616" s="384">
        <v>1</v>
      </c>
      <c r="D616" s="385">
        <v>17.54</v>
      </c>
      <c r="E616" s="386">
        <v>3.6894333333333334E-3</v>
      </c>
      <c r="F616" s="384">
        <v>0</v>
      </c>
      <c r="G616" s="384">
        <v>0</v>
      </c>
      <c r="H616" s="384">
        <v>0</v>
      </c>
      <c r="I616" s="384">
        <v>0</v>
      </c>
      <c r="J616" s="384">
        <v>0</v>
      </c>
      <c r="K616" s="384">
        <v>0</v>
      </c>
      <c r="L616" s="387">
        <v>0</v>
      </c>
      <c r="M616" s="387">
        <v>0</v>
      </c>
      <c r="N616" s="388">
        <v>0</v>
      </c>
      <c r="O616" s="384">
        <v>0</v>
      </c>
      <c r="P616" s="388" t="s">
        <v>307</v>
      </c>
      <c r="Q616" s="384">
        <v>0</v>
      </c>
      <c r="R616" s="384">
        <v>0</v>
      </c>
      <c r="S616" s="384">
        <v>0</v>
      </c>
      <c r="T616" s="384">
        <v>0</v>
      </c>
      <c r="U616" s="384">
        <v>0</v>
      </c>
      <c r="V616" s="384">
        <v>0</v>
      </c>
      <c r="W616" s="384">
        <v>0</v>
      </c>
      <c r="X616" s="384">
        <v>0</v>
      </c>
      <c r="Y616" s="384">
        <v>0</v>
      </c>
      <c r="Z616" s="384">
        <v>0</v>
      </c>
      <c r="AA616" s="384">
        <v>0</v>
      </c>
      <c r="AB616" s="384">
        <v>0</v>
      </c>
      <c r="AC616" s="384">
        <v>0</v>
      </c>
      <c r="AD616" s="384">
        <v>0</v>
      </c>
      <c r="AE616" s="384">
        <v>0</v>
      </c>
      <c r="AF616" s="384">
        <v>0</v>
      </c>
      <c r="AG616" s="388">
        <v>1</v>
      </c>
    </row>
    <row r="617" spans="1:33" x14ac:dyDescent="0.25">
      <c r="A617" s="384" t="s">
        <v>147</v>
      </c>
      <c r="B617" s="384">
        <f t="shared" si="62"/>
        <v>3.3</v>
      </c>
      <c r="C617" s="384">
        <v>1</v>
      </c>
      <c r="D617" s="385">
        <v>18.835090909090912</v>
      </c>
      <c r="E617" s="386">
        <v>3.6894333333333334E-3</v>
      </c>
      <c r="F617" s="384">
        <v>0</v>
      </c>
      <c r="G617" s="384">
        <v>0</v>
      </c>
      <c r="H617" s="384">
        <v>0</v>
      </c>
      <c r="I617" s="384">
        <v>0</v>
      </c>
      <c r="J617" s="384">
        <v>0</v>
      </c>
      <c r="K617" s="384">
        <v>0</v>
      </c>
      <c r="L617" s="387">
        <v>0</v>
      </c>
      <c r="M617" s="387">
        <v>0</v>
      </c>
      <c r="N617" s="388">
        <v>0</v>
      </c>
      <c r="O617" s="384">
        <v>0</v>
      </c>
      <c r="P617" s="388" t="s">
        <v>308</v>
      </c>
      <c r="Q617" s="384">
        <v>0</v>
      </c>
      <c r="R617" s="384">
        <v>0</v>
      </c>
      <c r="S617" s="384">
        <v>0</v>
      </c>
      <c r="T617" s="384">
        <v>0</v>
      </c>
      <c r="U617" s="384">
        <v>0</v>
      </c>
      <c r="V617" s="384">
        <v>0</v>
      </c>
      <c r="W617" s="384">
        <v>0</v>
      </c>
      <c r="X617" s="384">
        <v>0</v>
      </c>
      <c r="Y617" s="384">
        <v>0</v>
      </c>
      <c r="Z617" s="384">
        <v>0</v>
      </c>
      <c r="AA617" s="384">
        <v>0</v>
      </c>
      <c r="AB617" s="384">
        <v>0</v>
      </c>
      <c r="AC617" s="384">
        <v>0</v>
      </c>
      <c r="AD617" s="384">
        <v>0</v>
      </c>
      <c r="AE617" s="384">
        <v>0</v>
      </c>
      <c r="AF617" s="384">
        <v>0</v>
      </c>
      <c r="AG617" s="388">
        <v>1</v>
      </c>
    </row>
    <row r="618" spans="1:33" x14ac:dyDescent="0.25">
      <c r="A618" s="384" t="s">
        <v>180</v>
      </c>
      <c r="B618" s="384">
        <f t="shared" si="62"/>
        <v>3.3</v>
      </c>
      <c r="C618" s="384">
        <v>1</v>
      </c>
      <c r="D618" s="385">
        <v>18.5</v>
      </c>
      <c r="E618" s="386">
        <v>5.3535678571428576E-3</v>
      </c>
      <c r="F618" s="384">
        <v>0</v>
      </c>
      <c r="G618" s="384">
        <v>0</v>
      </c>
      <c r="H618" s="384">
        <v>0</v>
      </c>
      <c r="I618" s="384">
        <v>0</v>
      </c>
      <c r="J618" s="384">
        <v>0</v>
      </c>
      <c r="K618" s="384">
        <v>0</v>
      </c>
      <c r="L618" s="387">
        <v>0</v>
      </c>
      <c r="M618" s="387">
        <v>0</v>
      </c>
      <c r="N618" s="388">
        <v>0</v>
      </c>
      <c r="O618" s="384">
        <v>0</v>
      </c>
      <c r="P618" s="388" t="s">
        <v>309</v>
      </c>
      <c r="Q618" s="384">
        <v>0</v>
      </c>
      <c r="R618" s="384">
        <v>0</v>
      </c>
      <c r="S618" s="384">
        <v>0</v>
      </c>
      <c r="T618" s="384">
        <v>0</v>
      </c>
      <c r="U618" s="384">
        <v>0</v>
      </c>
      <c r="V618" s="384">
        <v>0</v>
      </c>
      <c r="W618" s="384">
        <v>0</v>
      </c>
      <c r="X618" s="384">
        <v>0</v>
      </c>
      <c r="Y618" s="384">
        <v>0</v>
      </c>
      <c r="Z618" s="384">
        <v>0</v>
      </c>
      <c r="AA618" s="384">
        <v>0</v>
      </c>
      <c r="AB618" s="384">
        <v>0</v>
      </c>
      <c r="AC618" s="384">
        <v>0</v>
      </c>
      <c r="AD618" s="384">
        <v>0</v>
      </c>
      <c r="AE618" s="384">
        <v>0</v>
      </c>
      <c r="AF618" s="384">
        <v>0</v>
      </c>
      <c r="AG618" s="388">
        <v>1</v>
      </c>
    </row>
    <row r="619" spans="1:33" x14ac:dyDescent="0.25">
      <c r="A619" s="384" t="s">
        <v>148</v>
      </c>
      <c r="B619" s="384">
        <f t="shared" si="62"/>
        <v>3.3</v>
      </c>
      <c r="C619" s="384">
        <v>1</v>
      </c>
      <c r="D619" s="385">
        <v>20.668686868686869</v>
      </c>
      <c r="E619" s="386">
        <v>5.3535678571428576E-3</v>
      </c>
      <c r="F619" s="384">
        <v>0</v>
      </c>
      <c r="G619" s="384">
        <v>0</v>
      </c>
      <c r="H619" s="384">
        <v>0</v>
      </c>
      <c r="I619" s="384">
        <v>0</v>
      </c>
      <c r="J619" s="384">
        <v>0</v>
      </c>
      <c r="K619" s="384">
        <v>0</v>
      </c>
      <c r="L619" s="387">
        <v>0</v>
      </c>
      <c r="M619" s="387">
        <v>0</v>
      </c>
      <c r="N619" s="388">
        <v>0</v>
      </c>
      <c r="O619" s="384">
        <v>0</v>
      </c>
      <c r="P619" s="388" t="s">
        <v>310</v>
      </c>
      <c r="Q619" s="384">
        <v>0</v>
      </c>
      <c r="R619" s="384">
        <v>0</v>
      </c>
      <c r="S619" s="384">
        <v>0</v>
      </c>
      <c r="T619" s="384">
        <v>0</v>
      </c>
      <c r="U619" s="384">
        <v>0</v>
      </c>
      <c r="V619" s="384">
        <v>0</v>
      </c>
      <c r="W619" s="384">
        <v>0</v>
      </c>
      <c r="X619" s="384">
        <v>0</v>
      </c>
      <c r="Y619" s="384">
        <v>0</v>
      </c>
      <c r="Z619" s="384">
        <v>0</v>
      </c>
      <c r="AA619" s="384">
        <v>0</v>
      </c>
      <c r="AB619" s="384">
        <v>0</v>
      </c>
      <c r="AC619" s="384">
        <v>0</v>
      </c>
      <c r="AD619" s="384">
        <v>0</v>
      </c>
      <c r="AE619" s="384">
        <v>0</v>
      </c>
      <c r="AF619" s="384">
        <v>0</v>
      </c>
      <c r="AG619" s="388">
        <v>1</v>
      </c>
    </row>
    <row r="620" spans="1:33" x14ac:dyDescent="0.25">
      <c r="A620" s="384" t="s">
        <v>485</v>
      </c>
      <c r="B620" s="384">
        <f>VCCO25</f>
        <v>2.5</v>
      </c>
      <c r="C620" s="384">
        <v>2</v>
      </c>
      <c r="D620" s="385">
        <v>2.2802699999999998</v>
      </c>
      <c r="E620" s="386">
        <v>3.6999999999999999E-4</v>
      </c>
      <c r="F620" s="384">
        <f>IF(POWERMODE="Hibernate",0,IF(VCCAUX&lt;=2.625,1.98,IF(VCCAUX&gt;2.625,3.87,0)))</f>
        <v>3.87</v>
      </c>
      <c r="G620" s="384">
        <v>0</v>
      </c>
      <c r="H620" s="384">
        <v>0.28999999999999998</v>
      </c>
      <c r="I620" s="384">
        <v>0</v>
      </c>
      <c r="J620" s="384">
        <v>0</v>
      </c>
      <c r="K620" s="384">
        <v>3.3</v>
      </c>
      <c r="L620" s="387">
        <v>0</v>
      </c>
      <c r="M620" s="384">
        <f>B620*K620</f>
        <v>8.25</v>
      </c>
      <c r="N620" s="388">
        <v>7.75</v>
      </c>
      <c r="O620" s="384">
        <v>1.575</v>
      </c>
      <c r="P620" s="388" t="s">
        <v>375</v>
      </c>
      <c r="Q620" s="384">
        <v>0</v>
      </c>
      <c r="R620" s="384">
        <v>0</v>
      </c>
      <c r="S620" s="384">
        <v>0</v>
      </c>
      <c r="T620" s="384">
        <v>0</v>
      </c>
      <c r="U620" s="384">
        <v>0</v>
      </c>
      <c r="V620" s="384">
        <v>0</v>
      </c>
      <c r="W620" s="384">
        <v>0</v>
      </c>
      <c r="X620" s="384">
        <v>0</v>
      </c>
      <c r="Y620" s="384">
        <v>0</v>
      </c>
      <c r="Z620" s="384">
        <v>0</v>
      </c>
      <c r="AA620" s="384">
        <v>0</v>
      </c>
      <c r="AB620" s="384">
        <v>0</v>
      </c>
      <c r="AC620" s="384">
        <v>0</v>
      </c>
      <c r="AD620" s="384">
        <v>0</v>
      </c>
      <c r="AE620" s="384">
        <v>0</v>
      </c>
      <c r="AF620" s="384">
        <v>0</v>
      </c>
      <c r="AG620" s="388">
        <v>2</v>
      </c>
    </row>
    <row r="621" spans="1:33" x14ac:dyDescent="0.25">
      <c r="A621" s="384" t="s">
        <v>486</v>
      </c>
      <c r="B621" s="384">
        <f>VCCO33</f>
        <v>3.3</v>
      </c>
      <c r="C621" s="384">
        <v>2</v>
      </c>
      <c r="D621" s="385">
        <v>2.2802699999999998</v>
      </c>
      <c r="E621" s="386">
        <v>3.6999999999999999E-4</v>
      </c>
      <c r="F621" s="384">
        <v>3.97</v>
      </c>
      <c r="G621" s="384">
        <v>0</v>
      </c>
      <c r="H621" s="384">
        <v>0.41</v>
      </c>
      <c r="I621" s="384">
        <v>0</v>
      </c>
      <c r="J621" s="384">
        <v>0</v>
      </c>
      <c r="K621" s="384">
        <v>3.3</v>
      </c>
      <c r="L621" s="387">
        <v>0</v>
      </c>
      <c r="M621" s="384">
        <f>B621*K621</f>
        <v>10.889999999999999</v>
      </c>
      <c r="N621" s="388">
        <v>10.38</v>
      </c>
      <c r="O621" s="384">
        <v>1.575</v>
      </c>
      <c r="P621" s="388" t="s">
        <v>376</v>
      </c>
      <c r="Q621" s="384">
        <v>0</v>
      </c>
      <c r="R621" s="384">
        <v>0</v>
      </c>
      <c r="S621" s="384">
        <v>0</v>
      </c>
      <c r="T621" s="384">
        <v>0</v>
      </c>
      <c r="U621" s="384">
        <v>0</v>
      </c>
      <c r="V621" s="384">
        <v>0</v>
      </c>
      <c r="W621" s="384">
        <v>0</v>
      </c>
      <c r="X621" s="384">
        <v>0</v>
      </c>
      <c r="Y621" s="384">
        <v>0</v>
      </c>
      <c r="Z621" s="384">
        <v>0</v>
      </c>
      <c r="AA621" s="384">
        <v>0</v>
      </c>
      <c r="AB621" s="384">
        <v>0</v>
      </c>
      <c r="AC621" s="384">
        <v>0</v>
      </c>
      <c r="AD621" s="384">
        <v>0</v>
      </c>
      <c r="AE621" s="384">
        <v>0</v>
      </c>
      <c r="AF621" s="384">
        <v>0</v>
      </c>
      <c r="AG621" s="388">
        <v>2</v>
      </c>
    </row>
    <row r="622" spans="1:33" x14ac:dyDescent="0.25">
      <c r="A622" s="384" t="s">
        <v>908</v>
      </c>
      <c r="B622" s="384">
        <f>VCCO18</f>
        <v>1.8</v>
      </c>
      <c r="C622" s="384">
        <v>1</v>
      </c>
      <c r="D622" s="385">
        <v>23.749623999999997</v>
      </c>
      <c r="E622" s="386">
        <v>3.2848071428571426E-3</v>
      </c>
      <c r="F622" s="384">
        <v>0</v>
      </c>
      <c r="G622" s="384">
        <v>0</v>
      </c>
      <c r="H622" s="384">
        <v>0</v>
      </c>
      <c r="I622" s="384">
        <f>($B622/2) + 0.47</f>
        <v>1.37</v>
      </c>
      <c r="J622" s="384">
        <f>($B622/2) - 0.47</f>
        <v>0.43000000000000005</v>
      </c>
      <c r="K622" s="384">
        <v>4.7</v>
      </c>
      <c r="L622" s="384">
        <f>1000*($B622-($B622/2))/100</f>
        <v>9</v>
      </c>
      <c r="M622" s="387">
        <f>1000*$B622*($I622-$J622)/(4*50)</f>
        <v>8.4600000000000009</v>
      </c>
      <c r="N622" s="388">
        <f>((B622-I622)*ABS((B622/2-I622))/(20+50)+J622*(B622/2-J622)/(20+50))/2*1000</f>
        <v>2.887142857142857</v>
      </c>
      <c r="O622" s="384">
        <v>0</v>
      </c>
      <c r="P622" s="388" t="s">
        <v>899</v>
      </c>
      <c r="Q622" s="384">
        <v>4.7</v>
      </c>
      <c r="R622" s="384">
        <v>9.4</v>
      </c>
      <c r="S622" s="384">
        <v>4.7</v>
      </c>
      <c r="T622" s="384">
        <v>2.4</v>
      </c>
      <c r="U622" s="384">
        <f>1000*($B622-($B622/2))/100</f>
        <v>9</v>
      </c>
      <c r="V622" s="384">
        <f>1000*($B622-($B622/2))/50</f>
        <v>18</v>
      </c>
      <c r="W622" s="384">
        <f>1000*($B622-($B622/2))/100</f>
        <v>9</v>
      </c>
      <c r="X622" s="384">
        <f>1000*($B622-($B622/2))/150</f>
        <v>6</v>
      </c>
      <c r="Y622" s="384">
        <f>1000*(($B622* $B622/2)  + ($B622*($I622 - $J622)) / 2) / 100</f>
        <v>24.66</v>
      </c>
      <c r="Z622" s="384">
        <f>1000*(($B622* $B622/2)  + ($B622*($I622 - $J622)) / 2) / 50</f>
        <v>49.32</v>
      </c>
      <c r="AA622" s="384">
        <f>1000*(($B622* $B622/2)  + ($B622*($I622 - $J622)) / 2) / 100</f>
        <v>24.66</v>
      </c>
      <c r="AB622" s="384">
        <f>1000*(($B622* $B622/2)  + ($B622*($I622 - $J622)) / 2) / 150</f>
        <v>16.440000000000001</v>
      </c>
      <c r="AC622" s="388">
        <v>3.6</v>
      </c>
      <c r="AD622" s="384">
        <v>7.2</v>
      </c>
      <c r="AE622" s="388">
        <v>3.6</v>
      </c>
      <c r="AF622" s="384">
        <v>2.2000000000000002</v>
      </c>
      <c r="AG622" s="388">
        <v>1</v>
      </c>
    </row>
    <row r="623" spans="1:33" x14ac:dyDescent="0.25">
      <c r="A623" s="384" t="s">
        <v>497</v>
      </c>
      <c r="B623" s="384">
        <f>VCCO33</f>
        <v>3.3</v>
      </c>
      <c r="C623" s="384">
        <v>1</v>
      </c>
      <c r="D623" s="385">
        <v>15.050509999999999</v>
      </c>
      <c r="E623" s="386">
        <v>5.6311761904761894E-3</v>
      </c>
      <c r="F623" s="384">
        <v>0</v>
      </c>
      <c r="G623" s="384">
        <v>0</v>
      </c>
      <c r="H623" s="384">
        <v>0</v>
      </c>
      <c r="I623" s="384">
        <v>0</v>
      </c>
      <c r="J623" s="384">
        <v>0</v>
      </c>
      <c r="K623" s="384">
        <v>0</v>
      </c>
      <c r="L623" s="387">
        <v>0</v>
      </c>
      <c r="M623" s="387">
        <v>0</v>
      </c>
      <c r="N623" s="388">
        <v>0</v>
      </c>
      <c r="O623" s="384">
        <v>0</v>
      </c>
      <c r="P623" s="388" t="s">
        <v>311</v>
      </c>
      <c r="Q623" s="384">
        <v>0</v>
      </c>
      <c r="R623" s="384">
        <v>0</v>
      </c>
      <c r="S623" s="384">
        <v>0</v>
      </c>
      <c r="T623" s="384">
        <v>0</v>
      </c>
      <c r="U623" s="384">
        <v>0</v>
      </c>
      <c r="V623" s="384">
        <v>0</v>
      </c>
      <c r="W623" s="384">
        <v>0</v>
      </c>
      <c r="X623" s="384">
        <v>0</v>
      </c>
      <c r="Y623" s="384">
        <v>0</v>
      </c>
      <c r="Z623" s="384">
        <v>0</v>
      </c>
      <c r="AA623" s="384">
        <v>0</v>
      </c>
      <c r="AB623" s="384">
        <v>0</v>
      </c>
      <c r="AC623" s="384">
        <v>0</v>
      </c>
      <c r="AD623" s="384">
        <v>0</v>
      </c>
      <c r="AE623" s="384">
        <v>0</v>
      </c>
      <c r="AF623" s="384">
        <v>0</v>
      </c>
      <c r="AG623" s="388">
        <v>1</v>
      </c>
    </row>
    <row r="624" spans="1:33" x14ac:dyDescent="0.25">
      <c r="A624" s="384" t="s">
        <v>498</v>
      </c>
      <c r="B624" s="384">
        <f>VCCO33</f>
        <v>3.3</v>
      </c>
      <c r="C624" s="384">
        <v>1</v>
      </c>
      <c r="D624" s="385">
        <v>14.94613</v>
      </c>
      <c r="E624" s="386">
        <v>5.6289785714285718E-3</v>
      </c>
      <c r="F624" s="384">
        <v>0</v>
      </c>
      <c r="G624" s="384">
        <v>0</v>
      </c>
      <c r="H624" s="384">
        <v>0</v>
      </c>
      <c r="I624" s="384">
        <v>0</v>
      </c>
      <c r="J624" s="384">
        <v>0</v>
      </c>
      <c r="K624" s="384">
        <v>0</v>
      </c>
      <c r="L624" s="387">
        <v>0</v>
      </c>
      <c r="M624" s="387">
        <v>0</v>
      </c>
      <c r="N624" s="388">
        <v>0</v>
      </c>
      <c r="O624" s="384">
        <v>0</v>
      </c>
      <c r="P624" s="388" t="s">
        <v>312</v>
      </c>
      <c r="Q624" s="384">
        <v>0</v>
      </c>
      <c r="R624" s="384">
        <v>0</v>
      </c>
      <c r="S624" s="384">
        <v>0</v>
      </c>
      <c r="T624" s="384">
        <v>0</v>
      </c>
      <c r="U624" s="384">
        <v>0</v>
      </c>
      <c r="V624" s="384">
        <v>0</v>
      </c>
      <c r="W624" s="384">
        <v>0</v>
      </c>
      <c r="X624" s="384">
        <v>0</v>
      </c>
      <c r="Y624" s="384">
        <v>0</v>
      </c>
      <c r="Z624" s="384">
        <v>0</v>
      </c>
      <c r="AA624" s="384">
        <v>0</v>
      </c>
      <c r="AB624" s="384">
        <v>0</v>
      </c>
      <c r="AC624" s="384">
        <v>0</v>
      </c>
      <c r="AD624" s="384">
        <v>0</v>
      </c>
      <c r="AE624" s="384">
        <v>0</v>
      </c>
      <c r="AF624" s="384">
        <v>0</v>
      </c>
      <c r="AG624" s="388">
        <v>1</v>
      </c>
    </row>
    <row r="625" spans="1:33" x14ac:dyDescent="0.25">
      <c r="A625" s="384" t="s">
        <v>360</v>
      </c>
      <c r="B625" s="384">
        <f>VCCO25</f>
        <v>2.5</v>
      </c>
      <c r="C625" s="384">
        <v>2</v>
      </c>
      <c r="D625" s="385">
        <v>2.2802699999999998</v>
      </c>
      <c r="E625" s="384">
        <v>3.6999999999999999E-4</v>
      </c>
      <c r="F625" s="384">
        <f>IF(POWERMODE="Hibernate",0,IF(VCCAUX&lt;=2.625,1.98,IF(VCCAUX&gt;2.625,3.87,0)))</f>
        <v>3.87</v>
      </c>
      <c r="G625" s="384">
        <v>0</v>
      </c>
      <c r="H625" s="384">
        <v>0.28999999999999998</v>
      </c>
      <c r="I625" s="384">
        <v>0</v>
      </c>
      <c r="J625" s="384">
        <v>0</v>
      </c>
      <c r="K625" s="384">
        <v>3.3</v>
      </c>
      <c r="L625" s="384">
        <v>0</v>
      </c>
      <c r="M625" s="384">
        <f>B625*K625</f>
        <v>8.25</v>
      </c>
      <c r="N625" s="388">
        <v>7.75</v>
      </c>
      <c r="O625" s="384">
        <v>0.875</v>
      </c>
      <c r="P625" s="388" t="s">
        <v>363</v>
      </c>
      <c r="Q625" s="384">
        <v>0</v>
      </c>
      <c r="R625" s="384">
        <v>0</v>
      </c>
      <c r="S625" s="384">
        <v>0</v>
      </c>
      <c r="T625" s="384">
        <v>0</v>
      </c>
      <c r="U625" s="384">
        <v>0</v>
      </c>
      <c r="V625" s="384">
        <v>0</v>
      </c>
      <c r="W625" s="384">
        <v>0</v>
      </c>
      <c r="X625" s="384">
        <v>0</v>
      </c>
      <c r="Y625" s="384">
        <v>0</v>
      </c>
      <c r="Z625" s="384">
        <v>0</v>
      </c>
      <c r="AA625" s="384">
        <v>0</v>
      </c>
      <c r="AB625" s="384">
        <v>0</v>
      </c>
      <c r="AC625" s="384">
        <v>0</v>
      </c>
      <c r="AD625" s="384">
        <v>0</v>
      </c>
      <c r="AE625" s="384">
        <v>0</v>
      </c>
      <c r="AF625" s="384">
        <v>0</v>
      </c>
      <c r="AG625" s="388">
        <v>2</v>
      </c>
    </row>
    <row r="626" spans="1:33" x14ac:dyDescent="0.25">
      <c r="A626" s="384" t="s">
        <v>361</v>
      </c>
      <c r="B626" s="384">
        <f>VCCO33</f>
        <v>3.3</v>
      </c>
      <c r="C626" s="384">
        <v>2</v>
      </c>
      <c r="D626" s="385">
        <v>2.2802699999999998</v>
      </c>
      <c r="E626" s="384">
        <v>3.6999999999999999E-4</v>
      </c>
      <c r="F626" s="384">
        <v>3.97</v>
      </c>
      <c r="G626" s="384">
        <v>0</v>
      </c>
      <c r="H626" s="384">
        <v>0.41</v>
      </c>
      <c r="I626" s="384">
        <v>0</v>
      </c>
      <c r="J626" s="384">
        <v>0</v>
      </c>
      <c r="K626" s="384">
        <v>3.3</v>
      </c>
      <c r="L626" s="384">
        <v>0</v>
      </c>
      <c r="M626" s="384">
        <f>B626*K626</f>
        <v>10.889999999999999</v>
      </c>
      <c r="N626" s="388">
        <v>10.38</v>
      </c>
      <c r="O626" s="384">
        <v>0.875</v>
      </c>
      <c r="P626" s="388" t="s">
        <v>364</v>
      </c>
      <c r="Q626" s="384">
        <v>0</v>
      </c>
      <c r="R626" s="384">
        <v>0</v>
      </c>
      <c r="S626" s="384">
        <v>0</v>
      </c>
      <c r="T626" s="384">
        <v>0</v>
      </c>
      <c r="U626" s="384">
        <v>0</v>
      </c>
      <c r="V626" s="384">
        <v>0</v>
      </c>
      <c r="W626" s="384">
        <v>0</v>
      </c>
      <c r="X626" s="384">
        <v>0</v>
      </c>
      <c r="Y626" s="384">
        <v>0</v>
      </c>
      <c r="Z626" s="384">
        <v>0</v>
      </c>
      <c r="AA626" s="384">
        <v>0</v>
      </c>
      <c r="AB626" s="384">
        <v>0</v>
      </c>
      <c r="AC626" s="384">
        <v>0</v>
      </c>
      <c r="AD626" s="384">
        <v>0</v>
      </c>
      <c r="AE626" s="384">
        <v>0</v>
      </c>
      <c r="AF626" s="384">
        <v>0</v>
      </c>
      <c r="AG626" s="388">
        <v>2</v>
      </c>
    </row>
    <row r="627" spans="1:33" x14ac:dyDescent="0.25">
      <c r="A627" s="384" t="s">
        <v>206</v>
      </c>
      <c r="B627" s="384">
        <f>VCCO25</f>
        <v>2.5</v>
      </c>
      <c r="C627" s="384">
        <v>2</v>
      </c>
      <c r="D627" s="385">
        <v>2.2802699999999998</v>
      </c>
      <c r="E627" s="386">
        <v>3.6999999999999999E-4</v>
      </c>
      <c r="F627" s="384">
        <f>IF(POWERMODE="Hibernate",0,IF(VCCAUX&lt;=2.625,1.98,IF(VCCAUX&gt;2.625,3.87,0)))</f>
        <v>3.87</v>
      </c>
      <c r="G627" s="384">
        <v>0</v>
      </c>
      <c r="H627" s="384">
        <v>0.28999999999999998</v>
      </c>
      <c r="I627" s="384">
        <v>0</v>
      </c>
      <c r="J627" s="384">
        <v>0</v>
      </c>
      <c r="K627" s="384">
        <v>3.3</v>
      </c>
      <c r="L627" s="387">
        <v>0</v>
      </c>
      <c r="M627" s="384">
        <f>B627*K627</f>
        <v>8.25</v>
      </c>
      <c r="N627" s="388">
        <v>7.75</v>
      </c>
      <c r="O627" s="384">
        <v>0.875</v>
      </c>
      <c r="P627" s="388" t="s">
        <v>313</v>
      </c>
      <c r="Q627" s="384">
        <v>0</v>
      </c>
      <c r="R627" s="384">
        <v>0</v>
      </c>
      <c r="S627" s="384">
        <v>0</v>
      </c>
      <c r="T627" s="384">
        <v>0</v>
      </c>
      <c r="U627" s="384">
        <v>0</v>
      </c>
      <c r="V627" s="384">
        <v>0</v>
      </c>
      <c r="W627" s="384">
        <v>0</v>
      </c>
      <c r="X627" s="384">
        <v>0</v>
      </c>
      <c r="Y627" s="384">
        <v>0</v>
      </c>
      <c r="Z627" s="384">
        <v>0</v>
      </c>
      <c r="AA627" s="384">
        <v>0</v>
      </c>
      <c r="AB627" s="384">
        <v>0</v>
      </c>
      <c r="AC627" s="384">
        <v>0</v>
      </c>
      <c r="AD627" s="384">
        <v>0</v>
      </c>
      <c r="AE627" s="384">
        <v>0</v>
      </c>
      <c r="AF627" s="384">
        <v>0</v>
      </c>
      <c r="AG627" s="388">
        <v>2</v>
      </c>
    </row>
    <row r="628" spans="1:33" x14ac:dyDescent="0.25">
      <c r="A628" s="384" t="s">
        <v>404</v>
      </c>
      <c r="B628" s="384">
        <f>VCCO33</f>
        <v>3.3</v>
      </c>
      <c r="C628" s="384">
        <v>2</v>
      </c>
      <c r="D628" s="385">
        <v>2.2802699999999998</v>
      </c>
      <c r="E628" s="386">
        <v>3.6999999999999999E-4</v>
      </c>
      <c r="F628" s="384">
        <v>3.97</v>
      </c>
      <c r="G628" s="384">
        <v>0</v>
      </c>
      <c r="H628" s="384">
        <v>0.41</v>
      </c>
      <c r="I628" s="384">
        <v>0</v>
      </c>
      <c r="J628" s="384">
        <v>0</v>
      </c>
      <c r="K628" s="384">
        <v>3.3</v>
      </c>
      <c r="L628" s="387">
        <v>0</v>
      </c>
      <c r="M628" s="384">
        <f>B628*K628</f>
        <v>10.889999999999999</v>
      </c>
      <c r="N628" s="388">
        <v>10.38</v>
      </c>
      <c r="O628" s="384">
        <v>0.875</v>
      </c>
      <c r="P628" s="388" t="s">
        <v>362</v>
      </c>
      <c r="Q628" s="384">
        <v>0</v>
      </c>
      <c r="R628" s="384">
        <v>0</v>
      </c>
      <c r="S628" s="384">
        <v>0</v>
      </c>
      <c r="T628" s="384">
        <v>0</v>
      </c>
      <c r="U628" s="384">
        <v>0</v>
      </c>
      <c r="V628" s="384">
        <v>0</v>
      </c>
      <c r="W628" s="384">
        <v>0</v>
      </c>
      <c r="X628" s="384">
        <v>0</v>
      </c>
      <c r="Y628" s="384">
        <v>0</v>
      </c>
      <c r="Z628" s="384">
        <v>0</v>
      </c>
      <c r="AA628" s="384">
        <v>0</v>
      </c>
      <c r="AB628" s="384">
        <v>0</v>
      </c>
      <c r="AC628" s="384">
        <v>0</v>
      </c>
      <c r="AD628" s="384">
        <v>0</v>
      </c>
      <c r="AE628" s="384">
        <v>0</v>
      </c>
      <c r="AF628" s="384">
        <v>0</v>
      </c>
      <c r="AG628" s="388">
        <v>2</v>
      </c>
    </row>
    <row r="629" spans="1:33" x14ac:dyDescent="0.25">
      <c r="A629" s="384" t="s">
        <v>898</v>
      </c>
      <c r="B629" s="384">
        <f>VCCO33</f>
        <v>3.3</v>
      </c>
      <c r="C629" s="384">
        <v>1</v>
      </c>
      <c r="D629" s="385">
        <v>20.933333333333337</v>
      </c>
      <c r="E629" s="386">
        <v>1.6493357142857142E-3</v>
      </c>
      <c r="F629" s="384">
        <v>0</v>
      </c>
      <c r="G629" s="384">
        <v>0</v>
      </c>
      <c r="H629" s="384">
        <v>0</v>
      </c>
      <c r="I629" s="384">
        <v>0</v>
      </c>
      <c r="J629" s="384">
        <v>0</v>
      </c>
      <c r="K629" s="384">
        <v>0</v>
      </c>
      <c r="L629" s="387">
        <v>0</v>
      </c>
      <c r="M629" s="387">
        <v>0</v>
      </c>
      <c r="N629" s="384">
        <v>0</v>
      </c>
      <c r="O629" s="384">
        <v>0</v>
      </c>
      <c r="P629" s="388" t="s">
        <v>898</v>
      </c>
      <c r="Q629" s="384">
        <v>0</v>
      </c>
      <c r="R629" s="384">
        <v>0</v>
      </c>
      <c r="S629" s="384">
        <v>0</v>
      </c>
      <c r="T629" s="384">
        <v>0</v>
      </c>
      <c r="U629" s="384">
        <v>0</v>
      </c>
      <c r="V629" s="384">
        <v>0</v>
      </c>
      <c r="W629" s="384">
        <v>0</v>
      </c>
      <c r="X629" s="384">
        <v>0</v>
      </c>
      <c r="Y629" s="384">
        <v>0</v>
      </c>
      <c r="Z629" s="384">
        <v>0</v>
      </c>
      <c r="AA629" s="384">
        <v>0</v>
      </c>
      <c r="AB629" s="384">
        <v>0</v>
      </c>
      <c r="AC629" s="384">
        <v>0</v>
      </c>
      <c r="AD629" s="384">
        <v>0</v>
      </c>
      <c r="AE629" s="384">
        <v>0</v>
      </c>
      <c r="AF629" s="384">
        <v>0</v>
      </c>
      <c r="AG629" s="388">
        <v>1</v>
      </c>
    </row>
    <row r="630" spans="1:33" x14ac:dyDescent="0.25">
      <c r="A630" s="384" t="s">
        <v>1327</v>
      </c>
      <c r="B630" s="384">
        <f>VCCO33</f>
        <v>3.3</v>
      </c>
      <c r="C630" s="384">
        <v>1</v>
      </c>
      <c r="D630" s="385">
        <v>13.55556</v>
      </c>
      <c r="E630" s="386">
        <v>3.9233261904761899E-3</v>
      </c>
      <c r="F630" s="384">
        <f>IF(POWERMODE="Hibernate",0,IF(VCCAUX&lt;=2.625,0.66,IF(VCCAUX&gt;2.625,0.69,0)))</f>
        <v>0.69</v>
      </c>
      <c r="G630" s="384">
        <v>0</v>
      </c>
      <c r="H630" s="384">
        <v>0.45</v>
      </c>
      <c r="I630" s="384">
        <v>1.4</v>
      </c>
      <c r="J630" s="384">
        <v>0.4</v>
      </c>
      <c r="K630" s="384">
        <v>4</v>
      </c>
      <c r="L630" s="387">
        <v>9</v>
      </c>
      <c r="M630" s="387">
        <v>25.2</v>
      </c>
      <c r="N630" s="388">
        <v>3.2</v>
      </c>
      <c r="O630" s="384">
        <v>0</v>
      </c>
      <c r="P630" s="388" t="s">
        <v>897</v>
      </c>
      <c r="Q630" s="384">
        <v>4</v>
      </c>
      <c r="R630" s="384">
        <v>8</v>
      </c>
      <c r="S630" s="384">
        <v>4</v>
      </c>
      <c r="T630" s="384">
        <v>2</v>
      </c>
      <c r="U630" s="384">
        <f>1000*($B630-($B630/2))/100</f>
        <v>16.5</v>
      </c>
      <c r="V630" s="384">
        <f>1000*($B630-($B630/2))/50</f>
        <v>33</v>
      </c>
      <c r="W630" s="384">
        <f>1000*($B630-($B630/2))/100</f>
        <v>16.5</v>
      </c>
      <c r="X630" s="384">
        <f>1000*($B630-($B630/2))/150</f>
        <v>11</v>
      </c>
      <c r="Y630" s="384">
        <f>1000*(($B630* $B630/2)  + ($B630*($I630 - $J630)) / 2) / 100</f>
        <v>70.949999999999989</v>
      </c>
      <c r="Z630" s="384">
        <f>1000*(($B630* $B630/2)  + ($B630*($I630 - $J630)) / 2) / 50</f>
        <v>141.89999999999998</v>
      </c>
      <c r="AA630" s="384">
        <f>1000*(($B630* $B630/2)  + ($B630*($I630 - $J630)) / 2) / 100</f>
        <v>70.949999999999989</v>
      </c>
      <c r="AB630" s="384">
        <f>1000*(($B630* $B630/2)  + ($B630*($I630 - $J630)) / 2) / 150</f>
        <v>47.3</v>
      </c>
      <c r="AC630" s="384">
        <v>3.2</v>
      </c>
      <c r="AD630" s="384">
        <v>6.4</v>
      </c>
      <c r="AE630" s="384">
        <v>3.2</v>
      </c>
      <c r="AF630" s="384">
        <v>2</v>
      </c>
      <c r="AG630" s="388">
        <v>1</v>
      </c>
    </row>
    <row r="631" spans="1:33" x14ac:dyDescent="0.25">
      <c r="A631" s="384" t="s">
        <v>214</v>
      </c>
      <c r="B631" s="384">
        <f>VCCO18</f>
        <v>1.8</v>
      </c>
      <c r="C631" s="384">
        <v>1</v>
      </c>
      <c r="D631" s="385">
        <v>12.5731</v>
      </c>
      <c r="E631" s="386">
        <v>2.1562666666666667E-3</v>
      </c>
      <c r="F631" s="384">
        <f>IF(POWERMODE="Hibernate",0,IF(VCCAUX&lt;=2.625,0.66,IF(VCCAUX&gt;2.625,0.69,0)))</f>
        <v>0.69</v>
      </c>
      <c r="G631" s="384">
        <v>0</v>
      </c>
      <c r="H631" s="384">
        <v>0.45</v>
      </c>
      <c r="I631" s="384">
        <f>($B631/2) + 0.47</f>
        <v>1.37</v>
      </c>
      <c r="J631" s="384">
        <f>($B631/2) - 0.47</f>
        <v>0.43000000000000005</v>
      </c>
      <c r="K631" s="384">
        <v>4.7</v>
      </c>
      <c r="L631" s="384">
        <f t="shared" ref="L631:L637" si="63">1000*($B631-($B631/2))/100</f>
        <v>9</v>
      </c>
      <c r="M631" s="387">
        <f>1000*$B631*($I631-$J631)/(4*50)</f>
        <v>8.4600000000000009</v>
      </c>
      <c r="N631" s="388">
        <f>((B631-I631)*ABS((B631/2-I631))/(20+50)+J631*(B631/2-J631)/(20+50))/2*1000</f>
        <v>2.887142857142857</v>
      </c>
      <c r="O631" s="384">
        <v>0</v>
      </c>
      <c r="P631" s="388" t="s">
        <v>319</v>
      </c>
      <c r="Q631" s="384">
        <v>4.7</v>
      </c>
      <c r="R631" s="384">
        <v>9.4</v>
      </c>
      <c r="S631" s="384">
        <v>4.7</v>
      </c>
      <c r="T631" s="384">
        <v>2.4</v>
      </c>
      <c r="U631" s="384">
        <f t="shared" ref="U631:U637" si="64">1000*($B631-($B631/2))/100</f>
        <v>9</v>
      </c>
      <c r="V631" s="384">
        <f t="shared" ref="V631:V637" si="65">1000*($B631-($B631/2))/50</f>
        <v>18</v>
      </c>
      <c r="W631" s="384">
        <f t="shared" ref="W631:W637" si="66">1000*($B631-($B631/2))/100</f>
        <v>9</v>
      </c>
      <c r="X631" s="384">
        <f t="shared" ref="X631:X637" si="67">1000*($B631-($B631/2))/150</f>
        <v>6</v>
      </c>
      <c r="Y631" s="384">
        <f t="shared" ref="Y631:Y637" si="68">1000*(($B631* $B631/2)  + ($B631*($I631 - $J631)) / 2) / 100</f>
        <v>24.66</v>
      </c>
      <c r="Z631" s="384">
        <f t="shared" ref="Z631:Z637" si="69">1000*(($B631* $B631/2)  + ($B631*($I631 - $J631)) / 2) / 50</f>
        <v>49.32</v>
      </c>
      <c r="AA631" s="384">
        <f t="shared" ref="AA631:AA637" si="70">1000*(($B631* $B631/2)  + ($B631*($I631 - $J631)) / 2) / 100</f>
        <v>24.66</v>
      </c>
      <c r="AB631" s="384">
        <f t="shared" ref="AB631:AB637" si="71">1000*(($B631* $B631/2)  + ($B631*($I631 - $J631)) / 2) / 150</f>
        <v>16.440000000000001</v>
      </c>
      <c r="AC631" s="388">
        <v>3.6</v>
      </c>
      <c r="AD631" s="384">
        <v>7.2</v>
      </c>
      <c r="AE631" s="388">
        <v>3.6</v>
      </c>
      <c r="AF631" s="384">
        <v>2.2000000000000002</v>
      </c>
      <c r="AG631" s="388">
        <v>1</v>
      </c>
    </row>
    <row r="632" spans="1:33" x14ac:dyDescent="0.25">
      <c r="A632" s="384" t="s">
        <v>757</v>
      </c>
      <c r="B632" s="384">
        <f>VCCO15</f>
        <v>1.5</v>
      </c>
      <c r="C632" s="384">
        <v>1</v>
      </c>
      <c r="D632" s="385">
        <v>13</v>
      </c>
      <c r="E632" s="386">
        <v>5.7573892857142846E-3</v>
      </c>
      <c r="F632" s="384">
        <f>IF(POWERMODE="Hibernate",0,IF(VCCAUX&lt;=2.625,0.66,IF(VCCAUX&gt;2.625,0.69,0)))</f>
        <v>0.69</v>
      </c>
      <c r="G632" s="384">
        <v>0</v>
      </c>
      <c r="H632" s="384">
        <v>0.45</v>
      </c>
      <c r="I632" s="384">
        <f>($B632/2) + 0.4</f>
        <v>1.1499999999999999</v>
      </c>
      <c r="J632" s="384">
        <f>($B632/2) - 0.4</f>
        <v>0.35</v>
      </c>
      <c r="K632" s="384">
        <v>8.1</v>
      </c>
      <c r="L632" s="384">
        <f t="shared" si="63"/>
        <v>7.5</v>
      </c>
      <c r="M632" s="387">
        <f>1000*$B496*($I496-$J496)/(4*25)</f>
        <v>17.999999999999996</v>
      </c>
      <c r="N632" s="388">
        <f>((B632-I632)*ABS((B632/2-I632))/(50)+J632*(B632/2-J632)/(50))/2*1000</f>
        <v>2.8</v>
      </c>
      <c r="O632" s="384">
        <v>0</v>
      </c>
      <c r="P632" s="388" t="s">
        <v>758</v>
      </c>
      <c r="Q632" s="384">
        <v>8.1</v>
      </c>
      <c r="R632" s="384">
        <v>16.2</v>
      </c>
      <c r="S632" s="384">
        <v>8.1</v>
      </c>
      <c r="T632" s="384">
        <v>3.2</v>
      </c>
      <c r="U632" s="384">
        <f t="shared" si="64"/>
        <v>7.5</v>
      </c>
      <c r="V632" s="384">
        <f t="shared" si="65"/>
        <v>15</v>
      </c>
      <c r="W632" s="384">
        <f t="shared" si="66"/>
        <v>7.5</v>
      </c>
      <c r="X632" s="384">
        <f t="shared" si="67"/>
        <v>5</v>
      </c>
      <c r="Y632" s="384">
        <f t="shared" si="68"/>
        <v>17.25</v>
      </c>
      <c r="Z632" s="384">
        <f t="shared" si="69"/>
        <v>34.5</v>
      </c>
      <c r="AA632" s="384">
        <f t="shared" si="70"/>
        <v>17.25</v>
      </c>
      <c r="AB632" s="384">
        <f t="shared" si="71"/>
        <v>11.5</v>
      </c>
      <c r="AC632" s="388">
        <v>5.4</v>
      </c>
      <c r="AD632" s="384">
        <v>10.8</v>
      </c>
      <c r="AE632" s="388">
        <v>5.4</v>
      </c>
      <c r="AF632" s="384">
        <v>3.8</v>
      </c>
      <c r="AG632" s="388">
        <v>1</v>
      </c>
    </row>
    <row r="633" spans="1:33" x14ac:dyDescent="0.25">
      <c r="A633" s="384" t="s">
        <v>366</v>
      </c>
      <c r="B633" s="384">
        <f>VCCO18</f>
        <v>1.8</v>
      </c>
      <c r="C633" s="384">
        <v>1</v>
      </c>
      <c r="D633" s="385">
        <v>13</v>
      </c>
      <c r="E633" s="386">
        <v>5.7573892857142846E-3</v>
      </c>
      <c r="F633" s="384">
        <f>IF(POWERMODE="Hibernate",0,IF(VCCAUX&lt;=2.625,0.66,IF(VCCAUX&gt;2.625,0.69,0)))</f>
        <v>0.69</v>
      </c>
      <c r="G633" s="384">
        <v>0</v>
      </c>
      <c r="H633" s="384">
        <v>0.45</v>
      </c>
      <c r="I633" s="384">
        <f>($B633/2) + 0.6</f>
        <v>1.5</v>
      </c>
      <c r="J633" s="384">
        <f>($B633/2) - 0.6</f>
        <v>0.30000000000000004</v>
      </c>
      <c r="K633" s="384">
        <v>8.1</v>
      </c>
      <c r="L633" s="384">
        <f t="shared" si="63"/>
        <v>9</v>
      </c>
      <c r="M633" s="387">
        <f>1000*$B498*($I498-$J498)/(4*25)</f>
        <v>17.999999999999996</v>
      </c>
      <c r="N633" s="388">
        <f>((B633-I633)*ABS((B633/2-I633))/(20+50/2)+J633*(B633/2-J633)/(20+50/2))/2*1000</f>
        <v>4</v>
      </c>
      <c r="O633" s="384">
        <v>0</v>
      </c>
      <c r="P633" s="388" t="s">
        <v>487</v>
      </c>
      <c r="Q633" s="384">
        <v>8.1</v>
      </c>
      <c r="R633" s="384">
        <v>16.2</v>
      </c>
      <c r="S633" s="384">
        <v>8.1</v>
      </c>
      <c r="T633" s="384">
        <v>3.2</v>
      </c>
      <c r="U633" s="384">
        <f t="shared" si="64"/>
        <v>9</v>
      </c>
      <c r="V633" s="384">
        <f t="shared" si="65"/>
        <v>18</v>
      </c>
      <c r="W633" s="384">
        <f t="shared" si="66"/>
        <v>9</v>
      </c>
      <c r="X633" s="384">
        <f t="shared" si="67"/>
        <v>6</v>
      </c>
      <c r="Y633" s="384">
        <f t="shared" si="68"/>
        <v>27</v>
      </c>
      <c r="Z633" s="384">
        <f t="shared" si="69"/>
        <v>54</v>
      </c>
      <c r="AA633" s="384">
        <f t="shared" si="70"/>
        <v>27</v>
      </c>
      <c r="AB633" s="384">
        <f t="shared" si="71"/>
        <v>18</v>
      </c>
      <c r="AC633" s="388">
        <v>5.4</v>
      </c>
      <c r="AD633" s="384">
        <v>10.8</v>
      </c>
      <c r="AE633" s="388">
        <v>5.4</v>
      </c>
      <c r="AF633" s="384">
        <v>3.8</v>
      </c>
      <c r="AG633" s="388">
        <v>1</v>
      </c>
    </row>
    <row r="634" spans="1:33" x14ac:dyDescent="0.25">
      <c r="A634" s="384" t="s">
        <v>133</v>
      </c>
      <c r="B634" s="384">
        <f>VCCO25</f>
        <v>2.5</v>
      </c>
      <c r="C634" s="384">
        <v>1</v>
      </c>
      <c r="D634" s="385">
        <v>9.8187099999999994</v>
      </c>
      <c r="E634" s="386">
        <v>2.1669988095238094E-3</v>
      </c>
      <c r="F634" s="384">
        <f>IF(POWERMODE="Hibernate",0,IF(VCCAUX&lt;=2.625,1.12,IF(VCCAUX&gt;2.625,2.11,0)))</f>
        <v>2.11</v>
      </c>
      <c r="G634" s="384">
        <v>0</v>
      </c>
      <c r="H634" s="384">
        <v>0</v>
      </c>
      <c r="I634" s="384">
        <f>($B634/2) + 0.61</f>
        <v>1.8599999999999999</v>
      </c>
      <c r="J634" s="384">
        <f>($B634/2) - 0.61</f>
        <v>0.64</v>
      </c>
      <c r="K634" s="384">
        <v>7.8</v>
      </c>
      <c r="L634" s="384">
        <f t="shared" si="63"/>
        <v>12.5</v>
      </c>
      <c r="M634" s="387">
        <f>1000*$B634*($I634-$J634)/(4*50)</f>
        <v>15.249999999999998</v>
      </c>
      <c r="N634" s="388">
        <f>((B634-I634)*ABS((B634/2-I634))/(25+50)+J634*(B634/2-J634)/(25+50))/2*1000</f>
        <v>5.2053333333333329</v>
      </c>
      <c r="O634" s="384">
        <v>0</v>
      </c>
      <c r="P634" s="388" t="s">
        <v>314</v>
      </c>
      <c r="Q634" s="384">
        <v>7.8</v>
      </c>
      <c r="R634" s="384">
        <v>15.4</v>
      </c>
      <c r="S634" s="384">
        <v>7.8</v>
      </c>
      <c r="T634" s="384">
        <v>2.9</v>
      </c>
      <c r="U634" s="384">
        <f t="shared" si="64"/>
        <v>12.5</v>
      </c>
      <c r="V634" s="384">
        <f t="shared" si="65"/>
        <v>25</v>
      </c>
      <c r="W634" s="384">
        <f t="shared" si="66"/>
        <v>12.5</v>
      </c>
      <c r="X634" s="384">
        <f t="shared" si="67"/>
        <v>8.3333333333333339</v>
      </c>
      <c r="Y634" s="384">
        <f t="shared" si="68"/>
        <v>46.499999999999993</v>
      </c>
      <c r="Z634" s="384">
        <f t="shared" si="69"/>
        <v>92.999999999999986</v>
      </c>
      <c r="AA634" s="384">
        <f t="shared" si="70"/>
        <v>46.499999999999993</v>
      </c>
      <c r="AB634" s="384">
        <f t="shared" si="71"/>
        <v>30.999999999999993</v>
      </c>
      <c r="AC634" s="388">
        <v>5.3</v>
      </c>
      <c r="AD634" s="384">
        <v>10.6</v>
      </c>
      <c r="AE634" s="388">
        <v>5.3</v>
      </c>
      <c r="AF634" s="384">
        <v>3.5</v>
      </c>
      <c r="AG634" s="388">
        <v>1</v>
      </c>
    </row>
    <row r="635" spans="1:33" x14ac:dyDescent="0.25">
      <c r="A635" s="384" t="s">
        <v>367</v>
      </c>
      <c r="B635" s="384">
        <f>VCCO25</f>
        <v>2.5</v>
      </c>
      <c r="C635" s="384">
        <v>1</v>
      </c>
      <c r="D635" s="385">
        <v>13.28571</v>
      </c>
      <c r="E635" s="386">
        <v>4.5673833333333335E-3</v>
      </c>
      <c r="F635" s="384">
        <f>IF(POWERMODE="Hibernate",0,IF(VCCAUX&lt;=2.625,1.12,IF(VCCAUX&gt;2.625,2.11,0)))</f>
        <v>2.11</v>
      </c>
      <c r="G635" s="384">
        <v>0</v>
      </c>
      <c r="H635" s="384">
        <v>0</v>
      </c>
      <c r="I635" s="384">
        <f>($B635/2) + 0.81</f>
        <v>2.06</v>
      </c>
      <c r="J635" s="384">
        <f>($B635/2) - 0.81</f>
        <v>0.43999999999999995</v>
      </c>
      <c r="K635" s="384">
        <v>10.4</v>
      </c>
      <c r="L635" s="384">
        <f t="shared" si="63"/>
        <v>12.5</v>
      </c>
      <c r="M635" s="387">
        <f>1000*$B500*($I500-$J500)/(4*25)</f>
        <v>17.999999999999996</v>
      </c>
      <c r="N635" s="388">
        <f>((B635-I635)*ABS((B635/2-I635))/(25+50/2)+J635*(B635/2-J635)/(25+50/2))/2*1000</f>
        <v>7.1280000000000001</v>
      </c>
      <c r="O635" s="384">
        <v>0</v>
      </c>
      <c r="P635" s="388" t="s">
        <v>368</v>
      </c>
      <c r="Q635" s="384">
        <v>10.4</v>
      </c>
      <c r="R635" s="384">
        <v>20.8</v>
      </c>
      <c r="S635" s="384">
        <v>10.4</v>
      </c>
      <c r="T635" s="384">
        <v>4.2</v>
      </c>
      <c r="U635" s="384">
        <f t="shared" si="64"/>
        <v>12.5</v>
      </c>
      <c r="V635" s="384">
        <f t="shared" si="65"/>
        <v>25</v>
      </c>
      <c r="W635" s="384">
        <f t="shared" si="66"/>
        <v>12.5</v>
      </c>
      <c r="X635" s="384">
        <f t="shared" si="67"/>
        <v>8.3333333333333339</v>
      </c>
      <c r="Y635" s="384">
        <f t="shared" si="68"/>
        <v>51.5</v>
      </c>
      <c r="Z635" s="384">
        <f t="shared" si="69"/>
        <v>103</v>
      </c>
      <c r="AA635" s="384">
        <f t="shared" si="70"/>
        <v>51.5</v>
      </c>
      <c r="AB635" s="384">
        <f t="shared" si="71"/>
        <v>34.333333333333336</v>
      </c>
      <c r="AC635" s="388">
        <v>7.5</v>
      </c>
      <c r="AD635" s="384">
        <v>15</v>
      </c>
      <c r="AE635" s="388">
        <v>7.5</v>
      </c>
      <c r="AF635" s="384">
        <v>5.2</v>
      </c>
      <c r="AG635" s="388">
        <v>1</v>
      </c>
    </row>
    <row r="636" spans="1:33" x14ac:dyDescent="0.25">
      <c r="A636" s="384" t="s">
        <v>369</v>
      </c>
      <c r="B636" s="384">
        <f>VCCO33</f>
        <v>3.3</v>
      </c>
      <c r="C636" s="384">
        <v>1</v>
      </c>
      <c r="D636" s="390">
        <v>9.8187099999999994</v>
      </c>
      <c r="E636" s="384">
        <v>2.1669988095238094E-3</v>
      </c>
      <c r="F636" s="384">
        <f>IF(POWERMODE="Hibernate",0,IF(VCCAUX&lt;=2.625,1.12,IF(VCCAUX&gt;2.625,2.11,0)))</f>
        <v>2.11</v>
      </c>
      <c r="G636" s="384">
        <v>0</v>
      </c>
      <c r="H636" s="384">
        <v>0</v>
      </c>
      <c r="I636" s="384">
        <f>($B636/2) + 0.6</f>
        <v>2.25</v>
      </c>
      <c r="J636" s="384">
        <f>($B636/2) - 0.6</f>
        <v>1.0499999999999998</v>
      </c>
      <c r="K636" s="384">
        <v>7.8</v>
      </c>
      <c r="L636" s="384">
        <f t="shared" si="63"/>
        <v>16.5</v>
      </c>
      <c r="M636" s="387">
        <f>1000*$B636*($I636-$J636)/(4*50)</f>
        <v>19.8</v>
      </c>
      <c r="N636" s="388">
        <f>((B636-I636)*ABS((B636/2-I636))/(25+50)+J636*(B636/2-J636)/(25+50))/2*1000</f>
        <v>8.4</v>
      </c>
      <c r="O636" s="384">
        <v>0</v>
      </c>
      <c r="P636" s="388" t="s">
        <v>371</v>
      </c>
      <c r="Q636" s="384">
        <v>7.8</v>
      </c>
      <c r="R636" s="384">
        <v>15.4</v>
      </c>
      <c r="S636" s="384">
        <v>7.8</v>
      </c>
      <c r="T636" s="384">
        <v>2.8</v>
      </c>
      <c r="U636" s="384">
        <f t="shared" si="64"/>
        <v>16.5</v>
      </c>
      <c r="V636" s="384">
        <f t="shared" si="65"/>
        <v>33</v>
      </c>
      <c r="W636" s="384">
        <f t="shared" si="66"/>
        <v>16.5</v>
      </c>
      <c r="X636" s="384">
        <f t="shared" si="67"/>
        <v>11</v>
      </c>
      <c r="Y636" s="384">
        <f t="shared" si="68"/>
        <v>74.25</v>
      </c>
      <c r="Z636" s="384">
        <f t="shared" si="69"/>
        <v>148.5</v>
      </c>
      <c r="AA636" s="384">
        <f t="shared" si="70"/>
        <v>74.25</v>
      </c>
      <c r="AB636" s="384">
        <f t="shared" si="71"/>
        <v>49.5</v>
      </c>
      <c r="AC636" s="498">
        <v>5.3</v>
      </c>
      <c r="AD636" s="384">
        <v>10.6</v>
      </c>
      <c r="AE636" s="498">
        <v>5.3</v>
      </c>
      <c r="AF636" s="384">
        <v>3.5</v>
      </c>
      <c r="AG636" s="388">
        <v>1</v>
      </c>
    </row>
    <row r="637" spans="1:33" x14ac:dyDescent="0.25">
      <c r="A637" s="384" t="s">
        <v>370</v>
      </c>
      <c r="B637" s="384">
        <f>VCCO33</f>
        <v>3.3</v>
      </c>
      <c r="C637" s="384">
        <v>1</v>
      </c>
      <c r="D637" s="390">
        <v>13.28571</v>
      </c>
      <c r="E637" s="384">
        <v>4.5673833333333335E-3</v>
      </c>
      <c r="F637" s="384">
        <f>IF(POWERMODE="Hibernate",0,IF(VCCAUX&lt;=2.625,1.12,IF(VCCAUX&gt;2.625,2.11,0)))</f>
        <v>2.11</v>
      </c>
      <c r="G637" s="384">
        <v>0</v>
      </c>
      <c r="H637" s="384">
        <v>0</v>
      </c>
      <c r="I637" s="384">
        <f>($B637/2) + 0.8</f>
        <v>2.4500000000000002</v>
      </c>
      <c r="J637" s="384">
        <f>($B637/2) - 0.8</f>
        <v>0.84999999999999987</v>
      </c>
      <c r="K637" s="384">
        <v>10.4</v>
      </c>
      <c r="L637" s="384">
        <f t="shared" si="63"/>
        <v>16.5</v>
      </c>
      <c r="M637" s="387">
        <f>1000*$B637*($I637-$J637)/(4*25)</f>
        <v>52.800000000000011</v>
      </c>
      <c r="N637" s="388">
        <f>((B637-I637)*ABS((B637/2-I637))/(25+50/2)+J637*(B637/2-J637)/(25+50/2))/2*1000</f>
        <v>13.6</v>
      </c>
      <c r="O637" s="384">
        <v>0</v>
      </c>
      <c r="P637" s="388" t="s">
        <v>372</v>
      </c>
      <c r="Q637" s="384">
        <v>10.4</v>
      </c>
      <c r="R637" s="384">
        <v>20.8</v>
      </c>
      <c r="S637" s="384">
        <v>10.4</v>
      </c>
      <c r="T637" s="384">
        <v>3.4</v>
      </c>
      <c r="U637" s="384">
        <f t="shared" si="64"/>
        <v>16.5</v>
      </c>
      <c r="V637" s="384">
        <f t="shared" si="65"/>
        <v>33</v>
      </c>
      <c r="W637" s="384">
        <f t="shared" si="66"/>
        <v>16.5</v>
      </c>
      <c r="X637" s="384">
        <f t="shared" si="67"/>
        <v>11</v>
      </c>
      <c r="Y637" s="384">
        <f t="shared" si="68"/>
        <v>80.850000000000009</v>
      </c>
      <c r="Z637" s="384">
        <f t="shared" si="69"/>
        <v>161.70000000000002</v>
      </c>
      <c r="AA637" s="384">
        <f t="shared" si="70"/>
        <v>80.850000000000009</v>
      </c>
      <c r="AB637" s="384">
        <f t="shared" si="71"/>
        <v>53.900000000000006</v>
      </c>
      <c r="AC637" s="498">
        <v>7.5</v>
      </c>
      <c r="AD637" s="384">
        <v>15</v>
      </c>
      <c r="AE637" s="498">
        <v>7.5</v>
      </c>
      <c r="AF637" s="384">
        <v>5.2</v>
      </c>
      <c r="AG637" s="388">
        <v>1</v>
      </c>
    </row>
    <row r="638" spans="1:33" x14ac:dyDescent="0.25">
      <c r="A638" s="384" t="s">
        <v>373</v>
      </c>
      <c r="B638" s="384">
        <f>VCCO33</f>
        <v>3.3</v>
      </c>
      <c r="C638" s="384">
        <v>2</v>
      </c>
      <c r="D638" s="385">
        <v>3.72533</v>
      </c>
      <c r="E638" s="386">
        <v>3.6999999999999999E-4</v>
      </c>
      <c r="F638" s="384">
        <v>3.97</v>
      </c>
      <c r="G638" s="384">
        <v>0</v>
      </c>
      <c r="H638" s="384">
        <v>0.28999999999999998</v>
      </c>
      <c r="I638" s="384">
        <v>0</v>
      </c>
      <c r="J638" s="384">
        <v>0</v>
      </c>
      <c r="K638" s="384">
        <v>3.3</v>
      </c>
      <c r="L638" s="387">
        <v>0</v>
      </c>
      <c r="M638" s="384">
        <v>8.25</v>
      </c>
      <c r="N638" s="388">
        <v>7.75</v>
      </c>
      <c r="O638" s="384">
        <v>1.75</v>
      </c>
      <c r="P638" s="388" t="s">
        <v>365</v>
      </c>
      <c r="Q638" s="384">
        <v>0</v>
      </c>
      <c r="R638" s="384">
        <v>0</v>
      </c>
      <c r="S638" s="384">
        <v>0</v>
      </c>
      <c r="T638" s="384">
        <v>0</v>
      </c>
      <c r="U638" s="384">
        <v>0</v>
      </c>
      <c r="V638" s="384">
        <v>0</v>
      </c>
      <c r="W638" s="384">
        <v>0</v>
      </c>
      <c r="X638" s="384">
        <v>0</v>
      </c>
      <c r="Y638" s="384">
        <v>0</v>
      </c>
      <c r="Z638" s="384">
        <v>0</v>
      </c>
      <c r="AA638" s="384">
        <v>0</v>
      </c>
      <c r="AB638" s="384">
        <v>0</v>
      </c>
      <c r="AC638" s="384">
        <v>0</v>
      </c>
      <c r="AD638" s="384">
        <v>0</v>
      </c>
      <c r="AE638" s="384">
        <v>0</v>
      </c>
      <c r="AF638" s="384">
        <v>0</v>
      </c>
      <c r="AG638" s="388">
        <v>2</v>
      </c>
    </row>
    <row r="639" spans="1:33" x14ac:dyDescent="0.25">
      <c r="A639" s="384" t="s">
        <v>1106</v>
      </c>
      <c r="B639" s="384">
        <f>VCCO33</f>
        <v>3.3</v>
      </c>
      <c r="C639" s="384">
        <v>2</v>
      </c>
      <c r="D639" s="385">
        <v>3.72533</v>
      </c>
      <c r="E639" s="386">
        <v>3.6999999999999999E-4</v>
      </c>
      <c r="F639" s="384">
        <v>3.97</v>
      </c>
      <c r="G639" s="384">
        <v>0</v>
      </c>
      <c r="H639" s="384">
        <v>0.28999999999999998</v>
      </c>
      <c r="I639" s="384">
        <v>0</v>
      </c>
      <c r="J639" s="384">
        <v>0</v>
      </c>
      <c r="K639" s="384">
        <v>3.3</v>
      </c>
      <c r="L639" s="387">
        <v>0</v>
      </c>
      <c r="M639" s="384">
        <v>8.25</v>
      </c>
      <c r="N639" s="388">
        <v>7.75</v>
      </c>
      <c r="O639" s="384">
        <v>1.75</v>
      </c>
      <c r="P639" s="388" t="s">
        <v>1107</v>
      </c>
      <c r="Q639" s="384">
        <v>0</v>
      </c>
      <c r="R639" s="384">
        <v>0</v>
      </c>
      <c r="S639" s="384">
        <v>0</v>
      </c>
      <c r="T639" s="384">
        <v>0</v>
      </c>
      <c r="U639" s="384">
        <v>0</v>
      </c>
      <c r="V639" s="384">
        <v>0</v>
      </c>
      <c r="W639" s="384">
        <v>0</v>
      </c>
      <c r="X639" s="384">
        <v>0</v>
      </c>
      <c r="Y639" s="384">
        <v>0</v>
      </c>
      <c r="Z639" s="384">
        <v>0</v>
      </c>
      <c r="AA639" s="384">
        <v>0</v>
      </c>
      <c r="AB639" s="384">
        <v>0</v>
      </c>
      <c r="AC639" s="384">
        <v>0</v>
      </c>
      <c r="AD639" s="384">
        <v>0</v>
      </c>
      <c r="AE639" s="384">
        <v>0</v>
      </c>
      <c r="AF639" s="384">
        <v>0</v>
      </c>
      <c r="AG639" s="388">
        <v>2</v>
      </c>
    </row>
    <row r="641" spans="1:4" x14ac:dyDescent="0.25">
      <c r="A641" s="7" t="s">
        <v>93</v>
      </c>
      <c r="B641" s="6" t="s">
        <v>1073</v>
      </c>
      <c r="C641" s="6" t="s">
        <v>1074</v>
      </c>
      <c r="D641" s="35" t="s">
        <v>1075</v>
      </c>
    </row>
    <row r="642" spans="1:4" x14ac:dyDescent="0.25">
      <c r="A642" t="s">
        <v>428</v>
      </c>
      <c r="C642" s="6">
        <v>-1</v>
      </c>
      <c r="D642">
        <f>14*14</f>
        <v>196</v>
      </c>
    </row>
    <row r="643" spans="1:4" x14ac:dyDescent="0.25">
      <c r="A643" t="s">
        <v>224</v>
      </c>
      <c r="C643" s="6">
        <v>-1</v>
      </c>
      <c r="D643">
        <f>20*20</f>
        <v>400</v>
      </c>
    </row>
    <row r="644" spans="1:4" x14ac:dyDescent="0.25">
      <c r="A644" t="s">
        <v>225</v>
      </c>
      <c r="C644" s="6">
        <v>-1</v>
      </c>
      <c r="D644">
        <f>17*17</f>
        <v>289</v>
      </c>
    </row>
    <row r="645" spans="1:4" x14ac:dyDescent="0.25">
      <c r="A645" t="s">
        <v>226</v>
      </c>
      <c r="C645" s="6">
        <v>1</v>
      </c>
      <c r="D645">
        <f>19*19</f>
        <v>361</v>
      </c>
    </row>
    <row r="646" spans="1:4" x14ac:dyDescent="0.25">
      <c r="A646" t="s">
        <v>227</v>
      </c>
      <c r="C646" s="6">
        <v>2</v>
      </c>
      <c r="D646">
        <f>21*21</f>
        <v>441</v>
      </c>
    </row>
    <row r="647" spans="1:4" x14ac:dyDescent="0.25">
      <c r="A647" t="s">
        <v>500</v>
      </c>
      <c r="C647">
        <v>1</v>
      </c>
      <c r="D647">
        <f>19*19</f>
        <v>361</v>
      </c>
    </row>
    <row r="648" spans="1:4" x14ac:dyDescent="0.25">
      <c r="A648" t="s">
        <v>228</v>
      </c>
      <c r="C648">
        <v>3</v>
      </c>
      <c r="D648">
        <f>23*23</f>
        <v>529</v>
      </c>
    </row>
    <row r="649" spans="1:4" x14ac:dyDescent="0.25">
      <c r="A649" t="s">
        <v>321</v>
      </c>
      <c r="C649">
        <v>4</v>
      </c>
      <c r="D649">
        <f>27*27</f>
        <v>729</v>
      </c>
    </row>
    <row r="650" spans="1:4" x14ac:dyDescent="0.25">
      <c r="A650" t="s">
        <v>1071</v>
      </c>
      <c r="C650">
        <v>5</v>
      </c>
      <c r="D650">
        <f>31*31</f>
        <v>961</v>
      </c>
    </row>
    <row r="651" spans="1:4" x14ac:dyDescent="0.25">
      <c r="A651" t="s">
        <v>615</v>
      </c>
      <c r="C651">
        <v>-1</v>
      </c>
      <c r="D651">
        <f>20*20</f>
        <v>400</v>
      </c>
    </row>
    <row r="652" spans="1:4" x14ac:dyDescent="0.25">
      <c r="A652" t="s">
        <v>1065</v>
      </c>
      <c r="C652">
        <v>-1</v>
      </c>
      <c r="D652">
        <f>8*8</f>
        <v>64</v>
      </c>
    </row>
    <row r="653" spans="1:4" x14ac:dyDescent="0.25">
      <c r="A653" t="s">
        <v>618</v>
      </c>
      <c r="C653">
        <v>-1</v>
      </c>
      <c r="D653">
        <f>17*17</f>
        <v>289</v>
      </c>
    </row>
    <row r="654" spans="1:4" x14ac:dyDescent="0.25">
      <c r="A654" t="s">
        <v>616</v>
      </c>
      <c r="C654">
        <v>1</v>
      </c>
      <c r="D654">
        <f>13*13</f>
        <v>169</v>
      </c>
    </row>
    <row r="655" spans="1:4" x14ac:dyDescent="0.25">
      <c r="A655" t="s">
        <v>617</v>
      </c>
      <c r="C655">
        <v>1</v>
      </c>
      <c r="D655">
        <f>15*15</f>
        <v>225</v>
      </c>
    </row>
    <row r="656" spans="1:4" x14ac:dyDescent="0.25">
      <c r="A656" t="s">
        <v>1066</v>
      </c>
      <c r="C656">
        <v>1</v>
      </c>
      <c r="D656">
        <f>19*19</f>
        <v>361</v>
      </c>
    </row>
    <row r="657" spans="1:5" x14ac:dyDescent="0.25">
      <c r="A657" t="s">
        <v>1072</v>
      </c>
      <c r="C657">
        <v>2</v>
      </c>
      <c r="D657">
        <f>21*21</f>
        <v>441</v>
      </c>
    </row>
    <row r="658" spans="1:5" x14ac:dyDescent="0.25">
      <c r="A658" t="s">
        <v>1024</v>
      </c>
      <c r="C658">
        <v>1</v>
      </c>
      <c r="D658">
        <f>19*19</f>
        <v>361</v>
      </c>
    </row>
    <row r="659" spans="1:5" x14ac:dyDescent="0.25">
      <c r="A659" t="s">
        <v>619</v>
      </c>
      <c r="C659">
        <v>3</v>
      </c>
      <c r="D659">
        <f>23*23</f>
        <v>529</v>
      </c>
    </row>
    <row r="660" spans="1:5" x14ac:dyDescent="0.25">
      <c r="A660" t="s">
        <v>620</v>
      </c>
      <c r="C660">
        <v>4</v>
      </c>
      <c r="D660">
        <f>27*27</f>
        <v>729</v>
      </c>
    </row>
    <row r="661" spans="1:5" x14ac:dyDescent="0.25">
      <c r="A661" t="s">
        <v>1029</v>
      </c>
      <c r="C661">
        <v>5</v>
      </c>
      <c r="D661">
        <f>31*31</f>
        <v>961</v>
      </c>
    </row>
    <row r="663" spans="1:5" x14ac:dyDescent="0.25">
      <c r="C663">
        <v>0</v>
      </c>
    </row>
    <row r="664" spans="1:5" x14ac:dyDescent="0.25">
      <c r="A664" s="7" t="s">
        <v>1078</v>
      </c>
      <c r="B664" t="s">
        <v>1079</v>
      </c>
      <c r="C664">
        <v>0</v>
      </c>
      <c r="D664">
        <v>250</v>
      </c>
      <c r="E664">
        <v>500</v>
      </c>
    </row>
    <row r="665" spans="1:5" x14ac:dyDescent="0.25">
      <c r="A665" t="s">
        <v>1101</v>
      </c>
      <c r="B665" t="s">
        <v>1080</v>
      </c>
      <c r="C665">
        <v>40</v>
      </c>
      <c r="D665">
        <v>10.5</v>
      </c>
      <c r="E665">
        <v>7.8</v>
      </c>
    </row>
    <row r="666" spans="1:5" x14ac:dyDescent="0.25">
      <c r="A666" t="s">
        <v>1102</v>
      </c>
      <c r="B666" t="s">
        <v>1080</v>
      </c>
      <c r="C666">
        <v>40</v>
      </c>
      <c r="D666">
        <v>10.5</v>
      </c>
      <c r="E666">
        <v>7.8</v>
      </c>
    </row>
    <row r="667" spans="1:5" x14ac:dyDescent="0.25">
      <c r="A667" t="s">
        <v>1081</v>
      </c>
      <c r="B667" t="s">
        <v>1080</v>
      </c>
      <c r="C667">
        <v>40</v>
      </c>
      <c r="D667">
        <v>10.5</v>
      </c>
      <c r="E667">
        <v>7.8</v>
      </c>
    </row>
    <row r="668" spans="1:5" x14ac:dyDescent="0.25">
      <c r="A668" t="s">
        <v>1082</v>
      </c>
      <c r="B668" t="s">
        <v>1080</v>
      </c>
      <c r="C668">
        <v>30.6</v>
      </c>
      <c r="D668">
        <v>8.4</v>
      </c>
      <c r="E668">
        <v>5</v>
      </c>
    </row>
    <row r="669" spans="1:5" x14ac:dyDescent="0.25">
      <c r="A669" t="s">
        <v>1103</v>
      </c>
      <c r="B669" t="s">
        <v>1080</v>
      </c>
      <c r="C669">
        <v>23.4</v>
      </c>
      <c r="D669">
        <v>7</v>
      </c>
      <c r="E669">
        <v>5</v>
      </c>
    </row>
  </sheetData>
  <mergeCells count="33">
    <mergeCell ref="H320:I320"/>
    <mergeCell ref="H311:I311"/>
    <mergeCell ref="Z311:AA311"/>
    <mergeCell ref="P311:Q311"/>
    <mergeCell ref="R311:S311"/>
    <mergeCell ref="N311:O311"/>
    <mergeCell ref="J311:K311"/>
    <mergeCell ref="L311:M311"/>
    <mergeCell ref="AD311:AE311"/>
    <mergeCell ref="V311:W311"/>
    <mergeCell ref="T311:U311"/>
    <mergeCell ref="X311:Y311"/>
    <mergeCell ref="AB311:AC311"/>
    <mergeCell ref="B229:C229"/>
    <mergeCell ref="C15:D15"/>
    <mergeCell ref="D229:E229"/>
    <mergeCell ref="L15:M15"/>
    <mergeCell ref="B310:G310"/>
    <mergeCell ref="H229:I229"/>
    <mergeCell ref="I15:J15"/>
    <mergeCell ref="L229:M229"/>
    <mergeCell ref="G15:H15"/>
    <mergeCell ref="F229:G229"/>
    <mergeCell ref="H310:S310"/>
    <mergeCell ref="J229:K229"/>
    <mergeCell ref="E15:F15"/>
    <mergeCell ref="N15:O15"/>
    <mergeCell ref="B350:C350"/>
    <mergeCell ref="D350:E350"/>
    <mergeCell ref="F350:G350"/>
    <mergeCell ref="B311:C311"/>
    <mergeCell ref="D311:E311"/>
    <mergeCell ref="F311:G311"/>
  </mergeCells>
  <phoneticPr fontId="2" type="noConversion"/>
  <dataValidations count="2">
    <dataValidation type="decimal" operator="greaterThanOrEqual" allowBlank="1" showInputMessage="1" showErrorMessage="1" errorTitle="Invalid Clock Frequency" error="The clock frequency must be a decimal number greater than 0.0." sqref="C232:C253" xr:uid="{00000000-0002-0000-0C00-000000000000}">
      <formula1>0</formula1>
    </dataValidation>
    <dataValidation type="decimal" operator="greaterThan" allowBlank="1" showInputMessage="1" showErrorMessage="1" errorTitle="Invalid Number of Elements" error="The number of elements must be an integer greater than 0." sqref="B232:B253" xr:uid="{00000000-0002-0000-0C00-000001000000}">
      <formula1>0</formula1>
    </dataValidation>
  </dataValidations>
  <pageMargins left="0.75" right="0.75" top="1" bottom="1" header="0.5" footer="0.5"/>
  <pageSetup orientation="portrait" horizontalDpi="300" verticalDpi="300" r:id="rId1"/>
  <headerFooter alignWithMargins="0"/>
  <drawing r:id="rId2"/>
  <legacy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tabColor theme="9" tint="0.59999389629810485"/>
  </sheetPr>
  <dimension ref="A1:AE672"/>
  <sheetViews>
    <sheetView topLeftCell="A145" zoomScale="85" workbookViewId="0">
      <selection activeCell="A661" sqref="A661:N672"/>
    </sheetView>
  </sheetViews>
  <sheetFormatPr baseColWidth="10" defaultColWidth="9" defaultRowHeight="13.2" x14ac:dyDescent="0.25"/>
  <cols>
    <col min="1" max="1" width="21.6640625" customWidth="1"/>
    <col min="2" max="5" width="9" customWidth="1"/>
    <col min="6" max="6" width="9.21875" bestFit="1" customWidth="1"/>
    <col min="7" max="13" width="9" customWidth="1"/>
    <col min="14" max="14" width="8.77734375" customWidth="1"/>
  </cols>
  <sheetData>
    <row r="1" spans="1:16" x14ac:dyDescent="0.25">
      <c r="A1" t="s">
        <v>100</v>
      </c>
    </row>
    <row r="3" spans="1:16" x14ac:dyDescent="0.25">
      <c r="A3" s="9" t="s">
        <v>75</v>
      </c>
      <c r="B3" s="9" t="s">
        <v>13</v>
      </c>
      <c r="C3" s="9" t="s">
        <v>32</v>
      </c>
      <c r="D3" s="9" t="s">
        <v>101</v>
      </c>
      <c r="E3" s="9" t="s">
        <v>102</v>
      </c>
      <c r="F3" s="9" t="s">
        <v>33</v>
      </c>
      <c r="G3" s="9" t="s">
        <v>103</v>
      </c>
      <c r="H3" s="9" t="s">
        <v>77</v>
      </c>
      <c r="I3" s="9" t="s">
        <v>51</v>
      </c>
    </row>
    <row r="4" spans="1:16" x14ac:dyDescent="0.25">
      <c r="A4" s="18" t="s">
        <v>1</v>
      </c>
      <c r="B4" s="3">
        <v>100</v>
      </c>
      <c r="C4" s="3">
        <v>1000</v>
      </c>
      <c r="D4" s="3">
        <v>1000</v>
      </c>
      <c r="E4" s="3">
        <v>0</v>
      </c>
      <c r="F4" s="3">
        <v>1000</v>
      </c>
      <c r="G4" s="16">
        <v>0.125</v>
      </c>
      <c r="H4" s="3">
        <v>1</v>
      </c>
      <c r="I4">
        <v>1.657371375E-2</v>
      </c>
      <c r="K4" s="3">
        <v>4.8899999999999992E-2</v>
      </c>
    </row>
    <row r="5" spans="1:16" x14ac:dyDescent="0.25">
      <c r="A5" s="18" t="s">
        <v>2</v>
      </c>
      <c r="B5" s="3">
        <v>100</v>
      </c>
      <c r="C5" s="3">
        <v>1000</v>
      </c>
      <c r="D5" s="3">
        <v>0</v>
      </c>
      <c r="E5" s="3">
        <v>1000</v>
      </c>
      <c r="F5" s="3">
        <v>5000</v>
      </c>
      <c r="G5" s="16">
        <v>0.125</v>
      </c>
      <c r="H5" s="3">
        <v>2</v>
      </c>
      <c r="I5">
        <v>3.4020449999999994E-2</v>
      </c>
      <c r="K5" s="3">
        <v>5.7953999999999999E-2</v>
      </c>
    </row>
    <row r="6" spans="1:16" x14ac:dyDescent="0.25">
      <c r="A6" s="18" t="s">
        <v>3</v>
      </c>
      <c r="B6" s="3">
        <v>100</v>
      </c>
      <c r="C6" s="3">
        <v>1000</v>
      </c>
      <c r="D6" s="3">
        <v>2345</v>
      </c>
      <c r="E6" s="3">
        <v>4567</v>
      </c>
      <c r="F6" s="3">
        <v>6789</v>
      </c>
      <c r="G6" s="16">
        <v>0.125</v>
      </c>
      <c r="H6" s="3">
        <v>3</v>
      </c>
      <c r="I6">
        <v>0.14496574061249995</v>
      </c>
      <c r="K6" s="3">
        <v>0.19439249999999997</v>
      </c>
    </row>
    <row r="7" spans="1:16" x14ac:dyDescent="0.25">
      <c r="A7" s="18" t="s">
        <v>4</v>
      </c>
      <c r="B7" s="3">
        <v>200</v>
      </c>
      <c r="C7" s="3">
        <v>0</v>
      </c>
      <c r="D7" s="3">
        <v>1000</v>
      </c>
      <c r="E7" s="3">
        <v>1000</v>
      </c>
      <c r="F7" s="3">
        <v>3333</v>
      </c>
      <c r="G7" s="17">
        <v>0.2</v>
      </c>
      <c r="H7" s="3">
        <v>4</v>
      </c>
      <c r="I7">
        <v>0.15465156341399999</v>
      </c>
      <c r="K7" s="3">
        <v>0.1839954</v>
      </c>
    </row>
    <row r="8" spans="1:16" x14ac:dyDescent="0.25">
      <c r="A8" s="18" t="s">
        <v>5</v>
      </c>
      <c r="B8" s="3">
        <v>300</v>
      </c>
      <c r="C8" s="3">
        <v>10000</v>
      </c>
      <c r="D8" s="3">
        <v>5000</v>
      </c>
      <c r="E8" s="3">
        <v>5000</v>
      </c>
      <c r="F8" s="3">
        <v>10000</v>
      </c>
      <c r="G8" s="16">
        <v>0.125</v>
      </c>
      <c r="H8" s="3">
        <v>5</v>
      </c>
      <c r="I8">
        <v>0.81822959999999989</v>
      </c>
      <c r="K8" s="3">
        <v>1.61775</v>
      </c>
    </row>
    <row r="9" spans="1:16" x14ac:dyDescent="0.25">
      <c r="A9" s="18" t="s">
        <v>6</v>
      </c>
      <c r="B9" s="3">
        <v>400</v>
      </c>
      <c r="C9" s="3">
        <v>10000</v>
      </c>
      <c r="D9" s="3">
        <v>0</v>
      </c>
      <c r="E9" s="3">
        <v>0</v>
      </c>
      <c r="F9" s="3">
        <v>0</v>
      </c>
      <c r="G9" s="16">
        <v>0.125</v>
      </c>
      <c r="H9" s="3">
        <v>3</v>
      </c>
      <c r="I9">
        <v>0.15825149999999996</v>
      </c>
      <c r="K9" s="3">
        <v>0.71807999999999994</v>
      </c>
    </row>
    <row r="11" spans="1:16" ht="26.4" x14ac:dyDescent="0.25">
      <c r="A11" s="9" t="s">
        <v>58</v>
      </c>
      <c r="B11" s="47" t="s">
        <v>35</v>
      </c>
      <c r="C11" s="9" t="s">
        <v>103</v>
      </c>
      <c r="D11" s="47" t="s">
        <v>13</v>
      </c>
      <c r="E11" s="22" t="s">
        <v>108</v>
      </c>
      <c r="F11" s="47" t="s">
        <v>14</v>
      </c>
      <c r="G11" s="47" t="s">
        <v>15</v>
      </c>
      <c r="H11" s="47" t="s">
        <v>13</v>
      </c>
      <c r="I11" s="47" t="s">
        <v>108</v>
      </c>
      <c r="J11" s="47" t="s">
        <v>14</v>
      </c>
      <c r="K11" s="47" t="s">
        <v>15</v>
      </c>
      <c r="L11" s="47" t="s">
        <v>51</v>
      </c>
      <c r="N11" s="47"/>
      <c r="P11" s="20"/>
    </row>
    <row r="12" spans="1:16" x14ac:dyDescent="0.25">
      <c r="A12" s="18" t="s">
        <v>7</v>
      </c>
      <c r="B12" s="3">
        <v>1</v>
      </c>
      <c r="C12" s="48">
        <v>0.5</v>
      </c>
      <c r="D12" s="3">
        <v>166</v>
      </c>
      <c r="E12" s="17">
        <v>1</v>
      </c>
      <c r="F12" s="3">
        <v>1</v>
      </c>
      <c r="G12" s="17">
        <v>0.5</v>
      </c>
      <c r="H12" s="3">
        <v>33</v>
      </c>
      <c r="I12" s="17">
        <v>1</v>
      </c>
      <c r="J12" s="3">
        <v>36</v>
      </c>
      <c r="K12" s="17">
        <v>0.5</v>
      </c>
      <c r="L12">
        <v>4.7029497299999994E-3</v>
      </c>
      <c r="P12" s="4"/>
    </row>
    <row r="13" spans="1:16" x14ac:dyDescent="0.25">
      <c r="A13" s="18" t="s">
        <v>8</v>
      </c>
      <c r="B13" s="3">
        <v>1</v>
      </c>
      <c r="C13" s="49">
        <v>0.5</v>
      </c>
      <c r="D13" s="3">
        <v>166</v>
      </c>
      <c r="E13" s="17">
        <v>1</v>
      </c>
      <c r="F13" s="3">
        <v>2</v>
      </c>
      <c r="G13" s="17">
        <v>0.5</v>
      </c>
      <c r="H13" s="3">
        <v>33</v>
      </c>
      <c r="I13" s="17">
        <v>1</v>
      </c>
      <c r="J13" s="3">
        <v>18</v>
      </c>
      <c r="K13" s="17">
        <v>0.5</v>
      </c>
      <c r="L13">
        <v>4.4923124999999998E-3</v>
      </c>
      <c r="P13" s="4"/>
    </row>
    <row r="14" spans="1:16" x14ac:dyDescent="0.25">
      <c r="A14" s="18" t="s">
        <v>9</v>
      </c>
      <c r="B14" s="3">
        <v>1</v>
      </c>
      <c r="C14" s="49">
        <v>0.5</v>
      </c>
      <c r="D14" s="3">
        <v>166</v>
      </c>
      <c r="E14" s="17">
        <v>0.5</v>
      </c>
      <c r="F14" s="3">
        <v>4</v>
      </c>
      <c r="G14" s="17">
        <v>0.75</v>
      </c>
      <c r="H14" s="3">
        <v>33</v>
      </c>
      <c r="I14" s="17">
        <v>1</v>
      </c>
      <c r="J14" s="3">
        <v>9</v>
      </c>
      <c r="K14" s="17">
        <v>0.25</v>
      </c>
      <c r="L14">
        <v>2.6156159999999999E-3</v>
      </c>
      <c r="P14" s="4"/>
    </row>
    <row r="15" spans="1:16" x14ac:dyDescent="0.25">
      <c r="A15" s="18" t="s">
        <v>10</v>
      </c>
      <c r="B15" s="3">
        <v>1</v>
      </c>
      <c r="C15" s="49">
        <v>0.5</v>
      </c>
      <c r="D15" s="3">
        <v>166</v>
      </c>
      <c r="E15" s="17">
        <v>1</v>
      </c>
      <c r="F15" s="3">
        <v>9</v>
      </c>
      <c r="G15" s="17">
        <v>0.25</v>
      </c>
      <c r="H15" s="3">
        <v>33</v>
      </c>
      <c r="I15" s="17">
        <v>0.5</v>
      </c>
      <c r="J15" s="3">
        <v>4</v>
      </c>
      <c r="K15" s="17">
        <v>0.75</v>
      </c>
      <c r="L15">
        <v>4.1124844499999995E-3</v>
      </c>
      <c r="P15" s="4"/>
    </row>
    <row r="16" spans="1:16" x14ac:dyDescent="0.25">
      <c r="A16" s="18" t="s">
        <v>117</v>
      </c>
      <c r="B16" s="3">
        <v>1</v>
      </c>
      <c r="C16" s="49">
        <v>0.5</v>
      </c>
      <c r="D16" s="3">
        <v>166</v>
      </c>
      <c r="E16" s="17">
        <v>1</v>
      </c>
      <c r="F16" s="3">
        <v>36</v>
      </c>
      <c r="G16" s="17">
        <v>0.25</v>
      </c>
      <c r="H16" s="3">
        <v>33</v>
      </c>
      <c r="I16" s="17">
        <v>1</v>
      </c>
      <c r="J16" s="3">
        <v>1</v>
      </c>
      <c r="K16" s="17">
        <v>0.75</v>
      </c>
      <c r="L16">
        <v>5.8382928299999994E-3</v>
      </c>
      <c r="P16" s="4"/>
    </row>
    <row r="17" spans="1:16" x14ac:dyDescent="0.25">
      <c r="A17" s="18" t="s">
        <v>425</v>
      </c>
      <c r="B17" s="3">
        <v>1</v>
      </c>
      <c r="C17" s="49">
        <v>0</v>
      </c>
      <c r="D17" s="3">
        <v>166</v>
      </c>
      <c r="E17" s="17">
        <v>1</v>
      </c>
      <c r="F17" s="3">
        <v>9</v>
      </c>
      <c r="G17" s="17">
        <v>0</v>
      </c>
      <c r="H17" s="3">
        <v>166</v>
      </c>
      <c r="I17" s="17">
        <v>1</v>
      </c>
      <c r="J17" s="3">
        <v>9</v>
      </c>
      <c r="K17" s="17">
        <v>1</v>
      </c>
      <c r="L17">
        <v>7.0433932799999991E-3</v>
      </c>
      <c r="P17" s="4"/>
    </row>
    <row r="18" spans="1:16" x14ac:dyDescent="0.25">
      <c r="A18" s="18" t="s">
        <v>426</v>
      </c>
      <c r="B18" s="3">
        <v>1</v>
      </c>
      <c r="C18" s="49">
        <v>0.5</v>
      </c>
      <c r="D18" s="3">
        <v>166</v>
      </c>
      <c r="E18" s="17">
        <v>1</v>
      </c>
      <c r="F18" s="3">
        <v>9</v>
      </c>
      <c r="G18" s="17">
        <v>0</v>
      </c>
      <c r="H18" s="3">
        <v>166</v>
      </c>
      <c r="I18" s="17">
        <v>1</v>
      </c>
      <c r="J18" s="3">
        <v>9</v>
      </c>
      <c r="K18" s="17">
        <v>1</v>
      </c>
      <c r="L18">
        <v>7.6036632000000002E-3</v>
      </c>
      <c r="P18" s="2"/>
    </row>
    <row r="19" spans="1:16" x14ac:dyDescent="0.25">
      <c r="A19" s="18" t="s">
        <v>427</v>
      </c>
      <c r="B19" s="3">
        <v>1</v>
      </c>
      <c r="C19" s="49">
        <v>1</v>
      </c>
      <c r="D19" s="3">
        <v>166</v>
      </c>
      <c r="E19" s="17">
        <v>1</v>
      </c>
      <c r="F19" s="3">
        <v>9</v>
      </c>
      <c r="G19" s="17">
        <v>0</v>
      </c>
      <c r="H19" s="3">
        <v>166</v>
      </c>
      <c r="I19" s="17">
        <v>1</v>
      </c>
      <c r="J19" s="3">
        <v>9</v>
      </c>
      <c r="K19" s="17">
        <v>1</v>
      </c>
      <c r="L19">
        <v>7.603663200000001E-3</v>
      </c>
      <c r="P19" s="2"/>
    </row>
    <row r="21" spans="1:16" x14ac:dyDescent="0.25">
      <c r="A21" s="9" t="s">
        <v>59</v>
      </c>
      <c r="B21" s="9" t="s">
        <v>13</v>
      </c>
      <c r="C21" s="9" t="s">
        <v>105</v>
      </c>
      <c r="D21" s="9" t="s">
        <v>51</v>
      </c>
      <c r="E21" s="9" t="s">
        <v>52</v>
      </c>
      <c r="F21" s="9" t="s">
        <v>106</v>
      </c>
      <c r="G21" s="9"/>
    </row>
    <row r="22" spans="1:16" x14ac:dyDescent="0.25">
      <c r="A22" s="19" t="s">
        <v>11</v>
      </c>
      <c r="B22" s="15">
        <v>200</v>
      </c>
      <c r="C22" t="s">
        <v>36</v>
      </c>
      <c r="D22">
        <v>4.3199999999999992E-3</v>
      </c>
      <c r="E22">
        <v>7.2499999999999995E-2</v>
      </c>
      <c r="F22">
        <v>2.75E-2</v>
      </c>
    </row>
    <row r="23" spans="1:16" x14ac:dyDescent="0.25">
      <c r="A23" s="19" t="s">
        <v>12</v>
      </c>
      <c r="B23" s="15">
        <v>400</v>
      </c>
      <c r="C23" t="s">
        <v>37</v>
      </c>
      <c r="D23">
        <v>8.6399999999999984E-3</v>
      </c>
      <c r="E23">
        <v>0.20499999999999999</v>
      </c>
      <c r="F23">
        <v>2.75E-2</v>
      </c>
    </row>
    <row r="25" spans="1:16" x14ac:dyDescent="0.25">
      <c r="A25" s="9" t="s">
        <v>61</v>
      </c>
      <c r="B25" s="9" t="s">
        <v>107</v>
      </c>
      <c r="C25" s="9" t="s">
        <v>13</v>
      </c>
      <c r="D25" s="9" t="s">
        <v>103</v>
      </c>
      <c r="E25" s="9" t="s">
        <v>51</v>
      </c>
      <c r="G25" s="9"/>
    </row>
    <row r="26" spans="1:16" x14ac:dyDescent="0.25">
      <c r="A26" s="18" t="s">
        <v>344</v>
      </c>
      <c r="B26" s="3">
        <v>10</v>
      </c>
      <c r="C26">
        <v>100</v>
      </c>
      <c r="D26" s="17">
        <v>0.125</v>
      </c>
      <c r="E26">
        <v>1.6004999999999998E-2</v>
      </c>
    </row>
    <row r="27" spans="1:16" x14ac:dyDescent="0.25">
      <c r="A27" s="18" t="s">
        <v>345</v>
      </c>
      <c r="B27" s="3">
        <v>10</v>
      </c>
      <c r="C27">
        <v>100</v>
      </c>
      <c r="D27" s="17">
        <v>0.5</v>
      </c>
      <c r="E27">
        <v>6.4019999999999994E-2</v>
      </c>
    </row>
    <row r="28" spans="1:16" x14ac:dyDescent="0.25">
      <c r="A28" s="18" t="s">
        <v>346</v>
      </c>
      <c r="B28" s="3">
        <v>10</v>
      </c>
      <c r="C28">
        <v>100</v>
      </c>
      <c r="D28" s="17">
        <v>1</v>
      </c>
      <c r="E28">
        <v>0.12803999999999999</v>
      </c>
    </row>
    <row r="30" spans="1:16" x14ac:dyDescent="0.25">
      <c r="A30" s="9" t="s">
        <v>109</v>
      </c>
      <c r="B30" s="9" t="s">
        <v>13</v>
      </c>
      <c r="C30" s="9" t="s">
        <v>110</v>
      </c>
      <c r="D30" s="9" t="s">
        <v>111</v>
      </c>
      <c r="E30" s="9" t="s">
        <v>112</v>
      </c>
      <c r="F30" s="9" t="s">
        <v>378</v>
      </c>
      <c r="G30" s="9" t="s">
        <v>103</v>
      </c>
      <c r="H30" s="9" t="s">
        <v>108</v>
      </c>
      <c r="I30" s="9" t="s">
        <v>113</v>
      </c>
      <c r="J30" s="9" t="s">
        <v>114</v>
      </c>
      <c r="K30" s="9" t="s">
        <v>115</v>
      </c>
      <c r="L30" s="9" t="s">
        <v>51</v>
      </c>
      <c r="M30" s="9" t="s">
        <v>52</v>
      </c>
      <c r="N30" s="9" t="s">
        <v>207</v>
      </c>
    </row>
    <row r="31" spans="1:16" x14ac:dyDescent="0.25">
      <c r="A31" t="s">
        <v>134</v>
      </c>
      <c r="B31">
        <v>100</v>
      </c>
      <c r="C31">
        <v>10</v>
      </c>
      <c r="D31">
        <v>0</v>
      </c>
      <c r="E31">
        <v>0</v>
      </c>
      <c r="F31" t="s">
        <v>396</v>
      </c>
      <c r="G31" s="4">
        <v>0.125</v>
      </c>
      <c r="H31" s="2">
        <v>1</v>
      </c>
      <c r="I31">
        <v>5</v>
      </c>
      <c r="J31" t="s">
        <v>28</v>
      </c>
      <c r="K31" s="15">
        <v>1.3592399999999999E-2</v>
      </c>
      <c r="L31" s="15">
        <v>6.8000000000000005E-2</v>
      </c>
      <c r="M31" s="15">
        <v>0</v>
      </c>
      <c r="N31">
        <v>0</v>
      </c>
    </row>
    <row r="32" spans="1:16" x14ac:dyDescent="0.25">
      <c r="A32" t="s">
        <v>134</v>
      </c>
      <c r="B32">
        <v>100</v>
      </c>
      <c r="C32">
        <v>0</v>
      </c>
      <c r="D32">
        <v>10</v>
      </c>
      <c r="E32">
        <v>0</v>
      </c>
      <c r="F32" t="s">
        <v>397</v>
      </c>
      <c r="G32" s="4">
        <v>0.125</v>
      </c>
      <c r="H32" s="2">
        <v>1</v>
      </c>
      <c r="I32">
        <v>5</v>
      </c>
      <c r="J32" t="s">
        <v>28</v>
      </c>
      <c r="K32" s="15">
        <v>3.9239999999999989E-4</v>
      </c>
      <c r="L32" s="15">
        <v>5.4976395089285728E-4</v>
      </c>
      <c r="M32" s="15">
        <v>3.3194812499999997E-2</v>
      </c>
      <c r="N32">
        <v>4.8796875000000003E-2</v>
      </c>
    </row>
    <row r="33" spans="1:14" x14ac:dyDescent="0.25">
      <c r="A33" t="s">
        <v>134</v>
      </c>
      <c r="B33">
        <v>100</v>
      </c>
      <c r="C33">
        <v>0</v>
      </c>
      <c r="D33">
        <v>0</v>
      </c>
      <c r="E33">
        <v>10</v>
      </c>
      <c r="F33" t="s">
        <v>398</v>
      </c>
      <c r="G33" s="4">
        <v>0.125</v>
      </c>
      <c r="H33" s="2">
        <v>1</v>
      </c>
      <c r="I33">
        <v>5</v>
      </c>
      <c r="J33" t="s">
        <v>28</v>
      </c>
      <c r="K33" s="15">
        <v>1.3592399999999999E-2</v>
      </c>
      <c r="L33" s="15">
        <v>6.8549763950892864E-2</v>
      </c>
      <c r="M33" s="15">
        <v>3.3194812499999997E-2</v>
      </c>
      <c r="N33">
        <v>4.8796875000000003E-2</v>
      </c>
    </row>
    <row r="34" spans="1:14" x14ac:dyDescent="0.25">
      <c r="A34" t="s">
        <v>134</v>
      </c>
      <c r="B34">
        <v>100</v>
      </c>
      <c r="C34">
        <v>10</v>
      </c>
      <c r="D34">
        <v>10</v>
      </c>
      <c r="E34">
        <v>10</v>
      </c>
      <c r="F34" t="s">
        <v>399</v>
      </c>
      <c r="G34" s="4">
        <v>0.125</v>
      </c>
      <c r="H34" s="2">
        <v>1</v>
      </c>
      <c r="I34">
        <v>5</v>
      </c>
      <c r="J34" t="s">
        <v>116</v>
      </c>
      <c r="K34" s="15">
        <v>2.75772E-2</v>
      </c>
      <c r="L34" s="15">
        <v>0.13819905580357145</v>
      </c>
      <c r="M34" s="15">
        <v>6.8780250000000001E-2</v>
      </c>
      <c r="N34">
        <v>9.9187500000000012E-2</v>
      </c>
    </row>
    <row r="35" spans="1:14" x14ac:dyDescent="0.25">
      <c r="A35" t="s">
        <v>134</v>
      </c>
      <c r="B35">
        <v>100</v>
      </c>
      <c r="C35">
        <v>10</v>
      </c>
      <c r="D35">
        <v>10</v>
      </c>
      <c r="E35">
        <v>10</v>
      </c>
      <c r="F35" t="s">
        <v>400</v>
      </c>
      <c r="G35" s="4">
        <v>0.2</v>
      </c>
      <c r="H35" s="2">
        <v>1</v>
      </c>
      <c r="I35">
        <v>5</v>
      </c>
      <c r="J35" t="s">
        <v>28</v>
      </c>
      <c r="K35" s="15">
        <v>2.7981119999999995E-2</v>
      </c>
      <c r="L35" s="15">
        <v>0.13775924464285713</v>
      </c>
      <c r="M35" s="15">
        <v>6.7823999999999995E-2</v>
      </c>
      <c r="N35">
        <v>9.8549999999999999E-2</v>
      </c>
    </row>
    <row r="36" spans="1:14" x14ac:dyDescent="0.25">
      <c r="A36" t="s">
        <v>134</v>
      </c>
      <c r="B36">
        <v>100</v>
      </c>
      <c r="C36">
        <v>0</v>
      </c>
      <c r="D36">
        <v>0</v>
      </c>
      <c r="E36">
        <v>10</v>
      </c>
      <c r="F36" t="s">
        <v>396</v>
      </c>
      <c r="G36" s="4">
        <v>0.2</v>
      </c>
      <c r="H36" s="2">
        <v>1</v>
      </c>
      <c r="I36">
        <v>5</v>
      </c>
      <c r="J36" t="s">
        <v>28</v>
      </c>
      <c r="K36" s="15">
        <v>1.3727039999999998E-2</v>
      </c>
      <c r="L36" s="15">
        <v>6.8879622321428566E-2</v>
      </c>
      <c r="M36" s="15">
        <v>3.3911999999999998E-2</v>
      </c>
      <c r="N36">
        <v>4.9274999999999999E-2</v>
      </c>
    </row>
    <row r="37" spans="1:14" x14ac:dyDescent="0.25">
      <c r="A37" t="s">
        <v>134</v>
      </c>
      <c r="B37">
        <v>100</v>
      </c>
      <c r="C37">
        <v>0</v>
      </c>
      <c r="D37">
        <v>0</v>
      </c>
      <c r="E37">
        <v>10</v>
      </c>
      <c r="F37" t="s">
        <v>396</v>
      </c>
      <c r="G37" s="4">
        <v>0.2</v>
      </c>
      <c r="H37" s="2">
        <v>0.5</v>
      </c>
      <c r="I37">
        <v>5</v>
      </c>
      <c r="J37" t="s">
        <v>28</v>
      </c>
      <c r="K37" s="15">
        <v>1.3727039999999998E-2</v>
      </c>
      <c r="L37" s="15">
        <v>6.8439811160714306E-2</v>
      </c>
      <c r="M37" s="15">
        <v>1.9205999999999997E-2</v>
      </c>
      <c r="N37">
        <v>2.6137500000000001E-2</v>
      </c>
    </row>
    <row r="38" spans="1:14" x14ac:dyDescent="0.25">
      <c r="A38" t="s">
        <v>134</v>
      </c>
      <c r="B38">
        <v>100</v>
      </c>
      <c r="C38">
        <v>0</v>
      </c>
      <c r="D38">
        <v>0</v>
      </c>
      <c r="E38">
        <v>10</v>
      </c>
      <c r="F38" t="s">
        <v>396</v>
      </c>
      <c r="G38" s="4">
        <v>0.2</v>
      </c>
      <c r="H38" s="2">
        <v>0</v>
      </c>
      <c r="I38">
        <v>5</v>
      </c>
      <c r="J38" t="s">
        <v>28</v>
      </c>
      <c r="K38" s="15">
        <v>1.3727039999999998E-2</v>
      </c>
      <c r="L38" s="15">
        <v>6.8000000000000005E-2</v>
      </c>
      <c r="M38" s="15">
        <v>4.4999999999999997E-3</v>
      </c>
      <c r="N38">
        <v>2.9999999999999996E-3</v>
      </c>
    </row>
    <row r="39" spans="1:14" x14ac:dyDescent="0.25">
      <c r="A39" t="s">
        <v>134</v>
      </c>
      <c r="B39">
        <v>200</v>
      </c>
      <c r="C39">
        <v>10</v>
      </c>
      <c r="D39">
        <v>10</v>
      </c>
      <c r="E39">
        <v>0</v>
      </c>
      <c r="F39" t="s">
        <v>396</v>
      </c>
      <c r="G39" s="4">
        <v>0.35</v>
      </c>
      <c r="H39" s="2">
        <v>1</v>
      </c>
      <c r="I39">
        <v>5</v>
      </c>
      <c r="J39" t="s">
        <v>28</v>
      </c>
      <c r="K39" s="15">
        <v>1.6385279999999999E-2</v>
      </c>
      <c r="L39" s="15">
        <v>7.1078678125000017E-2</v>
      </c>
      <c r="M39" s="15">
        <v>3.8693249999999998E-2</v>
      </c>
      <c r="N39">
        <v>5.2462500000000002E-2</v>
      </c>
    </row>
    <row r="40" spans="1:14" x14ac:dyDescent="0.25">
      <c r="A40" t="s">
        <v>214</v>
      </c>
      <c r="B40">
        <v>200</v>
      </c>
      <c r="C40">
        <v>10</v>
      </c>
      <c r="D40">
        <v>10</v>
      </c>
      <c r="E40">
        <v>0</v>
      </c>
      <c r="F40" t="s">
        <v>396</v>
      </c>
      <c r="G40" s="4">
        <v>0.35</v>
      </c>
      <c r="H40" s="2">
        <v>1</v>
      </c>
      <c r="I40">
        <v>5</v>
      </c>
      <c r="J40" t="s">
        <v>28</v>
      </c>
      <c r="K40" s="15">
        <v>1.6385279999999999E-2</v>
      </c>
      <c r="L40" s="15">
        <v>6.8636733333333325E-2</v>
      </c>
      <c r="M40" s="15">
        <v>4.3263802800000001E-2</v>
      </c>
      <c r="N40">
        <v>5.1009446E-2</v>
      </c>
    </row>
    <row r="41" spans="1:14" x14ac:dyDescent="0.25">
      <c r="A41" t="s">
        <v>196</v>
      </c>
      <c r="B41">
        <v>200</v>
      </c>
      <c r="C41">
        <v>10</v>
      </c>
      <c r="D41">
        <v>10</v>
      </c>
      <c r="E41">
        <v>0</v>
      </c>
      <c r="F41" t="s">
        <v>396</v>
      </c>
      <c r="G41" s="4">
        <v>0.35</v>
      </c>
      <c r="H41" s="2">
        <v>1</v>
      </c>
      <c r="I41">
        <v>5</v>
      </c>
      <c r="J41" t="s">
        <v>28</v>
      </c>
      <c r="K41" s="15">
        <v>3.1852799999999995E-3</v>
      </c>
      <c r="L41" s="15">
        <v>2.9666677082875004E-3</v>
      </c>
      <c r="M41" s="15">
        <v>5.4320000000000014E-2</v>
      </c>
      <c r="N41">
        <v>2.1728000000000004E-2</v>
      </c>
    </row>
    <row r="42" spans="1:14" x14ac:dyDescent="0.25">
      <c r="A42" t="s">
        <v>137</v>
      </c>
      <c r="B42">
        <v>200</v>
      </c>
      <c r="C42">
        <v>10</v>
      </c>
      <c r="D42">
        <v>10</v>
      </c>
      <c r="E42">
        <v>0</v>
      </c>
      <c r="F42" t="s">
        <v>396</v>
      </c>
      <c r="G42" s="4">
        <v>0.35</v>
      </c>
      <c r="H42" s="2">
        <v>1</v>
      </c>
      <c r="I42">
        <v>5</v>
      </c>
      <c r="J42" t="s">
        <v>28</v>
      </c>
      <c r="K42" s="15">
        <v>3.1852799999999995E-3</v>
      </c>
      <c r="L42" s="15">
        <v>6.5573749999999986E-2</v>
      </c>
      <c r="M42" s="15">
        <v>0.23498809062500001</v>
      </c>
      <c r="N42">
        <v>9.3995236250000003E-2</v>
      </c>
    </row>
    <row r="43" spans="1:14" x14ac:dyDescent="0.25">
      <c r="A43" t="s">
        <v>212</v>
      </c>
      <c r="B43">
        <v>100</v>
      </c>
      <c r="C43">
        <v>0</v>
      </c>
      <c r="D43">
        <v>10</v>
      </c>
      <c r="E43">
        <v>0</v>
      </c>
      <c r="F43" t="s">
        <v>396</v>
      </c>
      <c r="G43" s="4">
        <v>0.2</v>
      </c>
      <c r="H43" s="2">
        <v>1</v>
      </c>
      <c r="I43">
        <v>0</v>
      </c>
      <c r="J43" t="s">
        <v>116</v>
      </c>
      <c r="K43">
        <v>5.2703999999999989E-4</v>
      </c>
      <c r="L43">
        <v>1.8500000000000002E-4</v>
      </c>
      <c r="M43">
        <v>0.37715666250000002</v>
      </c>
      <c r="N43">
        <v>0.15086266500000001</v>
      </c>
    </row>
    <row r="44" spans="1:14" x14ac:dyDescent="0.25">
      <c r="A44" t="s">
        <v>136</v>
      </c>
      <c r="B44">
        <v>100</v>
      </c>
      <c r="C44">
        <v>0</v>
      </c>
      <c r="D44">
        <v>10</v>
      </c>
      <c r="E44">
        <v>0</v>
      </c>
      <c r="F44" t="s">
        <v>396</v>
      </c>
      <c r="G44" s="4">
        <v>0.2</v>
      </c>
      <c r="H44" s="2">
        <v>1</v>
      </c>
      <c r="I44">
        <v>0</v>
      </c>
      <c r="J44" t="s">
        <v>116</v>
      </c>
      <c r="K44">
        <v>5.2703999999999989E-4</v>
      </c>
      <c r="L44">
        <v>1.961663095238095E-3</v>
      </c>
      <c r="M44">
        <v>3.7240400160000006E-2</v>
      </c>
      <c r="N44">
        <v>6.0911111199999993E-2</v>
      </c>
    </row>
    <row r="45" spans="1:14" x14ac:dyDescent="0.25">
      <c r="A45" t="s">
        <v>135</v>
      </c>
      <c r="B45">
        <v>100</v>
      </c>
      <c r="C45">
        <v>0</v>
      </c>
      <c r="D45">
        <v>10</v>
      </c>
      <c r="E45">
        <v>0</v>
      </c>
      <c r="F45" t="s">
        <v>396</v>
      </c>
      <c r="G45" s="4">
        <v>0.2</v>
      </c>
      <c r="H45" s="2">
        <v>1</v>
      </c>
      <c r="I45">
        <v>0</v>
      </c>
      <c r="J45" t="s">
        <v>116</v>
      </c>
      <c r="K45">
        <v>5.2703999999999989E-4</v>
      </c>
      <c r="L45">
        <v>2.8286613095238099E-3</v>
      </c>
      <c r="M45">
        <v>5.5718799839999993E-2</v>
      </c>
      <c r="N45">
        <v>5.0000000000000001E-3</v>
      </c>
    </row>
    <row r="46" spans="1:14" x14ac:dyDescent="0.25">
      <c r="A46" t="s">
        <v>181</v>
      </c>
      <c r="B46">
        <v>100</v>
      </c>
      <c r="C46">
        <v>0</v>
      </c>
      <c r="D46">
        <v>10</v>
      </c>
      <c r="E46">
        <v>0</v>
      </c>
      <c r="F46" t="s">
        <v>396</v>
      </c>
      <c r="G46" s="4">
        <v>0.2</v>
      </c>
      <c r="H46" s="2">
        <v>1</v>
      </c>
      <c r="I46">
        <v>0</v>
      </c>
      <c r="J46" t="s">
        <v>116</v>
      </c>
      <c r="K46">
        <v>5.2703999999999989E-4</v>
      </c>
      <c r="L46">
        <v>6.1576250000000001E-4</v>
      </c>
      <c r="M46">
        <v>5.664001499999999E-3</v>
      </c>
      <c r="N46">
        <v>3.7760009999999993E-3</v>
      </c>
    </row>
    <row r="47" spans="1:14" x14ac:dyDescent="0.25">
      <c r="A47" t="s">
        <v>149</v>
      </c>
      <c r="B47">
        <v>100</v>
      </c>
      <c r="C47">
        <v>0</v>
      </c>
      <c r="D47">
        <v>10</v>
      </c>
      <c r="E47">
        <v>0</v>
      </c>
      <c r="F47" t="s">
        <v>396</v>
      </c>
      <c r="G47" s="4">
        <v>0.2</v>
      </c>
      <c r="H47" s="2">
        <v>1</v>
      </c>
      <c r="I47">
        <v>0</v>
      </c>
      <c r="J47" t="s">
        <v>116</v>
      </c>
      <c r="K47">
        <v>5.2703999999999989E-4</v>
      </c>
      <c r="L47">
        <v>6.1576250000000001E-4</v>
      </c>
      <c r="M47">
        <v>7.5383999999999998E-3</v>
      </c>
      <c r="N47">
        <v>5.0255999999999999E-3</v>
      </c>
    </row>
    <row r="48" spans="1:14" x14ac:dyDescent="0.25">
      <c r="A48" t="s">
        <v>182</v>
      </c>
      <c r="B48">
        <v>100</v>
      </c>
      <c r="C48">
        <v>0</v>
      </c>
      <c r="D48">
        <v>10</v>
      </c>
      <c r="E48">
        <v>0</v>
      </c>
      <c r="F48" t="s">
        <v>396</v>
      </c>
      <c r="G48" s="4">
        <v>0.2</v>
      </c>
      <c r="H48" s="2">
        <v>1</v>
      </c>
      <c r="I48">
        <v>0</v>
      </c>
      <c r="J48" t="s">
        <v>116</v>
      </c>
      <c r="K48">
        <v>5.2703999999999989E-4</v>
      </c>
      <c r="L48">
        <v>7.761101190476192E-4</v>
      </c>
      <c r="M48">
        <v>7.9739999999999985E-3</v>
      </c>
      <c r="N48">
        <v>5.3159999999999987E-3</v>
      </c>
    </row>
    <row r="49" spans="1:14" x14ac:dyDescent="0.25">
      <c r="A49" t="s">
        <v>150</v>
      </c>
      <c r="B49">
        <v>100</v>
      </c>
      <c r="C49">
        <v>0</v>
      </c>
      <c r="D49">
        <v>10</v>
      </c>
      <c r="E49">
        <v>0</v>
      </c>
      <c r="F49" t="s">
        <v>396</v>
      </c>
      <c r="G49" s="4">
        <v>0.2</v>
      </c>
      <c r="H49" s="2">
        <v>1</v>
      </c>
      <c r="I49">
        <v>0</v>
      </c>
      <c r="J49" t="s">
        <v>116</v>
      </c>
      <c r="K49">
        <v>5.2703999999999989E-4</v>
      </c>
      <c r="L49">
        <v>7.761101190476192E-4</v>
      </c>
      <c r="M49">
        <v>7.9679519999999986E-3</v>
      </c>
      <c r="N49">
        <v>5.3119679999999994E-3</v>
      </c>
    </row>
    <row r="50" spans="1:14" x14ac:dyDescent="0.25">
      <c r="A50" t="s">
        <v>183</v>
      </c>
      <c r="B50">
        <v>100</v>
      </c>
      <c r="C50">
        <v>0</v>
      </c>
      <c r="D50">
        <v>10</v>
      </c>
      <c r="E50">
        <v>0</v>
      </c>
      <c r="F50" t="s">
        <v>396</v>
      </c>
      <c r="G50" s="4">
        <v>0.2</v>
      </c>
      <c r="H50" s="2">
        <v>1</v>
      </c>
      <c r="I50">
        <v>0</v>
      </c>
      <c r="J50" t="s">
        <v>116</v>
      </c>
      <c r="K50">
        <v>5.2703999999999989E-4</v>
      </c>
      <c r="L50">
        <v>1.3561869047619046E-3</v>
      </c>
      <c r="M50">
        <v>1.035E-2</v>
      </c>
      <c r="N50">
        <v>6.8999999999999999E-3</v>
      </c>
    </row>
    <row r="51" spans="1:14" x14ac:dyDescent="0.25">
      <c r="A51" t="s">
        <v>151</v>
      </c>
      <c r="B51">
        <v>100</v>
      </c>
      <c r="C51">
        <v>0</v>
      </c>
      <c r="D51">
        <v>10</v>
      </c>
      <c r="E51">
        <v>0</v>
      </c>
      <c r="F51" t="s">
        <v>396</v>
      </c>
      <c r="G51" s="4">
        <v>0.2</v>
      </c>
      <c r="H51" s="2">
        <v>1</v>
      </c>
      <c r="I51">
        <v>0</v>
      </c>
      <c r="J51" t="s">
        <v>116</v>
      </c>
      <c r="K51">
        <v>5.2703999999999989E-4</v>
      </c>
      <c r="L51">
        <v>1.3561869047619046E-3</v>
      </c>
      <c r="M51">
        <v>1.0342799999999997E-2</v>
      </c>
      <c r="N51">
        <v>6.895199999999998E-3</v>
      </c>
    </row>
    <row r="52" spans="1:14" x14ac:dyDescent="0.25">
      <c r="A52" t="s">
        <v>184</v>
      </c>
      <c r="B52">
        <v>100</v>
      </c>
      <c r="C52">
        <v>0</v>
      </c>
      <c r="D52">
        <v>10</v>
      </c>
      <c r="E52">
        <v>0</v>
      </c>
      <c r="F52" t="s">
        <v>396</v>
      </c>
      <c r="G52" s="4">
        <v>0.2</v>
      </c>
      <c r="H52" s="2">
        <v>1</v>
      </c>
      <c r="I52">
        <v>0</v>
      </c>
      <c r="J52" t="s">
        <v>116</v>
      </c>
      <c r="K52">
        <v>5.2703999999999989E-4</v>
      </c>
      <c r="L52">
        <v>8.2657023809523797E-4</v>
      </c>
      <c r="M52">
        <v>1.2726000000000001E-2</v>
      </c>
      <c r="N52">
        <v>8.4840000000000002E-3</v>
      </c>
    </row>
    <row r="53" spans="1:14" x14ac:dyDescent="0.25">
      <c r="A53" t="s">
        <v>152</v>
      </c>
      <c r="B53">
        <v>100</v>
      </c>
      <c r="C53">
        <v>0</v>
      </c>
      <c r="D53">
        <v>10</v>
      </c>
      <c r="E53">
        <v>0</v>
      </c>
      <c r="F53" t="s">
        <v>396</v>
      </c>
      <c r="G53" s="4">
        <v>0.2</v>
      </c>
      <c r="H53" s="2">
        <v>1</v>
      </c>
      <c r="I53">
        <v>0</v>
      </c>
      <c r="J53" t="s">
        <v>116</v>
      </c>
      <c r="K53">
        <v>5.2703999999999989E-4</v>
      </c>
      <c r="L53">
        <v>8.2657023809523797E-4</v>
      </c>
      <c r="M53">
        <v>1.1782619999999995E-2</v>
      </c>
      <c r="N53">
        <v>7.8550799999999969E-3</v>
      </c>
    </row>
    <row r="54" spans="1:14" x14ac:dyDescent="0.25">
      <c r="A54" t="s">
        <v>185</v>
      </c>
      <c r="B54">
        <v>100</v>
      </c>
      <c r="C54">
        <v>0</v>
      </c>
      <c r="D54">
        <v>10</v>
      </c>
      <c r="E54">
        <v>0</v>
      </c>
      <c r="F54" t="s">
        <v>396</v>
      </c>
      <c r="G54" s="4">
        <v>0.2</v>
      </c>
      <c r="H54" s="2">
        <v>1</v>
      </c>
      <c r="I54">
        <v>0</v>
      </c>
      <c r="J54" t="s">
        <v>116</v>
      </c>
      <c r="K54">
        <v>5.2703999999999989E-4</v>
      </c>
      <c r="L54">
        <v>1.555080952380952E-3</v>
      </c>
      <c r="M54">
        <v>1.1026499999999998E-2</v>
      </c>
      <c r="N54">
        <v>7.350999999999999E-3</v>
      </c>
    </row>
    <row r="55" spans="1:14" x14ac:dyDescent="0.25">
      <c r="A55" t="s">
        <v>153</v>
      </c>
      <c r="B55">
        <v>100</v>
      </c>
      <c r="C55">
        <v>0</v>
      </c>
      <c r="D55">
        <v>10</v>
      </c>
      <c r="E55">
        <v>0</v>
      </c>
      <c r="F55" t="s">
        <v>396</v>
      </c>
      <c r="G55" s="4">
        <v>0.2</v>
      </c>
      <c r="H55" s="2">
        <v>1</v>
      </c>
      <c r="I55">
        <v>0</v>
      </c>
      <c r="J55" t="s">
        <v>116</v>
      </c>
      <c r="K55">
        <v>5.2703999999999989E-4</v>
      </c>
      <c r="L55">
        <v>1.555080952380952E-3</v>
      </c>
      <c r="M55">
        <v>1.1596799999999996E-2</v>
      </c>
      <c r="N55">
        <v>7.7311999999999971E-3</v>
      </c>
    </row>
    <row r="56" spans="1:14" x14ac:dyDescent="0.25">
      <c r="A56" t="s">
        <v>186</v>
      </c>
      <c r="B56">
        <v>100</v>
      </c>
      <c r="C56">
        <v>0</v>
      </c>
      <c r="D56">
        <v>10</v>
      </c>
      <c r="E56">
        <v>0</v>
      </c>
      <c r="F56" t="s">
        <v>396</v>
      </c>
      <c r="G56" s="4">
        <v>0.2</v>
      </c>
      <c r="H56" s="2">
        <v>1</v>
      </c>
      <c r="I56">
        <v>0</v>
      </c>
      <c r="J56" t="s">
        <v>116</v>
      </c>
      <c r="K56">
        <v>5.2703999999999989E-4</v>
      </c>
      <c r="L56">
        <v>6.1560952380952379E-4</v>
      </c>
      <c r="M56">
        <v>1.0864800000000004E-2</v>
      </c>
      <c r="N56">
        <v>6.0360000000000023E-3</v>
      </c>
    </row>
    <row r="57" spans="1:14" x14ac:dyDescent="0.25">
      <c r="A57" t="s">
        <v>154</v>
      </c>
      <c r="B57">
        <v>100</v>
      </c>
      <c r="C57">
        <v>0</v>
      </c>
      <c r="D57">
        <v>10</v>
      </c>
      <c r="E57">
        <v>0</v>
      </c>
      <c r="F57" t="s">
        <v>396</v>
      </c>
      <c r="G57" s="4">
        <v>0.2</v>
      </c>
      <c r="H57" s="2">
        <v>1</v>
      </c>
      <c r="I57">
        <v>0</v>
      </c>
      <c r="J57" t="s">
        <v>116</v>
      </c>
      <c r="K57">
        <v>5.2703999999999989E-4</v>
      </c>
      <c r="L57">
        <v>6.1560952380952379E-4</v>
      </c>
      <c r="M57">
        <v>9.5256000000000004E-3</v>
      </c>
      <c r="N57">
        <v>5.2919999999999998E-3</v>
      </c>
    </row>
    <row r="58" spans="1:14" x14ac:dyDescent="0.25">
      <c r="A58" t="s">
        <v>187</v>
      </c>
      <c r="B58">
        <v>100</v>
      </c>
      <c r="C58">
        <v>0</v>
      </c>
      <c r="D58">
        <v>10</v>
      </c>
      <c r="E58">
        <v>0</v>
      </c>
      <c r="F58" t="s">
        <v>396</v>
      </c>
      <c r="G58" s="4">
        <v>0.2</v>
      </c>
      <c r="H58" s="2">
        <v>1</v>
      </c>
      <c r="I58">
        <v>0</v>
      </c>
      <c r="J58" t="s">
        <v>116</v>
      </c>
      <c r="K58">
        <v>5.2703999999999989E-4</v>
      </c>
      <c r="L58">
        <v>7.7460119047619025E-4</v>
      </c>
      <c r="M58">
        <v>1.4609376E-2</v>
      </c>
      <c r="N58">
        <v>8.1163199999999998E-3</v>
      </c>
    </row>
    <row r="59" spans="1:14" x14ac:dyDescent="0.25">
      <c r="A59" t="s">
        <v>155</v>
      </c>
      <c r="B59">
        <v>100</v>
      </c>
      <c r="C59">
        <v>0</v>
      </c>
      <c r="D59">
        <v>10</v>
      </c>
      <c r="E59">
        <v>0</v>
      </c>
      <c r="F59" t="s">
        <v>396</v>
      </c>
      <c r="G59" s="4">
        <v>0.2</v>
      </c>
      <c r="H59" s="2">
        <v>1</v>
      </c>
      <c r="I59">
        <v>0</v>
      </c>
      <c r="J59" t="s">
        <v>116</v>
      </c>
      <c r="K59">
        <v>5.2703999999999989E-4</v>
      </c>
      <c r="L59">
        <v>7.7460119047619025E-4</v>
      </c>
      <c r="M59">
        <v>1.0127312064000001E-2</v>
      </c>
      <c r="N59">
        <v>5.6262844800000003E-3</v>
      </c>
    </row>
    <row r="60" spans="1:14" x14ac:dyDescent="0.25">
      <c r="A60" t="s">
        <v>188</v>
      </c>
      <c r="B60">
        <v>100</v>
      </c>
      <c r="C60">
        <v>0</v>
      </c>
      <c r="D60">
        <v>10</v>
      </c>
      <c r="E60">
        <v>0</v>
      </c>
      <c r="F60" t="s">
        <v>396</v>
      </c>
      <c r="G60" s="4">
        <v>0.2</v>
      </c>
      <c r="H60" s="2">
        <v>1</v>
      </c>
      <c r="I60">
        <v>0</v>
      </c>
      <c r="J60" t="s">
        <v>116</v>
      </c>
      <c r="K60">
        <v>5.2703999999999989E-4</v>
      </c>
      <c r="L60">
        <v>1.3556226190476188E-3</v>
      </c>
      <c r="M60">
        <v>1.8626399999999998E-2</v>
      </c>
      <c r="N60">
        <v>1.0347999999999998E-2</v>
      </c>
    </row>
    <row r="61" spans="1:14" x14ac:dyDescent="0.25">
      <c r="A61" t="s">
        <v>156</v>
      </c>
      <c r="B61">
        <v>100</v>
      </c>
      <c r="C61">
        <v>0</v>
      </c>
      <c r="D61">
        <v>10</v>
      </c>
      <c r="E61">
        <v>0</v>
      </c>
      <c r="F61" t="s">
        <v>396</v>
      </c>
      <c r="G61" s="4">
        <v>0.2</v>
      </c>
      <c r="H61" s="2">
        <v>1</v>
      </c>
      <c r="I61">
        <v>0</v>
      </c>
      <c r="J61" t="s">
        <v>116</v>
      </c>
      <c r="K61">
        <v>5.2703999999999989E-4</v>
      </c>
      <c r="L61">
        <v>1.3556226190476188E-3</v>
      </c>
      <c r="M61">
        <v>1.3290609599999996E-2</v>
      </c>
      <c r="N61">
        <v>7.3836719999999974E-3</v>
      </c>
    </row>
    <row r="62" spans="1:14" x14ac:dyDescent="0.25">
      <c r="A62" t="s">
        <v>189</v>
      </c>
      <c r="B62">
        <v>100</v>
      </c>
      <c r="C62">
        <v>0</v>
      </c>
      <c r="D62">
        <v>10</v>
      </c>
      <c r="E62">
        <v>0</v>
      </c>
      <c r="F62" t="s">
        <v>396</v>
      </c>
      <c r="G62" s="4">
        <v>0.2</v>
      </c>
      <c r="H62" s="2">
        <v>1</v>
      </c>
      <c r="I62">
        <v>0</v>
      </c>
      <c r="J62" t="s">
        <v>116</v>
      </c>
      <c r="K62">
        <v>5.2703999999999989E-4</v>
      </c>
      <c r="L62">
        <v>9.2659940475000018E-4</v>
      </c>
      <c r="M62">
        <v>2.2643424000000006E-2</v>
      </c>
      <c r="N62">
        <v>1.2579680000000003E-2</v>
      </c>
    </row>
    <row r="63" spans="1:14" x14ac:dyDescent="0.25">
      <c r="A63" t="s">
        <v>157</v>
      </c>
      <c r="B63">
        <v>100</v>
      </c>
      <c r="C63">
        <v>0</v>
      </c>
      <c r="D63">
        <v>10</v>
      </c>
      <c r="E63">
        <v>0</v>
      </c>
      <c r="F63" t="s">
        <v>396</v>
      </c>
      <c r="G63" s="4">
        <v>0.2</v>
      </c>
      <c r="H63" s="2">
        <v>1</v>
      </c>
      <c r="I63">
        <v>0</v>
      </c>
      <c r="J63" t="s">
        <v>116</v>
      </c>
      <c r="K63">
        <v>5.2703999999999989E-4</v>
      </c>
      <c r="L63">
        <v>9.2659940475000018E-4</v>
      </c>
      <c r="M63">
        <v>1.5208449839999997E-2</v>
      </c>
      <c r="N63">
        <v>8.4491387999999987E-3</v>
      </c>
    </row>
    <row r="64" spans="1:14" x14ac:dyDescent="0.25">
      <c r="A64" t="s">
        <v>190</v>
      </c>
      <c r="B64">
        <v>100</v>
      </c>
      <c r="C64">
        <v>0</v>
      </c>
      <c r="D64">
        <v>10</v>
      </c>
      <c r="E64">
        <v>0</v>
      </c>
      <c r="F64" t="s">
        <v>396</v>
      </c>
      <c r="G64" s="4">
        <v>0.2</v>
      </c>
      <c r="H64" s="2">
        <v>1</v>
      </c>
      <c r="I64">
        <v>0</v>
      </c>
      <c r="J64" t="s">
        <v>116</v>
      </c>
      <c r="K64">
        <v>5.2703999999999989E-4</v>
      </c>
      <c r="L64">
        <v>1.5553428571428573E-3</v>
      </c>
      <c r="M64">
        <v>1.8943200000000004E-2</v>
      </c>
      <c r="N64">
        <v>1.0524000000000002E-2</v>
      </c>
    </row>
    <row r="65" spans="1:14" x14ac:dyDescent="0.25">
      <c r="A65" t="s">
        <v>158</v>
      </c>
      <c r="B65">
        <v>100</v>
      </c>
      <c r="C65">
        <v>0</v>
      </c>
      <c r="D65">
        <v>10</v>
      </c>
      <c r="E65">
        <v>0</v>
      </c>
      <c r="F65" t="s">
        <v>396</v>
      </c>
      <c r="G65" s="4">
        <v>0.2</v>
      </c>
      <c r="H65" s="2">
        <v>1</v>
      </c>
      <c r="I65">
        <v>0</v>
      </c>
      <c r="J65" t="s">
        <v>116</v>
      </c>
      <c r="K65">
        <v>5.2703999999999989E-4</v>
      </c>
      <c r="L65">
        <v>1.5553428571428573E-3</v>
      </c>
      <c r="M65">
        <v>1.4960937600000005E-2</v>
      </c>
      <c r="N65">
        <v>8.3116320000000028E-3</v>
      </c>
    </row>
    <row r="66" spans="1:14" x14ac:dyDescent="0.25">
      <c r="A66" t="s">
        <v>191</v>
      </c>
      <c r="B66">
        <v>100</v>
      </c>
      <c r="C66">
        <v>0</v>
      </c>
      <c r="D66">
        <v>10</v>
      </c>
      <c r="E66">
        <v>0</v>
      </c>
      <c r="F66" t="s">
        <v>396</v>
      </c>
      <c r="G66" s="4">
        <v>0.2</v>
      </c>
      <c r="H66" s="2">
        <v>1</v>
      </c>
      <c r="I66">
        <v>0</v>
      </c>
      <c r="J66" t="s">
        <v>116</v>
      </c>
      <c r="K66">
        <v>5.2703999999999989E-4</v>
      </c>
      <c r="L66">
        <v>1.6424035714285713E-3</v>
      </c>
      <c r="M66">
        <v>1.9451664000000007E-2</v>
      </c>
      <c r="N66">
        <v>1.0806480000000004E-2</v>
      </c>
    </row>
    <row r="67" spans="1:14" x14ac:dyDescent="0.25">
      <c r="A67" t="s">
        <v>159</v>
      </c>
      <c r="B67">
        <v>100</v>
      </c>
      <c r="C67">
        <v>0</v>
      </c>
      <c r="D67">
        <v>10</v>
      </c>
      <c r="E67">
        <v>0</v>
      </c>
      <c r="F67" t="s">
        <v>396</v>
      </c>
      <c r="G67" s="4">
        <v>0.2</v>
      </c>
      <c r="H67" s="2">
        <v>1</v>
      </c>
      <c r="I67">
        <v>0</v>
      </c>
      <c r="J67" t="s">
        <v>116</v>
      </c>
      <c r="K67">
        <v>5.2703999999999989E-4</v>
      </c>
      <c r="L67">
        <v>1.6424035714285713E-3</v>
      </c>
      <c r="M67">
        <v>1.5389756352E-2</v>
      </c>
      <c r="N67">
        <v>8.5498646399999999E-3</v>
      </c>
    </row>
    <row r="68" spans="1:14" x14ac:dyDescent="0.25">
      <c r="A68" t="s">
        <v>192</v>
      </c>
      <c r="B68">
        <v>100</v>
      </c>
      <c r="C68">
        <v>0</v>
      </c>
      <c r="D68">
        <v>10</v>
      </c>
      <c r="E68">
        <v>0</v>
      </c>
      <c r="F68" t="s">
        <v>396</v>
      </c>
      <c r="G68" s="4">
        <v>0.2</v>
      </c>
      <c r="H68" s="2">
        <v>1</v>
      </c>
      <c r="I68">
        <v>0</v>
      </c>
      <c r="J68" t="s">
        <v>116</v>
      </c>
      <c r="K68">
        <v>5.2703999999999989E-4</v>
      </c>
      <c r="L68">
        <v>6.1615178571428563E-4</v>
      </c>
      <c r="M68">
        <v>1.247E-2</v>
      </c>
      <c r="N68">
        <v>4.9880000000000002E-3</v>
      </c>
    </row>
    <row r="69" spans="1:14" x14ac:dyDescent="0.25">
      <c r="A69" t="s">
        <v>160</v>
      </c>
      <c r="B69">
        <v>100</v>
      </c>
      <c r="C69">
        <v>0</v>
      </c>
      <c r="D69">
        <v>10</v>
      </c>
      <c r="E69">
        <v>0</v>
      </c>
      <c r="F69" t="s">
        <v>396</v>
      </c>
      <c r="G69" s="4">
        <v>0.2</v>
      </c>
      <c r="H69" s="2">
        <v>1</v>
      </c>
      <c r="I69">
        <v>0</v>
      </c>
      <c r="J69" t="s">
        <v>116</v>
      </c>
      <c r="K69">
        <v>5.2703999999999989E-4</v>
      </c>
      <c r="L69">
        <v>6.1615178571428563E-4</v>
      </c>
      <c r="M69">
        <v>1.6341999999999988E-2</v>
      </c>
      <c r="N69">
        <v>6.5367999999999954E-3</v>
      </c>
    </row>
    <row r="70" spans="1:14" x14ac:dyDescent="0.25">
      <c r="A70" t="s">
        <v>193</v>
      </c>
      <c r="B70">
        <v>100</v>
      </c>
      <c r="C70">
        <v>0</v>
      </c>
      <c r="D70">
        <v>10</v>
      </c>
      <c r="E70">
        <v>0</v>
      </c>
      <c r="F70" t="s">
        <v>396</v>
      </c>
      <c r="G70" s="4">
        <v>0.2</v>
      </c>
      <c r="H70" s="2">
        <v>1</v>
      </c>
      <c r="I70">
        <v>0</v>
      </c>
      <c r="J70" t="s">
        <v>116</v>
      </c>
      <c r="K70">
        <v>5.2703999999999989E-4</v>
      </c>
      <c r="L70">
        <v>7.7217499999999994E-4</v>
      </c>
      <c r="M70">
        <v>1.81768E-2</v>
      </c>
      <c r="N70">
        <v>7.2707199999999996E-3</v>
      </c>
    </row>
    <row r="71" spans="1:14" x14ac:dyDescent="0.25">
      <c r="A71" t="s">
        <v>161</v>
      </c>
      <c r="B71">
        <v>100</v>
      </c>
      <c r="C71">
        <v>0</v>
      </c>
      <c r="D71">
        <v>10</v>
      </c>
      <c r="E71">
        <v>0</v>
      </c>
      <c r="F71" t="s">
        <v>396</v>
      </c>
      <c r="G71" s="4">
        <v>0.2</v>
      </c>
      <c r="H71" s="2">
        <v>1</v>
      </c>
      <c r="I71">
        <v>0</v>
      </c>
      <c r="J71" t="s">
        <v>116</v>
      </c>
      <c r="K71">
        <v>5.2703999999999989E-4</v>
      </c>
      <c r="L71">
        <v>7.7217499999999994E-4</v>
      </c>
      <c r="M71">
        <v>1.9483839999999988E-2</v>
      </c>
      <c r="N71">
        <v>7.793535999999995E-3</v>
      </c>
    </row>
    <row r="72" spans="1:14" x14ac:dyDescent="0.25">
      <c r="A72" t="s">
        <v>194</v>
      </c>
      <c r="B72">
        <v>100</v>
      </c>
      <c r="C72">
        <v>0</v>
      </c>
      <c r="D72">
        <v>10</v>
      </c>
      <c r="E72">
        <v>0</v>
      </c>
      <c r="F72" t="s">
        <v>396</v>
      </c>
      <c r="G72" s="4">
        <v>0.2</v>
      </c>
      <c r="H72" s="2">
        <v>1</v>
      </c>
      <c r="I72">
        <v>0</v>
      </c>
      <c r="J72" t="s">
        <v>116</v>
      </c>
      <c r="K72">
        <v>5.2703999999999989E-4</v>
      </c>
      <c r="L72">
        <v>1.3534226190476191E-3</v>
      </c>
      <c r="M72">
        <v>2.4020000000000003E-2</v>
      </c>
      <c r="N72">
        <v>9.608000000000002E-3</v>
      </c>
    </row>
    <row r="73" spans="1:14" x14ac:dyDescent="0.25">
      <c r="A73" t="s">
        <v>162</v>
      </c>
      <c r="B73">
        <v>100</v>
      </c>
      <c r="C73">
        <v>0</v>
      </c>
      <c r="D73">
        <v>10</v>
      </c>
      <c r="E73">
        <v>0</v>
      </c>
      <c r="F73" t="s">
        <v>396</v>
      </c>
      <c r="G73" s="4">
        <v>0.2</v>
      </c>
      <c r="H73" s="2">
        <v>1</v>
      </c>
      <c r="I73">
        <v>0</v>
      </c>
      <c r="J73" t="s">
        <v>116</v>
      </c>
      <c r="K73">
        <v>5.2703999999999989E-4</v>
      </c>
      <c r="L73">
        <v>1.3534226190476191E-3</v>
      </c>
      <c r="M73">
        <v>2.5575999999999988E-2</v>
      </c>
      <c r="N73">
        <v>1.0230399999999995E-2</v>
      </c>
    </row>
    <row r="74" spans="1:14" x14ac:dyDescent="0.25">
      <c r="A74" t="s">
        <v>195</v>
      </c>
      <c r="B74">
        <v>100</v>
      </c>
      <c r="C74">
        <v>0</v>
      </c>
      <c r="D74">
        <v>10</v>
      </c>
      <c r="E74">
        <v>0</v>
      </c>
      <c r="F74" t="s">
        <v>396</v>
      </c>
      <c r="G74" s="4">
        <v>0.2</v>
      </c>
      <c r="H74" s="2">
        <v>1</v>
      </c>
      <c r="I74">
        <v>0</v>
      </c>
      <c r="J74" t="s">
        <v>116</v>
      </c>
      <c r="K74">
        <v>5.2703999999999989E-4</v>
      </c>
      <c r="L74">
        <v>1.4016172619047617E-3</v>
      </c>
      <c r="M74">
        <v>2.9863199999999999E-2</v>
      </c>
      <c r="N74">
        <v>1.1945279999999999E-2</v>
      </c>
    </row>
    <row r="75" spans="1:14" x14ac:dyDescent="0.25">
      <c r="A75" t="s">
        <v>163</v>
      </c>
      <c r="B75">
        <v>100</v>
      </c>
      <c r="C75">
        <v>0</v>
      </c>
      <c r="D75">
        <v>10</v>
      </c>
      <c r="E75">
        <v>0</v>
      </c>
      <c r="F75" t="s">
        <v>396</v>
      </c>
      <c r="G75" s="4">
        <v>0.2</v>
      </c>
      <c r="H75" s="2">
        <v>1</v>
      </c>
      <c r="I75">
        <v>0</v>
      </c>
      <c r="J75" t="s">
        <v>116</v>
      </c>
      <c r="K75">
        <v>5.2703999999999989E-4</v>
      </c>
      <c r="L75">
        <v>1.4016172619047617E-3</v>
      </c>
      <c r="M75">
        <v>2.9451999999999992E-2</v>
      </c>
      <c r="N75">
        <v>1.1780799999999998E-2</v>
      </c>
    </row>
    <row r="76" spans="1:14" x14ac:dyDescent="0.25">
      <c r="A76" t="s">
        <v>196</v>
      </c>
      <c r="B76">
        <v>100</v>
      </c>
      <c r="C76">
        <v>0</v>
      </c>
      <c r="D76">
        <v>10</v>
      </c>
      <c r="E76">
        <v>0</v>
      </c>
      <c r="F76" t="s">
        <v>396</v>
      </c>
      <c r="G76" s="4">
        <v>0.2</v>
      </c>
      <c r="H76" s="2">
        <v>1</v>
      </c>
      <c r="I76">
        <v>0</v>
      </c>
      <c r="J76" t="s">
        <v>116</v>
      </c>
      <c r="K76">
        <v>5.2703999999999989E-4</v>
      </c>
      <c r="L76">
        <v>1.6952386904500003E-3</v>
      </c>
      <c r="M76">
        <v>2.4790000000000003E-2</v>
      </c>
      <c r="N76">
        <v>9.9160000000000012E-3</v>
      </c>
    </row>
    <row r="77" spans="1:14" x14ac:dyDescent="0.25">
      <c r="A77" t="s">
        <v>164</v>
      </c>
      <c r="B77">
        <v>100</v>
      </c>
      <c r="C77">
        <v>0</v>
      </c>
      <c r="D77">
        <v>10</v>
      </c>
      <c r="E77">
        <v>0</v>
      </c>
      <c r="F77" t="s">
        <v>396</v>
      </c>
      <c r="G77" s="4">
        <v>0.2</v>
      </c>
      <c r="H77" s="2">
        <v>1</v>
      </c>
      <c r="I77">
        <v>0</v>
      </c>
      <c r="J77" t="s">
        <v>116</v>
      </c>
      <c r="K77">
        <v>5.2703999999999989E-4</v>
      </c>
      <c r="L77">
        <v>1.6952386904500003E-3</v>
      </c>
      <c r="M77">
        <v>2.6209333333333324E-2</v>
      </c>
      <c r="N77">
        <v>1.048373333333333E-2</v>
      </c>
    </row>
    <row r="78" spans="1:14" x14ac:dyDescent="0.25">
      <c r="A78" t="s">
        <v>197</v>
      </c>
      <c r="B78">
        <v>100</v>
      </c>
      <c r="C78">
        <v>0</v>
      </c>
      <c r="D78">
        <v>10</v>
      </c>
      <c r="E78">
        <v>0</v>
      </c>
      <c r="F78" t="s">
        <v>396</v>
      </c>
      <c r="G78" s="4">
        <v>0.2</v>
      </c>
      <c r="H78" s="2">
        <v>1</v>
      </c>
      <c r="I78">
        <v>0</v>
      </c>
      <c r="J78" t="s">
        <v>116</v>
      </c>
      <c r="K78">
        <v>5.2703999999999989E-4</v>
      </c>
      <c r="L78">
        <v>1.831708928571429E-3</v>
      </c>
      <c r="M78">
        <v>2.5535800000000001E-2</v>
      </c>
      <c r="N78">
        <v>1.0214320000000001E-2</v>
      </c>
    </row>
    <row r="79" spans="1:14" x14ac:dyDescent="0.25">
      <c r="A79" t="s">
        <v>165</v>
      </c>
      <c r="B79">
        <v>100</v>
      </c>
      <c r="C79">
        <v>0</v>
      </c>
      <c r="D79">
        <v>10</v>
      </c>
      <c r="E79">
        <v>0</v>
      </c>
      <c r="F79" t="s">
        <v>396</v>
      </c>
      <c r="G79" s="4">
        <v>0.2</v>
      </c>
      <c r="H79" s="2">
        <v>1</v>
      </c>
      <c r="I79">
        <v>0</v>
      </c>
      <c r="J79" t="s">
        <v>116</v>
      </c>
      <c r="K79">
        <v>5.2703999999999989E-4</v>
      </c>
      <c r="L79">
        <v>1.831708928571429E-3</v>
      </c>
      <c r="M79">
        <v>2.6983520000000004E-2</v>
      </c>
      <c r="N79">
        <v>1.0793408000000001E-2</v>
      </c>
    </row>
    <row r="80" spans="1:14" x14ac:dyDescent="0.25">
      <c r="A80" t="s">
        <v>198</v>
      </c>
      <c r="B80">
        <v>100</v>
      </c>
      <c r="C80">
        <v>0</v>
      </c>
      <c r="D80">
        <v>10</v>
      </c>
      <c r="E80">
        <v>0</v>
      </c>
      <c r="F80" t="s">
        <v>396</v>
      </c>
      <c r="G80" s="4">
        <v>0.2</v>
      </c>
      <c r="H80" s="2">
        <v>1</v>
      </c>
      <c r="I80">
        <v>0</v>
      </c>
      <c r="J80" t="s">
        <v>116</v>
      </c>
      <c r="K80">
        <v>5.2703999999999989E-4</v>
      </c>
      <c r="L80">
        <v>2.8182386904761908E-3</v>
      </c>
      <c r="M80">
        <v>2.6550000000000001E-2</v>
      </c>
      <c r="N80">
        <v>1.0620000000000001E-2</v>
      </c>
    </row>
    <row r="81" spans="1:14" x14ac:dyDescent="0.25">
      <c r="A81" t="s">
        <v>166</v>
      </c>
      <c r="B81">
        <v>100</v>
      </c>
      <c r="C81">
        <v>0</v>
      </c>
      <c r="D81">
        <v>10</v>
      </c>
      <c r="E81">
        <v>0</v>
      </c>
      <c r="F81" t="s">
        <v>396</v>
      </c>
      <c r="G81" s="4">
        <v>0.2</v>
      </c>
      <c r="H81" s="2">
        <v>1</v>
      </c>
      <c r="I81">
        <v>0</v>
      </c>
      <c r="J81" t="s">
        <v>116</v>
      </c>
      <c r="K81">
        <v>5.2703999999999989E-4</v>
      </c>
      <c r="L81">
        <v>2.8182386904761908E-3</v>
      </c>
      <c r="M81">
        <v>2.9401333333333328E-2</v>
      </c>
      <c r="N81">
        <v>1.1760533333333332E-2</v>
      </c>
    </row>
    <row r="82" spans="1:14" x14ac:dyDescent="0.25">
      <c r="A82" t="s">
        <v>199</v>
      </c>
      <c r="B82">
        <v>100</v>
      </c>
      <c r="C82">
        <v>0</v>
      </c>
      <c r="D82">
        <v>10</v>
      </c>
      <c r="E82">
        <v>0</v>
      </c>
      <c r="F82" t="s">
        <v>396</v>
      </c>
      <c r="G82" s="4">
        <v>0.2</v>
      </c>
      <c r="H82" s="2">
        <v>1</v>
      </c>
      <c r="I82">
        <v>0</v>
      </c>
      <c r="J82" t="s">
        <v>116</v>
      </c>
      <c r="K82">
        <v>5.2703999999999989E-4</v>
      </c>
      <c r="L82">
        <v>6.118047619047618E-4</v>
      </c>
      <c r="M82">
        <v>1.8149999999999996E-2</v>
      </c>
      <c r="N82">
        <v>5.4999999999999988E-3</v>
      </c>
    </row>
    <row r="83" spans="1:14" x14ac:dyDescent="0.25">
      <c r="A83" t="s">
        <v>167</v>
      </c>
      <c r="B83">
        <v>100</v>
      </c>
      <c r="C83">
        <v>0</v>
      </c>
      <c r="D83">
        <v>10</v>
      </c>
      <c r="E83">
        <v>0</v>
      </c>
      <c r="F83" t="s">
        <v>396</v>
      </c>
      <c r="G83" s="4">
        <v>0.2</v>
      </c>
      <c r="H83" s="2">
        <v>1</v>
      </c>
      <c r="I83">
        <v>0</v>
      </c>
      <c r="J83" t="s">
        <v>116</v>
      </c>
      <c r="K83">
        <v>5.2703999999999989E-4</v>
      </c>
      <c r="L83">
        <v>6.118047619047618E-4</v>
      </c>
      <c r="M83">
        <v>2.0354399999999995E-2</v>
      </c>
      <c r="N83">
        <v>6.167999999999999E-3</v>
      </c>
    </row>
    <row r="84" spans="1:14" x14ac:dyDescent="0.25">
      <c r="A84" t="s">
        <v>200</v>
      </c>
      <c r="B84">
        <v>100</v>
      </c>
      <c r="C84">
        <v>0</v>
      </c>
      <c r="D84">
        <v>10</v>
      </c>
      <c r="E84">
        <v>0</v>
      </c>
      <c r="F84" t="s">
        <v>396</v>
      </c>
      <c r="G84" s="4">
        <v>0.2</v>
      </c>
      <c r="H84" s="2">
        <v>1</v>
      </c>
      <c r="I84">
        <v>0</v>
      </c>
      <c r="J84" t="s">
        <v>116</v>
      </c>
      <c r="K84">
        <v>5.2703999999999989E-4</v>
      </c>
      <c r="L84">
        <v>7.7628154761904763E-4</v>
      </c>
      <c r="M84">
        <v>2.7007199999999999E-2</v>
      </c>
      <c r="N84">
        <v>8.1840000000000003E-3</v>
      </c>
    </row>
    <row r="85" spans="1:14" x14ac:dyDescent="0.25">
      <c r="A85" t="s">
        <v>168</v>
      </c>
      <c r="B85">
        <v>100</v>
      </c>
      <c r="C85">
        <v>0</v>
      </c>
      <c r="D85">
        <v>10</v>
      </c>
      <c r="E85">
        <v>0</v>
      </c>
      <c r="F85" t="s">
        <v>396</v>
      </c>
      <c r="G85" s="4">
        <v>0.2</v>
      </c>
      <c r="H85" s="2">
        <v>1</v>
      </c>
      <c r="I85">
        <v>0</v>
      </c>
      <c r="J85" t="s">
        <v>116</v>
      </c>
      <c r="K85">
        <v>5.2703999999999989E-4</v>
      </c>
      <c r="L85">
        <v>7.7628154761904763E-4</v>
      </c>
      <c r="M85">
        <v>2.8781279999999992E-2</v>
      </c>
      <c r="N85">
        <v>8.7215999999999978E-3</v>
      </c>
    </row>
    <row r="86" spans="1:14" x14ac:dyDescent="0.25">
      <c r="A86" t="s">
        <v>201</v>
      </c>
      <c r="B86">
        <v>100</v>
      </c>
      <c r="C86">
        <v>0</v>
      </c>
      <c r="D86">
        <v>10</v>
      </c>
      <c r="E86">
        <v>0</v>
      </c>
      <c r="F86" t="s">
        <v>396</v>
      </c>
      <c r="G86" s="4">
        <v>0.2</v>
      </c>
      <c r="H86" s="2">
        <v>1</v>
      </c>
      <c r="I86">
        <v>0</v>
      </c>
      <c r="J86" t="s">
        <v>116</v>
      </c>
      <c r="K86">
        <v>5.2703999999999989E-4</v>
      </c>
      <c r="L86">
        <v>1.3549767857142859E-3</v>
      </c>
      <c r="M86">
        <v>3.6300000000000006E-2</v>
      </c>
      <c r="N86">
        <v>1.1000000000000003E-2</v>
      </c>
    </row>
    <row r="87" spans="1:14" x14ac:dyDescent="0.25">
      <c r="A87" t="s">
        <v>169</v>
      </c>
      <c r="B87">
        <v>100</v>
      </c>
      <c r="C87">
        <v>0</v>
      </c>
      <c r="D87">
        <v>10</v>
      </c>
      <c r="E87">
        <v>0</v>
      </c>
      <c r="F87" t="s">
        <v>396</v>
      </c>
      <c r="G87" s="4">
        <v>0.2</v>
      </c>
      <c r="H87" s="2">
        <v>1</v>
      </c>
      <c r="I87">
        <v>0</v>
      </c>
      <c r="J87" t="s">
        <v>116</v>
      </c>
      <c r="K87">
        <v>5.2703999999999989E-4</v>
      </c>
      <c r="L87">
        <v>1.3549767857142859E-3</v>
      </c>
      <c r="M87">
        <v>3.8412000000000002E-2</v>
      </c>
      <c r="N87">
        <v>1.1640000000000001E-2</v>
      </c>
    </row>
    <row r="88" spans="1:14" x14ac:dyDescent="0.25">
      <c r="A88" t="s">
        <v>202</v>
      </c>
      <c r="B88">
        <v>100</v>
      </c>
      <c r="C88">
        <v>0</v>
      </c>
      <c r="D88">
        <v>10</v>
      </c>
      <c r="E88">
        <v>0</v>
      </c>
      <c r="F88" t="s">
        <v>396</v>
      </c>
      <c r="G88" s="4">
        <v>0.2</v>
      </c>
      <c r="H88" s="2">
        <v>1</v>
      </c>
      <c r="I88">
        <v>0</v>
      </c>
      <c r="J88" t="s">
        <v>116</v>
      </c>
      <c r="K88">
        <v>5.2703999999999989E-4</v>
      </c>
      <c r="L88">
        <v>8.2466785714285719E-4</v>
      </c>
      <c r="M88">
        <v>4.5592800000000003E-2</v>
      </c>
      <c r="N88">
        <v>1.3816000000000002E-2</v>
      </c>
    </row>
    <row r="89" spans="1:14" x14ac:dyDescent="0.25">
      <c r="A89" t="s">
        <v>170</v>
      </c>
      <c r="B89">
        <v>100</v>
      </c>
      <c r="C89">
        <v>0</v>
      </c>
      <c r="D89">
        <v>10</v>
      </c>
      <c r="E89">
        <v>0</v>
      </c>
      <c r="F89" t="s">
        <v>396</v>
      </c>
      <c r="G89" s="4">
        <v>0.2</v>
      </c>
      <c r="H89" s="2">
        <v>1</v>
      </c>
      <c r="I89">
        <v>0</v>
      </c>
      <c r="J89" t="s">
        <v>116</v>
      </c>
      <c r="K89">
        <v>5.2703999999999989E-4</v>
      </c>
      <c r="L89">
        <v>8.2466785714285719E-4</v>
      </c>
      <c r="M89">
        <v>4.3114499999999986E-2</v>
      </c>
      <c r="N89">
        <v>1.3064999999999997E-2</v>
      </c>
    </row>
    <row r="90" spans="1:14" x14ac:dyDescent="0.25">
      <c r="A90" t="s">
        <v>203</v>
      </c>
      <c r="B90">
        <v>100</v>
      </c>
      <c r="C90">
        <v>0</v>
      </c>
      <c r="D90">
        <v>10</v>
      </c>
      <c r="E90">
        <v>0</v>
      </c>
      <c r="F90" t="s">
        <v>396</v>
      </c>
      <c r="G90" s="4">
        <v>0.2</v>
      </c>
      <c r="H90" s="2">
        <v>1</v>
      </c>
      <c r="I90">
        <v>0</v>
      </c>
      <c r="J90" t="s">
        <v>116</v>
      </c>
      <c r="K90">
        <v>5.2703999999999989E-4</v>
      </c>
      <c r="L90">
        <v>2.136180952380952E-3</v>
      </c>
      <c r="M90">
        <v>3.7026000000000003E-2</v>
      </c>
      <c r="N90">
        <v>1.1220000000000001E-2</v>
      </c>
    </row>
    <row r="91" spans="1:14" x14ac:dyDescent="0.25">
      <c r="A91" t="s">
        <v>171</v>
      </c>
      <c r="B91">
        <v>100</v>
      </c>
      <c r="C91">
        <v>0</v>
      </c>
      <c r="D91">
        <v>10</v>
      </c>
      <c r="E91">
        <v>0</v>
      </c>
      <c r="F91" t="s">
        <v>396</v>
      </c>
      <c r="G91" s="4">
        <v>0.2</v>
      </c>
      <c r="H91" s="2">
        <v>1</v>
      </c>
      <c r="I91">
        <v>0</v>
      </c>
      <c r="J91" t="s">
        <v>116</v>
      </c>
      <c r="K91">
        <v>5.2703999999999989E-4</v>
      </c>
      <c r="L91">
        <v>2.136180952380952E-3</v>
      </c>
      <c r="M91">
        <v>3.9791399999999998E-2</v>
      </c>
      <c r="N91">
        <v>1.2057999999999999E-2</v>
      </c>
    </row>
    <row r="92" spans="1:14" x14ac:dyDescent="0.25">
      <c r="A92" t="s">
        <v>204</v>
      </c>
      <c r="B92">
        <v>100</v>
      </c>
      <c r="C92">
        <v>0</v>
      </c>
      <c r="D92">
        <v>10</v>
      </c>
      <c r="E92">
        <v>0</v>
      </c>
      <c r="F92" t="s">
        <v>396</v>
      </c>
      <c r="G92" s="4">
        <v>0.2</v>
      </c>
      <c r="H92" s="2">
        <v>1</v>
      </c>
      <c r="I92">
        <v>0</v>
      </c>
      <c r="J92" t="s">
        <v>116</v>
      </c>
      <c r="K92">
        <v>5.2703999999999989E-4</v>
      </c>
      <c r="L92">
        <v>1.8436541666666663E-3</v>
      </c>
      <c r="M92">
        <v>3.8202119999999992E-2</v>
      </c>
      <c r="N92">
        <v>1.1576399999999999E-2</v>
      </c>
    </row>
    <row r="93" spans="1:14" x14ac:dyDescent="0.25">
      <c r="A93" t="s">
        <v>172</v>
      </c>
      <c r="B93">
        <v>100</v>
      </c>
      <c r="C93">
        <v>0</v>
      </c>
      <c r="D93">
        <v>10</v>
      </c>
      <c r="E93">
        <v>0</v>
      </c>
      <c r="F93" t="s">
        <v>396</v>
      </c>
      <c r="G93" s="4">
        <v>0.2</v>
      </c>
      <c r="H93" s="2">
        <v>1</v>
      </c>
      <c r="I93">
        <v>0</v>
      </c>
      <c r="J93" t="s">
        <v>116</v>
      </c>
      <c r="K93">
        <v>5.2703999999999989E-4</v>
      </c>
      <c r="L93">
        <v>1.8436541666666663E-3</v>
      </c>
      <c r="M93">
        <v>4.1022828000000004E-2</v>
      </c>
      <c r="N93">
        <v>1.2431160000000002E-2</v>
      </c>
    </row>
    <row r="94" spans="1:14" x14ac:dyDescent="0.25">
      <c r="A94" t="s">
        <v>205</v>
      </c>
      <c r="B94">
        <v>100</v>
      </c>
      <c r="C94">
        <v>0</v>
      </c>
      <c r="D94">
        <v>10</v>
      </c>
      <c r="E94">
        <v>0</v>
      </c>
      <c r="F94" t="s">
        <v>396</v>
      </c>
      <c r="G94" s="4">
        <v>0.2</v>
      </c>
      <c r="H94" s="2">
        <v>1</v>
      </c>
      <c r="I94">
        <v>0</v>
      </c>
      <c r="J94" t="s">
        <v>116</v>
      </c>
      <c r="K94">
        <v>5.2703999999999989E-4</v>
      </c>
      <c r="L94">
        <v>2.6722994047619041E-3</v>
      </c>
      <c r="M94">
        <v>4.0293000000000002E-2</v>
      </c>
      <c r="N94">
        <v>1.2210000000000002E-2</v>
      </c>
    </row>
    <row r="95" spans="1:14" x14ac:dyDescent="0.25">
      <c r="A95" t="s">
        <v>173</v>
      </c>
      <c r="B95">
        <v>100</v>
      </c>
      <c r="C95">
        <v>0</v>
      </c>
      <c r="D95">
        <v>10</v>
      </c>
      <c r="E95">
        <v>0</v>
      </c>
      <c r="F95" t="s">
        <v>396</v>
      </c>
      <c r="G95" s="4">
        <v>0.2</v>
      </c>
      <c r="H95" s="2">
        <v>1</v>
      </c>
      <c r="I95">
        <v>0</v>
      </c>
      <c r="J95" t="s">
        <v>116</v>
      </c>
      <c r="K95">
        <v>5.2703999999999989E-4</v>
      </c>
      <c r="L95">
        <v>2.6722994047619041E-3</v>
      </c>
      <c r="M95">
        <v>4.5016399999999998E-2</v>
      </c>
      <c r="N95">
        <v>1.3641333333333333E-2</v>
      </c>
    </row>
    <row r="96" spans="1:14" x14ac:dyDescent="0.25">
      <c r="A96" t="s">
        <v>137</v>
      </c>
      <c r="B96">
        <v>100</v>
      </c>
      <c r="C96">
        <v>0</v>
      </c>
      <c r="D96">
        <v>10</v>
      </c>
      <c r="E96">
        <v>0</v>
      </c>
      <c r="F96" t="s">
        <v>396</v>
      </c>
      <c r="G96" s="4">
        <v>0.2</v>
      </c>
      <c r="H96" s="2">
        <v>1</v>
      </c>
      <c r="I96">
        <v>0</v>
      </c>
      <c r="J96" t="s">
        <v>116</v>
      </c>
      <c r="K96">
        <v>5.2703999999999989E-4</v>
      </c>
      <c r="L96">
        <v>1.8500000000000002E-4</v>
      </c>
      <c r="M96">
        <v>0.2328503375</v>
      </c>
      <c r="N96">
        <v>9.3140134999999999E-2</v>
      </c>
    </row>
    <row r="97" spans="1:14" x14ac:dyDescent="0.25">
      <c r="A97" t="s">
        <v>401</v>
      </c>
      <c r="B97">
        <v>100</v>
      </c>
      <c r="C97">
        <v>0</v>
      </c>
      <c r="D97">
        <v>10</v>
      </c>
      <c r="E97">
        <v>0</v>
      </c>
      <c r="F97" t="s">
        <v>396</v>
      </c>
      <c r="G97" s="4">
        <v>0.2</v>
      </c>
      <c r="H97" s="2">
        <v>1</v>
      </c>
      <c r="I97">
        <v>0</v>
      </c>
      <c r="J97" t="s">
        <v>116</v>
      </c>
      <c r="K97">
        <v>5.2703999999999989E-4</v>
      </c>
      <c r="L97">
        <v>1.8500000000000002E-4</v>
      </c>
      <c r="M97">
        <v>0.30856642805999995</v>
      </c>
      <c r="N97">
        <v>9.3504978199999991E-2</v>
      </c>
    </row>
    <row r="98" spans="1:14" x14ac:dyDescent="0.25">
      <c r="A98" t="s">
        <v>213</v>
      </c>
      <c r="B98">
        <v>100</v>
      </c>
      <c r="C98">
        <v>0</v>
      </c>
      <c r="D98">
        <v>10</v>
      </c>
      <c r="E98">
        <v>0</v>
      </c>
      <c r="F98" t="s">
        <v>396</v>
      </c>
      <c r="G98" s="4">
        <v>0.2</v>
      </c>
      <c r="H98" s="2">
        <v>1</v>
      </c>
      <c r="I98">
        <v>0</v>
      </c>
      <c r="J98" t="s">
        <v>116</v>
      </c>
      <c r="K98">
        <v>5.2703999999999989E-4</v>
      </c>
      <c r="L98">
        <v>1.8500000000000002E-4</v>
      </c>
      <c r="M98">
        <v>0.37715666250000002</v>
      </c>
      <c r="N98">
        <v>0.15086266500000001</v>
      </c>
    </row>
    <row r="99" spans="1:14" x14ac:dyDescent="0.25">
      <c r="A99" t="s">
        <v>174</v>
      </c>
      <c r="B99">
        <v>100</v>
      </c>
      <c r="C99">
        <v>0</v>
      </c>
      <c r="D99">
        <v>10</v>
      </c>
      <c r="E99">
        <v>0</v>
      </c>
      <c r="F99" t="s">
        <v>396</v>
      </c>
      <c r="G99" s="4">
        <v>0.2</v>
      </c>
      <c r="H99" s="2">
        <v>1</v>
      </c>
      <c r="I99">
        <v>0</v>
      </c>
      <c r="J99" t="s">
        <v>116</v>
      </c>
      <c r="K99">
        <v>5.2703999999999989E-4</v>
      </c>
      <c r="L99">
        <v>6.1373035714285722E-4</v>
      </c>
      <c r="M99">
        <v>1.8149999999999996E-2</v>
      </c>
      <c r="N99">
        <v>5.4999999999999988E-3</v>
      </c>
    </row>
    <row r="100" spans="1:14" x14ac:dyDescent="0.25">
      <c r="A100" t="s">
        <v>142</v>
      </c>
      <c r="B100">
        <v>100</v>
      </c>
      <c r="C100">
        <v>0</v>
      </c>
      <c r="D100">
        <v>10</v>
      </c>
      <c r="E100">
        <v>0</v>
      </c>
      <c r="F100" t="s">
        <v>396</v>
      </c>
      <c r="G100" s="4">
        <v>0.2</v>
      </c>
      <c r="H100" s="2">
        <v>1</v>
      </c>
      <c r="I100">
        <v>0</v>
      </c>
      <c r="J100" t="s">
        <v>116</v>
      </c>
      <c r="K100">
        <v>5.2703999999999989E-4</v>
      </c>
      <c r="L100">
        <v>6.1373035714285722E-4</v>
      </c>
      <c r="M100">
        <v>2.0354399999999995E-2</v>
      </c>
      <c r="N100">
        <v>6.167999999999999E-3</v>
      </c>
    </row>
    <row r="101" spans="1:14" x14ac:dyDescent="0.25">
      <c r="A101" t="s">
        <v>175</v>
      </c>
      <c r="B101">
        <v>100</v>
      </c>
      <c r="C101">
        <v>0</v>
      </c>
      <c r="D101">
        <v>10</v>
      </c>
      <c r="E101">
        <v>0</v>
      </c>
      <c r="F101" t="s">
        <v>396</v>
      </c>
      <c r="G101" s="4">
        <v>0.2</v>
      </c>
      <c r="H101" s="2">
        <v>1</v>
      </c>
      <c r="I101">
        <v>0</v>
      </c>
      <c r="J101" t="s">
        <v>116</v>
      </c>
      <c r="K101">
        <v>5.2703999999999989E-4</v>
      </c>
      <c r="L101">
        <v>7.7312380952380955E-4</v>
      </c>
      <c r="M101">
        <v>2.7007199999999999E-2</v>
      </c>
      <c r="N101">
        <v>8.1840000000000003E-3</v>
      </c>
    </row>
    <row r="102" spans="1:14" x14ac:dyDescent="0.25">
      <c r="A102" t="s">
        <v>143</v>
      </c>
      <c r="B102">
        <v>100</v>
      </c>
      <c r="C102">
        <v>0</v>
      </c>
      <c r="D102">
        <v>10</v>
      </c>
      <c r="E102">
        <v>0</v>
      </c>
      <c r="F102" t="s">
        <v>396</v>
      </c>
      <c r="G102" s="4">
        <v>0.2</v>
      </c>
      <c r="H102" s="2">
        <v>1</v>
      </c>
      <c r="I102">
        <v>0</v>
      </c>
      <c r="J102" t="s">
        <v>116</v>
      </c>
      <c r="K102">
        <v>5.2703999999999989E-4</v>
      </c>
      <c r="L102">
        <v>7.7312380952380955E-4</v>
      </c>
      <c r="M102">
        <v>2.8781279999999992E-2</v>
      </c>
      <c r="N102">
        <v>8.7215999999999978E-3</v>
      </c>
    </row>
    <row r="103" spans="1:14" x14ac:dyDescent="0.25">
      <c r="A103" t="s">
        <v>176</v>
      </c>
      <c r="B103">
        <v>100</v>
      </c>
      <c r="C103">
        <v>0</v>
      </c>
      <c r="D103">
        <v>10</v>
      </c>
      <c r="E103">
        <v>0</v>
      </c>
      <c r="F103" t="s">
        <v>396</v>
      </c>
      <c r="G103" s="4">
        <v>0.2</v>
      </c>
      <c r="H103" s="2">
        <v>1</v>
      </c>
      <c r="I103">
        <v>0</v>
      </c>
      <c r="J103" t="s">
        <v>116</v>
      </c>
      <c r="K103">
        <v>5.2703999999999989E-4</v>
      </c>
      <c r="L103">
        <v>1.3548148809523807E-3</v>
      </c>
      <c r="M103">
        <v>3.6300000000000006E-2</v>
      </c>
      <c r="N103">
        <v>1.1000000000000003E-2</v>
      </c>
    </row>
    <row r="104" spans="1:14" x14ac:dyDescent="0.25">
      <c r="A104" t="s">
        <v>144</v>
      </c>
      <c r="B104">
        <v>100</v>
      </c>
      <c r="C104">
        <v>0</v>
      </c>
      <c r="D104">
        <v>10</v>
      </c>
      <c r="E104">
        <v>0</v>
      </c>
      <c r="F104" t="s">
        <v>396</v>
      </c>
      <c r="G104" s="4">
        <v>0.2</v>
      </c>
      <c r="H104" s="2">
        <v>1</v>
      </c>
      <c r="I104">
        <v>0</v>
      </c>
      <c r="J104" t="s">
        <v>116</v>
      </c>
      <c r="K104">
        <v>5.2703999999999989E-4</v>
      </c>
      <c r="L104">
        <v>1.3548148809523807E-3</v>
      </c>
      <c r="M104">
        <v>3.8412000000000002E-2</v>
      </c>
      <c r="N104">
        <v>1.1640000000000001E-2</v>
      </c>
    </row>
    <row r="105" spans="1:14" x14ac:dyDescent="0.25">
      <c r="A105" t="s">
        <v>177</v>
      </c>
      <c r="B105">
        <v>100</v>
      </c>
      <c r="C105">
        <v>0</v>
      </c>
      <c r="D105">
        <v>10</v>
      </c>
      <c r="E105">
        <v>0</v>
      </c>
      <c r="F105" t="s">
        <v>396</v>
      </c>
      <c r="G105" s="4">
        <v>0.2</v>
      </c>
      <c r="H105" s="2">
        <v>1</v>
      </c>
      <c r="I105">
        <v>0</v>
      </c>
      <c r="J105" t="s">
        <v>116</v>
      </c>
      <c r="K105">
        <v>5.2703999999999989E-4</v>
      </c>
      <c r="L105">
        <v>8.2174166666666661E-4</v>
      </c>
      <c r="M105">
        <v>4.5592800000000003E-2</v>
      </c>
      <c r="N105">
        <v>1.3816000000000002E-2</v>
      </c>
    </row>
    <row r="106" spans="1:14" x14ac:dyDescent="0.25">
      <c r="A106" t="s">
        <v>145</v>
      </c>
      <c r="B106">
        <v>100</v>
      </c>
      <c r="C106">
        <v>0</v>
      </c>
      <c r="D106">
        <v>10</v>
      </c>
      <c r="E106">
        <v>0</v>
      </c>
      <c r="F106" t="s">
        <v>396</v>
      </c>
      <c r="G106" s="4">
        <v>0.2</v>
      </c>
      <c r="H106" s="2">
        <v>1</v>
      </c>
      <c r="I106">
        <v>0</v>
      </c>
      <c r="J106" t="s">
        <v>116</v>
      </c>
      <c r="K106">
        <v>5.2703999999999989E-4</v>
      </c>
      <c r="L106">
        <v>8.2174166666666661E-4</v>
      </c>
      <c r="M106">
        <v>4.3114499999999986E-2</v>
      </c>
      <c r="N106">
        <v>1.3064999999999997E-2</v>
      </c>
    </row>
    <row r="107" spans="1:14" x14ac:dyDescent="0.25">
      <c r="A107" t="s">
        <v>178</v>
      </c>
      <c r="B107">
        <v>100</v>
      </c>
      <c r="C107">
        <v>0</v>
      </c>
      <c r="D107">
        <v>10</v>
      </c>
      <c r="E107">
        <v>0</v>
      </c>
      <c r="F107" t="s">
        <v>396</v>
      </c>
      <c r="G107" s="4">
        <v>0.2</v>
      </c>
      <c r="H107" s="2">
        <v>1</v>
      </c>
      <c r="I107">
        <v>0</v>
      </c>
      <c r="J107" t="s">
        <v>116</v>
      </c>
      <c r="K107">
        <v>5.2703999999999989E-4</v>
      </c>
      <c r="L107">
        <v>2.1370589285714288E-3</v>
      </c>
      <c r="M107">
        <v>3.7026000000000003E-2</v>
      </c>
      <c r="N107">
        <v>1.1220000000000001E-2</v>
      </c>
    </row>
    <row r="108" spans="1:14" x14ac:dyDescent="0.25">
      <c r="A108" t="s">
        <v>146</v>
      </c>
      <c r="B108">
        <v>100</v>
      </c>
      <c r="C108">
        <v>0</v>
      </c>
      <c r="D108">
        <v>10</v>
      </c>
      <c r="E108">
        <v>0</v>
      </c>
      <c r="F108" t="s">
        <v>396</v>
      </c>
      <c r="G108" s="4">
        <v>0.2</v>
      </c>
      <c r="H108" s="2">
        <v>1</v>
      </c>
      <c r="I108">
        <v>0</v>
      </c>
      <c r="J108" t="s">
        <v>116</v>
      </c>
      <c r="K108">
        <v>5.2703999999999989E-4</v>
      </c>
      <c r="L108">
        <v>2.1370589285714288E-3</v>
      </c>
      <c r="M108">
        <v>3.9791399999999998E-2</v>
      </c>
      <c r="N108">
        <v>1.2057999999999999E-2</v>
      </c>
    </row>
    <row r="109" spans="1:14" x14ac:dyDescent="0.25">
      <c r="A109" t="s">
        <v>179</v>
      </c>
      <c r="B109">
        <v>100</v>
      </c>
      <c r="C109">
        <v>0</v>
      </c>
      <c r="D109">
        <v>10</v>
      </c>
      <c r="E109">
        <v>0</v>
      </c>
      <c r="F109" t="s">
        <v>396</v>
      </c>
      <c r="G109" s="4">
        <v>0.2</v>
      </c>
      <c r="H109" s="2">
        <v>1</v>
      </c>
      <c r="I109">
        <v>0</v>
      </c>
      <c r="J109" t="s">
        <v>116</v>
      </c>
      <c r="K109">
        <v>5.2703999999999989E-4</v>
      </c>
      <c r="L109">
        <v>1.8447166666666667E-3</v>
      </c>
      <c r="M109">
        <v>3.8202119999999992E-2</v>
      </c>
      <c r="N109">
        <v>1.1576399999999999E-2</v>
      </c>
    </row>
    <row r="110" spans="1:14" x14ac:dyDescent="0.25">
      <c r="A110" t="s">
        <v>147</v>
      </c>
      <c r="B110">
        <v>100</v>
      </c>
      <c r="C110">
        <v>0</v>
      </c>
      <c r="D110">
        <v>10</v>
      </c>
      <c r="E110">
        <v>0</v>
      </c>
      <c r="F110" t="s">
        <v>396</v>
      </c>
      <c r="G110" s="4">
        <v>0.2</v>
      </c>
      <c r="H110" s="2">
        <v>1</v>
      </c>
      <c r="I110">
        <v>0</v>
      </c>
      <c r="J110" t="s">
        <v>116</v>
      </c>
      <c r="K110">
        <v>5.2703999999999989E-4</v>
      </c>
      <c r="L110">
        <v>1.8447166666666667E-3</v>
      </c>
      <c r="M110">
        <v>4.1022828000000004E-2</v>
      </c>
      <c r="N110">
        <v>1.2431160000000002E-2</v>
      </c>
    </row>
    <row r="111" spans="1:14" x14ac:dyDescent="0.25">
      <c r="A111" t="s">
        <v>180</v>
      </c>
      <c r="B111">
        <v>100</v>
      </c>
      <c r="C111">
        <v>0</v>
      </c>
      <c r="D111">
        <v>10</v>
      </c>
      <c r="E111">
        <v>0</v>
      </c>
      <c r="F111" t="s">
        <v>396</v>
      </c>
      <c r="G111" s="4">
        <v>0.2</v>
      </c>
      <c r="H111" s="2">
        <v>1</v>
      </c>
      <c r="I111">
        <v>0</v>
      </c>
      <c r="J111" t="s">
        <v>116</v>
      </c>
      <c r="K111">
        <v>5.2703999999999989E-4</v>
      </c>
      <c r="L111">
        <v>2.6767839285714288E-3</v>
      </c>
      <c r="M111">
        <v>4.0293000000000002E-2</v>
      </c>
      <c r="N111">
        <v>1.2210000000000002E-2</v>
      </c>
    </row>
    <row r="112" spans="1:14" x14ac:dyDescent="0.25">
      <c r="A112" t="s">
        <v>148</v>
      </c>
      <c r="B112">
        <v>100</v>
      </c>
      <c r="C112">
        <v>0</v>
      </c>
      <c r="D112">
        <v>10</v>
      </c>
      <c r="E112">
        <v>0</v>
      </c>
      <c r="F112" t="s">
        <v>396</v>
      </c>
      <c r="G112" s="4">
        <v>0.2</v>
      </c>
      <c r="H112" s="2">
        <v>1</v>
      </c>
      <c r="I112">
        <v>0</v>
      </c>
      <c r="J112" t="s">
        <v>116</v>
      </c>
      <c r="K112">
        <v>5.2703999999999989E-4</v>
      </c>
      <c r="L112">
        <v>2.6767839285714288E-3</v>
      </c>
      <c r="M112">
        <v>4.5016399999999998E-2</v>
      </c>
      <c r="N112">
        <v>1.3641333333333333E-2</v>
      </c>
    </row>
    <row r="113" spans="1:14" x14ac:dyDescent="0.25">
      <c r="A113" t="s">
        <v>374</v>
      </c>
      <c r="B113">
        <v>100</v>
      </c>
      <c r="C113">
        <v>0</v>
      </c>
      <c r="D113">
        <v>10</v>
      </c>
      <c r="E113">
        <v>0</v>
      </c>
      <c r="F113" t="s">
        <v>396</v>
      </c>
      <c r="G113" s="4">
        <v>0.2</v>
      </c>
      <c r="H113" s="2">
        <v>1</v>
      </c>
      <c r="I113">
        <v>0</v>
      </c>
      <c r="J113" t="s">
        <v>116</v>
      </c>
      <c r="K113">
        <v>5.2703999999999989E-4</v>
      </c>
      <c r="L113">
        <v>1.8500000000000002E-4</v>
      </c>
      <c r="M113">
        <v>0.2328503375</v>
      </c>
      <c r="N113">
        <v>9.3140134999999999E-2</v>
      </c>
    </row>
    <row r="114" spans="1:14" x14ac:dyDescent="0.25">
      <c r="A114" t="s">
        <v>403</v>
      </c>
      <c r="B114">
        <v>100</v>
      </c>
      <c r="C114">
        <v>0</v>
      </c>
      <c r="D114">
        <v>10</v>
      </c>
      <c r="E114">
        <v>0</v>
      </c>
      <c r="F114" t="s">
        <v>396</v>
      </c>
      <c r="G114" s="4">
        <v>0.2</v>
      </c>
      <c r="H114" s="2">
        <v>1</v>
      </c>
      <c r="I114">
        <v>0</v>
      </c>
      <c r="J114" t="s">
        <v>116</v>
      </c>
      <c r="K114">
        <v>5.2703999999999989E-4</v>
      </c>
      <c r="L114">
        <v>1.8500000000000002E-4</v>
      </c>
      <c r="M114">
        <v>0.30856642805999995</v>
      </c>
      <c r="N114">
        <v>9.3504978199999991E-2</v>
      </c>
    </row>
    <row r="115" spans="1:14" x14ac:dyDescent="0.25">
      <c r="A115" t="s">
        <v>130</v>
      </c>
      <c r="B115">
        <v>100</v>
      </c>
      <c r="C115">
        <v>0</v>
      </c>
      <c r="D115">
        <v>10</v>
      </c>
      <c r="E115">
        <v>0</v>
      </c>
      <c r="F115" t="s">
        <v>396</v>
      </c>
      <c r="G115" s="4">
        <v>0.2</v>
      </c>
      <c r="H115" s="2">
        <v>1</v>
      </c>
      <c r="I115">
        <v>0</v>
      </c>
      <c r="J115" t="s">
        <v>116</v>
      </c>
      <c r="K115">
        <v>5.2703999999999989E-4</v>
      </c>
      <c r="L115">
        <v>2.8155880952380947E-3</v>
      </c>
      <c r="M115">
        <v>2.7969333333333329E-2</v>
      </c>
      <c r="N115">
        <v>8.4755555555555539E-3</v>
      </c>
    </row>
    <row r="116" spans="1:14" x14ac:dyDescent="0.25">
      <c r="A116" t="s">
        <v>131</v>
      </c>
      <c r="B116">
        <v>100</v>
      </c>
      <c r="C116">
        <v>0</v>
      </c>
      <c r="D116">
        <v>10</v>
      </c>
      <c r="E116">
        <v>0</v>
      </c>
      <c r="F116" t="s">
        <v>396</v>
      </c>
      <c r="G116" s="4">
        <v>0.2</v>
      </c>
      <c r="H116" s="2">
        <v>1</v>
      </c>
      <c r="I116">
        <v>0</v>
      </c>
      <c r="J116" t="s">
        <v>116</v>
      </c>
      <c r="K116">
        <v>5.2703999999999989E-4</v>
      </c>
      <c r="L116">
        <v>2.8144892857142854E-3</v>
      </c>
      <c r="M116">
        <v>3.6559599999999998E-2</v>
      </c>
      <c r="N116">
        <v>1.1078666666666667E-2</v>
      </c>
    </row>
    <row r="117" spans="1:14" x14ac:dyDescent="0.25">
      <c r="A117" t="s">
        <v>132</v>
      </c>
      <c r="B117">
        <v>100</v>
      </c>
      <c r="C117">
        <v>0</v>
      </c>
      <c r="D117">
        <v>10</v>
      </c>
      <c r="E117">
        <v>0</v>
      </c>
      <c r="F117" t="s">
        <v>396</v>
      </c>
      <c r="G117" s="4">
        <v>0.2</v>
      </c>
      <c r="H117" s="2">
        <v>1</v>
      </c>
      <c r="I117">
        <v>0</v>
      </c>
      <c r="J117" t="s">
        <v>116</v>
      </c>
      <c r="K117">
        <v>5.2703999999999989E-4</v>
      </c>
      <c r="L117">
        <v>2.3960136904761903E-3</v>
      </c>
      <c r="M117">
        <v>2.9555653061224482E-2</v>
      </c>
      <c r="N117">
        <v>8.9562585034013587E-3</v>
      </c>
    </row>
    <row r="118" spans="1:14" x14ac:dyDescent="0.25">
      <c r="A118" t="s">
        <v>360</v>
      </c>
      <c r="B118">
        <v>100</v>
      </c>
      <c r="C118">
        <v>0</v>
      </c>
      <c r="D118">
        <v>10</v>
      </c>
      <c r="E118">
        <v>0</v>
      </c>
      <c r="F118" t="s">
        <v>396</v>
      </c>
      <c r="G118" s="4">
        <v>0.2</v>
      </c>
      <c r="H118" s="2">
        <v>1</v>
      </c>
      <c r="I118">
        <v>0</v>
      </c>
      <c r="J118" t="s">
        <v>116</v>
      </c>
      <c r="K118">
        <v>5.2703999999999989E-4</v>
      </c>
      <c r="L118">
        <v>1.8500000000000002E-4</v>
      </c>
      <c r="M118">
        <v>0.2328503375</v>
      </c>
      <c r="N118">
        <v>9.3140134999999999E-2</v>
      </c>
    </row>
    <row r="119" spans="1:14" x14ac:dyDescent="0.25">
      <c r="A119" t="s">
        <v>361</v>
      </c>
      <c r="B119">
        <v>100</v>
      </c>
      <c r="C119">
        <v>0</v>
      </c>
      <c r="D119">
        <v>10</v>
      </c>
      <c r="E119">
        <v>0</v>
      </c>
      <c r="F119" t="s">
        <v>396</v>
      </c>
      <c r="G119" s="4">
        <v>0.2</v>
      </c>
      <c r="H119" s="2">
        <v>1</v>
      </c>
      <c r="I119">
        <v>0</v>
      </c>
      <c r="J119" t="s">
        <v>116</v>
      </c>
      <c r="K119">
        <v>5.2703999999999989E-4</v>
      </c>
      <c r="L119">
        <v>1.8500000000000002E-4</v>
      </c>
      <c r="M119">
        <v>0.30856642805999995</v>
      </c>
      <c r="N119">
        <v>9.3504978199999991E-2</v>
      </c>
    </row>
    <row r="120" spans="1:14" x14ac:dyDescent="0.25">
      <c r="A120" t="s">
        <v>206</v>
      </c>
      <c r="B120">
        <v>100</v>
      </c>
      <c r="C120">
        <v>0</v>
      </c>
      <c r="D120">
        <v>10</v>
      </c>
      <c r="E120">
        <v>0</v>
      </c>
      <c r="F120" t="s">
        <v>396</v>
      </c>
      <c r="G120" s="4">
        <v>0.2</v>
      </c>
      <c r="H120" s="2">
        <v>1</v>
      </c>
      <c r="I120">
        <v>0</v>
      </c>
      <c r="J120" t="s">
        <v>116</v>
      </c>
      <c r="K120">
        <v>5.2703999999999989E-4</v>
      </c>
      <c r="L120">
        <v>1.8500000000000002E-4</v>
      </c>
      <c r="M120">
        <v>0.2328503375</v>
      </c>
      <c r="N120">
        <v>9.3140134999999999E-2</v>
      </c>
    </row>
    <row r="121" spans="1:14" x14ac:dyDescent="0.25">
      <c r="A121" t="s">
        <v>404</v>
      </c>
      <c r="B121">
        <v>100</v>
      </c>
      <c r="C121">
        <v>0</v>
      </c>
      <c r="D121">
        <v>10</v>
      </c>
      <c r="E121">
        <v>0</v>
      </c>
      <c r="F121" t="s">
        <v>396</v>
      </c>
      <c r="G121" s="4">
        <v>0.2</v>
      </c>
      <c r="H121" s="2">
        <v>1</v>
      </c>
      <c r="I121">
        <v>0</v>
      </c>
      <c r="J121" t="s">
        <v>116</v>
      </c>
      <c r="K121">
        <v>5.2703999999999989E-4</v>
      </c>
      <c r="L121">
        <v>1.8500000000000002E-4</v>
      </c>
      <c r="M121">
        <v>0.30856642805999995</v>
      </c>
      <c r="N121">
        <v>9.3504978199999991E-2</v>
      </c>
    </row>
    <row r="122" spans="1:14" x14ac:dyDescent="0.25">
      <c r="A122" t="s">
        <v>373</v>
      </c>
      <c r="B122">
        <v>100</v>
      </c>
      <c r="C122">
        <v>0</v>
      </c>
      <c r="D122">
        <v>10</v>
      </c>
      <c r="E122">
        <v>0</v>
      </c>
      <c r="F122" t="s">
        <v>396</v>
      </c>
      <c r="G122" s="4">
        <v>0.2</v>
      </c>
      <c r="H122" s="2">
        <v>1</v>
      </c>
      <c r="I122">
        <v>0</v>
      </c>
      <c r="J122" t="s">
        <v>116</v>
      </c>
      <c r="K122">
        <v>5.2703999999999989E-4</v>
      </c>
      <c r="L122">
        <v>1.8500000000000002E-4</v>
      </c>
      <c r="M122">
        <v>0.30856642805999995</v>
      </c>
      <c r="N122">
        <v>9.3504978199999991E-2</v>
      </c>
    </row>
    <row r="123" spans="1:14" x14ac:dyDescent="0.25">
      <c r="A123" t="s">
        <v>214</v>
      </c>
      <c r="B123">
        <v>100</v>
      </c>
      <c r="C123">
        <v>0</v>
      </c>
      <c r="D123">
        <v>10</v>
      </c>
      <c r="E123">
        <v>0</v>
      </c>
      <c r="F123" t="s">
        <v>396</v>
      </c>
      <c r="G123" s="4">
        <v>0.2</v>
      </c>
      <c r="H123" s="2">
        <v>1</v>
      </c>
      <c r="I123">
        <v>0</v>
      </c>
      <c r="J123" t="s">
        <v>116</v>
      </c>
      <c r="K123">
        <v>5.2703999999999989E-4</v>
      </c>
      <c r="L123">
        <v>1.0781333333333334E-3</v>
      </c>
      <c r="M123">
        <v>3.9846801600000002E-2</v>
      </c>
      <c r="N123">
        <v>4.9111111999999998E-2</v>
      </c>
    </row>
    <row r="124" spans="1:14" x14ac:dyDescent="0.25">
      <c r="A124" t="s">
        <v>366</v>
      </c>
      <c r="B124">
        <v>100</v>
      </c>
      <c r="C124">
        <v>0</v>
      </c>
      <c r="D124">
        <v>10</v>
      </c>
      <c r="E124">
        <v>0</v>
      </c>
      <c r="F124" t="s">
        <v>396</v>
      </c>
      <c r="G124" s="4">
        <v>0.2</v>
      </c>
      <c r="H124" s="2">
        <v>1</v>
      </c>
      <c r="I124">
        <v>0</v>
      </c>
      <c r="J124" t="s">
        <v>116</v>
      </c>
      <c r="K124">
        <v>5.2703999999999989E-4</v>
      </c>
      <c r="L124">
        <v>2.8786946428571423E-3</v>
      </c>
      <c r="M124">
        <v>5.9550001200000001E-2</v>
      </c>
      <c r="N124">
        <v>8.3933333999999998E-2</v>
      </c>
    </row>
    <row r="125" spans="1:14" x14ac:dyDescent="0.25">
      <c r="A125" t="s">
        <v>133</v>
      </c>
      <c r="B125">
        <v>100</v>
      </c>
      <c r="C125">
        <v>0</v>
      </c>
      <c r="D125">
        <v>10</v>
      </c>
      <c r="E125">
        <v>0</v>
      </c>
      <c r="F125" t="s">
        <v>396</v>
      </c>
      <c r="G125" s="4">
        <v>0.2</v>
      </c>
      <c r="H125" s="2">
        <v>1</v>
      </c>
      <c r="I125">
        <v>0</v>
      </c>
      <c r="J125" t="s">
        <v>116</v>
      </c>
      <c r="K125">
        <v>5.2703999999999989E-4</v>
      </c>
      <c r="L125">
        <v>1.0834994047619047E-3</v>
      </c>
      <c r="M125">
        <v>6.3237774999999996E-2</v>
      </c>
      <c r="N125">
        <v>8.1911109999999995E-2</v>
      </c>
    </row>
    <row r="126" spans="1:14" x14ac:dyDescent="0.25">
      <c r="A126" t="s">
        <v>367</v>
      </c>
      <c r="B126">
        <v>100</v>
      </c>
      <c r="C126">
        <v>0</v>
      </c>
      <c r="D126">
        <v>10</v>
      </c>
      <c r="E126">
        <v>0</v>
      </c>
      <c r="F126" t="s">
        <v>396</v>
      </c>
      <c r="G126" s="4">
        <v>0.2</v>
      </c>
      <c r="H126" s="2">
        <v>1</v>
      </c>
      <c r="I126">
        <v>0</v>
      </c>
      <c r="J126" t="s">
        <v>116</v>
      </c>
      <c r="K126">
        <v>5.2703999999999989E-4</v>
      </c>
      <c r="L126">
        <v>2.2836916666666668E-3</v>
      </c>
      <c r="M126">
        <v>9.3848512499999995E-2</v>
      </c>
      <c r="N126">
        <v>0.11140740499999999</v>
      </c>
    </row>
    <row r="127" spans="1:14" x14ac:dyDescent="0.25">
      <c r="A127" t="s">
        <v>369</v>
      </c>
      <c r="B127">
        <v>100</v>
      </c>
      <c r="C127">
        <v>0</v>
      </c>
      <c r="D127">
        <v>10</v>
      </c>
      <c r="E127">
        <v>0</v>
      </c>
      <c r="F127" t="s">
        <v>396</v>
      </c>
      <c r="G127" s="4">
        <v>0.2</v>
      </c>
      <c r="H127" s="2">
        <v>1</v>
      </c>
      <c r="I127">
        <v>0</v>
      </c>
      <c r="J127" t="s">
        <v>116</v>
      </c>
      <c r="K127">
        <v>5.2703999999999989E-4</v>
      </c>
      <c r="L127">
        <v>1.0834994047619047E-3</v>
      </c>
      <c r="M127">
        <v>8.7815195159999984E-2</v>
      </c>
      <c r="N127">
        <v>8.3226665199999994E-2</v>
      </c>
    </row>
    <row r="128" spans="1:14" x14ac:dyDescent="0.25">
      <c r="A128" t="s">
        <v>370</v>
      </c>
      <c r="B128">
        <v>100</v>
      </c>
      <c r="C128">
        <v>0</v>
      </c>
      <c r="D128">
        <v>10</v>
      </c>
      <c r="E128">
        <v>0</v>
      </c>
      <c r="F128" t="s">
        <v>396</v>
      </c>
      <c r="G128" s="4">
        <v>0.2</v>
      </c>
      <c r="H128" s="2">
        <v>1</v>
      </c>
      <c r="I128">
        <v>0</v>
      </c>
      <c r="J128" t="s">
        <v>116</v>
      </c>
      <c r="K128">
        <v>5.2703999999999989E-4</v>
      </c>
      <c r="L128">
        <v>2.2836916666666668E-3</v>
      </c>
      <c r="M128">
        <v>0.13170225617999998</v>
      </c>
      <c r="N128">
        <v>0.11377777459999999</v>
      </c>
    </row>
    <row r="130" spans="1:14" x14ac:dyDescent="0.25">
      <c r="C130" s="918" t="s">
        <v>405</v>
      </c>
      <c r="D130" s="918"/>
      <c r="E130" s="918"/>
      <c r="F130" s="918" t="s">
        <v>54</v>
      </c>
      <c r="G130" s="918"/>
      <c r="H130" s="918"/>
      <c r="I130" s="918" t="s">
        <v>405</v>
      </c>
      <c r="J130" s="918"/>
      <c r="K130" s="918"/>
      <c r="L130" s="918" t="s">
        <v>54</v>
      </c>
      <c r="M130" s="918"/>
      <c r="N130" s="918"/>
    </row>
    <row r="131" spans="1:14" x14ac:dyDescent="0.25">
      <c r="A131" s="9" t="s">
        <v>406</v>
      </c>
      <c r="B131" s="3" t="s">
        <v>95</v>
      </c>
      <c r="C131">
        <v>25</v>
      </c>
      <c r="D131" s="3">
        <v>85</v>
      </c>
      <c r="E131" s="3">
        <v>100</v>
      </c>
      <c r="F131" s="3">
        <v>25</v>
      </c>
      <c r="G131" s="3">
        <v>85</v>
      </c>
      <c r="H131" s="3">
        <v>100</v>
      </c>
      <c r="I131" s="3">
        <v>25</v>
      </c>
      <c r="J131" s="3">
        <v>85</v>
      </c>
      <c r="K131" s="3">
        <v>100</v>
      </c>
    </row>
    <row r="132" spans="1:14" x14ac:dyDescent="0.25">
      <c r="A132" t="s">
        <v>322</v>
      </c>
      <c r="B132" t="s">
        <v>120</v>
      </c>
      <c r="C132" s="45">
        <v>2.9996613700333712</v>
      </c>
      <c r="D132" s="45"/>
      <c r="E132" s="45"/>
      <c r="F132" s="45">
        <v>4.4998420980655158</v>
      </c>
      <c r="G132" s="45"/>
      <c r="H132" s="45"/>
      <c r="I132" s="37">
        <v>3</v>
      </c>
      <c r="J132" s="38"/>
      <c r="K132" s="38"/>
      <c r="L132" s="38">
        <v>4.5</v>
      </c>
      <c r="M132" s="38"/>
      <c r="N132" s="39"/>
    </row>
    <row r="133" spans="1:14" x14ac:dyDescent="0.25">
      <c r="A133" t="s">
        <v>322</v>
      </c>
      <c r="B133" t="s">
        <v>121</v>
      </c>
      <c r="C133" s="45"/>
      <c r="D133" s="45">
        <v>19.52049499616821</v>
      </c>
      <c r="E133" s="45">
        <v>29.581306347311056</v>
      </c>
      <c r="F133" s="45"/>
      <c r="G133" s="45">
        <v>7.5110366722783288</v>
      </c>
      <c r="H133" s="45">
        <v>9.5561670762644191</v>
      </c>
      <c r="I133" s="40"/>
      <c r="J133" s="27">
        <v>20</v>
      </c>
      <c r="K133" s="27">
        <v>30</v>
      </c>
      <c r="L133" s="27"/>
      <c r="M133" s="27">
        <v>8</v>
      </c>
      <c r="N133" s="41">
        <v>10</v>
      </c>
    </row>
    <row r="134" spans="1:14" x14ac:dyDescent="0.25">
      <c r="A134" t="s">
        <v>323</v>
      </c>
      <c r="B134" t="s">
        <v>120</v>
      </c>
      <c r="C134" s="45">
        <v>7.9990113903003932</v>
      </c>
      <c r="D134" s="45"/>
      <c r="E134" s="45"/>
      <c r="F134" s="45">
        <v>7.9997695328869867</v>
      </c>
      <c r="G134" s="45"/>
      <c r="H134" s="45"/>
      <c r="I134" s="40">
        <v>8</v>
      </c>
      <c r="J134" s="27"/>
      <c r="K134" s="27"/>
      <c r="L134" s="27">
        <v>8</v>
      </c>
      <c r="M134" s="27"/>
      <c r="N134" s="41"/>
    </row>
    <row r="135" spans="1:14" x14ac:dyDescent="0.25">
      <c r="A135" t="s">
        <v>323</v>
      </c>
      <c r="B135" t="s">
        <v>121</v>
      </c>
      <c r="C135" s="45"/>
      <c r="D135" s="45">
        <v>49.575786839755217</v>
      </c>
      <c r="E135" s="45">
        <v>69.534118348551544</v>
      </c>
      <c r="F135" s="45"/>
      <c r="G135" s="45">
        <v>11.572596540593695</v>
      </c>
      <c r="H135" s="45">
        <v>14.808470399999997</v>
      </c>
      <c r="I135" s="40"/>
      <c r="J135" s="27">
        <v>50</v>
      </c>
      <c r="K135" s="27">
        <v>70</v>
      </c>
      <c r="L135" s="27"/>
      <c r="M135" s="27">
        <v>12</v>
      </c>
      <c r="N135" s="41">
        <v>15</v>
      </c>
    </row>
    <row r="136" spans="1:14" x14ac:dyDescent="0.25">
      <c r="A136" t="s">
        <v>324</v>
      </c>
      <c r="B136" t="s">
        <v>120</v>
      </c>
      <c r="C136" s="45">
        <v>14.997488067991114</v>
      </c>
      <c r="D136" s="45"/>
      <c r="E136" s="45"/>
      <c r="F136" s="45">
        <v>11.999373665719537</v>
      </c>
      <c r="G136" s="45"/>
      <c r="H136" s="45"/>
      <c r="I136" s="40">
        <v>15</v>
      </c>
      <c r="J136" s="27"/>
      <c r="K136" s="27"/>
      <c r="L136" s="27">
        <v>12</v>
      </c>
      <c r="M136" s="27"/>
      <c r="N136" s="41"/>
    </row>
    <row r="137" spans="1:14" x14ac:dyDescent="0.25">
      <c r="A137" t="s">
        <v>324</v>
      </c>
      <c r="B137" t="s">
        <v>121</v>
      </c>
      <c r="C137" s="45"/>
      <c r="D137" s="45">
        <v>84.618066939949713</v>
      </c>
      <c r="E137" s="45">
        <v>124.59680874822904</v>
      </c>
      <c r="F137" s="45"/>
      <c r="G137" s="45">
        <v>17.511150235928675</v>
      </c>
      <c r="H137" s="45">
        <v>23.636986614000001</v>
      </c>
      <c r="I137" s="40"/>
      <c r="J137" s="27">
        <v>85</v>
      </c>
      <c r="K137" s="27">
        <v>125</v>
      </c>
      <c r="L137" s="27"/>
      <c r="M137" s="27">
        <v>18</v>
      </c>
      <c r="N137" s="41">
        <v>24</v>
      </c>
    </row>
    <row r="138" spans="1:14" x14ac:dyDescent="0.25">
      <c r="A138" t="s">
        <v>325</v>
      </c>
      <c r="B138" t="s">
        <v>120</v>
      </c>
      <c r="C138" s="45">
        <v>24.993396619827596</v>
      </c>
      <c r="D138" s="45"/>
      <c r="E138" s="45"/>
      <c r="F138" s="45">
        <v>13.997003075441</v>
      </c>
      <c r="G138" s="45"/>
      <c r="H138" s="45"/>
      <c r="I138" s="40">
        <v>25</v>
      </c>
      <c r="J138" s="27"/>
      <c r="K138" s="27"/>
      <c r="L138" s="27">
        <v>14</v>
      </c>
      <c r="M138" s="27"/>
      <c r="N138" s="41"/>
    </row>
    <row r="139" spans="1:14" x14ac:dyDescent="0.25">
      <c r="A139" t="s">
        <v>325</v>
      </c>
      <c r="B139" t="s">
        <v>121</v>
      </c>
      <c r="C139" s="45"/>
      <c r="D139" s="45">
        <v>119.57032322400028</v>
      </c>
      <c r="E139" s="45">
        <v>184.87817588270329</v>
      </c>
      <c r="F139" s="45"/>
      <c r="G139" s="45">
        <v>27.535363702250002</v>
      </c>
      <c r="H139" s="45">
        <v>33.620251398500002</v>
      </c>
      <c r="I139" s="40"/>
      <c r="J139" s="27">
        <v>120</v>
      </c>
      <c r="K139" s="27">
        <v>185</v>
      </c>
      <c r="L139" s="27"/>
      <c r="M139" s="27">
        <v>28</v>
      </c>
      <c r="N139" s="41">
        <v>34</v>
      </c>
    </row>
    <row r="140" spans="1:14" x14ac:dyDescent="0.25">
      <c r="A140" t="s">
        <v>326</v>
      </c>
      <c r="B140" t="s">
        <v>120</v>
      </c>
      <c r="C140" s="45">
        <v>29.988903973534889</v>
      </c>
      <c r="D140" s="45"/>
      <c r="E140" s="45"/>
      <c r="F140" s="45">
        <v>17.989119271936548</v>
      </c>
      <c r="G140" s="45"/>
      <c r="H140" s="45"/>
      <c r="I140" s="40">
        <v>30</v>
      </c>
      <c r="J140" s="27"/>
      <c r="K140" s="27"/>
      <c r="L140" s="27">
        <v>18</v>
      </c>
      <c r="M140" s="27"/>
      <c r="N140" s="41"/>
    </row>
    <row r="141" spans="1:14" x14ac:dyDescent="0.25">
      <c r="A141" t="s">
        <v>326</v>
      </c>
      <c r="B141" t="s">
        <v>121</v>
      </c>
      <c r="C141" s="45"/>
      <c r="D141" s="45">
        <v>220</v>
      </c>
      <c r="E141" s="45">
        <v>309.74227018145939</v>
      </c>
      <c r="F141" s="45"/>
      <c r="G141" s="45">
        <v>49.722746944000001</v>
      </c>
      <c r="H141" s="45">
        <v>57.540133440000005</v>
      </c>
      <c r="I141" s="42"/>
      <c r="J141" s="43">
        <v>220</v>
      </c>
      <c r="K141" s="43">
        <v>310</v>
      </c>
      <c r="L141" s="43"/>
      <c r="M141" s="43">
        <v>50</v>
      </c>
      <c r="N141" s="44">
        <v>58</v>
      </c>
    </row>
    <row r="145" spans="1:6" x14ac:dyDescent="0.25">
      <c r="A145" t="s">
        <v>236</v>
      </c>
      <c r="B145">
        <v>3</v>
      </c>
      <c r="C145">
        <v>8</v>
      </c>
      <c r="D145">
        <v>15</v>
      </c>
      <c r="E145">
        <v>25</v>
      </c>
      <c r="F145" s="27">
        <v>30</v>
      </c>
    </row>
    <row r="146" spans="1:6" x14ac:dyDescent="0.25">
      <c r="A146">
        <v>-25</v>
      </c>
      <c r="B146" s="32">
        <f t="shared" ref="B146:F150" si="0">(B$145/1.26368)*EXP($A146/106.82799)</f>
        <v>1.8786682054927344</v>
      </c>
      <c r="C146" s="32">
        <f t="shared" si="0"/>
        <v>5.009781881313959</v>
      </c>
      <c r="D146" s="32">
        <f t="shared" si="0"/>
        <v>9.3933410274636735</v>
      </c>
      <c r="E146" s="32">
        <f t="shared" si="0"/>
        <v>15.65556837910612</v>
      </c>
      <c r="F146" s="32">
        <f t="shared" si="0"/>
        <v>18.786682054927347</v>
      </c>
    </row>
    <row r="147" spans="1:6" x14ac:dyDescent="0.25">
      <c r="A147">
        <v>0</v>
      </c>
      <c r="B147" s="32">
        <f t="shared" si="0"/>
        <v>2.3740187389212459</v>
      </c>
      <c r="C147" s="32">
        <f t="shared" si="0"/>
        <v>6.3307166371233228</v>
      </c>
      <c r="D147" s="32">
        <f t="shared" si="0"/>
        <v>11.870093694606231</v>
      </c>
      <c r="E147" s="32">
        <f t="shared" si="0"/>
        <v>19.783489491010382</v>
      </c>
      <c r="F147" s="32">
        <f t="shared" si="0"/>
        <v>23.740187389212462</v>
      </c>
    </row>
    <row r="148" spans="1:6" x14ac:dyDescent="0.25">
      <c r="A148">
        <v>25</v>
      </c>
      <c r="B148" s="32">
        <f t="shared" si="0"/>
        <v>2.9999788979614044</v>
      </c>
      <c r="C148" s="32">
        <f t="shared" si="0"/>
        <v>7.9999437278970786</v>
      </c>
      <c r="D148" s="32">
        <f t="shared" si="0"/>
        <v>14.999894489807025</v>
      </c>
      <c r="E148" s="32">
        <f t="shared" si="0"/>
        <v>24.999824149678371</v>
      </c>
      <c r="F148" s="32">
        <f t="shared" si="0"/>
        <v>29.999788979614049</v>
      </c>
    </row>
    <row r="149" spans="1:6" x14ac:dyDescent="0.25">
      <c r="A149">
        <v>85</v>
      </c>
      <c r="B149" s="32">
        <f t="shared" si="0"/>
        <v>5.2606564051586018</v>
      </c>
      <c r="C149" s="32">
        <f t="shared" si="0"/>
        <v>14.028417080422939</v>
      </c>
      <c r="D149" s="32">
        <f t="shared" si="0"/>
        <v>26.30328202579301</v>
      </c>
      <c r="E149" s="32">
        <f t="shared" si="0"/>
        <v>43.838803376321678</v>
      </c>
      <c r="F149" s="32">
        <f t="shared" si="0"/>
        <v>52.60656405158602</v>
      </c>
    </row>
    <row r="150" spans="1:6" x14ac:dyDescent="0.25">
      <c r="A150">
        <v>100</v>
      </c>
      <c r="B150" s="32">
        <f t="shared" si="0"/>
        <v>6.0536927023194478</v>
      </c>
      <c r="C150" s="32">
        <f t="shared" si="0"/>
        <v>16.143180539518529</v>
      </c>
      <c r="D150" s="32">
        <f t="shared" si="0"/>
        <v>30.26846351159724</v>
      </c>
      <c r="E150" s="32">
        <f t="shared" si="0"/>
        <v>50.447439185995393</v>
      </c>
      <c r="F150" s="32">
        <f t="shared" si="0"/>
        <v>60.53692702319448</v>
      </c>
    </row>
    <row r="152" spans="1:6" x14ac:dyDescent="0.25">
      <c r="A152" t="s">
        <v>120</v>
      </c>
      <c r="B152" t="s">
        <v>53</v>
      </c>
      <c r="D152" t="s">
        <v>121</v>
      </c>
      <c r="E152" t="s">
        <v>53</v>
      </c>
    </row>
    <row r="153" spans="1:6" x14ac:dyDescent="0.25">
      <c r="A153">
        <v>21.030686195500209</v>
      </c>
      <c r="B153">
        <v>28.245542968316162</v>
      </c>
      <c r="D153">
        <v>22.025624472583107</v>
      </c>
      <c r="E153">
        <v>87.132307295779512</v>
      </c>
    </row>
    <row r="154" spans="1:6" x14ac:dyDescent="0.25">
      <c r="A154">
        <v>24.054201968937885</v>
      </c>
      <c r="B154">
        <v>29.570919573055523</v>
      </c>
      <c r="D154">
        <v>25.09593474294746</v>
      </c>
      <c r="E154">
        <v>91.221046451431889</v>
      </c>
    </row>
    <row r="155" spans="1:6" x14ac:dyDescent="0.25">
      <c r="A155">
        <v>27.079200431169202</v>
      </c>
      <c r="B155">
        <v>30.958724356858809</v>
      </c>
      <c r="D155">
        <v>28.169952293310036</v>
      </c>
      <c r="E155">
        <v>95.502421829839804</v>
      </c>
    </row>
    <row r="156" spans="1:6" x14ac:dyDescent="0.25">
      <c r="A156">
        <v>30.105822456758162</v>
      </c>
      <c r="B156">
        <v>32.411955313093124</v>
      </c>
      <c r="D156">
        <v>31.247928675902315</v>
      </c>
      <c r="E156">
        <v>99.985695906211859</v>
      </c>
    </row>
    <row r="157" spans="1:6" x14ac:dyDescent="0.25">
      <c r="A157">
        <v>33.134228932447691</v>
      </c>
      <c r="B157">
        <v>33.933768305178397</v>
      </c>
      <c r="D157">
        <v>34.330141989188981</v>
      </c>
      <c r="E157">
        <v>104.68062163130539</v>
      </c>
    </row>
    <row r="158" spans="1:6" x14ac:dyDescent="0.25">
      <c r="A158">
        <v>36.164604217877589</v>
      </c>
      <c r="B158">
        <v>35.527488678097598</v>
      </c>
      <c r="D158">
        <v>37.416900933302841</v>
      </c>
      <c r="E158">
        <v>109.59747909771978</v>
      </c>
    </row>
    <row r="159" spans="1:6" x14ac:dyDescent="0.25">
      <c r="A159">
        <v>39.197160243992656</v>
      </c>
      <c r="B159">
        <v>37.196624439352647</v>
      </c>
      <c r="D159">
        <v>40.508549593995475</v>
      </c>
      <c r="E159">
        <v>114.74711725445415</v>
      </c>
    </row>
    <row r="160" spans="1:6" x14ac:dyDescent="0.25">
      <c r="A160">
        <v>42.23214136886741</v>
      </c>
      <c r="B160">
        <v>38.9448813333102</v>
      </c>
      <c r="D160">
        <v>43.60547309308653</v>
      </c>
      <c r="E160">
        <v>120.14100171982494</v>
      </c>
    </row>
    <row r="161" spans="1:5" x14ac:dyDescent="0.25">
      <c r="A161">
        <v>45.269830133316404</v>
      </c>
      <c r="B161">
        <v>40.776180209595687</v>
      </c>
      <c r="D161">
        <v>46.708104270070095</v>
      </c>
      <c r="E161">
        <v>125.79126999209842</v>
      </c>
    </row>
    <row r="162" spans="1:5" x14ac:dyDescent="0.25">
      <c r="A162">
        <v>48.310554085607031</v>
      </c>
      <c r="B162">
        <v>42.694677181804117</v>
      </c>
      <c r="D162">
        <v>49.81693159144649</v>
      </c>
      <c r="E162">
        <v>131.71079566793969</v>
      </c>
    </row>
    <row r="163" spans="1:5" x14ac:dyDescent="0.25">
      <c r="A163">
        <v>51.354693876670254</v>
      </c>
      <c r="B163">
        <v>44.704787192076544</v>
      </c>
      <c r="D163">
        <v>52.932508522536914</v>
      </c>
      <c r="E163">
        <v>137.9132636665812</v>
      </c>
    </row>
    <row r="164" spans="1:5" x14ac:dyDescent="0.25">
      <c r="A164">
        <v>54.402692865398009</v>
      </c>
      <c r="B164">
        <v>46.811211746067031</v>
      </c>
      <c r="D164">
        <v>56.055464642269044</v>
      </c>
      <c r="E164">
        <v>144.4132589421389</v>
      </c>
    </row>
    <row r="165" spans="1:5" x14ac:dyDescent="0.25">
      <c r="A165">
        <v>57.455068519099896</v>
      </c>
      <c r="B165">
        <v>49.018971769125407</v>
      </c>
      <c r="D165">
        <v>59.186518836215384</v>
      </c>
      <c r="E165">
        <v>151.2263717726571</v>
      </c>
    </row>
    <row r="166" spans="1:5" x14ac:dyDescent="0.25">
      <c r="A166">
        <v>60.512425948372929</v>
      </c>
      <c r="B166">
        <v>51.333446767823219</v>
      </c>
      <c r="D166">
        <v>62.326494968865859</v>
      </c>
      <c r="E166">
        <v>158.36932347390686</v>
      </c>
    </row>
    <row r="167" spans="1:5" x14ac:dyDescent="0.25">
      <c r="A167">
        <v>63.575473980197614</v>
      </c>
      <c r="B167">
        <v>53.760421773590693</v>
      </c>
      <c r="D167">
        <v>65.476340514953819</v>
      </c>
      <c r="E167">
        <v>165.86011733905059</v>
      </c>
    </row>
    <row r="168" spans="1:5" x14ac:dyDescent="0.25">
      <c r="A168">
        <v>66.645044250026231</v>
      </c>
      <c r="B168">
        <v>56.306143912982286</v>
      </c>
      <c r="D168">
        <v>68.637148724342737</v>
      </c>
      <c r="E168">
        <v>173.7182208037338</v>
      </c>
    </row>
    <row r="169" spans="1:5" x14ac:dyDescent="0.25">
      <c r="A169">
        <v>69.722113885390456</v>
      </c>
      <c r="B169">
        <v>58.977390912216642</v>
      </c>
      <c r="D169">
        <v>71.810185008824604</v>
      </c>
      <c r="E169">
        <v>181.96478634648548</v>
      </c>
    </row>
    <row r="170" spans="1:5" x14ac:dyDescent="0.25">
      <c r="A170">
        <v>72.807832463025193</v>
      </c>
      <c r="B170">
        <v>61.781554428315403</v>
      </c>
      <c r="D170">
        <v>74.996918376219597</v>
      </c>
      <c r="E170">
        <v>190.62292054255764</v>
      </c>
    </row>
    <row r="171" spans="1:5" x14ac:dyDescent="0.25">
      <c r="A171">
        <v>75.903554052172083</v>
      </c>
      <c r="B171">
        <v>64.726741839390073</v>
      </c>
      <c r="D171">
        <v>78.199058902357521</v>
      </c>
      <c r="E171">
        <v>199.71801310747711</v>
      </c>
    </row>
    <row r="172" spans="1:5" x14ac:dyDescent="0.25">
      <c r="A172">
        <v>79.01087531279596</v>
      </c>
      <c r="B172">
        <v>67.821901066828005</v>
      </c>
      <c r="D172">
        <v>81.418602430976577</v>
      </c>
      <c r="E172">
        <v>209.27814084126345</v>
      </c>
    </row>
    <row r="173" spans="1:5" x14ac:dyDescent="0.25">
      <c r="A173">
        <v>82.131680803999956</v>
      </c>
      <c r="B173">
        <v>71.076974200786708</v>
      </c>
      <c r="D173">
        <v>84.6578839328659</v>
      </c>
      <c r="E173">
        <v>219.33456530889501</v>
      </c>
    </row>
    <row r="174" spans="1:5" x14ac:dyDescent="0.25">
      <c r="A174">
        <v>85.268196881122407</v>
      </c>
      <c r="B174">
        <v>74.503087235064683</v>
      </c>
      <c r="D174">
        <v>87.948247696205954</v>
      </c>
      <c r="E174">
        <v>231.65544203288036</v>
      </c>
    </row>
    <row r="175" spans="1:5" x14ac:dyDescent="0.25">
      <c r="A175">
        <v>88.423055827333087</v>
      </c>
      <c r="B175">
        <v>78.11278519174779</v>
      </c>
      <c r="D175">
        <v>91.416410601248401</v>
      </c>
      <c r="E175">
        <v>253.76252155034751</v>
      </c>
    </row>
    <row r="176" spans="1:5" x14ac:dyDescent="0.25">
      <c r="A176">
        <v>91.599372186177774</v>
      </c>
      <c r="B176">
        <v>81.920324469833062</v>
      </c>
      <c r="D176">
        <v>94.915177898367475</v>
      </c>
      <c r="E176">
        <v>276.55384882817674</v>
      </c>
    </row>
    <row r="177" spans="1:12" x14ac:dyDescent="0.25">
      <c r="A177">
        <v>94.800833646703424</v>
      </c>
      <c r="B177">
        <v>85.942037575563859</v>
      </c>
      <c r="D177">
        <v>98.449226495218014</v>
      </c>
      <c r="E177">
        <v>300.09400117163591</v>
      </c>
    </row>
    <row r="178" spans="1:12" x14ac:dyDescent="0.25">
      <c r="A178">
        <v>98.031809296446326</v>
      </c>
      <c r="B178">
        <v>90.196789746894666</v>
      </c>
      <c r="D178">
        <v>101.75436000000001</v>
      </c>
      <c r="E178">
        <v>310</v>
      </c>
    </row>
    <row r="179" spans="1:12" x14ac:dyDescent="0.25">
      <c r="A179">
        <v>101.1199278717712</v>
      </c>
      <c r="B179">
        <v>94.30202746636111</v>
      </c>
      <c r="D179">
        <v>100.7028</v>
      </c>
      <c r="E179">
        <v>70</v>
      </c>
    </row>
    <row r="182" spans="1:12" s="9" customFormat="1" ht="26.4" x14ac:dyDescent="0.25">
      <c r="A182" s="9" t="s">
        <v>441</v>
      </c>
      <c r="B182" s="9" t="s">
        <v>13</v>
      </c>
      <c r="C182" s="9" t="s">
        <v>103</v>
      </c>
      <c r="D182" s="9" t="s">
        <v>77</v>
      </c>
      <c r="E182" s="9" t="s">
        <v>440</v>
      </c>
      <c r="F182" s="9" t="s">
        <v>442</v>
      </c>
      <c r="G182" s="9" t="s">
        <v>443</v>
      </c>
      <c r="H182" s="9" t="s">
        <v>445</v>
      </c>
      <c r="I182" s="9" t="s">
        <v>444</v>
      </c>
      <c r="K182" s="22" t="s">
        <v>455</v>
      </c>
      <c r="L182" s="9" t="s">
        <v>454</v>
      </c>
    </row>
    <row r="183" spans="1:12" x14ac:dyDescent="0.25">
      <c r="A183" s="6" t="s">
        <v>434</v>
      </c>
      <c r="B183" s="6">
        <v>0</v>
      </c>
      <c r="C183" s="50">
        <v>0</v>
      </c>
      <c r="D183">
        <v>2</v>
      </c>
      <c r="E183">
        <v>10000</v>
      </c>
      <c r="F183">
        <v>2.4990180592403669E-2</v>
      </c>
      <c r="G183">
        <v>0</v>
      </c>
      <c r="H183">
        <f>$F183+$G183</f>
        <v>2.4990180592403669E-2</v>
      </c>
      <c r="I183">
        <f>1000*$H183/1.2</f>
        <v>20.825150493669724</v>
      </c>
      <c r="K183" s="6">
        <v>18.974</v>
      </c>
      <c r="L183" s="2">
        <f t="shared" ref="L183:L214" si="1">$I183/$K183-1</f>
        <v>9.7562479902483679E-2</v>
      </c>
    </row>
    <row r="184" spans="1:12" x14ac:dyDescent="0.25">
      <c r="A184" s="6" t="s">
        <v>434</v>
      </c>
      <c r="B184" s="6">
        <v>50</v>
      </c>
      <c r="C184" s="50">
        <v>0</v>
      </c>
      <c r="D184">
        <v>2</v>
      </c>
      <c r="E184">
        <v>10000</v>
      </c>
      <c r="F184">
        <v>6.5075463197337188E-2</v>
      </c>
      <c r="G184">
        <v>0</v>
      </c>
      <c r="H184">
        <f>$F184+$G184</f>
        <v>6.5075463197337188E-2</v>
      </c>
      <c r="I184">
        <f>1000*$H184/1.2</f>
        <v>54.22955266444766</v>
      </c>
      <c r="K184" s="6">
        <v>52.716999999999999</v>
      </c>
      <c r="L184" s="2">
        <f t="shared" si="1"/>
        <v>2.8691933616246335E-2</v>
      </c>
    </row>
    <row r="185" spans="1:12" x14ac:dyDescent="0.25">
      <c r="A185" s="6" t="s">
        <v>434</v>
      </c>
      <c r="B185" s="6">
        <v>100</v>
      </c>
      <c r="C185" s="50">
        <v>0</v>
      </c>
      <c r="D185">
        <v>2</v>
      </c>
      <c r="E185">
        <v>10000</v>
      </c>
      <c r="F185">
        <v>0.10516074580227072</v>
      </c>
      <c r="G185">
        <v>0</v>
      </c>
      <c r="H185">
        <f>$F185+$G185</f>
        <v>0.10516074580227072</v>
      </c>
      <c r="I185">
        <f>1000*$H185/1.2</f>
        <v>87.633954835225609</v>
      </c>
      <c r="K185" s="6">
        <v>86.33</v>
      </c>
      <c r="L185" s="2">
        <f t="shared" si="1"/>
        <v>1.5104307138023909E-2</v>
      </c>
    </row>
    <row r="186" spans="1:12" x14ac:dyDescent="0.25">
      <c r="A186" s="6" t="s">
        <v>434</v>
      </c>
      <c r="B186" s="6">
        <v>150</v>
      </c>
      <c r="C186" s="50">
        <v>0</v>
      </c>
      <c r="D186">
        <v>2</v>
      </c>
      <c r="E186">
        <v>10000</v>
      </c>
      <c r="F186">
        <v>0.14524602840720424</v>
      </c>
      <c r="G186">
        <v>0</v>
      </c>
      <c r="H186">
        <f>$F186+$G186</f>
        <v>0.14524602840720424</v>
      </c>
      <c r="I186">
        <f>1000*$H186/1.2</f>
        <v>121.03835700600355</v>
      </c>
      <c r="K186" s="6">
        <v>119.93</v>
      </c>
      <c r="L186" s="2">
        <f t="shared" si="1"/>
        <v>9.2416993746646803E-3</v>
      </c>
    </row>
    <row r="187" spans="1:12" x14ac:dyDescent="0.25">
      <c r="A187" s="6" t="s">
        <v>434</v>
      </c>
      <c r="B187" s="6">
        <v>50</v>
      </c>
      <c r="C187" s="50">
        <v>0.25</v>
      </c>
      <c r="D187">
        <v>2</v>
      </c>
      <c r="E187">
        <v>10000</v>
      </c>
      <c r="F187">
        <v>6.5075463197337188E-2</v>
      </c>
      <c r="G187">
        <v>6.3561937499999985E-2</v>
      </c>
      <c r="H187">
        <f t="shared" ref="H187:H238" si="2">$F187+$G187</f>
        <v>0.12863740069733717</v>
      </c>
      <c r="I187">
        <f t="shared" ref="I187:I238" si="3">1000*$H187/1.2</f>
        <v>107.19783391444764</v>
      </c>
      <c r="K187" s="6">
        <v>102.509</v>
      </c>
      <c r="L187" s="2">
        <f t="shared" si="1"/>
        <v>4.5740704859550396E-2</v>
      </c>
    </row>
    <row r="188" spans="1:12" x14ac:dyDescent="0.25">
      <c r="A188" s="6" t="s">
        <v>434</v>
      </c>
      <c r="B188" s="6">
        <v>100</v>
      </c>
      <c r="C188" s="50">
        <v>0.25</v>
      </c>
      <c r="D188">
        <v>2</v>
      </c>
      <c r="E188">
        <v>10000</v>
      </c>
      <c r="F188">
        <v>0.10516074580227072</v>
      </c>
      <c r="G188">
        <v>0.12712387499999997</v>
      </c>
      <c r="H188">
        <f t="shared" si="2"/>
        <v>0.23228462080227069</v>
      </c>
      <c r="I188">
        <f t="shared" si="3"/>
        <v>193.57051733522559</v>
      </c>
      <c r="K188" s="6">
        <v>185.69300000000001</v>
      </c>
      <c r="L188" s="2">
        <f t="shared" si="1"/>
        <v>4.2422263279852102E-2</v>
      </c>
    </row>
    <row r="189" spans="1:12" x14ac:dyDescent="0.25">
      <c r="A189" s="6" t="s">
        <v>434</v>
      </c>
      <c r="B189" s="6">
        <v>150</v>
      </c>
      <c r="C189" s="50">
        <v>0.25</v>
      </c>
      <c r="D189">
        <v>2</v>
      </c>
      <c r="E189">
        <v>10000</v>
      </c>
      <c r="F189">
        <v>0.14524602840720424</v>
      </c>
      <c r="G189">
        <v>0.19068581249999997</v>
      </c>
      <c r="H189">
        <f t="shared" si="2"/>
        <v>0.33593184090720418</v>
      </c>
      <c r="I189">
        <f t="shared" si="3"/>
        <v>279.94320075600348</v>
      </c>
      <c r="K189" s="6">
        <v>268.11500000000001</v>
      </c>
      <c r="L189" s="2">
        <f t="shared" si="1"/>
        <v>4.4116147011556528E-2</v>
      </c>
    </row>
    <row r="190" spans="1:12" x14ac:dyDescent="0.25">
      <c r="A190" s="6" t="s">
        <v>434</v>
      </c>
      <c r="B190" s="6">
        <v>50</v>
      </c>
      <c r="C190" s="50">
        <v>0.5</v>
      </c>
      <c r="D190">
        <v>2</v>
      </c>
      <c r="E190">
        <v>10000</v>
      </c>
      <c r="F190">
        <v>6.5075463197337188E-2</v>
      </c>
      <c r="G190">
        <v>0.12712387499999997</v>
      </c>
      <c r="H190">
        <f t="shared" si="2"/>
        <v>0.19219933819733714</v>
      </c>
      <c r="I190">
        <f t="shared" si="3"/>
        <v>160.16611516444763</v>
      </c>
      <c r="K190" s="6">
        <v>152.18199999999999</v>
      </c>
      <c r="L190" s="2">
        <f t="shared" si="1"/>
        <v>5.2464254408850275E-2</v>
      </c>
    </row>
    <row r="191" spans="1:12" x14ac:dyDescent="0.25">
      <c r="A191" s="6" t="s">
        <v>434</v>
      </c>
      <c r="B191" s="6">
        <v>100</v>
      </c>
      <c r="C191" s="50">
        <v>0.5</v>
      </c>
      <c r="D191">
        <v>2</v>
      </c>
      <c r="E191">
        <v>10000</v>
      </c>
      <c r="F191">
        <v>0.10516074580227072</v>
      </c>
      <c r="G191">
        <v>0.25424774999999994</v>
      </c>
      <c r="H191">
        <f t="shared" si="2"/>
        <v>0.35940849580227063</v>
      </c>
      <c r="I191">
        <f t="shared" si="3"/>
        <v>299.50707983522557</v>
      </c>
      <c r="K191" s="6">
        <v>284.29599999999999</v>
      </c>
      <c r="L191" s="2">
        <f t="shared" si="1"/>
        <v>5.3504375141491867E-2</v>
      </c>
    </row>
    <row r="192" spans="1:12" x14ac:dyDescent="0.25">
      <c r="A192" s="6" t="s">
        <v>434</v>
      </c>
      <c r="B192" s="6">
        <v>150</v>
      </c>
      <c r="C192" s="50">
        <v>0.5</v>
      </c>
      <c r="D192">
        <v>2</v>
      </c>
      <c r="E192">
        <v>10000</v>
      </c>
      <c r="F192">
        <v>0.14524602840720424</v>
      </c>
      <c r="G192">
        <v>0.38137162499999994</v>
      </c>
      <c r="H192">
        <f t="shared" si="2"/>
        <v>0.52661765340720423</v>
      </c>
      <c r="I192">
        <f t="shared" si="3"/>
        <v>438.84804450600353</v>
      </c>
      <c r="K192" s="6">
        <v>414.37099999999998</v>
      </c>
      <c r="L192" s="2">
        <f t="shared" si="1"/>
        <v>5.9070360874683647E-2</v>
      </c>
    </row>
    <row r="193" spans="1:12" x14ac:dyDescent="0.25">
      <c r="A193" s="6" t="s">
        <v>434</v>
      </c>
      <c r="B193" s="6">
        <v>50</v>
      </c>
      <c r="C193" s="50">
        <v>1</v>
      </c>
      <c r="D193">
        <v>2</v>
      </c>
      <c r="E193">
        <v>10000</v>
      </c>
      <c r="F193">
        <v>6.5075463197337188E-2</v>
      </c>
      <c r="G193">
        <v>0.25424774999999994</v>
      </c>
      <c r="H193">
        <f t="shared" si="2"/>
        <v>0.31932321319733714</v>
      </c>
      <c r="I193">
        <f t="shared" si="3"/>
        <v>266.10267766444764</v>
      </c>
      <c r="K193" s="6">
        <v>250.529</v>
      </c>
      <c r="L193" s="2">
        <f t="shared" si="1"/>
        <v>6.216317338291244E-2</v>
      </c>
    </row>
    <row r="194" spans="1:12" x14ac:dyDescent="0.25">
      <c r="A194" s="6" t="s">
        <v>434</v>
      </c>
      <c r="B194" s="6">
        <v>100</v>
      </c>
      <c r="C194" s="50">
        <v>1</v>
      </c>
      <c r="D194">
        <v>2</v>
      </c>
      <c r="E194">
        <v>10000</v>
      </c>
      <c r="F194">
        <v>0.10516074580227072</v>
      </c>
      <c r="G194">
        <v>0.50849549999999988</v>
      </c>
      <c r="H194">
        <f t="shared" si="2"/>
        <v>0.61365624580227063</v>
      </c>
      <c r="I194">
        <f t="shared" si="3"/>
        <v>511.38020483522553</v>
      </c>
      <c r="K194" s="6">
        <v>478.35</v>
      </c>
      <c r="L194" s="2">
        <f t="shared" si="1"/>
        <v>6.9050287101966035E-2</v>
      </c>
    </row>
    <row r="195" spans="1:12" x14ac:dyDescent="0.25">
      <c r="A195" s="6" t="s">
        <v>434</v>
      </c>
      <c r="B195" s="6">
        <v>150</v>
      </c>
      <c r="C195" s="50">
        <v>1</v>
      </c>
      <c r="D195">
        <v>2</v>
      </c>
      <c r="E195">
        <v>10000</v>
      </c>
      <c r="F195">
        <v>0.14524602840720424</v>
      </c>
      <c r="G195">
        <v>0.76274324999999987</v>
      </c>
      <c r="H195">
        <f t="shared" si="2"/>
        <v>0.90798927840720411</v>
      </c>
      <c r="I195">
        <f t="shared" si="3"/>
        <v>756.65773200600347</v>
      </c>
      <c r="K195" s="6">
        <v>700.53</v>
      </c>
      <c r="L195" s="2">
        <f t="shared" si="1"/>
        <v>8.0121810637665103E-2</v>
      </c>
    </row>
    <row r="196" spans="1:12" x14ac:dyDescent="0.25">
      <c r="A196" s="6" t="s">
        <v>435</v>
      </c>
      <c r="B196" s="6">
        <v>0</v>
      </c>
      <c r="C196" s="50">
        <v>0</v>
      </c>
      <c r="D196">
        <v>2</v>
      </c>
      <c r="E196">
        <v>20000</v>
      </c>
      <c r="F196">
        <v>2.8414850729867786E-2</v>
      </c>
      <c r="G196">
        <v>0</v>
      </c>
      <c r="H196">
        <f t="shared" si="2"/>
        <v>2.8414850729867786E-2</v>
      </c>
      <c r="I196">
        <f t="shared" si="3"/>
        <v>23.679042274889824</v>
      </c>
      <c r="K196" s="6">
        <v>19.707000000000001</v>
      </c>
      <c r="L196" s="2">
        <f t="shared" si="1"/>
        <v>0.20155489292585482</v>
      </c>
    </row>
    <row r="197" spans="1:12" x14ac:dyDescent="0.25">
      <c r="A197" s="6" t="s">
        <v>435</v>
      </c>
      <c r="B197" s="6">
        <v>50</v>
      </c>
      <c r="C197" s="50">
        <v>0</v>
      </c>
      <c r="D197">
        <v>2</v>
      </c>
      <c r="E197">
        <v>20000</v>
      </c>
      <c r="F197">
        <v>9.9087248648105031E-2</v>
      </c>
      <c r="G197">
        <v>0</v>
      </c>
      <c r="H197">
        <f t="shared" si="2"/>
        <v>9.9087248648105031E-2</v>
      </c>
      <c r="I197">
        <f t="shared" si="3"/>
        <v>82.572707206754203</v>
      </c>
      <c r="K197" s="6">
        <v>75.789000000000001</v>
      </c>
      <c r="L197" s="2">
        <f t="shared" si="1"/>
        <v>8.9507807290691188E-2</v>
      </c>
    </row>
    <row r="198" spans="1:12" x14ac:dyDescent="0.25">
      <c r="A198" s="6" t="s">
        <v>435</v>
      </c>
      <c r="B198" s="6">
        <v>100</v>
      </c>
      <c r="C198" s="50">
        <v>0</v>
      </c>
      <c r="D198">
        <v>2</v>
      </c>
      <c r="E198">
        <v>20000</v>
      </c>
      <c r="F198">
        <v>0.16975964656634226</v>
      </c>
      <c r="G198">
        <v>0</v>
      </c>
      <c r="H198">
        <f t="shared" si="2"/>
        <v>0.16975964656634226</v>
      </c>
      <c r="I198">
        <f t="shared" si="3"/>
        <v>141.46637213861857</v>
      </c>
      <c r="K198" s="6">
        <v>131.55500000000001</v>
      </c>
      <c r="L198" s="2">
        <f t="shared" si="1"/>
        <v>7.5340140159009916E-2</v>
      </c>
    </row>
    <row r="199" spans="1:12" x14ac:dyDescent="0.25">
      <c r="A199" s="6" t="s">
        <v>435</v>
      </c>
      <c r="B199" s="6">
        <v>150</v>
      </c>
      <c r="C199" s="50">
        <v>0</v>
      </c>
      <c r="D199">
        <v>2</v>
      </c>
      <c r="E199">
        <v>20000</v>
      </c>
      <c r="F199">
        <v>0.24043204448457947</v>
      </c>
      <c r="G199">
        <v>0</v>
      </c>
      <c r="H199">
        <f t="shared" si="2"/>
        <v>0.24043204448457947</v>
      </c>
      <c r="I199">
        <f t="shared" si="3"/>
        <v>200.36003707048292</v>
      </c>
      <c r="K199" s="6">
        <v>187.25399999999999</v>
      </c>
      <c r="L199" s="2">
        <f t="shared" si="1"/>
        <v>6.999069216402809E-2</v>
      </c>
    </row>
    <row r="200" spans="1:12" x14ac:dyDescent="0.25">
      <c r="A200" s="6" t="s">
        <v>435</v>
      </c>
      <c r="B200" s="6">
        <v>50</v>
      </c>
      <c r="C200" s="50">
        <v>0.25</v>
      </c>
      <c r="D200">
        <v>2</v>
      </c>
      <c r="E200">
        <v>20000</v>
      </c>
      <c r="F200">
        <v>9.9087248648105031E-2</v>
      </c>
      <c r="G200">
        <v>0.12712387499999997</v>
      </c>
      <c r="H200">
        <f t="shared" si="2"/>
        <v>0.226211123648105</v>
      </c>
      <c r="I200">
        <f t="shared" si="3"/>
        <v>188.50926970675417</v>
      </c>
      <c r="K200" s="6">
        <v>175.39500000000001</v>
      </c>
      <c r="L200" s="2">
        <f t="shared" si="1"/>
        <v>7.4769917653035423E-2</v>
      </c>
    </row>
    <row r="201" spans="1:12" x14ac:dyDescent="0.25">
      <c r="A201" s="6" t="s">
        <v>435</v>
      </c>
      <c r="B201" s="6">
        <v>100</v>
      </c>
      <c r="C201" s="50">
        <v>0.25</v>
      </c>
      <c r="D201">
        <v>2</v>
      </c>
      <c r="E201">
        <v>20000</v>
      </c>
      <c r="F201">
        <v>0.16975964656634226</v>
      </c>
      <c r="G201">
        <v>0.25424774999999994</v>
      </c>
      <c r="H201">
        <f t="shared" si="2"/>
        <v>0.42400739656634223</v>
      </c>
      <c r="I201">
        <f t="shared" si="3"/>
        <v>353.33949713861853</v>
      </c>
      <c r="K201" s="6">
        <v>329.54199999999997</v>
      </c>
      <c r="L201" s="2">
        <f t="shared" si="1"/>
        <v>7.2213851765840387E-2</v>
      </c>
    </row>
    <row r="202" spans="1:12" x14ac:dyDescent="0.25">
      <c r="A202" s="6" t="s">
        <v>435</v>
      </c>
      <c r="B202" s="6">
        <v>150</v>
      </c>
      <c r="C202" s="50">
        <v>0.25</v>
      </c>
      <c r="D202">
        <v>2</v>
      </c>
      <c r="E202">
        <v>20000</v>
      </c>
      <c r="F202">
        <v>0.24043204448457947</v>
      </c>
      <c r="G202">
        <v>0.38137162499999994</v>
      </c>
      <c r="H202">
        <f t="shared" si="2"/>
        <v>0.62180366948457944</v>
      </c>
      <c r="I202">
        <f t="shared" si="3"/>
        <v>518.16972457048291</v>
      </c>
      <c r="K202" s="6">
        <v>481.15499999999997</v>
      </c>
      <c r="L202" s="2">
        <f t="shared" si="1"/>
        <v>7.6928899357759928E-2</v>
      </c>
    </row>
    <row r="203" spans="1:12" x14ac:dyDescent="0.25">
      <c r="A203" s="6" t="s">
        <v>435</v>
      </c>
      <c r="B203" s="6">
        <v>50</v>
      </c>
      <c r="C203" s="50">
        <v>0.5</v>
      </c>
      <c r="D203">
        <v>2</v>
      </c>
      <c r="E203">
        <v>20000</v>
      </c>
      <c r="F203">
        <v>9.9087248648105031E-2</v>
      </c>
      <c r="G203">
        <v>0.25424774999999994</v>
      </c>
      <c r="H203">
        <f t="shared" si="2"/>
        <v>0.35333499864810497</v>
      </c>
      <c r="I203">
        <f t="shared" si="3"/>
        <v>294.44583220675412</v>
      </c>
      <c r="K203" s="6">
        <v>274.137</v>
      </c>
      <c r="L203" s="2">
        <f t="shared" si="1"/>
        <v>7.4082784180005357E-2</v>
      </c>
    </row>
    <row r="204" spans="1:12" x14ac:dyDescent="0.25">
      <c r="A204" s="6" t="s">
        <v>435</v>
      </c>
      <c r="B204" s="6">
        <v>100</v>
      </c>
      <c r="C204" s="50">
        <v>0.5</v>
      </c>
      <c r="D204">
        <v>2</v>
      </c>
      <c r="E204">
        <v>20000</v>
      </c>
      <c r="F204">
        <v>0.16975964656634226</v>
      </c>
      <c r="G204">
        <v>0.50849549999999988</v>
      </c>
      <c r="H204">
        <f t="shared" si="2"/>
        <v>0.67825514656634212</v>
      </c>
      <c r="I204">
        <f t="shared" si="3"/>
        <v>565.21262213861849</v>
      </c>
      <c r="K204" s="6">
        <v>524.37699999999995</v>
      </c>
      <c r="L204" s="2">
        <f t="shared" si="1"/>
        <v>7.7874548537824051E-2</v>
      </c>
    </row>
    <row r="205" spans="1:12" x14ac:dyDescent="0.25">
      <c r="A205" s="6" t="s">
        <v>435</v>
      </c>
      <c r="B205" s="6">
        <v>150</v>
      </c>
      <c r="C205" s="50">
        <v>0.5</v>
      </c>
      <c r="D205">
        <v>2</v>
      </c>
      <c r="E205">
        <v>20000</v>
      </c>
      <c r="F205">
        <v>0.24043204448457947</v>
      </c>
      <c r="G205">
        <v>0.76274324999999987</v>
      </c>
      <c r="H205">
        <f t="shared" si="2"/>
        <v>1.0031752944845793</v>
      </c>
      <c r="I205">
        <f t="shared" si="3"/>
        <v>835.97941207048279</v>
      </c>
      <c r="K205" s="6">
        <v>767.471</v>
      </c>
      <c r="L205" s="2">
        <f t="shared" si="1"/>
        <v>8.9265147569722814E-2</v>
      </c>
    </row>
    <row r="206" spans="1:12" x14ac:dyDescent="0.25">
      <c r="A206" s="6" t="s">
        <v>435</v>
      </c>
      <c r="B206" s="6">
        <v>50</v>
      </c>
      <c r="C206" s="50">
        <v>1</v>
      </c>
      <c r="D206">
        <v>2</v>
      </c>
      <c r="E206">
        <v>20000</v>
      </c>
      <c r="F206">
        <v>9.9087248648105031E-2</v>
      </c>
      <c r="G206">
        <v>0.50849549999999988</v>
      </c>
      <c r="H206">
        <f t="shared" si="2"/>
        <v>0.60758274864810491</v>
      </c>
      <c r="I206">
        <f t="shared" si="3"/>
        <v>506.31895720675413</v>
      </c>
      <c r="K206" s="6">
        <v>468.01299999999998</v>
      </c>
      <c r="L206" s="2">
        <f t="shared" si="1"/>
        <v>8.1848062354580309E-2</v>
      </c>
    </row>
    <row r="207" spans="1:12" x14ac:dyDescent="0.25">
      <c r="A207" s="6" t="s">
        <v>435</v>
      </c>
      <c r="B207" s="6">
        <v>100</v>
      </c>
      <c r="C207" s="50">
        <v>1</v>
      </c>
      <c r="D207">
        <v>2</v>
      </c>
      <c r="E207">
        <v>20000</v>
      </c>
      <c r="F207">
        <v>0.16975964656634226</v>
      </c>
      <c r="G207">
        <v>1.0169909999999998</v>
      </c>
      <c r="H207">
        <f t="shared" si="2"/>
        <v>1.186750646566342</v>
      </c>
      <c r="I207">
        <f t="shared" si="3"/>
        <v>988.9588721386184</v>
      </c>
      <c r="K207" s="6">
        <v>903.18399999999997</v>
      </c>
      <c r="L207" s="2">
        <f t="shared" si="1"/>
        <v>9.4969432738642778E-2</v>
      </c>
    </row>
    <row r="208" spans="1:12" x14ac:dyDescent="0.25">
      <c r="A208" s="6" t="s">
        <v>435</v>
      </c>
      <c r="B208" s="6">
        <v>150</v>
      </c>
      <c r="C208" s="50">
        <v>1</v>
      </c>
      <c r="D208">
        <v>2</v>
      </c>
      <c r="E208">
        <v>20000</v>
      </c>
      <c r="F208">
        <v>0.24043204448457947</v>
      </c>
      <c r="G208">
        <v>1.5254864999999997</v>
      </c>
      <c r="H208">
        <f t="shared" si="2"/>
        <v>1.7659185444845793</v>
      </c>
      <c r="I208">
        <f t="shared" si="3"/>
        <v>1471.5987870704828</v>
      </c>
      <c r="K208" s="6">
        <v>1317.182</v>
      </c>
      <c r="L208" s="2">
        <f t="shared" si="1"/>
        <v>0.11723268847470036</v>
      </c>
    </row>
    <row r="209" spans="1:12" x14ac:dyDescent="0.25">
      <c r="A209" s="6" t="s">
        <v>436</v>
      </c>
      <c r="B209" s="6">
        <v>0</v>
      </c>
      <c r="C209" s="50">
        <v>0</v>
      </c>
      <c r="D209">
        <v>3</v>
      </c>
      <c r="E209">
        <v>10000</v>
      </c>
      <c r="F209">
        <v>2.4990180592403669E-2</v>
      </c>
      <c r="G209">
        <v>0</v>
      </c>
      <c r="H209">
        <f t="shared" si="2"/>
        <v>2.4990180592403669E-2</v>
      </c>
      <c r="I209">
        <f t="shared" si="3"/>
        <v>20.825150493669724</v>
      </c>
      <c r="K209" s="6">
        <v>19.577000000000002</v>
      </c>
      <c r="L209" s="2">
        <f t="shared" si="1"/>
        <v>6.375596330743849E-2</v>
      </c>
    </row>
    <row r="210" spans="1:12" x14ac:dyDescent="0.25">
      <c r="A210" s="6" t="s">
        <v>436</v>
      </c>
      <c r="B210" s="6">
        <v>50</v>
      </c>
      <c r="C210" s="50">
        <v>0</v>
      </c>
      <c r="D210">
        <v>3</v>
      </c>
      <c r="E210">
        <v>10000</v>
      </c>
      <c r="F210">
        <v>6.5075463197337188E-2</v>
      </c>
      <c r="G210">
        <v>0</v>
      </c>
      <c r="H210">
        <f t="shared" si="2"/>
        <v>6.5075463197337188E-2</v>
      </c>
      <c r="I210">
        <f t="shared" si="3"/>
        <v>54.22955266444766</v>
      </c>
      <c r="K210" s="6">
        <v>60.917000000000002</v>
      </c>
      <c r="L210" s="2">
        <f t="shared" si="1"/>
        <v>-0.10977965650889476</v>
      </c>
    </row>
    <row r="211" spans="1:12" x14ac:dyDescent="0.25">
      <c r="A211" s="6" t="s">
        <v>436</v>
      </c>
      <c r="B211" s="6">
        <v>100</v>
      </c>
      <c r="C211" s="50">
        <v>0</v>
      </c>
      <c r="D211">
        <v>3</v>
      </c>
      <c r="E211">
        <v>10000</v>
      </c>
      <c r="F211">
        <v>0.10516074580227072</v>
      </c>
      <c r="G211">
        <v>0</v>
      </c>
      <c r="H211">
        <f t="shared" si="2"/>
        <v>0.10516074580227072</v>
      </c>
      <c r="I211">
        <f t="shared" si="3"/>
        <v>87.633954835225609</v>
      </c>
      <c r="K211" s="6">
        <v>102.101</v>
      </c>
      <c r="L211" s="2">
        <f t="shared" si="1"/>
        <v>-0.14169347180511838</v>
      </c>
    </row>
    <row r="212" spans="1:12" x14ac:dyDescent="0.25">
      <c r="A212" s="6" t="s">
        <v>436</v>
      </c>
      <c r="B212" s="6">
        <v>150</v>
      </c>
      <c r="C212" s="50">
        <v>0</v>
      </c>
      <c r="D212">
        <v>3</v>
      </c>
      <c r="E212">
        <v>10000</v>
      </c>
      <c r="F212">
        <v>0.14524602840720424</v>
      </c>
      <c r="G212">
        <v>0</v>
      </c>
      <c r="H212">
        <f t="shared" si="2"/>
        <v>0.14524602840720424</v>
      </c>
      <c r="I212">
        <f t="shared" si="3"/>
        <v>121.03835700600355</v>
      </c>
      <c r="K212" s="6">
        <v>143.27500000000001</v>
      </c>
      <c r="L212" s="2">
        <f t="shared" si="1"/>
        <v>-0.15520253354734914</v>
      </c>
    </row>
    <row r="213" spans="1:12" x14ac:dyDescent="0.25">
      <c r="A213" s="6" t="s">
        <v>436</v>
      </c>
      <c r="B213" s="6">
        <v>50</v>
      </c>
      <c r="C213" s="50">
        <v>0.25</v>
      </c>
      <c r="D213">
        <v>3</v>
      </c>
      <c r="E213">
        <v>10000</v>
      </c>
      <c r="F213">
        <v>6.5075463197337188E-2</v>
      </c>
      <c r="G213">
        <v>7.5451499999999991E-2</v>
      </c>
      <c r="H213">
        <f t="shared" si="2"/>
        <v>0.14052696319733718</v>
      </c>
      <c r="I213">
        <f t="shared" si="3"/>
        <v>117.10580266444765</v>
      </c>
      <c r="K213" s="6">
        <v>115.384</v>
      </c>
      <c r="L213" s="2">
        <f t="shared" si="1"/>
        <v>1.4922369344516184E-2</v>
      </c>
    </row>
    <row r="214" spans="1:12" x14ac:dyDescent="0.25">
      <c r="A214" s="6" t="s">
        <v>436</v>
      </c>
      <c r="B214" s="6">
        <v>100</v>
      </c>
      <c r="C214" s="50">
        <v>0.25</v>
      </c>
      <c r="D214">
        <v>3</v>
      </c>
      <c r="E214">
        <v>10000</v>
      </c>
      <c r="F214">
        <v>0.10516074580227072</v>
      </c>
      <c r="G214">
        <v>0.15090299999999998</v>
      </c>
      <c r="H214">
        <f t="shared" si="2"/>
        <v>0.2560637458022707</v>
      </c>
      <c r="I214">
        <f t="shared" si="3"/>
        <v>213.38645483522561</v>
      </c>
      <c r="K214" s="6">
        <v>211.03399999999999</v>
      </c>
      <c r="L214" s="2">
        <f t="shared" si="1"/>
        <v>1.1147278804484628E-2</v>
      </c>
    </row>
    <row r="215" spans="1:12" x14ac:dyDescent="0.25">
      <c r="A215" s="6" t="s">
        <v>436</v>
      </c>
      <c r="B215" s="6">
        <v>150</v>
      </c>
      <c r="C215" s="50">
        <v>0.25</v>
      </c>
      <c r="D215">
        <v>3</v>
      </c>
      <c r="E215">
        <v>10000</v>
      </c>
      <c r="F215">
        <v>0.14524602840720424</v>
      </c>
      <c r="G215">
        <v>0.22635449999999996</v>
      </c>
      <c r="H215">
        <f t="shared" si="2"/>
        <v>0.3716005284072042</v>
      </c>
      <c r="I215">
        <f t="shared" si="3"/>
        <v>309.6671070060035</v>
      </c>
      <c r="K215" s="6">
        <v>305.63099999999997</v>
      </c>
      <c r="L215" s="2">
        <f t="shared" ref="L215:L246" si="4">$I215/$K215-1</f>
        <v>1.320581683796318E-2</v>
      </c>
    </row>
    <row r="216" spans="1:12" x14ac:dyDescent="0.25">
      <c r="A216" s="6" t="s">
        <v>436</v>
      </c>
      <c r="B216" s="6">
        <v>50</v>
      </c>
      <c r="C216" s="50">
        <v>0.5</v>
      </c>
      <c r="D216">
        <v>3</v>
      </c>
      <c r="E216">
        <v>10000</v>
      </c>
      <c r="F216">
        <v>6.5075463197337188E-2</v>
      </c>
      <c r="G216">
        <v>0.15090299999999998</v>
      </c>
      <c r="H216">
        <f t="shared" si="2"/>
        <v>0.21597846319733716</v>
      </c>
      <c r="I216">
        <f t="shared" si="3"/>
        <v>179.98205266444765</v>
      </c>
      <c r="K216" s="6">
        <v>169.761</v>
      </c>
      <c r="L216" s="2">
        <f t="shared" si="4"/>
        <v>6.0208485249542809E-2</v>
      </c>
    </row>
    <row r="217" spans="1:12" x14ac:dyDescent="0.25">
      <c r="A217" s="6" t="s">
        <v>436</v>
      </c>
      <c r="B217" s="6">
        <v>100</v>
      </c>
      <c r="C217" s="50">
        <v>0.5</v>
      </c>
      <c r="D217">
        <v>3</v>
      </c>
      <c r="E217">
        <v>10000</v>
      </c>
      <c r="F217">
        <v>0.10516074580227072</v>
      </c>
      <c r="G217">
        <v>0.30180599999999996</v>
      </c>
      <c r="H217">
        <f t="shared" si="2"/>
        <v>0.40696674580227066</v>
      </c>
      <c r="I217">
        <f t="shared" si="3"/>
        <v>339.1389548352256</v>
      </c>
      <c r="K217" s="6">
        <v>318.85899999999998</v>
      </c>
      <c r="L217" s="2">
        <f t="shared" si="4"/>
        <v>6.3601638452186249E-2</v>
      </c>
    </row>
    <row r="218" spans="1:12" x14ac:dyDescent="0.25">
      <c r="A218" s="6" t="s">
        <v>436</v>
      </c>
      <c r="B218" s="6">
        <v>150</v>
      </c>
      <c r="C218" s="50">
        <v>0.5</v>
      </c>
      <c r="D218">
        <v>3</v>
      </c>
      <c r="E218">
        <v>10000</v>
      </c>
      <c r="F218">
        <v>0.14524602840720424</v>
      </c>
      <c r="G218">
        <v>0.45270899999999992</v>
      </c>
      <c r="H218">
        <f t="shared" si="2"/>
        <v>0.59795502840720416</v>
      </c>
      <c r="I218">
        <f t="shared" si="3"/>
        <v>498.29585700600347</v>
      </c>
      <c r="K218" s="6">
        <v>465.38299999999998</v>
      </c>
      <c r="L218" s="2">
        <f t="shared" si="4"/>
        <v>7.0722086982127674E-2</v>
      </c>
    </row>
    <row r="219" spans="1:12" x14ac:dyDescent="0.25">
      <c r="A219" s="6" t="s">
        <v>436</v>
      </c>
      <c r="B219" s="6">
        <v>50</v>
      </c>
      <c r="C219" s="50">
        <v>1</v>
      </c>
      <c r="D219">
        <v>3</v>
      </c>
      <c r="E219">
        <v>10000</v>
      </c>
      <c r="F219">
        <v>6.5075463197337188E-2</v>
      </c>
      <c r="G219">
        <v>0.30180599999999996</v>
      </c>
      <c r="H219">
        <f t="shared" si="2"/>
        <v>0.36688146319733717</v>
      </c>
      <c r="I219">
        <f t="shared" si="3"/>
        <v>305.73455266444762</v>
      </c>
      <c r="K219" s="6">
        <v>279.529</v>
      </c>
      <c r="L219" s="2">
        <f t="shared" si="4"/>
        <v>9.3748958657053905E-2</v>
      </c>
    </row>
    <row r="220" spans="1:12" x14ac:dyDescent="0.25">
      <c r="A220" s="6" t="s">
        <v>436</v>
      </c>
      <c r="B220" s="6">
        <v>100</v>
      </c>
      <c r="C220" s="50">
        <v>1</v>
      </c>
      <c r="D220">
        <v>3</v>
      </c>
      <c r="E220">
        <v>10000</v>
      </c>
      <c r="F220">
        <v>0.10516074580227072</v>
      </c>
      <c r="G220">
        <v>0.60361199999999993</v>
      </c>
      <c r="H220">
        <f t="shared" si="2"/>
        <v>0.70877274580227068</v>
      </c>
      <c r="I220">
        <f t="shared" si="3"/>
        <v>590.6439548352256</v>
      </c>
      <c r="K220" s="6">
        <v>535.27499999999998</v>
      </c>
      <c r="L220" s="2">
        <f t="shared" si="4"/>
        <v>0.10344020332581505</v>
      </c>
    </row>
    <row r="221" spans="1:12" x14ac:dyDescent="0.25">
      <c r="A221" s="6" t="s">
        <v>436</v>
      </c>
      <c r="B221" s="6">
        <v>150</v>
      </c>
      <c r="C221" s="50">
        <v>1</v>
      </c>
      <c r="D221">
        <v>3</v>
      </c>
      <c r="E221">
        <v>10000</v>
      </c>
      <c r="F221">
        <v>0.14524602840720424</v>
      </c>
      <c r="G221">
        <v>0.90541799999999983</v>
      </c>
      <c r="H221">
        <f t="shared" si="2"/>
        <v>1.050664028407204</v>
      </c>
      <c r="I221">
        <f t="shared" si="3"/>
        <v>875.55335700600324</v>
      </c>
      <c r="K221" s="6">
        <v>783.47900000000004</v>
      </c>
      <c r="L221" s="2">
        <f t="shared" si="4"/>
        <v>0.11751987865150593</v>
      </c>
    </row>
    <row r="222" spans="1:12" x14ac:dyDescent="0.25">
      <c r="A222" s="6" t="s">
        <v>437</v>
      </c>
      <c r="B222" s="6">
        <v>0</v>
      </c>
      <c r="C222" s="50">
        <v>0</v>
      </c>
      <c r="D222">
        <v>3</v>
      </c>
      <c r="E222">
        <v>20000</v>
      </c>
      <c r="F222">
        <v>2.8414850729867786E-2</v>
      </c>
      <c r="G222">
        <v>0</v>
      </c>
      <c r="H222">
        <f t="shared" si="2"/>
        <v>2.8414850729867786E-2</v>
      </c>
      <c r="I222">
        <f t="shared" si="3"/>
        <v>23.679042274889824</v>
      </c>
      <c r="K222" s="6">
        <v>20.082999999999998</v>
      </c>
      <c r="L222" s="2">
        <f t="shared" si="4"/>
        <v>0.17905901881640318</v>
      </c>
    </row>
    <row r="223" spans="1:12" x14ac:dyDescent="0.25">
      <c r="A223" s="6" t="s">
        <v>437</v>
      </c>
      <c r="B223" s="6">
        <v>50</v>
      </c>
      <c r="C223" s="50">
        <v>0</v>
      </c>
      <c r="D223">
        <v>3</v>
      </c>
      <c r="E223">
        <v>20000</v>
      </c>
      <c r="F223">
        <v>9.9087248648105031E-2</v>
      </c>
      <c r="G223">
        <v>0</v>
      </c>
      <c r="H223">
        <f t="shared" si="2"/>
        <v>9.9087248648105031E-2</v>
      </c>
      <c r="I223">
        <f t="shared" si="3"/>
        <v>82.572707206754203</v>
      </c>
      <c r="K223" s="6">
        <v>81.825999999999993</v>
      </c>
      <c r="L223" s="2">
        <f t="shared" si="4"/>
        <v>9.125549418940393E-3</v>
      </c>
    </row>
    <row r="224" spans="1:12" x14ac:dyDescent="0.25">
      <c r="A224" s="6" t="s">
        <v>437</v>
      </c>
      <c r="B224" s="6">
        <v>100</v>
      </c>
      <c r="C224" s="50">
        <v>0</v>
      </c>
      <c r="D224">
        <v>3</v>
      </c>
      <c r="E224">
        <v>20000</v>
      </c>
      <c r="F224">
        <v>0.16975964656634226</v>
      </c>
      <c r="G224">
        <v>0</v>
      </c>
      <c r="H224">
        <f t="shared" si="2"/>
        <v>0.16975964656634226</v>
      </c>
      <c r="I224">
        <f t="shared" si="3"/>
        <v>141.46637213861857</v>
      </c>
      <c r="K224" s="6">
        <v>143.33000000000001</v>
      </c>
      <c r="L224" s="2">
        <f t="shared" si="4"/>
        <v>-1.3002357227247963E-2</v>
      </c>
    </row>
    <row r="225" spans="1:12" x14ac:dyDescent="0.25">
      <c r="A225" s="6" t="s">
        <v>437</v>
      </c>
      <c r="B225" s="6">
        <v>150</v>
      </c>
      <c r="C225" s="50">
        <v>0</v>
      </c>
      <c r="D225">
        <v>3</v>
      </c>
      <c r="E225">
        <v>20000</v>
      </c>
      <c r="F225">
        <v>0.24043204448457947</v>
      </c>
      <c r="G225">
        <v>0</v>
      </c>
      <c r="H225">
        <f t="shared" si="2"/>
        <v>0.24043204448457947</v>
      </c>
      <c r="I225">
        <f t="shared" si="3"/>
        <v>200.36003707048292</v>
      </c>
      <c r="K225" s="6">
        <v>204.429</v>
      </c>
      <c r="L225" s="2">
        <f t="shared" si="4"/>
        <v>-1.9904039688679598E-2</v>
      </c>
    </row>
    <row r="226" spans="1:12" x14ac:dyDescent="0.25">
      <c r="A226" s="6" t="s">
        <v>437</v>
      </c>
      <c r="B226" s="6">
        <v>50</v>
      </c>
      <c r="C226" s="50">
        <v>0.25</v>
      </c>
      <c r="D226">
        <v>3</v>
      </c>
      <c r="E226">
        <v>20000</v>
      </c>
      <c r="F226">
        <v>9.9087248648105031E-2</v>
      </c>
      <c r="G226">
        <v>0.15090299999999998</v>
      </c>
      <c r="H226">
        <f t="shared" si="2"/>
        <v>0.24999024864810501</v>
      </c>
      <c r="I226">
        <f t="shared" si="3"/>
        <v>208.32520720675419</v>
      </c>
      <c r="K226" s="6">
        <v>214.99799999999999</v>
      </c>
      <c r="L226" s="2">
        <f t="shared" si="4"/>
        <v>-3.1036534261927096E-2</v>
      </c>
    </row>
    <row r="227" spans="1:12" x14ac:dyDescent="0.25">
      <c r="A227" s="6" t="s">
        <v>437</v>
      </c>
      <c r="B227" s="6">
        <v>100</v>
      </c>
      <c r="C227" s="50">
        <v>0.25</v>
      </c>
      <c r="D227">
        <v>3</v>
      </c>
      <c r="E227">
        <v>20000</v>
      </c>
      <c r="F227">
        <v>0.16975964656634226</v>
      </c>
      <c r="G227">
        <v>0.30180599999999996</v>
      </c>
      <c r="H227">
        <f t="shared" si="2"/>
        <v>0.47156564656634226</v>
      </c>
      <c r="I227">
        <f t="shared" si="3"/>
        <v>392.97137213861856</v>
      </c>
      <c r="K227" s="6">
        <v>407.42200000000003</v>
      </c>
      <c r="L227" s="2">
        <f t="shared" si="4"/>
        <v>-3.5468452517000704E-2</v>
      </c>
    </row>
    <row r="228" spans="1:12" x14ac:dyDescent="0.25">
      <c r="A228" s="6" t="s">
        <v>437</v>
      </c>
      <c r="B228" s="6">
        <v>150</v>
      </c>
      <c r="C228" s="50">
        <v>0.25</v>
      </c>
      <c r="D228">
        <v>3</v>
      </c>
      <c r="E228">
        <v>20000</v>
      </c>
      <c r="F228">
        <v>0.24043204448457947</v>
      </c>
      <c r="G228">
        <v>0.45270899999999992</v>
      </c>
      <c r="H228">
        <f t="shared" si="2"/>
        <v>0.69314104448457936</v>
      </c>
      <c r="I228">
        <f t="shared" si="3"/>
        <v>577.61753707048274</v>
      </c>
      <c r="K228" s="6">
        <v>595.67899999999997</v>
      </c>
      <c r="L228" s="2">
        <f t="shared" si="4"/>
        <v>-3.0320798499724244E-2</v>
      </c>
    </row>
    <row r="229" spans="1:12" x14ac:dyDescent="0.25">
      <c r="A229" s="6" t="s">
        <v>437</v>
      </c>
      <c r="B229" s="6">
        <v>50</v>
      </c>
      <c r="C229" s="50">
        <v>0.5</v>
      </c>
      <c r="D229">
        <v>3</v>
      </c>
      <c r="E229">
        <v>20000</v>
      </c>
      <c r="F229">
        <v>9.9087248648105031E-2</v>
      </c>
      <c r="G229">
        <v>0.30180599999999996</v>
      </c>
      <c r="H229">
        <f t="shared" si="2"/>
        <v>0.40089324864810499</v>
      </c>
      <c r="I229">
        <f t="shared" si="3"/>
        <v>334.07770720675416</v>
      </c>
      <c r="K229" s="6">
        <v>346.233</v>
      </c>
      <c r="L229" s="2">
        <f t="shared" si="4"/>
        <v>-3.5107262430923214E-2</v>
      </c>
    </row>
    <row r="230" spans="1:12" x14ac:dyDescent="0.25">
      <c r="A230" s="6" t="s">
        <v>437</v>
      </c>
      <c r="B230" s="6">
        <v>100</v>
      </c>
      <c r="C230" s="50">
        <v>0.5</v>
      </c>
      <c r="D230">
        <v>3</v>
      </c>
      <c r="E230">
        <v>20000</v>
      </c>
      <c r="F230">
        <v>0.16975964656634226</v>
      </c>
      <c r="G230">
        <v>0.60361199999999993</v>
      </c>
      <c r="H230">
        <f t="shared" si="2"/>
        <v>0.77337164656634216</v>
      </c>
      <c r="I230">
        <f t="shared" si="3"/>
        <v>644.47637213861856</v>
      </c>
      <c r="K230" s="6">
        <v>665.29200000000003</v>
      </c>
      <c r="L230" s="2">
        <f t="shared" si="4"/>
        <v>-3.128795756056213E-2</v>
      </c>
    </row>
    <row r="231" spans="1:12" x14ac:dyDescent="0.25">
      <c r="A231" s="6" t="s">
        <v>437</v>
      </c>
      <c r="B231" s="6">
        <v>150</v>
      </c>
      <c r="C231" s="50">
        <v>0.5</v>
      </c>
      <c r="D231">
        <v>3</v>
      </c>
      <c r="E231">
        <v>20000</v>
      </c>
      <c r="F231">
        <v>0.24043204448457947</v>
      </c>
      <c r="G231">
        <v>0.90541799999999983</v>
      </c>
      <c r="H231">
        <f t="shared" si="2"/>
        <v>1.1458500444845794</v>
      </c>
      <c r="I231">
        <f t="shared" si="3"/>
        <v>954.8750370704829</v>
      </c>
      <c r="K231" s="6">
        <v>972.75599999999997</v>
      </c>
      <c r="L231" s="2">
        <f t="shared" si="4"/>
        <v>-1.8381755475696981E-2</v>
      </c>
    </row>
    <row r="232" spans="1:12" x14ac:dyDescent="0.25">
      <c r="A232" s="6" t="s">
        <v>437</v>
      </c>
      <c r="B232" s="6">
        <v>50</v>
      </c>
      <c r="C232" s="50">
        <v>1</v>
      </c>
      <c r="D232">
        <v>3</v>
      </c>
      <c r="E232">
        <v>20000</v>
      </c>
      <c r="F232">
        <v>9.9087248648105031E-2</v>
      </c>
      <c r="G232">
        <v>0.60361199999999993</v>
      </c>
      <c r="H232">
        <f t="shared" si="2"/>
        <v>0.70269924864810496</v>
      </c>
      <c r="I232">
        <f t="shared" si="3"/>
        <v>585.58270720675409</v>
      </c>
      <c r="K232" s="6">
        <v>602.12</v>
      </c>
      <c r="L232" s="2">
        <f t="shared" si="4"/>
        <v>-2.7465111262283126E-2</v>
      </c>
    </row>
    <row r="233" spans="1:12" x14ac:dyDescent="0.25">
      <c r="A233" s="6" t="s">
        <v>437</v>
      </c>
      <c r="B233" s="6">
        <v>100</v>
      </c>
      <c r="C233" s="50">
        <v>1</v>
      </c>
      <c r="D233">
        <v>3</v>
      </c>
      <c r="E233">
        <v>20000</v>
      </c>
      <c r="F233">
        <v>0.16975964656634226</v>
      </c>
      <c r="G233">
        <v>1.2072239999999999</v>
      </c>
      <c r="H233">
        <f t="shared" si="2"/>
        <v>1.3769836465663421</v>
      </c>
      <c r="I233">
        <f t="shared" si="3"/>
        <v>1147.4863721386184</v>
      </c>
      <c r="K233" s="6">
        <v>1162.9169999999999</v>
      </c>
      <c r="L233" s="2">
        <f t="shared" si="4"/>
        <v>-1.3268898693012066E-2</v>
      </c>
    </row>
    <row r="234" spans="1:12" x14ac:dyDescent="0.25">
      <c r="A234" s="6" t="s">
        <v>437</v>
      </c>
      <c r="B234" s="6">
        <v>150</v>
      </c>
      <c r="C234" s="50">
        <v>1</v>
      </c>
      <c r="D234">
        <v>3</v>
      </c>
      <c r="E234">
        <v>20000</v>
      </c>
      <c r="F234">
        <v>0.24043204448457947</v>
      </c>
      <c r="G234">
        <v>1.8108359999999997</v>
      </c>
      <c r="H234">
        <f t="shared" si="2"/>
        <v>2.051268044484579</v>
      </c>
      <c r="I234">
        <f t="shared" si="3"/>
        <v>1709.3900370704828</v>
      </c>
      <c r="K234" s="6">
        <v>1688.8579999999999</v>
      </c>
      <c r="L234" s="2">
        <f t="shared" si="4"/>
        <v>1.2157349564310804E-2</v>
      </c>
    </row>
    <row r="235" spans="1:12" x14ac:dyDescent="0.25">
      <c r="A235" s="6" t="s">
        <v>438</v>
      </c>
      <c r="B235" s="6">
        <v>0</v>
      </c>
      <c r="C235" s="50">
        <v>0</v>
      </c>
      <c r="D235">
        <v>4</v>
      </c>
      <c r="E235">
        <v>10000</v>
      </c>
      <c r="F235">
        <v>2.4990180592403669E-2</v>
      </c>
      <c r="G235">
        <v>0</v>
      </c>
      <c r="H235">
        <f t="shared" si="2"/>
        <v>2.4990180592403669E-2</v>
      </c>
      <c r="I235">
        <f t="shared" si="3"/>
        <v>20.825150493669724</v>
      </c>
      <c r="K235" s="6">
        <v>19.632999999999999</v>
      </c>
      <c r="L235" s="2">
        <f t="shared" si="4"/>
        <v>6.0721769147340066E-2</v>
      </c>
    </row>
    <row r="236" spans="1:12" x14ac:dyDescent="0.25">
      <c r="A236" s="6" t="s">
        <v>438</v>
      </c>
      <c r="B236" s="6">
        <v>50</v>
      </c>
      <c r="C236" s="50">
        <v>0</v>
      </c>
      <c r="D236">
        <v>4</v>
      </c>
      <c r="E236">
        <v>10000</v>
      </c>
      <c r="F236">
        <v>6.5075463197337188E-2</v>
      </c>
      <c r="G236">
        <v>0</v>
      </c>
      <c r="H236">
        <f t="shared" si="2"/>
        <v>6.5075463197337188E-2</v>
      </c>
      <c r="I236">
        <f t="shared" si="3"/>
        <v>54.22955266444766</v>
      </c>
      <c r="K236" s="6">
        <v>53.41</v>
      </c>
      <c r="L236" s="2">
        <f t="shared" si="4"/>
        <v>1.5344554661068432E-2</v>
      </c>
    </row>
    <row r="237" spans="1:12" x14ac:dyDescent="0.25">
      <c r="A237" s="6" t="s">
        <v>438</v>
      </c>
      <c r="B237" s="6">
        <v>100</v>
      </c>
      <c r="C237" s="50">
        <v>0</v>
      </c>
      <c r="D237">
        <v>4</v>
      </c>
      <c r="E237">
        <v>10000</v>
      </c>
      <c r="F237">
        <v>0.10516074580227072</v>
      </c>
      <c r="G237">
        <v>0</v>
      </c>
      <c r="H237">
        <f t="shared" si="2"/>
        <v>0.10516074580227072</v>
      </c>
      <c r="I237">
        <f t="shared" si="3"/>
        <v>87.633954835225609</v>
      </c>
      <c r="K237" s="6">
        <v>86.944000000000003</v>
      </c>
      <c r="L237" s="2">
        <f t="shared" si="4"/>
        <v>7.9356233348546468E-3</v>
      </c>
    </row>
    <row r="238" spans="1:12" x14ac:dyDescent="0.25">
      <c r="A238" s="6" t="s">
        <v>438</v>
      </c>
      <c r="B238" s="6">
        <v>150</v>
      </c>
      <c r="C238" s="50">
        <v>0</v>
      </c>
      <c r="D238">
        <v>4</v>
      </c>
      <c r="E238">
        <v>10000</v>
      </c>
      <c r="F238">
        <v>0.14524602840720424</v>
      </c>
      <c r="G238">
        <v>0</v>
      </c>
      <c r="H238">
        <f t="shared" si="2"/>
        <v>0.14524602840720424</v>
      </c>
      <c r="I238">
        <f t="shared" si="3"/>
        <v>121.03835700600355</v>
      </c>
      <c r="K238" s="6">
        <v>120.48</v>
      </c>
      <c r="L238" s="2">
        <f t="shared" si="4"/>
        <v>4.6344373008262441E-3</v>
      </c>
    </row>
    <row r="239" spans="1:12" x14ac:dyDescent="0.25">
      <c r="A239" s="6" t="s">
        <v>438</v>
      </c>
      <c r="B239" s="6">
        <v>50</v>
      </c>
      <c r="C239" s="50">
        <v>0.25</v>
      </c>
      <c r="D239">
        <v>4</v>
      </c>
      <c r="E239">
        <v>10000</v>
      </c>
      <c r="F239">
        <v>6.5075463197337188E-2</v>
      </c>
      <c r="G239">
        <v>8.2585237499999978E-2</v>
      </c>
      <c r="H239">
        <f t="shared" ref="H239:H260" si="5">$F239+$G239</f>
        <v>0.14766070069733717</v>
      </c>
      <c r="I239">
        <f t="shared" ref="I239:I260" si="6">1000*$H239/1.2</f>
        <v>123.05058391444766</v>
      </c>
      <c r="K239" s="6">
        <v>115.80500000000001</v>
      </c>
      <c r="L239" s="2">
        <f t="shared" si="4"/>
        <v>6.2567107762597995E-2</v>
      </c>
    </row>
    <row r="240" spans="1:12" x14ac:dyDescent="0.25">
      <c r="A240" s="6" t="s">
        <v>438</v>
      </c>
      <c r="B240" s="6">
        <v>100</v>
      </c>
      <c r="C240" s="50">
        <v>0.25</v>
      </c>
      <c r="D240">
        <v>4</v>
      </c>
      <c r="E240">
        <v>10000</v>
      </c>
      <c r="F240">
        <v>0.10516074580227072</v>
      </c>
      <c r="G240">
        <v>0.16517047499999996</v>
      </c>
      <c r="H240">
        <f t="shared" si="5"/>
        <v>0.27033122080227068</v>
      </c>
      <c r="I240">
        <f t="shared" si="6"/>
        <v>225.27601733522556</v>
      </c>
      <c r="K240" s="6">
        <v>211.869</v>
      </c>
      <c r="L240" s="2">
        <f t="shared" si="4"/>
        <v>6.3279749917286354E-2</v>
      </c>
    </row>
    <row r="241" spans="1:12" x14ac:dyDescent="0.25">
      <c r="A241" s="6" t="s">
        <v>438</v>
      </c>
      <c r="B241" s="6">
        <v>150</v>
      </c>
      <c r="C241" s="50">
        <v>0.25</v>
      </c>
      <c r="D241">
        <v>4</v>
      </c>
      <c r="E241">
        <v>10000</v>
      </c>
      <c r="F241">
        <v>0.14524602840720424</v>
      </c>
      <c r="G241">
        <v>0.24775571249999997</v>
      </c>
      <c r="H241">
        <f t="shared" si="5"/>
        <v>0.39300174090720419</v>
      </c>
      <c r="I241">
        <f t="shared" si="6"/>
        <v>327.50145075600352</v>
      </c>
      <c r="K241" s="6">
        <v>306.81799999999998</v>
      </c>
      <c r="L241" s="2">
        <f t="shared" si="4"/>
        <v>6.7412768338244611E-2</v>
      </c>
    </row>
    <row r="242" spans="1:12" x14ac:dyDescent="0.25">
      <c r="A242" s="6" t="s">
        <v>438</v>
      </c>
      <c r="B242" s="6">
        <v>50</v>
      </c>
      <c r="C242" s="50">
        <v>0.5</v>
      </c>
      <c r="D242">
        <v>4</v>
      </c>
      <c r="E242">
        <v>10000</v>
      </c>
      <c r="F242">
        <v>6.5075463197337188E-2</v>
      </c>
      <c r="G242">
        <v>0.16517047499999996</v>
      </c>
      <c r="H242">
        <f t="shared" si="5"/>
        <v>0.23024593819733713</v>
      </c>
      <c r="I242">
        <f t="shared" si="6"/>
        <v>191.8716151644476</v>
      </c>
      <c r="K242" s="6">
        <v>178.256</v>
      </c>
      <c r="L242" s="2">
        <f t="shared" si="4"/>
        <v>7.6382366733504625E-2</v>
      </c>
    </row>
    <row r="243" spans="1:12" x14ac:dyDescent="0.25">
      <c r="A243" s="6" t="s">
        <v>438</v>
      </c>
      <c r="B243" s="6">
        <v>100</v>
      </c>
      <c r="C243" s="50">
        <v>0.5</v>
      </c>
      <c r="D243">
        <v>4</v>
      </c>
      <c r="E243">
        <v>10000</v>
      </c>
      <c r="F243">
        <v>0.10516074580227072</v>
      </c>
      <c r="G243">
        <v>0.33034094999999991</v>
      </c>
      <c r="H243">
        <f t="shared" si="5"/>
        <v>0.43550169580227061</v>
      </c>
      <c r="I243">
        <f t="shared" si="6"/>
        <v>362.91807983522551</v>
      </c>
      <c r="K243" s="6">
        <v>335.50599999999997</v>
      </c>
      <c r="L243" s="2">
        <f t="shared" si="4"/>
        <v>8.1703694822821582E-2</v>
      </c>
    </row>
    <row r="244" spans="1:12" x14ac:dyDescent="0.25">
      <c r="A244" s="6" t="s">
        <v>438</v>
      </c>
      <c r="B244" s="6">
        <v>150</v>
      </c>
      <c r="C244" s="50">
        <v>0.5</v>
      </c>
      <c r="D244">
        <v>4</v>
      </c>
      <c r="E244">
        <v>10000</v>
      </c>
      <c r="F244">
        <v>0.14524602840720424</v>
      </c>
      <c r="G244">
        <v>0.49551142499999995</v>
      </c>
      <c r="H244">
        <f t="shared" si="5"/>
        <v>0.64075745340720425</v>
      </c>
      <c r="I244">
        <f t="shared" si="6"/>
        <v>533.96454450600356</v>
      </c>
      <c r="K244" s="6">
        <v>490</v>
      </c>
      <c r="L244" s="2">
        <f t="shared" si="4"/>
        <v>8.9723560216333764E-2</v>
      </c>
    </row>
    <row r="245" spans="1:12" x14ac:dyDescent="0.25">
      <c r="A245" s="6" t="s">
        <v>438</v>
      </c>
      <c r="B245" s="6">
        <v>50</v>
      </c>
      <c r="C245" s="50">
        <v>1</v>
      </c>
      <c r="D245">
        <v>4</v>
      </c>
      <c r="E245">
        <v>10000</v>
      </c>
      <c r="F245">
        <v>6.5075463197337188E-2</v>
      </c>
      <c r="G245">
        <v>0.33034094999999991</v>
      </c>
      <c r="H245">
        <f t="shared" si="5"/>
        <v>0.39541641319733711</v>
      </c>
      <c r="I245">
        <f t="shared" si="6"/>
        <v>329.51367766444764</v>
      </c>
      <c r="K245" s="6">
        <v>303.51400000000001</v>
      </c>
      <c r="L245" s="2">
        <f t="shared" si="4"/>
        <v>8.5662202285389233E-2</v>
      </c>
    </row>
    <row r="246" spans="1:12" x14ac:dyDescent="0.25">
      <c r="A246" s="6" t="s">
        <v>438</v>
      </c>
      <c r="B246" s="6">
        <v>100</v>
      </c>
      <c r="C246" s="50">
        <v>1</v>
      </c>
      <c r="D246">
        <v>4</v>
      </c>
      <c r="E246">
        <v>10000</v>
      </c>
      <c r="F246">
        <v>0.10516074580227072</v>
      </c>
      <c r="G246">
        <v>0.66068189999999982</v>
      </c>
      <c r="H246">
        <f t="shared" si="5"/>
        <v>0.76584264580227057</v>
      </c>
      <c r="I246">
        <f t="shared" si="6"/>
        <v>638.20220483522553</v>
      </c>
      <c r="K246" s="6">
        <v>582.49699999999996</v>
      </c>
      <c r="L246" s="2">
        <f t="shared" si="4"/>
        <v>9.5631745460020623E-2</v>
      </c>
    </row>
    <row r="247" spans="1:12" x14ac:dyDescent="0.25">
      <c r="A247" s="6" t="s">
        <v>438</v>
      </c>
      <c r="B247" s="6">
        <v>150</v>
      </c>
      <c r="C247" s="50">
        <v>1</v>
      </c>
      <c r="D247">
        <v>4</v>
      </c>
      <c r="E247">
        <v>10000</v>
      </c>
      <c r="F247">
        <v>0.14524602840720424</v>
      </c>
      <c r="G247">
        <v>0.9910228499999999</v>
      </c>
      <c r="H247">
        <f t="shared" si="5"/>
        <v>1.1362688784072041</v>
      </c>
      <c r="I247">
        <f t="shared" si="6"/>
        <v>946.89073200600342</v>
      </c>
      <c r="K247" s="6">
        <v>852.31500000000005</v>
      </c>
      <c r="L247" s="2">
        <f t="shared" ref="L247:L260" si="7">$I247/$K247-1</f>
        <v>0.11096335510463073</v>
      </c>
    </row>
    <row r="248" spans="1:12" x14ac:dyDescent="0.25">
      <c r="A248" s="6" t="s">
        <v>439</v>
      </c>
      <c r="B248" s="6">
        <v>0</v>
      </c>
      <c r="C248" s="50">
        <v>0</v>
      </c>
      <c r="D248">
        <v>4</v>
      </c>
      <c r="E248">
        <v>20000</v>
      </c>
      <c r="F248">
        <v>2.8414850729867786E-2</v>
      </c>
      <c r="G248">
        <v>0</v>
      </c>
      <c r="H248">
        <f t="shared" si="5"/>
        <v>2.8414850729867786E-2</v>
      </c>
      <c r="I248">
        <f t="shared" si="6"/>
        <v>23.679042274889824</v>
      </c>
      <c r="K248" s="6">
        <v>20.228000000000002</v>
      </c>
      <c r="L248" s="2">
        <f t="shared" si="7"/>
        <v>0.17060719175844485</v>
      </c>
    </row>
    <row r="249" spans="1:12" x14ac:dyDescent="0.25">
      <c r="A249" s="6" t="s">
        <v>439</v>
      </c>
      <c r="B249" s="6">
        <v>50</v>
      </c>
      <c r="C249" s="50">
        <v>0</v>
      </c>
      <c r="D249">
        <v>4</v>
      </c>
      <c r="E249">
        <v>20000</v>
      </c>
      <c r="F249">
        <v>9.9087248648105031E-2</v>
      </c>
      <c r="G249">
        <v>0</v>
      </c>
      <c r="H249">
        <f t="shared" si="5"/>
        <v>9.9087248648105031E-2</v>
      </c>
      <c r="I249">
        <f t="shared" si="6"/>
        <v>82.572707206754203</v>
      </c>
      <c r="K249" s="6">
        <v>76.394000000000005</v>
      </c>
      <c r="L249" s="2">
        <f t="shared" si="7"/>
        <v>8.0879482770298772E-2</v>
      </c>
    </row>
    <row r="250" spans="1:12" x14ac:dyDescent="0.25">
      <c r="A250" s="6" t="s">
        <v>439</v>
      </c>
      <c r="B250" s="6">
        <v>100</v>
      </c>
      <c r="C250" s="50">
        <v>0</v>
      </c>
      <c r="D250">
        <v>4</v>
      </c>
      <c r="E250">
        <v>20000</v>
      </c>
      <c r="F250">
        <v>0.16975964656634226</v>
      </c>
      <c r="G250">
        <v>0</v>
      </c>
      <c r="H250">
        <f t="shared" si="5"/>
        <v>0.16975964656634226</v>
      </c>
      <c r="I250">
        <f t="shared" si="6"/>
        <v>141.46637213861857</v>
      </c>
      <c r="K250" s="6">
        <v>132.16300000000001</v>
      </c>
      <c r="L250" s="2">
        <f t="shared" si="7"/>
        <v>7.0393167063539375E-2</v>
      </c>
    </row>
    <row r="251" spans="1:12" x14ac:dyDescent="0.25">
      <c r="A251" s="6" t="s">
        <v>439</v>
      </c>
      <c r="B251" s="6">
        <v>150</v>
      </c>
      <c r="C251" s="50">
        <v>0</v>
      </c>
      <c r="D251">
        <v>4</v>
      </c>
      <c r="E251">
        <v>20000</v>
      </c>
      <c r="F251">
        <v>0.24043204448457947</v>
      </c>
      <c r="G251">
        <v>0</v>
      </c>
      <c r="H251">
        <f t="shared" si="5"/>
        <v>0.24043204448457947</v>
      </c>
      <c r="I251">
        <f t="shared" si="6"/>
        <v>200.36003707048292</v>
      </c>
      <c r="K251" s="6">
        <v>187.83500000000001</v>
      </c>
      <c r="L251" s="2">
        <f t="shared" si="7"/>
        <v>6.6681060880469101E-2</v>
      </c>
    </row>
    <row r="252" spans="1:12" x14ac:dyDescent="0.25">
      <c r="A252" s="6" t="s">
        <v>439</v>
      </c>
      <c r="B252" s="6">
        <v>50</v>
      </c>
      <c r="C252" s="50">
        <v>0.25</v>
      </c>
      <c r="D252">
        <v>4</v>
      </c>
      <c r="E252">
        <v>20000</v>
      </c>
      <c r="F252">
        <v>9.9087248648105031E-2</v>
      </c>
      <c r="G252">
        <v>0.16517047499999996</v>
      </c>
      <c r="H252">
        <f t="shared" si="5"/>
        <v>0.26425772364810496</v>
      </c>
      <c r="I252">
        <f t="shared" si="6"/>
        <v>220.21476970675414</v>
      </c>
      <c r="K252" s="6">
        <v>211.5</v>
      </c>
      <c r="L252" s="2">
        <f t="shared" si="7"/>
        <v>4.1204584901910923E-2</v>
      </c>
    </row>
    <row r="253" spans="1:12" x14ac:dyDescent="0.25">
      <c r="A253" s="6" t="s">
        <v>439</v>
      </c>
      <c r="B253" s="6">
        <v>100</v>
      </c>
      <c r="C253" s="50">
        <v>0.25</v>
      </c>
      <c r="D253">
        <v>4</v>
      </c>
      <c r="E253">
        <v>20000</v>
      </c>
      <c r="F253">
        <v>0.16975964656634226</v>
      </c>
      <c r="G253">
        <v>0.33034094999999991</v>
      </c>
      <c r="H253">
        <f t="shared" si="5"/>
        <v>0.5001005965663422</v>
      </c>
      <c r="I253">
        <f t="shared" si="6"/>
        <v>416.75049713861847</v>
      </c>
      <c r="K253" s="6">
        <v>400.21</v>
      </c>
      <c r="L253" s="2">
        <f t="shared" si="7"/>
        <v>4.1329544835507548E-2</v>
      </c>
    </row>
    <row r="254" spans="1:12" x14ac:dyDescent="0.25">
      <c r="A254" s="6" t="s">
        <v>439</v>
      </c>
      <c r="B254" s="6">
        <v>150</v>
      </c>
      <c r="C254" s="50">
        <v>0.25</v>
      </c>
      <c r="D254">
        <v>4</v>
      </c>
      <c r="E254">
        <v>20000</v>
      </c>
      <c r="F254">
        <v>0.24043204448457947</v>
      </c>
      <c r="G254">
        <v>0.49551142499999995</v>
      </c>
      <c r="H254">
        <f t="shared" si="5"/>
        <v>0.73594346948457945</v>
      </c>
      <c r="I254">
        <f t="shared" si="6"/>
        <v>613.28622457048289</v>
      </c>
      <c r="K254" s="6">
        <v>585.08100000000002</v>
      </c>
      <c r="L254" s="2">
        <f t="shared" si="7"/>
        <v>4.8207384226257366E-2</v>
      </c>
    </row>
    <row r="255" spans="1:12" x14ac:dyDescent="0.25">
      <c r="A255" s="6" t="s">
        <v>439</v>
      </c>
      <c r="B255" s="6">
        <v>50</v>
      </c>
      <c r="C255" s="50">
        <v>0.5</v>
      </c>
      <c r="D255">
        <v>4</v>
      </c>
      <c r="E255">
        <v>20000</v>
      </c>
      <c r="F255">
        <v>9.9087248648105031E-2</v>
      </c>
      <c r="G255">
        <v>0.33034094999999991</v>
      </c>
      <c r="H255">
        <f t="shared" si="5"/>
        <v>0.42942819864810494</v>
      </c>
      <c r="I255">
        <f t="shared" si="6"/>
        <v>357.85683220675418</v>
      </c>
      <c r="K255" s="6">
        <v>344.23500000000001</v>
      </c>
      <c r="L255" s="2">
        <f t="shared" si="7"/>
        <v>3.9571316707348592E-2</v>
      </c>
    </row>
    <row r="256" spans="1:12" x14ac:dyDescent="0.25">
      <c r="A256" s="6" t="s">
        <v>439</v>
      </c>
      <c r="B256" s="6">
        <v>100</v>
      </c>
      <c r="C256" s="50">
        <v>0.5</v>
      </c>
      <c r="D256">
        <v>4</v>
      </c>
      <c r="E256">
        <v>20000</v>
      </c>
      <c r="F256">
        <v>0.16975964656634226</v>
      </c>
      <c r="G256">
        <v>0.66068189999999982</v>
      </c>
      <c r="H256">
        <f t="shared" si="5"/>
        <v>0.83044154656634206</v>
      </c>
      <c r="I256">
        <f t="shared" si="6"/>
        <v>692.03462213861837</v>
      </c>
      <c r="K256" s="6">
        <v>661.44500000000005</v>
      </c>
      <c r="L256" s="2">
        <f t="shared" si="7"/>
        <v>4.6246660173738352E-2</v>
      </c>
    </row>
    <row r="257" spans="1:16" x14ac:dyDescent="0.25">
      <c r="A257" s="6" t="s">
        <v>439</v>
      </c>
      <c r="B257" s="6">
        <v>150</v>
      </c>
      <c r="C257" s="50">
        <v>0.5</v>
      </c>
      <c r="D257">
        <v>4</v>
      </c>
      <c r="E257">
        <v>20000</v>
      </c>
      <c r="F257">
        <v>0.24043204448457947</v>
      </c>
      <c r="G257">
        <v>0.9910228499999999</v>
      </c>
      <c r="H257">
        <f t="shared" si="5"/>
        <v>1.2314548944845793</v>
      </c>
      <c r="I257">
        <f t="shared" si="6"/>
        <v>1026.212412070483</v>
      </c>
      <c r="K257" s="6">
        <v>967.11699999999996</v>
      </c>
      <c r="L257" s="2">
        <f t="shared" si="7"/>
        <v>6.1104718529901847E-2</v>
      </c>
    </row>
    <row r="258" spans="1:16" x14ac:dyDescent="0.25">
      <c r="A258" s="6" t="s">
        <v>439</v>
      </c>
      <c r="B258" s="6">
        <v>50</v>
      </c>
      <c r="C258" s="50">
        <v>1</v>
      </c>
      <c r="D258">
        <v>4</v>
      </c>
      <c r="E258">
        <v>20000</v>
      </c>
      <c r="F258">
        <v>9.9087248648105031E-2</v>
      </c>
      <c r="G258">
        <v>0.66068189999999982</v>
      </c>
      <c r="H258">
        <f t="shared" si="5"/>
        <v>0.75976914864810485</v>
      </c>
      <c r="I258">
        <f t="shared" si="6"/>
        <v>633.14095720675414</v>
      </c>
      <c r="K258" s="6">
        <v>605.66600000000005</v>
      </c>
      <c r="L258" s="2">
        <f t="shared" si="7"/>
        <v>4.5363215380678668E-2</v>
      </c>
    </row>
    <row r="259" spans="1:16" x14ac:dyDescent="0.25">
      <c r="A259" s="6" t="s">
        <v>439</v>
      </c>
      <c r="B259" s="6">
        <v>100</v>
      </c>
      <c r="C259" s="50">
        <v>1</v>
      </c>
      <c r="D259">
        <v>4</v>
      </c>
      <c r="E259">
        <v>20000</v>
      </c>
      <c r="F259">
        <v>0.16975964656634226</v>
      </c>
      <c r="G259">
        <v>1.3213637999999996</v>
      </c>
      <c r="H259">
        <f t="shared" si="5"/>
        <v>1.4911234465663419</v>
      </c>
      <c r="I259">
        <f t="shared" si="6"/>
        <v>1242.6028721386183</v>
      </c>
      <c r="K259" s="6">
        <v>1170.0509999999999</v>
      </c>
      <c r="L259" s="2">
        <f t="shared" si="7"/>
        <v>6.2007444238429299E-2</v>
      </c>
    </row>
    <row r="260" spans="1:16" x14ac:dyDescent="0.25">
      <c r="A260" s="6" t="s">
        <v>439</v>
      </c>
      <c r="B260" s="6">
        <v>150</v>
      </c>
      <c r="C260" s="50">
        <v>1</v>
      </c>
      <c r="D260">
        <v>4</v>
      </c>
      <c r="E260">
        <v>20000</v>
      </c>
      <c r="F260">
        <v>0.24043204448457947</v>
      </c>
      <c r="G260">
        <v>1.9820456999999998</v>
      </c>
      <c r="H260">
        <f t="shared" si="5"/>
        <v>2.2224777444845794</v>
      </c>
      <c r="I260">
        <f t="shared" si="6"/>
        <v>1852.0647870704829</v>
      </c>
      <c r="K260" s="6">
        <v>1698.5830000000001</v>
      </c>
      <c r="L260" s="2">
        <f t="shared" si="7"/>
        <v>9.0358720810512549E-2</v>
      </c>
    </row>
    <row r="261" spans="1:16" x14ac:dyDescent="0.25">
      <c r="A261" s="6"/>
      <c r="B261" s="6"/>
      <c r="C261" s="6"/>
      <c r="L261" s="6"/>
      <c r="M261" s="2"/>
    </row>
    <row r="262" spans="1:16" x14ac:dyDescent="0.25">
      <c r="B262" s="6"/>
    </row>
    <row r="263" spans="1:16" ht="10.5" customHeight="1" x14ac:dyDescent="0.25"/>
    <row r="264" spans="1:16" s="22" customFormat="1" ht="38.25" customHeight="1" x14ac:dyDescent="0.25">
      <c r="A264" s="22" t="s">
        <v>446</v>
      </c>
      <c r="B264" s="22" t="s">
        <v>35</v>
      </c>
      <c r="C264" s="22" t="s">
        <v>103</v>
      </c>
      <c r="D264" s="22" t="s">
        <v>13</v>
      </c>
      <c r="E264" s="22" t="s">
        <v>108</v>
      </c>
      <c r="F264" s="47" t="s">
        <v>14</v>
      </c>
      <c r="G264" s="22" t="s">
        <v>47</v>
      </c>
      <c r="H264" s="22" t="s">
        <v>13</v>
      </c>
      <c r="I264" s="22" t="s">
        <v>108</v>
      </c>
      <c r="J264" s="47" t="s">
        <v>14</v>
      </c>
      <c r="K264" s="22" t="s">
        <v>47</v>
      </c>
      <c r="L264" s="22" t="s">
        <v>453</v>
      </c>
      <c r="M264" s="22" t="s">
        <v>452</v>
      </c>
      <c r="O264" s="22" t="s">
        <v>451</v>
      </c>
      <c r="P264" s="22" t="s">
        <v>454</v>
      </c>
    </row>
    <row r="265" spans="1:16" s="6" customFormat="1" x14ac:dyDescent="0.25">
      <c r="A265" s="6" t="s">
        <v>447</v>
      </c>
      <c r="B265" s="6">
        <v>32</v>
      </c>
      <c r="C265" s="50">
        <v>0</v>
      </c>
      <c r="D265" s="6">
        <v>50</v>
      </c>
      <c r="E265" s="50">
        <v>0</v>
      </c>
      <c r="F265" s="6">
        <v>18</v>
      </c>
      <c r="G265" s="50">
        <v>1</v>
      </c>
      <c r="H265" s="6">
        <v>50</v>
      </c>
      <c r="I265" s="50">
        <v>0</v>
      </c>
      <c r="J265" s="6">
        <v>18</v>
      </c>
      <c r="K265" s="50">
        <v>0</v>
      </c>
      <c r="L265" s="6">
        <v>9.5999999999999992E-3</v>
      </c>
      <c r="M265" s="6">
        <f>($L265+$D$308)*1000/1.2</f>
        <v>18.929750828713821</v>
      </c>
      <c r="O265" s="6">
        <v>17</v>
      </c>
      <c r="P265" s="51">
        <f t="shared" ref="P265:P276" si="8">M265/O265-1</f>
        <v>0.11351475463022487</v>
      </c>
    </row>
    <row r="266" spans="1:16" s="6" customFormat="1" x14ac:dyDescent="0.25">
      <c r="A266" s="6" t="s">
        <v>447</v>
      </c>
      <c r="B266" s="6">
        <v>32</v>
      </c>
      <c r="C266" s="50">
        <v>0</v>
      </c>
      <c r="D266" s="6">
        <v>100</v>
      </c>
      <c r="E266" s="50">
        <v>0</v>
      </c>
      <c r="F266" s="6">
        <v>18</v>
      </c>
      <c r="G266" s="50">
        <v>1</v>
      </c>
      <c r="H266" s="6">
        <v>100</v>
      </c>
      <c r="I266" s="50">
        <v>0</v>
      </c>
      <c r="J266" s="6">
        <v>18</v>
      </c>
      <c r="K266" s="50">
        <v>0</v>
      </c>
      <c r="L266" s="6">
        <v>9.5049504950495047E-3</v>
      </c>
      <c r="M266" s="6">
        <f>($L266+$D$309)*1000/1.2</f>
        <v>22.259996819759348</v>
      </c>
      <c r="O266" s="6">
        <v>21</v>
      </c>
      <c r="P266" s="51">
        <f t="shared" si="8"/>
        <v>5.9999848559968871E-2</v>
      </c>
    </row>
    <row r="267" spans="1:16" s="6" customFormat="1" x14ac:dyDescent="0.25">
      <c r="A267" s="6" t="s">
        <v>447</v>
      </c>
      <c r="B267" s="6">
        <v>32</v>
      </c>
      <c r="C267" s="50">
        <v>0</v>
      </c>
      <c r="D267" s="6">
        <v>200</v>
      </c>
      <c r="E267" s="50">
        <v>0</v>
      </c>
      <c r="F267" s="6">
        <v>18</v>
      </c>
      <c r="G267" s="50">
        <v>1</v>
      </c>
      <c r="H267" s="6">
        <v>200</v>
      </c>
      <c r="I267" s="50">
        <v>0</v>
      </c>
      <c r="J267" s="6">
        <v>18</v>
      </c>
      <c r="K267" s="50">
        <v>0</v>
      </c>
      <c r="L267" s="6">
        <v>4.7761194029850747E-3</v>
      </c>
      <c r="M267" s="6">
        <f>($L267+$D$310)*1000/1.2</f>
        <v>25.138212066714193</v>
      </c>
      <c r="O267" s="6">
        <v>26</v>
      </c>
      <c r="P267" s="51">
        <f t="shared" si="8"/>
        <v>-3.3145689741761797E-2</v>
      </c>
    </row>
    <row r="268" spans="1:16" s="6" customFormat="1" x14ac:dyDescent="0.25">
      <c r="A268" s="6" t="s">
        <v>447</v>
      </c>
      <c r="B268" s="6">
        <v>32</v>
      </c>
      <c r="C268" s="50">
        <v>0</v>
      </c>
      <c r="D268" s="6">
        <v>50</v>
      </c>
      <c r="E268" s="50">
        <v>0.25</v>
      </c>
      <c r="F268" s="6">
        <v>18</v>
      </c>
      <c r="G268" s="50">
        <v>1</v>
      </c>
      <c r="H268" s="6">
        <v>50</v>
      </c>
      <c r="I268" s="50">
        <v>0.25</v>
      </c>
      <c r="J268" s="6">
        <v>18</v>
      </c>
      <c r="K268" s="50">
        <v>0</v>
      </c>
      <c r="L268" s="6">
        <v>2.8037759999999995E-2</v>
      </c>
      <c r="M268" s="6">
        <f>($L268+$D$308)*1000/1.2</f>
        <v>34.294550828713817</v>
      </c>
      <c r="O268" s="6">
        <v>35</v>
      </c>
      <c r="P268" s="51">
        <f t="shared" si="8"/>
        <v>-2.015569060817668E-2</v>
      </c>
    </row>
    <row r="269" spans="1:16" s="6" customFormat="1" x14ac:dyDescent="0.25">
      <c r="A269" s="6" t="s">
        <v>447</v>
      </c>
      <c r="B269" s="6">
        <v>32</v>
      </c>
      <c r="C269" s="50">
        <v>0</v>
      </c>
      <c r="D269" s="6">
        <v>100</v>
      </c>
      <c r="E269" s="50">
        <v>0.25</v>
      </c>
      <c r="F269" s="6">
        <v>18</v>
      </c>
      <c r="G269" s="50">
        <v>1</v>
      </c>
      <c r="H269" s="6">
        <v>100</v>
      </c>
      <c r="I269" s="50">
        <v>0.25</v>
      </c>
      <c r="J269" s="6">
        <v>18</v>
      </c>
      <c r="K269" s="50">
        <v>0</v>
      </c>
      <c r="L269" s="6">
        <v>4.6380470495049501E-2</v>
      </c>
      <c r="M269" s="6">
        <f>($L269+$D$309)*1000/1.2</f>
        <v>52.989596819759342</v>
      </c>
      <c r="O269" s="6">
        <v>55</v>
      </c>
      <c r="P269" s="51">
        <f t="shared" si="8"/>
        <v>-3.6552785095284701E-2</v>
      </c>
    </row>
    <row r="270" spans="1:16" s="6" customFormat="1" x14ac:dyDescent="0.25">
      <c r="A270" s="6" t="s">
        <v>447</v>
      </c>
      <c r="B270" s="6">
        <v>32</v>
      </c>
      <c r="C270" s="50">
        <v>0</v>
      </c>
      <c r="D270" s="6">
        <v>200</v>
      </c>
      <c r="E270" s="50">
        <v>0.25</v>
      </c>
      <c r="F270" s="6">
        <v>18</v>
      </c>
      <c r="G270" s="50">
        <v>1</v>
      </c>
      <c r="H270" s="6">
        <v>200</v>
      </c>
      <c r="I270" s="50">
        <v>0.25</v>
      </c>
      <c r="J270" s="6">
        <v>18</v>
      </c>
      <c r="K270" s="50">
        <v>0</v>
      </c>
      <c r="L270" s="6">
        <v>7.8527159402985061E-2</v>
      </c>
      <c r="M270" s="6">
        <f>($L270+$D$310)*1000/1.2</f>
        <v>86.597412066714185</v>
      </c>
      <c r="O270" s="6">
        <v>92</v>
      </c>
      <c r="P270" s="51">
        <f t="shared" si="8"/>
        <v>-5.8723781883541437E-2</v>
      </c>
    </row>
    <row r="271" spans="1:16" s="6" customFormat="1" x14ac:dyDescent="0.25">
      <c r="A271" s="6" t="s">
        <v>447</v>
      </c>
      <c r="B271" s="6">
        <v>32</v>
      </c>
      <c r="C271" s="50">
        <v>0</v>
      </c>
      <c r="D271" s="6">
        <v>50</v>
      </c>
      <c r="E271" s="50">
        <v>0.5</v>
      </c>
      <c r="F271" s="6">
        <v>18</v>
      </c>
      <c r="G271" s="50">
        <v>1</v>
      </c>
      <c r="H271" s="6">
        <v>50</v>
      </c>
      <c r="I271" s="50">
        <v>0.5</v>
      </c>
      <c r="J271" s="6">
        <v>18</v>
      </c>
      <c r="K271" s="50">
        <v>0</v>
      </c>
      <c r="L271" s="6">
        <v>4.6475519999999992E-2</v>
      </c>
      <c r="M271" s="6">
        <f>($L271+$D$308)*1000/1.2</f>
        <v>49.659350828713819</v>
      </c>
      <c r="O271" s="6">
        <v>52</v>
      </c>
      <c r="P271" s="51">
        <f t="shared" si="8"/>
        <v>-4.5012484063195801E-2</v>
      </c>
    </row>
    <row r="272" spans="1:16" s="6" customFormat="1" x14ac:dyDescent="0.25">
      <c r="A272" s="6" t="s">
        <v>447</v>
      </c>
      <c r="B272" s="6">
        <v>32</v>
      </c>
      <c r="C272" s="50">
        <v>0</v>
      </c>
      <c r="D272" s="6">
        <v>100</v>
      </c>
      <c r="E272" s="50">
        <v>0.5</v>
      </c>
      <c r="F272" s="6">
        <v>18</v>
      </c>
      <c r="G272" s="50">
        <v>1</v>
      </c>
      <c r="H272" s="6">
        <v>100</v>
      </c>
      <c r="I272" s="50">
        <v>0.5</v>
      </c>
      <c r="J272" s="6">
        <v>18</v>
      </c>
      <c r="K272" s="50">
        <v>0</v>
      </c>
      <c r="L272" s="6">
        <v>8.3255990495049489E-2</v>
      </c>
      <c r="M272" s="6">
        <f>($L272+$D$309)*1000/1.2</f>
        <v>83.719196819759347</v>
      </c>
      <c r="O272" s="6">
        <v>87</v>
      </c>
      <c r="P272" s="51">
        <f t="shared" si="8"/>
        <v>-3.7710381382076497E-2</v>
      </c>
    </row>
    <row r="273" spans="1:16" s="6" customFormat="1" x14ac:dyDescent="0.25">
      <c r="A273" s="6" t="s">
        <v>447</v>
      </c>
      <c r="B273" s="6">
        <v>32</v>
      </c>
      <c r="C273" s="50">
        <v>0</v>
      </c>
      <c r="D273" s="6">
        <v>200</v>
      </c>
      <c r="E273" s="50">
        <v>0.5</v>
      </c>
      <c r="F273" s="6">
        <v>18</v>
      </c>
      <c r="G273" s="50">
        <v>1</v>
      </c>
      <c r="H273" s="6">
        <v>200</v>
      </c>
      <c r="I273" s="50">
        <v>0.5</v>
      </c>
      <c r="J273" s="6">
        <v>18</v>
      </c>
      <c r="K273" s="50">
        <v>0</v>
      </c>
      <c r="L273" s="6">
        <v>0.15227819940298506</v>
      </c>
      <c r="M273" s="6">
        <f>($L273+$D$310)*1000/1.2</f>
        <v>148.05661206671419</v>
      </c>
      <c r="O273" s="6">
        <v>158</v>
      </c>
      <c r="P273" s="51">
        <f t="shared" si="8"/>
        <v>-6.2932835020796274E-2</v>
      </c>
    </row>
    <row r="274" spans="1:16" s="6" customFormat="1" x14ac:dyDescent="0.25">
      <c r="A274" s="6" t="s">
        <v>447</v>
      </c>
      <c r="B274" s="6">
        <v>32</v>
      </c>
      <c r="C274" s="50">
        <v>0</v>
      </c>
      <c r="D274" s="6">
        <v>50</v>
      </c>
      <c r="E274" s="50">
        <v>1</v>
      </c>
      <c r="F274" s="6">
        <v>18</v>
      </c>
      <c r="G274" s="50">
        <v>1</v>
      </c>
      <c r="H274" s="6">
        <v>50</v>
      </c>
      <c r="I274" s="50">
        <v>1</v>
      </c>
      <c r="J274" s="6">
        <v>18</v>
      </c>
      <c r="K274" s="50">
        <v>0</v>
      </c>
      <c r="L274" s="6">
        <v>8.3351039999999987E-2</v>
      </c>
      <c r="M274" s="6">
        <f>($L274+$D$308)*1000/1.2</f>
        <v>80.388950828713817</v>
      </c>
      <c r="O274" s="6">
        <v>84</v>
      </c>
      <c r="P274" s="51">
        <f t="shared" si="8"/>
        <v>-4.2988680610549834E-2</v>
      </c>
    </row>
    <row r="275" spans="1:16" s="6" customFormat="1" x14ac:dyDescent="0.25">
      <c r="A275" s="6" t="s">
        <v>447</v>
      </c>
      <c r="B275" s="6">
        <v>32</v>
      </c>
      <c r="C275" s="50">
        <v>0</v>
      </c>
      <c r="D275" s="6">
        <v>100</v>
      </c>
      <c r="E275" s="50">
        <v>1</v>
      </c>
      <c r="F275" s="6">
        <v>18</v>
      </c>
      <c r="G275" s="50">
        <v>1</v>
      </c>
      <c r="H275" s="6">
        <v>100</v>
      </c>
      <c r="I275" s="50">
        <v>1</v>
      </c>
      <c r="J275" s="6">
        <v>18</v>
      </c>
      <c r="K275" s="50">
        <v>0</v>
      </c>
      <c r="L275" s="6">
        <v>0.15700703049504949</v>
      </c>
      <c r="M275" s="6">
        <f>($L275+$D$309)*1000/1.2</f>
        <v>145.17839681975934</v>
      </c>
      <c r="O275" s="6">
        <v>153</v>
      </c>
      <c r="P275" s="51">
        <f t="shared" si="8"/>
        <v>-5.1121589413337665E-2</v>
      </c>
    </row>
    <row r="276" spans="1:16" s="6" customFormat="1" x14ac:dyDescent="0.25">
      <c r="A276" s="6" t="s">
        <v>447</v>
      </c>
      <c r="B276" s="6">
        <v>32</v>
      </c>
      <c r="C276" s="50">
        <v>0</v>
      </c>
      <c r="D276" s="6">
        <v>200</v>
      </c>
      <c r="E276" s="50">
        <v>1</v>
      </c>
      <c r="F276" s="6">
        <v>18</v>
      </c>
      <c r="G276" s="50">
        <v>1</v>
      </c>
      <c r="H276" s="6">
        <v>200</v>
      </c>
      <c r="I276" s="50">
        <v>1</v>
      </c>
      <c r="J276" s="6">
        <v>18</v>
      </c>
      <c r="K276" s="50">
        <v>0</v>
      </c>
      <c r="L276" s="6">
        <v>0.29978027940298502</v>
      </c>
      <c r="M276" s="6">
        <f>($L276+$D$310)*1000/1.2</f>
        <v>270.9750120667141</v>
      </c>
      <c r="O276" s="6">
        <v>290</v>
      </c>
      <c r="P276" s="51">
        <f t="shared" si="8"/>
        <v>-6.5603406666503106E-2</v>
      </c>
    </row>
    <row r="277" spans="1:16" x14ac:dyDescent="0.25">
      <c r="A277" s="6" t="s">
        <v>447</v>
      </c>
      <c r="B277">
        <v>32</v>
      </c>
      <c r="C277" s="50">
        <v>0.25</v>
      </c>
      <c r="D277" s="6">
        <v>50</v>
      </c>
      <c r="E277" s="49">
        <v>0.25</v>
      </c>
      <c r="F277" s="6">
        <v>18</v>
      </c>
      <c r="G277" s="50">
        <v>1</v>
      </c>
      <c r="H277" s="6">
        <v>50</v>
      </c>
      <c r="I277" s="49">
        <v>0.25</v>
      </c>
      <c r="J277" s="6">
        <v>18</v>
      </c>
      <c r="K277" s="50">
        <v>0</v>
      </c>
      <c r="L277">
        <v>3.1407599999999994E-2</v>
      </c>
      <c r="M277">
        <f>($L277+$D$308+$I$313)*1000/1.2</f>
        <v>37.535301047463818</v>
      </c>
      <c r="O277" s="6">
        <v>37</v>
      </c>
      <c r="P277" s="2">
        <f t="shared" ref="P277:P303" si="9">M277/O277-1</f>
        <v>1.4467595877400541E-2</v>
      </c>
    </row>
    <row r="278" spans="1:16" x14ac:dyDescent="0.25">
      <c r="A278" s="6" t="s">
        <v>447</v>
      </c>
      <c r="B278">
        <v>32</v>
      </c>
      <c r="C278" s="50">
        <v>0.25</v>
      </c>
      <c r="D278" s="6">
        <v>100</v>
      </c>
      <c r="E278" s="49">
        <v>0.25</v>
      </c>
      <c r="F278" s="6">
        <v>18</v>
      </c>
      <c r="G278" s="50">
        <v>1</v>
      </c>
      <c r="H278" s="6">
        <v>100</v>
      </c>
      <c r="I278" s="49">
        <v>0.25</v>
      </c>
      <c r="J278" s="6">
        <v>18</v>
      </c>
      <c r="K278" s="50">
        <v>0</v>
      </c>
      <c r="L278">
        <v>5.3120150495049492E-2</v>
      </c>
      <c r="M278">
        <f>($L278+$D$309+$I$314)*1000/1.2</f>
        <v>59.471097257259352</v>
      </c>
      <c r="O278" s="6">
        <v>58</v>
      </c>
      <c r="P278" s="2">
        <f t="shared" si="9"/>
        <v>2.5363745814816374E-2</v>
      </c>
    </row>
    <row r="279" spans="1:16" x14ac:dyDescent="0.25">
      <c r="A279" s="6" t="s">
        <v>447</v>
      </c>
      <c r="B279">
        <v>32</v>
      </c>
      <c r="C279" s="50">
        <v>0.25</v>
      </c>
      <c r="D279" s="6">
        <v>200</v>
      </c>
      <c r="E279" s="49">
        <v>0.25</v>
      </c>
      <c r="F279" s="6">
        <v>18</v>
      </c>
      <c r="G279" s="50">
        <v>1</v>
      </c>
      <c r="H279" s="6">
        <v>200</v>
      </c>
      <c r="I279" s="49">
        <v>0.25</v>
      </c>
      <c r="J279" s="6">
        <v>18</v>
      </c>
      <c r="K279" s="50">
        <v>0</v>
      </c>
      <c r="L279">
        <v>9.2006519402985057E-2</v>
      </c>
      <c r="M279">
        <f>($L279+$D$310+$I$315)*1000/1.2</f>
        <v>99.560412941714191</v>
      </c>
      <c r="O279" s="6">
        <v>99</v>
      </c>
      <c r="P279" s="2">
        <f t="shared" si="9"/>
        <v>5.6607367849919044E-3</v>
      </c>
    </row>
    <row r="280" spans="1:16" x14ac:dyDescent="0.25">
      <c r="A280" s="6" t="s">
        <v>447</v>
      </c>
      <c r="B280">
        <v>32</v>
      </c>
      <c r="C280" s="50">
        <v>0.25</v>
      </c>
      <c r="D280" s="6">
        <v>50</v>
      </c>
      <c r="E280" s="49">
        <v>0.5</v>
      </c>
      <c r="F280" s="6">
        <v>18</v>
      </c>
      <c r="G280" s="50">
        <v>1</v>
      </c>
      <c r="H280" s="6">
        <v>50</v>
      </c>
      <c r="I280" s="49">
        <v>0.5</v>
      </c>
      <c r="J280" s="6">
        <v>18</v>
      </c>
      <c r="K280" s="50">
        <v>0</v>
      </c>
      <c r="L280">
        <v>5.321519999999999E-2</v>
      </c>
      <c r="M280">
        <f>($L280+$D$308+$I$313)*1000/1.2</f>
        <v>55.708301047463806</v>
      </c>
      <c r="O280" s="6">
        <v>56</v>
      </c>
      <c r="P280" s="2">
        <f t="shared" si="9"/>
        <v>-5.2089098667177369E-3</v>
      </c>
    </row>
    <row r="281" spans="1:16" x14ac:dyDescent="0.25">
      <c r="A281" s="6" t="s">
        <v>447</v>
      </c>
      <c r="B281">
        <v>32</v>
      </c>
      <c r="C281" s="50">
        <v>0.25</v>
      </c>
      <c r="D281" s="6">
        <v>100</v>
      </c>
      <c r="E281" s="49">
        <v>0.5</v>
      </c>
      <c r="F281" s="6">
        <v>18</v>
      </c>
      <c r="G281" s="50">
        <v>1</v>
      </c>
      <c r="H281" s="6">
        <v>100</v>
      </c>
      <c r="I281" s="49">
        <v>0.5</v>
      </c>
      <c r="J281" s="6">
        <v>18</v>
      </c>
      <c r="K281" s="50">
        <v>0</v>
      </c>
      <c r="L281">
        <v>9.6735350495049485E-2</v>
      </c>
      <c r="M281">
        <f>($L281+$D$309+$I$314)*1000/1.2</f>
        <v>95.817097257259348</v>
      </c>
      <c r="O281" s="6">
        <v>96</v>
      </c>
      <c r="P281" s="2">
        <f t="shared" si="9"/>
        <v>-1.9052369035484906E-3</v>
      </c>
    </row>
    <row r="282" spans="1:16" x14ac:dyDescent="0.25">
      <c r="A282" s="6" t="s">
        <v>447</v>
      </c>
      <c r="B282">
        <v>32</v>
      </c>
      <c r="C282" s="50">
        <v>0.25</v>
      </c>
      <c r="D282" s="6">
        <v>200</v>
      </c>
      <c r="E282" s="49">
        <v>0.5</v>
      </c>
      <c r="F282" s="6">
        <v>18</v>
      </c>
      <c r="G282" s="50">
        <v>1</v>
      </c>
      <c r="H282" s="6">
        <v>200</v>
      </c>
      <c r="I282" s="49">
        <v>0.5</v>
      </c>
      <c r="J282" s="6">
        <v>18</v>
      </c>
      <c r="K282" s="50">
        <v>0</v>
      </c>
      <c r="L282">
        <v>0.17923691940298503</v>
      </c>
      <c r="M282">
        <f>($L282+$D$310+$I$315)*1000/1.2</f>
        <v>172.25241294171417</v>
      </c>
      <c r="O282" s="6">
        <v>172</v>
      </c>
      <c r="P282" s="2">
        <f t="shared" si="9"/>
        <v>1.4675171029894241E-3</v>
      </c>
    </row>
    <row r="283" spans="1:16" x14ac:dyDescent="0.25">
      <c r="A283" s="6" t="s">
        <v>447</v>
      </c>
      <c r="B283">
        <v>32</v>
      </c>
      <c r="C283" s="50">
        <v>0.25</v>
      </c>
      <c r="D283" s="6">
        <v>50</v>
      </c>
      <c r="E283" s="49">
        <v>1</v>
      </c>
      <c r="F283" s="6">
        <v>18</v>
      </c>
      <c r="G283" s="50">
        <v>1</v>
      </c>
      <c r="H283" s="6">
        <v>50</v>
      </c>
      <c r="I283" s="49">
        <v>1</v>
      </c>
      <c r="J283" s="6">
        <v>18</v>
      </c>
      <c r="K283" s="50">
        <v>0</v>
      </c>
      <c r="L283">
        <v>9.6830399999999983E-2</v>
      </c>
      <c r="M283">
        <f>($L283+$D$308+$I$313)*1000/1.2</f>
        <v>92.054301047463809</v>
      </c>
      <c r="O283" s="6">
        <v>92</v>
      </c>
      <c r="P283" s="2">
        <f t="shared" si="9"/>
        <v>5.9022877678049923E-4</v>
      </c>
    </row>
    <row r="284" spans="1:16" x14ac:dyDescent="0.25">
      <c r="A284" s="6" t="s">
        <v>447</v>
      </c>
      <c r="B284">
        <v>32</v>
      </c>
      <c r="C284" s="50">
        <v>0.25</v>
      </c>
      <c r="D284" s="6">
        <v>100</v>
      </c>
      <c r="E284" s="49">
        <v>1</v>
      </c>
      <c r="F284" s="6">
        <v>18</v>
      </c>
      <c r="G284" s="50">
        <v>1</v>
      </c>
      <c r="H284" s="6">
        <v>100</v>
      </c>
      <c r="I284" s="49">
        <v>1</v>
      </c>
      <c r="J284" s="6">
        <v>18</v>
      </c>
      <c r="K284" s="50">
        <v>0</v>
      </c>
      <c r="L284">
        <v>0.18396575049504946</v>
      </c>
      <c r="M284">
        <f>($L284+$D$309+$I$314)*1000/1.2</f>
        <v>168.5090972572593</v>
      </c>
      <c r="O284" s="6">
        <v>167</v>
      </c>
      <c r="P284" s="2">
        <f t="shared" si="9"/>
        <v>9.0365105225107545E-3</v>
      </c>
    </row>
    <row r="285" spans="1:16" x14ac:dyDescent="0.25">
      <c r="A285" s="6" t="s">
        <v>447</v>
      </c>
      <c r="B285">
        <v>32</v>
      </c>
      <c r="C285" s="50">
        <v>0.25</v>
      </c>
      <c r="D285" s="6">
        <v>200</v>
      </c>
      <c r="E285" s="49">
        <v>1</v>
      </c>
      <c r="F285" s="6">
        <v>18</v>
      </c>
      <c r="G285" s="50">
        <v>1</v>
      </c>
      <c r="H285" s="6">
        <v>200</v>
      </c>
      <c r="I285" s="49">
        <v>1</v>
      </c>
      <c r="J285" s="6">
        <v>18</v>
      </c>
      <c r="K285" s="50">
        <v>0</v>
      </c>
      <c r="L285">
        <v>0.353697719402985</v>
      </c>
      <c r="M285">
        <f>($L285+$D$310+$I$315)*1000/1.2</f>
        <v>317.63641294171407</v>
      </c>
      <c r="O285" s="6">
        <v>319</v>
      </c>
      <c r="P285" s="2">
        <f t="shared" si="9"/>
        <v>-4.2745675808336658E-3</v>
      </c>
    </row>
    <row r="286" spans="1:16" x14ac:dyDescent="0.25">
      <c r="A286" s="6" t="s">
        <v>447</v>
      </c>
      <c r="B286">
        <v>32</v>
      </c>
      <c r="C286" s="50">
        <v>0.5</v>
      </c>
      <c r="D286" s="6">
        <v>50</v>
      </c>
      <c r="E286" s="49">
        <v>0.25</v>
      </c>
      <c r="F286" s="6">
        <v>18</v>
      </c>
      <c r="G286" s="50">
        <v>1</v>
      </c>
      <c r="H286" s="6">
        <v>50</v>
      </c>
      <c r="I286" s="49">
        <v>0.25</v>
      </c>
      <c r="J286" s="6">
        <v>18</v>
      </c>
      <c r="K286" s="50">
        <v>0</v>
      </c>
      <c r="L286">
        <v>3.3310799999999995E-2</v>
      </c>
      <c r="M286">
        <f>($L286+$D$308+$I$316)*1000/1.2</f>
        <v>39.553851266213819</v>
      </c>
      <c r="O286" s="6">
        <v>39</v>
      </c>
      <c r="P286" s="2">
        <f t="shared" si="9"/>
        <v>1.4201314518303088E-2</v>
      </c>
    </row>
    <row r="287" spans="1:16" x14ac:dyDescent="0.25">
      <c r="A287" s="6" t="s">
        <v>447</v>
      </c>
      <c r="B287">
        <v>32</v>
      </c>
      <c r="C287" s="50">
        <v>0.5</v>
      </c>
      <c r="D287" s="6">
        <v>100</v>
      </c>
      <c r="E287" s="49">
        <v>0.25</v>
      </c>
      <c r="F287" s="6">
        <v>18</v>
      </c>
      <c r="G287" s="50">
        <v>1</v>
      </c>
      <c r="H287" s="6">
        <v>100</v>
      </c>
      <c r="I287" s="49">
        <v>0.25</v>
      </c>
      <c r="J287" s="6">
        <v>18</v>
      </c>
      <c r="K287" s="50">
        <v>0</v>
      </c>
      <c r="L287">
        <v>5.6926550495049494E-2</v>
      </c>
      <c r="M287">
        <f>($L287+$D$309+$I$317)*1000/1.2</f>
        <v>63.508197694759346</v>
      </c>
      <c r="O287" s="6">
        <v>62</v>
      </c>
      <c r="P287" s="2">
        <f t="shared" si="9"/>
        <v>2.4325769270312048E-2</v>
      </c>
    </row>
    <row r="288" spans="1:16" x14ac:dyDescent="0.25">
      <c r="A288" s="6" t="s">
        <v>447</v>
      </c>
      <c r="B288">
        <v>32</v>
      </c>
      <c r="C288" s="50">
        <v>0.5</v>
      </c>
      <c r="D288" s="6">
        <v>200</v>
      </c>
      <c r="E288" s="49">
        <v>0.25</v>
      </c>
      <c r="F288" s="6">
        <v>18</v>
      </c>
      <c r="G288" s="50">
        <v>1</v>
      </c>
      <c r="H288" s="6">
        <v>200</v>
      </c>
      <c r="I288" s="49">
        <v>0.25</v>
      </c>
      <c r="J288" s="6">
        <v>18</v>
      </c>
      <c r="K288" s="50">
        <v>0</v>
      </c>
      <c r="L288">
        <v>9.9619319402985046E-2</v>
      </c>
      <c r="M288">
        <f>($L288+$D$310+$I$318)*1000/1.2</f>
        <v>107.63461381671418</v>
      </c>
      <c r="O288" s="6">
        <v>105</v>
      </c>
      <c r="P288" s="2">
        <f t="shared" si="9"/>
        <v>2.5091560159182569E-2</v>
      </c>
    </row>
    <row r="289" spans="1:16" x14ac:dyDescent="0.25">
      <c r="A289" s="6" t="s">
        <v>447</v>
      </c>
      <c r="B289">
        <v>32</v>
      </c>
      <c r="C289" s="50">
        <v>0.5</v>
      </c>
      <c r="D289" s="6">
        <v>50</v>
      </c>
      <c r="E289" s="49">
        <v>0.5</v>
      </c>
      <c r="F289" s="6">
        <v>18</v>
      </c>
      <c r="G289" s="50">
        <v>1</v>
      </c>
      <c r="H289" s="6">
        <v>50</v>
      </c>
      <c r="I289" s="49">
        <v>0.5</v>
      </c>
      <c r="J289" s="6">
        <v>18</v>
      </c>
      <c r="K289" s="50">
        <v>0</v>
      </c>
      <c r="L289">
        <v>5.7021599999999992E-2</v>
      </c>
      <c r="M289">
        <f>($L289+$D$308+$I$316)*1000/1.2</f>
        <v>59.312851266213826</v>
      </c>
      <c r="O289" s="6">
        <v>60</v>
      </c>
      <c r="P289" s="2">
        <f t="shared" si="9"/>
        <v>-1.1452478896436191E-2</v>
      </c>
    </row>
    <row r="290" spans="1:16" x14ac:dyDescent="0.25">
      <c r="A290" s="6" t="s">
        <v>447</v>
      </c>
      <c r="B290">
        <v>32</v>
      </c>
      <c r="C290" s="50">
        <v>0.5</v>
      </c>
      <c r="D290" s="6">
        <v>100</v>
      </c>
      <c r="E290" s="49">
        <v>0.5</v>
      </c>
      <c r="F290" s="6">
        <v>18</v>
      </c>
      <c r="G290" s="50">
        <v>1</v>
      </c>
      <c r="H290" s="6">
        <v>100</v>
      </c>
      <c r="I290" s="49">
        <v>0.5</v>
      </c>
      <c r="J290" s="6">
        <v>18</v>
      </c>
      <c r="K290" s="50">
        <v>0</v>
      </c>
      <c r="L290">
        <v>0.10434815049504949</v>
      </c>
      <c r="M290">
        <f>($L290+$D$309+$I$317)*1000/1.2</f>
        <v>103.02619769475933</v>
      </c>
      <c r="O290" s="6">
        <v>101</v>
      </c>
      <c r="P290" s="2">
        <f t="shared" si="9"/>
        <v>2.0061363314448855E-2</v>
      </c>
    </row>
    <row r="291" spans="1:16" x14ac:dyDescent="0.25">
      <c r="A291" s="6" t="s">
        <v>447</v>
      </c>
      <c r="B291">
        <v>32</v>
      </c>
      <c r="C291" s="50">
        <v>0.5</v>
      </c>
      <c r="D291" s="6">
        <v>200</v>
      </c>
      <c r="E291" s="49">
        <v>0.5</v>
      </c>
      <c r="F291" s="6">
        <v>18</v>
      </c>
      <c r="G291" s="50">
        <v>1</v>
      </c>
      <c r="H291" s="6">
        <v>200</v>
      </c>
      <c r="I291" s="49">
        <v>0.5</v>
      </c>
      <c r="J291" s="6">
        <v>18</v>
      </c>
      <c r="K291" s="50">
        <v>0</v>
      </c>
      <c r="L291">
        <v>0.19446251940298503</v>
      </c>
      <c r="M291">
        <f>($L291+$D$310+$I$318)*1000/1.2</f>
        <v>186.67061381671414</v>
      </c>
      <c r="O291" s="6">
        <v>187</v>
      </c>
      <c r="P291" s="2">
        <f t="shared" si="9"/>
        <v>-1.7614234400313844E-3</v>
      </c>
    </row>
    <row r="292" spans="1:16" x14ac:dyDescent="0.25">
      <c r="A292" s="6" t="s">
        <v>447</v>
      </c>
      <c r="B292">
        <v>32</v>
      </c>
      <c r="C292" s="50">
        <v>0.5</v>
      </c>
      <c r="D292" s="6">
        <v>50</v>
      </c>
      <c r="E292" s="49">
        <v>1</v>
      </c>
      <c r="F292" s="6">
        <v>18</v>
      </c>
      <c r="G292" s="50">
        <v>1</v>
      </c>
      <c r="H292" s="6">
        <v>50</v>
      </c>
      <c r="I292" s="49">
        <v>1</v>
      </c>
      <c r="J292" s="6">
        <v>18</v>
      </c>
      <c r="K292" s="50">
        <v>0</v>
      </c>
      <c r="L292">
        <v>0.10444319999999999</v>
      </c>
      <c r="M292">
        <f>($L292+$D$308+$I$316)*1000/1.2</f>
        <v>98.830851266213813</v>
      </c>
      <c r="O292" s="6">
        <v>100</v>
      </c>
      <c r="P292" s="2">
        <f t="shared" si="9"/>
        <v>-1.169148733786185E-2</v>
      </c>
    </row>
    <row r="293" spans="1:16" x14ac:dyDescent="0.25">
      <c r="A293" s="6" t="s">
        <v>447</v>
      </c>
      <c r="B293">
        <v>32</v>
      </c>
      <c r="C293" s="50">
        <v>0.5</v>
      </c>
      <c r="D293" s="6">
        <v>100</v>
      </c>
      <c r="E293" s="49">
        <v>1</v>
      </c>
      <c r="F293" s="6">
        <v>18</v>
      </c>
      <c r="G293" s="50">
        <v>1</v>
      </c>
      <c r="H293" s="6">
        <v>100</v>
      </c>
      <c r="I293" s="49">
        <v>1</v>
      </c>
      <c r="J293" s="6">
        <v>18</v>
      </c>
      <c r="K293" s="50">
        <v>0</v>
      </c>
      <c r="L293">
        <v>0.19919135049504946</v>
      </c>
      <c r="M293">
        <f>($L293+$D$309+$I$317)*1000/1.2</f>
        <v>182.06219769475933</v>
      </c>
      <c r="O293" s="6">
        <v>181</v>
      </c>
      <c r="P293" s="2">
        <f t="shared" si="9"/>
        <v>5.8684955511565384E-3</v>
      </c>
    </row>
    <row r="294" spans="1:16" x14ac:dyDescent="0.25">
      <c r="A294" s="6" t="s">
        <v>447</v>
      </c>
      <c r="B294">
        <v>32</v>
      </c>
      <c r="C294" s="50">
        <v>0.5</v>
      </c>
      <c r="D294" s="6">
        <v>200</v>
      </c>
      <c r="E294" s="49">
        <v>1</v>
      </c>
      <c r="F294" s="6">
        <v>18</v>
      </c>
      <c r="G294" s="50">
        <v>1</v>
      </c>
      <c r="H294" s="6">
        <v>200</v>
      </c>
      <c r="I294" s="49">
        <v>1</v>
      </c>
      <c r="J294" s="6">
        <v>18</v>
      </c>
      <c r="K294" s="50">
        <v>0</v>
      </c>
      <c r="L294">
        <v>0.38414891940298501</v>
      </c>
      <c r="M294">
        <f>($L294+$D$310+$I$318)*1000/1.2</f>
        <v>344.74261381671414</v>
      </c>
      <c r="O294" s="6">
        <v>348</v>
      </c>
      <c r="P294" s="2">
        <f t="shared" si="9"/>
        <v>-9.3603051243846824E-3</v>
      </c>
    </row>
    <row r="295" spans="1:16" x14ac:dyDescent="0.25">
      <c r="A295" s="6" t="s">
        <v>447</v>
      </c>
      <c r="B295">
        <v>32</v>
      </c>
      <c r="C295" s="50">
        <v>1</v>
      </c>
      <c r="D295" s="6">
        <v>50</v>
      </c>
      <c r="E295" s="49">
        <v>0.25</v>
      </c>
      <c r="F295" s="6">
        <v>18</v>
      </c>
      <c r="G295" s="50">
        <v>1</v>
      </c>
      <c r="H295" s="6">
        <v>50</v>
      </c>
      <c r="I295" s="49">
        <v>0.25</v>
      </c>
      <c r="J295" s="6">
        <v>18</v>
      </c>
      <c r="K295" s="50">
        <v>0</v>
      </c>
      <c r="L295">
        <v>3.7117199999999989E-2</v>
      </c>
      <c r="M295">
        <f>($L295+$D$308+$I$319)*1000/1.2</f>
        <v>43.590951703713813</v>
      </c>
      <c r="O295" s="6">
        <v>41</v>
      </c>
      <c r="P295" s="2">
        <f t="shared" si="9"/>
        <v>6.3193943993019808E-2</v>
      </c>
    </row>
    <row r="296" spans="1:16" x14ac:dyDescent="0.25">
      <c r="A296" s="6" t="s">
        <v>447</v>
      </c>
      <c r="B296">
        <v>32</v>
      </c>
      <c r="C296" s="50">
        <v>1</v>
      </c>
      <c r="D296" s="6">
        <v>100</v>
      </c>
      <c r="E296" s="49">
        <v>0.25</v>
      </c>
      <c r="F296" s="6">
        <v>18</v>
      </c>
      <c r="G296" s="50">
        <v>1</v>
      </c>
      <c r="H296" s="6">
        <v>100</v>
      </c>
      <c r="I296" s="49">
        <v>0.25</v>
      </c>
      <c r="J296" s="6">
        <v>18</v>
      </c>
      <c r="K296" s="50">
        <v>0</v>
      </c>
      <c r="L296">
        <v>6.4539350495049497E-2</v>
      </c>
      <c r="M296">
        <f>($L296+$D$309+$I$320)*1000/1.2</f>
        <v>71.582398569759334</v>
      </c>
      <c r="O296" s="6">
        <v>66</v>
      </c>
      <c r="P296" s="2">
        <f t="shared" si="9"/>
        <v>8.4581796511504992E-2</v>
      </c>
    </row>
    <row r="297" spans="1:16" x14ac:dyDescent="0.25">
      <c r="A297" s="6" t="s">
        <v>447</v>
      </c>
      <c r="B297">
        <v>32</v>
      </c>
      <c r="C297" s="50">
        <v>1</v>
      </c>
      <c r="D297" s="6">
        <v>200</v>
      </c>
      <c r="E297" s="49">
        <v>0.25</v>
      </c>
      <c r="F297" s="6">
        <v>18</v>
      </c>
      <c r="G297" s="50">
        <v>1</v>
      </c>
      <c r="H297" s="6">
        <v>200</v>
      </c>
      <c r="I297" s="49">
        <v>0.25</v>
      </c>
      <c r="J297" s="6">
        <v>18</v>
      </c>
      <c r="K297" s="50">
        <v>0</v>
      </c>
      <c r="L297">
        <v>0.11484491940298505</v>
      </c>
      <c r="M297">
        <f>($L297+$D$310+$I$321)*1000/1.2</f>
        <v>123.78301556671417</v>
      </c>
      <c r="O297" s="6">
        <v>115</v>
      </c>
      <c r="P297" s="2">
        <f t="shared" si="9"/>
        <v>7.6374048406210093E-2</v>
      </c>
    </row>
    <row r="298" spans="1:16" x14ac:dyDescent="0.25">
      <c r="A298" s="6" t="s">
        <v>447</v>
      </c>
      <c r="B298">
        <v>32</v>
      </c>
      <c r="C298" s="50">
        <v>1</v>
      </c>
      <c r="D298" s="6">
        <v>50</v>
      </c>
      <c r="E298" s="49">
        <v>0.5</v>
      </c>
      <c r="F298" s="6">
        <v>18</v>
      </c>
      <c r="G298" s="50">
        <v>1</v>
      </c>
      <c r="H298" s="6">
        <v>50</v>
      </c>
      <c r="I298" s="49">
        <v>0.5</v>
      </c>
      <c r="J298" s="6">
        <v>18</v>
      </c>
      <c r="K298" s="50">
        <v>0</v>
      </c>
      <c r="L298">
        <v>6.4634399999999981E-2</v>
      </c>
      <c r="M298">
        <f>($L298+$D$308+$I$319)*1000/1.2</f>
        <v>66.521951703713796</v>
      </c>
      <c r="O298" s="6">
        <v>63</v>
      </c>
      <c r="P298" s="2">
        <f t="shared" si="9"/>
        <v>5.5903995297044373E-2</v>
      </c>
    </row>
    <row r="299" spans="1:16" x14ac:dyDescent="0.25">
      <c r="A299" s="6" t="s">
        <v>447</v>
      </c>
      <c r="B299">
        <v>32</v>
      </c>
      <c r="C299" s="50">
        <v>1</v>
      </c>
      <c r="D299" s="6">
        <v>100</v>
      </c>
      <c r="E299" s="49">
        <v>0.5</v>
      </c>
      <c r="F299" s="6">
        <v>18</v>
      </c>
      <c r="G299" s="50">
        <v>1</v>
      </c>
      <c r="H299" s="6">
        <v>100</v>
      </c>
      <c r="I299" s="49">
        <v>0.5</v>
      </c>
      <c r="J299" s="6">
        <v>18</v>
      </c>
      <c r="K299" s="50">
        <v>0</v>
      </c>
      <c r="L299">
        <v>0.11957375049504948</v>
      </c>
      <c r="M299">
        <f>($L299+$D$309+$I$320)*1000/1.2</f>
        <v>117.44439856975933</v>
      </c>
      <c r="O299" s="6">
        <v>110</v>
      </c>
      <c r="P299" s="2">
        <f t="shared" si="9"/>
        <v>6.7676350634175764E-2</v>
      </c>
    </row>
    <row r="300" spans="1:16" x14ac:dyDescent="0.25">
      <c r="A300" s="6" t="s">
        <v>447</v>
      </c>
      <c r="B300">
        <v>32</v>
      </c>
      <c r="C300" s="50">
        <v>1</v>
      </c>
      <c r="D300" s="6">
        <v>200</v>
      </c>
      <c r="E300" s="49">
        <v>0.5</v>
      </c>
      <c r="F300" s="6">
        <v>18</v>
      </c>
      <c r="G300" s="50">
        <v>1</v>
      </c>
      <c r="H300" s="6">
        <v>200</v>
      </c>
      <c r="I300" s="49">
        <v>0.5</v>
      </c>
      <c r="J300" s="6">
        <v>18</v>
      </c>
      <c r="K300" s="50">
        <v>0</v>
      </c>
      <c r="L300">
        <v>0.22491371940298505</v>
      </c>
      <c r="M300">
        <f>($L300+$D$310+$I$321)*1000/1.2</f>
        <v>215.50701556671413</v>
      </c>
      <c r="O300" s="6">
        <v>204</v>
      </c>
      <c r="P300" s="2">
        <f t="shared" si="9"/>
        <v>5.6406939052520144E-2</v>
      </c>
    </row>
    <row r="301" spans="1:16" x14ac:dyDescent="0.25">
      <c r="A301" s="6" t="s">
        <v>447</v>
      </c>
      <c r="B301">
        <v>32</v>
      </c>
      <c r="C301" s="50">
        <v>1</v>
      </c>
      <c r="D301" s="6">
        <v>50</v>
      </c>
      <c r="E301" s="49">
        <v>1</v>
      </c>
      <c r="F301" s="6">
        <v>18</v>
      </c>
      <c r="G301" s="50">
        <v>1</v>
      </c>
      <c r="H301" s="6">
        <v>50</v>
      </c>
      <c r="I301" s="49">
        <v>1</v>
      </c>
      <c r="J301" s="6">
        <v>18</v>
      </c>
      <c r="K301" s="50">
        <v>0</v>
      </c>
      <c r="L301">
        <v>0.11966879999999998</v>
      </c>
      <c r="M301">
        <f>($L301+$D$308+$I$319)*1000/1.2</f>
        <v>112.38395170371382</v>
      </c>
      <c r="O301" s="6">
        <v>108</v>
      </c>
      <c r="P301" s="2">
        <f t="shared" si="9"/>
        <v>4.0592145404757529E-2</v>
      </c>
    </row>
    <row r="302" spans="1:16" x14ac:dyDescent="0.25">
      <c r="A302" s="6" t="s">
        <v>447</v>
      </c>
      <c r="B302">
        <v>32</v>
      </c>
      <c r="C302" s="50">
        <v>1</v>
      </c>
      <c r="D302" s="6">
        <v>100</v>
      </c>
      <c r="E302" s="49">
        <v>1</v>
      </c>
      <c r="F302" s="6">
        <v>18</v>
      </c>
      <c r="G302" s="50">
        <v>1</v>
      </c>
      <c r="H302" s="6">
        <v>100</v>
      </c>
      <c r="I302" s="49">
        <v>1</v>
      </c>
      <c r="J302" s="6">
        <v>18</v>
      </c>
      <c r="K302" s="50">
        <v>0</v>
      </c>
      <c r="L302">
        <v>0.22964255049504945</v>
      </c>
      <c r="M302">
        <f>($L302+$D$309+$I$320)*1000/1.2</f>
        <v>209.16839856975932</v>
      </c>
      <c r="O302" s="6">
        <v>201</v>
      </c>
      <c r="P302" s="2">
        <f t="shared" si="9"/>
        <v>4.0638798854524039E-2</v>
      </c>
    </row>
    <row r="303" spans="1:16" x14ac:dyDescent="0.25">
      <c r="A303" s="6" t="s">
        <v>447</v>
      </c>
      <c r="B303">
        <v>32</v>
      </c>
      <c r="C303" s="50">
        <v>1</v>
      </c>
      <c r="D303" s="6">
        <v>200</v>
      </c>
      <c r="E303" s="49">
        <v>1</v>
      </c>
      <c r="F303" s="6">
        <v>18</v>
      </c>
      <c r="G303" s="50">
        <v>1</v>
      </c>
      <c r="H303" s="6">
        <v>200</v>
      </c>
      <c r="I303" s="49">
        <v>1</v>
      </c>
      <c r="J303" s="6">
        <v>18</v>
      </c>
      <c r="K303" s="50">
        <v>0</v>
      </c>
      <c r="L303">
        <v>0.44505131940298498</v>
      </c>
      <c r="M303">
        <f>($L303+$D$310+$I$321)*1000/1.2</f>
        <v>398.95501556671411</v>
      </c>
      <c r="O303" s="6">
        <v>384</v>
      </c>
      <c r="P303" s="2">
        <f t="shared" si="9"/>
        <v>3.894535303831792E-2</v>
      </c>
    </row>
    <row r="306" spans="1:10" s="9" customFormat="1" x14ac:dyDescent="0.25">
      <c r="A306" s="9" t="s">
        <v>448</v>
      </c>
      <c r="B306" s="9" t="s">
        <v>13</v>
      </c>
      <c r="C306" s="9" t="s">
        <v>77</v>
      </c>
      <c r="D306" s="9" t="s">
        <v>51</v>
      </c>
      <c r="E306" s="9" t="s">
        <v>444</v>
      </c>
    </row>
    <row r="307" spans="1:10" x14ac:dyDescent="0.25">
      <c r="B307" s="6">
        <v>0</v>
      </c>
      <c r="C307">
        <v>395</v>
      </c>
      <c r="D307">
        <v>9.0243563002514633E-3</v>
      </c>
      <c r="E307">
        <f>1000*$D307/1.2</f>
        <v>7.5202969168762204</v>
      </c>
    </row>
    <row r="308" spans="1:10" x14ac:dyDescent="0.25">
      <c r="B308" s="6">
        <v>50</v>
      </c>
      <c r="C308">
        <v>395</v>
      </c>
      <c r="D308">
        <v>1.3115700994456587E-2</v>
      </c>
      <c r="E308">
        <f>1000*$D308/1.2</f>
        <v>10.929750828713823</v>
      </c>
    </row>
    <row r="309" spans="1:10" x14ac:dyDescent="0.25">
      <c r="B309" s="6">
        <v>100</v>
      </c>
      <c r="C309">
        <v>395</v>
      </c>
      <c r="D309">
        <v>1.7207045688661712E-2</v>
      </c>
      <c r="E309">
        <f>1000*$D309/1.2</f>
        <v>14.339204740551427</v>
      </c>
    </row>
    <row r="310" spans="1:10" x14ac:dyDescent="0.25">
      <c r="B310" s="6">
        <v>200</v>
      </c>
      <c r="C310">
        <v>395</v>
      </c>
      <c r="D310">
        <v>2.5389735077071953E-2</v>
      </c>
      <c r="E310">
        <f>1000*$D310/1.2</f>
        <v>21.158112564226631</v>
      </c>
    </row>
    <row r="312" spans="1:10" s="9" customFormat="1" x14ac:dyDescent="0.25">
      <c r="A312" s="9" t="s">
        <v>449</v>
      </c>
      <c r="B312" s="9" t="s">
        <v>13</v>
      </c>
      <c r="C312" s="9" t="s">
        <v>103</v>
      </c>
      <c r="D312" s="9" t="s">
        <v>32</v>
      </c>
      <c r="E312" s="9" t="s">
        <v>101</v>
      </c>
      <c r="F312" s="9" t="s">
        <v>450</v>
      </c>
      <c r="G312" s="9" t="s">
        <v>33</v>
      </c>
      <c r="H312" s="9" t="s">
        <v>77</v>
      </c>
      <c r="I312" s="9" t="s">
        <v>51</v>
      </c>
      <c r="J312" s="9" t="s">
        <v>444</v>
      </c>
    </row>
    <row r="313" spans="1:10" x14ac:dyDescent="0.25">
      <c r="B313" s="6">
        <v>50</v>
      </c>
      <c r="C313" s="49">
        <v>0.25</v>
      </c>
      <c r="D313" s="6">
        <v>55</v>
      </c>
      <c r="E313">
        <v>0</v>
      </c>
      <c r="F313">
        <v>0</v>
      </c>
      <c r="G313" s="6">
        <v>84</v>
      </c>
      <c r="H313" s="6">
        <v>3</v>
      </c>
      <c r="I313">
        <v>5.1906026249999993E-4</v>
      </c>
      <c r="J313">
        <f t="shared" ref="J313:J321" si="10">1000*$I313/1.2</f>
        <v>0.43255021874999994</v>
      </c>
    </row>
    <row r="314" spans="1:10" x14ac:dyDescent="0.25">
      <c r="B314" s="6">
        <v>100</v>
      </c>
      <c r="C314" s="49">
        <v>0.25</v>
      </c>
      <c r="D314" s="6">
        <v>55</v>
      </c>
      <c r="E314">
        <v>0</v>
      </c>
      <c r="F314">
        <v>0</v>
      </c>
      <c r="G314" s="6">
        <v>84</v>
      </c>
      <c r="H314" s="6">
        <v>3</v>
      </c>
      <c r="I314">
        <v>1.0381205249999999E-3</v>
      </c>
      <c r="J314">
        <f t="shared" si="10"/>
        <v>0.86510043749999987</v>
      </c>
    </row>
    <row r="315" spans="1:10" x14ac:dyDescent="0.25">
      <c r="B315" s="6">
        <v>200</v>
      </c>
      <c r="C315" s="49">
        <v>0.25</v>
      </c>
      <c r="D315" s="6">
        <v>55</v>
      </c>
      <c r="E315">
        <v>0</v>
      </c>
      <c r="F315">
        <v>0</v>
      </c>
      <c r="G315" s="6">
        <v>84</v>
      </c>
      <c r="H315" s="6">
        <v>3</v>
      </c>
      <c r="I315">
        <v>2.0762410499999997E-3</v>
      </c>
      <c r="J315">
        <f t="shared" si="10"/>
        <v>1.7302008749999997</v>
      </c>
    </row>
    <row r="316" spans="1:10" x14ac:dyDescent="0.25">
      <c r="B316" s="6">
        <v>50</v>
      </c>
      <c r="C316" s="49">
        <v>0.5</v>
      </c>
      <c r="D316" s="6">
        <v>55</v>
      </c>
      <c r="E316">
        <v>0</v>
      </c>
      <c r="F316">
        <v>0</v>
      </c>
      <c r="G316" s="6">
        <v>84</v>
      </c>
      <c r="H316" s="6">
        <v>3</v>
      </c>
      <c r="I316">
        <v>1.0381205249999999E-3</v>
      </c>
      <c r="J316">
        <f t="shared" si="10"/>
        <v>0.86510043749999987</v>
      </c>
    </row>
    <row r="317" spans="1:10" x14ac:dyDescent="0.25">
      <c r="B317" s="6">
        <v>100</v>
      </c>
      <c r="C317" s="49">
        <v>0.5</v>
      </c>
      <c r="D317" s="6">
        <v>55</v>
      </c>
      <c r="E317">
        <v>0</v>
      </c>
      <c r="F317">
        <v>0</v>
      </c>
      <c r="G317" s="6">
        <v>84</v>
      </c>
      <c r="H317" s="6">
        <v>3</v>
      </c>
      <c r="I317">
        <v>2.0762410499999997E-3</v>
      </c>
      <c r="J317">
        <f t="shared" si="10"/>
        <v>1.7302008749999997</v>
      </c>
    </row>
    <row r="318" spans="1:10" x14ac:dyDescent="0.25">
      <c r="B318" s="6">
        <v>200</v>
      </c>
      <c r="C318" s="49">
        <v>0.5</v>
      </c>
      <c r="D318" s="6">
        <v>55</v>
      </c>
      <c r="E318">
        <v>0</v>
      </c>
      <c r="F318">
        <v>0</v>
      </c>
      <c r="G318" s="6">
        <v>84</v>
      </c>
      <c r="H318" s="6">
        <v>3</v>
      </c>
      <c r="I318">
        <v>4.1524820999999995E-3</v>
      </c>
      <c r="J318">
        <f t="shared" si="10"/>
        <v>3.4604017499999995</v>
      </c>
    </row>
    <row r="319" spans="1:10" x14ac:dyDescent="0.25">
      <c r="B319" s="6">
        <v>50</v>
      </c>
      <c r="C319" s="49">
        <v>1</v>
      </c>
      <c r="D319" s="6">
        <v>55</v>
      </c>
      <c r="E319">
        <v>0</v>
      </c>
      <c r="F319">
        <v>0</v>
      </c>
      <c r="G319" s="6">
        <v>84</v>
      </c>
      <c r="H319" s="6">
        <v>3</v>
      </c>
      <c r="I319">
        <v>2.0762410499999997E-3</v>
      </c>
      <c r="J319">
        <f t="shared" si="10"/>
        <v>1.7302008749999997</v>
      </c>
    </row>
    <row r="320" spans="1:10" x14ac:dyDescent="0.25">
      <c r="B320" s="6">
        <v>100</v>
      </c>
      <c r="C320" s="49">
        <v>1</v>
      </c>
      <c r="D320" s="6">
        <v>55</v>
      </c>
      <c r="E320">
        <v>0</v>
      </c>
      <c r="F320">
        <v>0</v>
      </c>
      <c r="G320" s="6">
        <v>84</v>
      </c>
      <c r="H320" s="6">
        <v>3</v>
      </c>
      <c r="I320">
        <v>4.1524820999999995E-3</v>
      </c>
      <c r="J320">
        <f t="shared" si="10"/>
        <v>3.4604017499999995</v>
      </c>
    </row>
    <row r="321" spans="1:30" x14ac:dyDescent="0.25">
      <c r="B321" s="6">
        <v>200</v>
      </c>
      <c r="C321" s="49">
        <v>1</v>
      </c>
      <c r="D321" s="6">
        <v>55</v>
      </c>
      <c r="E321">
        <v>0</v>
      </c>
      <c r="F321">
        <v>0</v>
      </c>
      <c r="G321" s="6">
        <v>84</v>
      </c>
      <c r="H321" s="6">
        <v>3</v>
      </c>
      <c r="I321">
        <v>8.304964199999999E-3</v>
      </c>
      <c r="J321">
        <f t="shared" si="10"/>
        <v>6.920803499999999</v>
      </c>
    </row>
    <row r="322" spans="1:30" x14ac:dyDescent="0.25">
      <c r="B322" s="6"/>
      <c r="C322" s="49"/>
      <c r="D322" s="6"/>
      <c r="G322" s="6"/>
      <c r="H322" s="6"/>
    </row>
    <row r="323" spans="1:30" x14ac:dyDescent="0.25">
      <c r="B323" s="6"/>
      <c r="C323" s="49"/>
      <c r="D323" s="6"/>
      <c r="G323" s="6"/>
      <c r="H323" s="6"/>
    </row>
    <row r="324" spans="1:30" ht="25.5" customHeight="1" x14ac:dyDescent="0.25">
      <c r="A324" s="7" t="s">
        <v>689</v>
      </c>
      <c r="B324" s="61" t="s">
        <v>13</v>
      </c>
      <c r="C324" s="935" t="s">
        <v>691</v>
      </c>
      <c r="D324" s="936"/>
      <c r="E324" s="936"/>
      <c r="F324" s="936"/>
      <c r="G324" s="936"/>
      <c r="H324" s="937"/>
      <c r="I324" s="938" t="s">
        <v>711</v>
      </c>
      <c r="J324" s="939"/>
      <c r="K324" s="940"/>
      <c r="L324" s="938" t="s">
        <v>712</v>
      </c>
      <c r="M324" s="940"/>
      <c r="N324" s="938" t="s">
        <v>715</v>
      </c>
      <c r="O324" s="940"/>
      <c r="P324" s="938" t="s">
        <v>716</v>
      </c>
      <c r="Q324" s="940"/>
      <c r="R324" s="938" t="s">
        <v>724</v>
      </c>
      <c r="S324" s="940"/>
      <c r="T324" s="941" t="s">
        <v>706</v>
      </c>
      <c r="U324" s="942"/>
      <c r="V324" s="931" t="s">
        <v>707</v>
      </c>
      <c r="W324" s="932"/>
      <c r="X324" s="931" t="s">
        <v>718</v>
      </c>
      <c r="Y324" s="932"/>
      <c r="AA324" s="931" t="s">
        <v>742</v>
      </c>
      <c r="AB324" s="932"/>
      <c r="AC324" s="931" t="s">
        <v>743</v>
      </c>
      <c r="AD324" s="932"/>
    </row>
    <row r="325" spans="1:30" x14ac:dyDescent="0.25">
      <c r="B325" s="88" t="s">
        <v>77</v>
      </c>
      <c r="C325" s="89" t="s">
        <v>32</v>
      </c>
      <c r="D325" s="90" t="s">
        <v>101</v>
      </c>
      <c r="E325" s="90" t="s">
        <v>450</v>
      </c>
      <c r="F325" s="90" t="s">
        <v>33</v>
      </c>
      <c r="G325" s="91" t="s">
        <v>103</v>
      </c>
      <c r="H325" s="92" t="s">
        <v>708</v>
      </c>
      <c r="I325" s="70">
        <v>0</v>
      </c>
      <c r="J325" s="71">
        <v>50</v>
      </c>
      <c r="K325" s="72">
        <v>100</v>
      </c>
      <c r="L325" s="71">
        <v>50</v>
      </c>
      <c r="M325" s="72">
        <v>100</v>
      </c>
      <c r="N325" s="71">
        <v>50</v>
      </c>
      <c r="O325" s="72">
        <v>100</v>
      </c>
      <c r="P325" s="71">
        <v>50</v>
      </c>
      <c r="Q325" s="72">
        <v>100</v>
      </c>
      <c r="R325" s="71">
        <v>50</v>
      </c>
      <c r="S325" s="71">
        <v>100</v>
      </c>
      <c r="T325" s="70" t="s">
        <v>704</v>
      </c>
      <c r="U325" s="71" t="s">
        <v>705</v>
      </c>
      <c r="V325" s="71" t="s">
        <v>704</v>
      </c>
      <c r="W325" s="72" t="s">
        <v>705</v>
      </c>
      <c r="X325" s="70" t="s">
        <v>704</v>
      </c>
      <c r="Y325" s="72" t="s">
        <v>705</v>
      </c>
      <c r="AA325" s="71" t="s">
        <v>704</v>
      </c>
      <c r="AB325" s="72" t="s">
        <v>705</v>
      </c>
    </row>
    <row r="326" spans="1:30" ht="12.75" customHeight="1" x14ac:dyDescent="0.25">
      <c r="A326" s="6" t="s">
        <v>690</v>
      </c>
      <c r="B326">
        <v>2089</v>
      </c>
      <c r="C326">
        <v>3053</v>
      </c>
      <c r="D326">
        <v>0</v>
      </c>
      <c r="E326">
        <v>144</v>
      </c>
      <c r="F326">
        <v>1886</v>
      </c>
      <c r="G326" s="49">
        <v>0.125</v>
      </c>
      <c r="H326">
        <v>3</v>
      </c>
      <c r="I326" s="31">
        <v>5.6806906598833571E-4</v>
      </c>
      <c r="J326" s="31">
        <v>1.1509670304491158E-2</v>
      </c>
      <c r="K326" s="31">
        <v>2.2451271542993981E-2</v>
      </c>
      <c r="L326" s="31">
        <v>1.8720585000000001E-2</v>
      </c>
      <c r="M326" s="31">
        <v>3.7441170000000003E-2</v>
      </c>
      <c r="N326" s="31">
        <v>0</v>
      </c>
      <c r="O326" s="31">
        <v>0</v>
      </c>
      <c r="P326" s="31">
        <v>3.0000000000000001E-3</v>
      </c>
      <c r="Q326" s="31">
        <v>6.0000000000000001E-3</v>
      </c>
      <c r="R326" s="31">
        <v>0</v>
      </c>
      <c r="S326" s="31">
        <v>0</v>
      </c>
      <c r="T326" s="86">
        <f>(J326+L326+N326+P326+R326)*1000/1.2</f>
        <v>27.6918794204093</v>
      </c>
      <c r="U326" s="87">
        <f>(K326+M326+O326+Q326+S326)*1000/1.2</f>
        <v>54.910367952494994</v>
      </c>
      <c r="V326" s="80">
        <v>38.049999999999997</v>
      </c>
      <c r="W326" s="81">
        <v>76.099999999999994</v>
      </c>
      <c r="X326" s="93">
        <f>T326/V326-1</f>
        <v>-0.27222393113247567</v>
      </c>
      <c r="Y326" s="93">
        <f>U326/W326-1</f>
        <v>-0.27844457355459928</v>
      </c>
      <c r="AA326" s="94"/>
      <c r="AB326" s="95">
        <v>55</v>
      </c>
      <c r="AD326" s="49">
        <f>U326/AB326-1</f>
        <v>-1.6296735910000804E-3</v>
      </c>
    </row>
    <row r="327" spans="1:30" x14ac:dyDescent="0.25">
      <c r="A327" s="6" t="s">
        <v>692</v>
      </c>
      <c r="B327">
        <v>540</v>
      </c>
      <c r="C327">
        <v>4738</v>
      </c>
      <c r="D327">
        <v>0</v>
      </c>
      <c r="E327">
        <v>1</v>
      </c>
      <c r="F327">
        <v>503</v>
      </c>
      <c r="G327" s="49">
        <v>0.125</v>
      </c>
      <c r="H327">
        <v>5</v>
      </c>
      <c r="I327" s="31">
        <v>5.1334854754066966E-4</v>
      </c>
      <c r="J327" s="31">
        <v>4.423828154178828E-3</v>
      </c>
      <c r="K327" s="31">
        <v>8.3343077608169867E-3</v>
      </c>
      <c r="L327" s="31">
        <v>2.7232585312499995E-2</v>
      </c>
      <c r="M327" s="31">
        <v>5.446517062499999E-2</v>
      </c>
      <c r="N327" s="31">
        <v>0</v>
      </c>
      <c r="O327" s="31">
        <v>0</v>
      </c>
      <c r="P327" s="31">
        <v>0</v>
      </c>
      <c r="Q327" s="31">
        <v>0</v>
      </c>
      <c r="R327" s="31">
        <v>0</v>
      </c>
      <c r="S327" s="31">
        <v>0</v>
      </c>
      <c r="T327" s="86">
        <f t="shared" ref="T327:U339" si="11">(J327+L327+N327+P327+R327)*1000/1.2</f>
        <v>26.380344555565685</v>
      </c>
      <c r="U327" s="87">
        <f t="shared" si="11"/>
        <v>52.33289865484749</v>
      </c>
      <c r="V327" s="82">
        <v>375.9</v>
      </c>
      <c r="W327" s="83">
        <v>751.8</v>
      </c>
      <c r="X327" s="93">
        <f t="shared" ref="X327:Y338" si="12">T327/V327-1</f>
        <v>-0.92982084449171143</v>
      </c>
      <c r="Y327" s="93">
        <f t="shared" si="12"/>
        <v>-0.93038986611486096</v>
      </c>
      <c r="AA327" s="96"/>
      <c r="AB327" s="97"/>
      <c r="AD327" s="49" t="e">
        <f t="shared" ref="AD327:AD339" si="13">U327/AB327-1</f>
        <v>#DIV/0!</v>
      </c>
    </row>
    <row r="328" spans="1:30" x14ac:dyDescent="0.25">
      <c r="A328" s="6" t="s">
        <v>693</v>
      </c>
      <c r="B328">
        <v>3348</v>
      </c>
      <c r="C328">
        <v>1290</v>
      </c>
      <c r="D328">
        <v>0</v>
      </c>
      <c r="E328">
        <v>512</v>
      </c>
      <c r="F328">
        <v>2769</v>
      </c>
      <c r="G328" s="49">
        <v>0.20300000000000001</v>
      </c>
      <c r="H328">
        <v>2</v>
      </c>
      <c r="I328" s="31">
        <v>5.871473334497769E-4</v>
      </c>
      <c r="J328" s="31">
        <v>1.6703137855889588E-2</v>
      </c>
      <c r="K328" s="31">
        <v>3.2819128378329405E-2</v>
      </c>
      <c r="L328" s="31">
        <v>2.0749805370000002E-2</v>
      </c>
      <c r="M328" s="31">
        <v>4.1499610740000005E-2</v>
      </c>
      <c r="N328" s="31">
        <v>0</v>
      </c>
      <c r="O328" s="31">
        <v>0</v>
      </c>
      <c r="P328" s="31">
        <v>0</v>
      </c>
      <c r="Q328" s="31">
        <v>0</v>
      </c>
      <c r="R328" s="31">
        <v>0</v>
      </c>
      <c r="S328" s="31">
        <v>0</v>
      </c>
      <c r="T328" s="86">
        <f t="shared" si="11"/>
        <v>31.210786021574656</v>
      </c>
      <c r="U328" s="87">
        <f t="shared" si="11"/>
        <v>61.932282598607841</v>
      </c>
      <c r="V328" s="82">
        <v>65.8</v>
      </c>
      <c r="W328" s="83">
        <v>131.6</v>
      </c>
      <c r="X328" s="93">
        <f t="shared" si="12"/>
        <v>-0.52567194496087155</v>
      </c>
      <c r="Y328" s="93">
        <f t="shared" si="12"/>
        <v>-0.52938994985860299</v>
      </c>
      <c r="AA328" s="96"/>
      <c r="AB328" s="97">
        <v>62</v>
      </c>
      <c r="AD328" s="49">
        <f t="shared" si="13"/>
        <v>-1.0922161514864692E-3</v>
      </c>
    </row>
    <row r="329" spans="1:30" x14ac:dyDescent="0.25">
      <c r="A329" s="6" t="s">
        <v>694</v>
      </c>
      <c r="B329">
        <v>1507</v>
      </c>
      <c r="C329">
        <v>2057</v>
      </c>
      <c r="D329">
        <v>0</v>
      </c>
      <c r="E329">
        <v>1</v>
      </c>
      <c r="F329">
        <v>1455</v>
      </c>
      <c r="G329" s="49">
        <v>0.1414</v>
      </c>
      <c r="H329">
        <v>4</v>
      </c>
      <c r="I329" s="31">
        <v>5.5486028704760033E-4</v>
      </c>
      <c r="J329" s="31">
        <v>9.0110943834385126E-3</v>
      </c>
      <c r="K329" s="31">
        <v>1.7467328479829423E-2</v>
      </c>
      <c r="L329" s="31">
        <v>1.7231964813E-2</v>
      </c>
      <c r="M329" s="31">
        <v>3.4463929625999999E-2</v>
      </c>
      <c r="N329" s="31">
        <v>0</v>
      </c>
      <c r="O329" s="31">
        <v>0</v>
      </c>
      <c r="P329" s="31">
        <v>0</v>
      </c>
      <c r="Q329" s="31">
        <v>0</v>
      </c>
      <c r="R329" s="31">
        <v>0</v>
      </c>
      <c r="S329" s="31">
        <v>0</v>
      </c>
      <c r="T329" s="86">
        <f t="shared" si="11"/>
        <v>21.869215997032093</v>
      </c>
      <c r="U329" s="87">
        <f t="shared" si="11"/>
        <v>43.276048421524521</v>
      </c>
      <c r="V329" s="82">
        <v>35.5</v>
      </c>
      <c r="W329" s="83">
        <v>71</v>
      </c>
      <c r="X329" s="93">
        <f t="shared" si="12"/>
        <v>-0.38396574656247628</v>
      </c>
      <c r="Y329" s="93">
        <f t="shared" si="12"/>
        <v>-0.39047819124613348</v>
      </c>
      <c r="AA329" s="96"/>
      <c r="AB329" s="97">
        <v>53</v>
      </c>
      <c r="AD329" s="49">
        <f t="shared" si="13"/>
        <v>-0.18347078449953735</v>
      </c>
    </row>
    <row r="330" spans="1:30" x14ac:dyDescent="0.25">
      <c r="A330" s="6" t="s">
        <v>695</v>
      </c>
      <c r="B330">
        <v>2592</v>
      </c>
      <c r="C330">
        <v>2010</v>
      </c>
      <c r="D330">
        <v>0</v>
      </c>
      <c r="E330">
        <v>1</v>
      </c>
      <c r="F330">
        <v>2450</v>
      </c>
      <c r="G330" s="49">
        <v>0.16969999999999999</v>
      </c>
      <c r="H330">
        <v>3</v>
      </c>
      <c r="I330" s="31">
        <v>5.7679542223135519E-4</v>
      </c>
      <c r="J330" s="31">
        <v>1.3609179150547275E-2</v>
      </c>
      <c r="K330" s="31">
        <v>2.6641562878863195E-2</v>
      </c>
      <c r="L330" s="31">
        <v>2.1052501748999999E-2</v>
      </c>
      <c r="M330" s="79">
        <v>4.2105003497999997E-2</v>
      </c>
      <c r="N330" s="31">
        <v>0</v>
      </c>
      <c r="O330" s="31">
        <v>0</v>
      </c>
      <c r="P330" s="31">
        <v>0</v>
      </c>
      <c r="Q330" s="31">
        <v>0</v>
      </c>
      <c r="R330" s="31">
        <v>0</v>
      </c>
      <c r="S330" s="31">
        <v>0</v>
      </c>
      <c r="T330" s="86">
        <f t="shared" si="11"/>
        <v>28.884734082956061</v>
      </c>
      <c r="U330" s="87">
        <f t="shared" si="11"/>
        <v>57.288805314052659</v>
      </c>
      <c r="V330" s="82">
        <v>93.05</v>
      </c>
      <c r="W330" s="83">
        <v>186.1</v>
      </c>
      <c r="X330" s="93">
        <f t="shared" si="12"/>
        <v>-0.68957835483120844</v>
      </c>
      <c r="Y330" s="93">
        <f t="shared" si="12"/>
        <v>-0.69216117509912589</v>
      </c>
      <c r="AA330" s="96"/>
      <c r="AB330" s="97"/>
      <c r="AD330" s="49" t="e">
        <f t="shared" si="13"/>
        <v>#DIV/0!</v>
      </c>
    </row>
    <row r="331" spans="1:30" x14ac:dyDescent="0.25">
      <c r="A331" s="6" t="s">
        <v>696</v>
      </c>
      <c r="B331">
        <v>2464</v>
      </c>
      <c r="C331">
        <v>4500</v>
      </c>
      <c r="D331">
        <v>0</v>
      </c>
      <c r="E331">
        <v>0</v>
      </c>
      <c r="F331">
        <v>2439</v>
      </c>
      <c r="G331" s="49">
        <v>0.47</v>
      </c>
      <c r="H331">
        <v>3</v>
      </c>
      <c r="I331" s="31">
        <v>5.7474700073229662E-4</v>
      </c>
      <c r="J331" s="31">
        <v>1.3078746627245435E-2</v>
      </c>
      <c r="K331" s="31">
        <v>2.5582746253758573E-2</v>
      </c>
      <c r="L331" s="31">
        <v>9.3428538749999998E-2</v>
      </c>
      <c r="M331" s="31">
        <v>0.1868570775</v>
      </c>
      <c r="N331" s="31">
        <v>0</v>
      </c>
      <c r="O331" s="31">
        <v>8.9999999999999993E-3</v>
      </c>
      <c r="P331" s="31">
        <v>0</v>
      </c>
      <c r="Q331" s="31">
        <v>0</v>
      </c>
      <c r="R331" s="31">
        <v>0</v>
      </c>
      <c r="S331" s="31">
        <v>0</v>
      </c>
      <c r="T331" s="86">
        <f t="shared" si="11"/>
        <v>88.756071147704532</v>
      </c>
      <c r="U331" s="87">
        <f t="shared" si="11"/>
        <v>184.5331864614655</v>
      </c>
      <c r="V331" s="82">
        <v>14.6</v>
      </c>
      <c r="W331" s="83">
        <v>29.2</v>
      </c>
      <c r="X331" s="93">
        <f t="shared" si="12"/>
        <v>5.0791829553222287</v>
      </c>
      <c r="Y331" s="93">
        <f t="shared" si="12"/>
        <v>5.3196296733378601</v>
      </c>
      <c r="AA331" s="96"/>
      <c r="AB331" s="97">
        <v>238</v>
      </c>
      <c r="AD331" s="49">
        <f t="shared" si="13"/>
        <v>-0.22465047705266594</v>
      </c>
    </row>
    <row r="332" spans="1:30" x14ac:dyDescent="0.25">
      <c r="A332" s="6" t="s">
        <v>697</v>
      </c>
      <c r="B332">
        <v>1538</v>
      </c>
      <c r="C332">
        <v>4430</v>
      </c>
      <c r="D332">
        <v>0</v>
      </c>
      <c r="E332">
        <v>0</v>
      </c>
      <c r="F332">
        <v>1470</v>
      </c>
      <c r="G332" s="49">
        <v>0.125</v>
      </c>
      <c r="H332">
        <v>5</v>
      </c>
      <c r="I332" s="31">
        <v>5.5568388074358436E-4</v>
      </c>
      <c r="J332" s="31">
        <v>9.1468540148958392E-3</v>
      </c>
      <c r="K332" s="31">
        <v>1.7738024149048095E-2</v>
      </c>
      <c r="L332" s="31">
        <v>3.0161812499999996E-2</v>
      </c>
      <c r="M332" s="31">
        <v>6.0323624999999992E-2</v>
      </c>
      <c r="N332" s="31">
        <v>0</v>
      </c>
      <c r="O332" s="31">
        <v>0</v>
      </c>
      <c r="P332" s="31">
        <v>0</v>
      </c>
      <c r="Q332" s="31">
        <v>0</v>
      </c>
      <c r="R332" s="31">
        <v>0</v>
      </c>
      <c r="S332" s="31">
        <v>0</v>
      </c>
      <c r="T332" s="86">
        <f t="shared" si="11"/>
        <v>32.757222095746528</v>
      </c>
      <c r="U332" s="87">
        <f t="shared" si="11"/>
        <v>65.051374290873412</v>
      </c>
      <c r="V332" s="82">
        <v>14.6</v>
      </c>
      <c r="W332" s="83">
        <v>29.2</v>
      </c>
      <c r="X332" s="93">
        <f t="shared" si="12"/>
        <v>1.2436453490237347</v>
      </c>
      <c r="Y332" s="93">
        <f t="shared" si="12"/>
        <v>1.2277867907833362</v>
      </c>
      <c r="AA332" s="96"/>
      <c r="AB332" s="97"/>
      <c r="AD332" s="49" t="e">
        <f t="shared" si="13"/>
        <v>#DIV/0!</v>
      </c>
    </row>
    <row r="333" spans="1:30" x14ac:dyDescent="0.25">
      <c r="A333" s="6" t="s">
        <v>698</v>
      </c>
      <c r="B333">
        <v>830</v>
      </c>
      <c r="C333">
        <v>7620</v>
      </c>
      <c r="D333">
        <v>0</v>
      </c>
      <c r="E333">
        <v>0</v>
      </c>
      <c r="F333">
        <v>763</v>
      </c>
      <c r="G333" s="49">
        <v>0.125</v>
      </c>
      <c r="H333">
        <v>5</v>
      </c>
      <c r="I333" s="31">
        <v>5.3073524817529505E-4</v>
      </c>
      <c r="J333" s="31">
        <v>5.9095253055116391E-3</v>
      </c>
      <c r="K333" s="31">
        <v>1.1288315362847984E-2</v>
      </c>
      <c r="L333" s="31">
        <v>4.3563726562499995E-2</v>
      </c>
      <c r="M333" s="31">
        <v>8.712745312499999E-2</v>
      </c>
      <c r="N333" s="31">
        <v>0</v>
      </c>
      <c r="O333" s="31">
        <v>0</v>
      </c>
      <c r="P333" s="31">
        <v>0</v>
      </c>
      <c r="Q333" s="31">
        <v>0</v>
      </c>
      <c r="R333" s="31">
        <v>0</v>
      </c>
      <c r="S333" s="31">
        <v>0</v>
      </c>
      <c r="T333" s="86">
        <f t="shared" si="11"/>
        <v>41.227709890009692</v>
      </c>
      <c r="U333" s="87">
        <f t="shared" si="11"/>
        <v>82.013140406539975</v>
      </c>
      <c r="V333" s="82">
        <v>210.9</v>
      </c>
      <c r="W333" s="83">
        <v>421.8</v>
      </c>
      <c r="X333" s="93">
        <f t="shared" si="12"/>
        <v>-0.80451536325268047</v>
      </c>
      <c r="Y333" s="93">
        <f t="shared" si="12"/>
        <v>-0.8055639155843054</v>
      </c>
      <c r="AA333" s="96"/>
      <c r="AB333" s="97">
        <v>134</v>
      </c>
      <c r="AD333" s="49">
        <f t="shared" si="13"/>
        <v>-0.38796163875716438</v>
      </c>
    </row>
    <row r="334" spans="1:30" x14ac:dyDescent="0.25">
      <c r="A334" s="6" t="s">
        <v>699</v>
      </c>
      <c r="B334">
        <v>4552</v>
      </c>
      <c r="C334">
        <v>4531</v>
      </c>
      <c r="D334">
        <v>0</v>
      </c>
      <c r="E334">
        <v>0</v>
      </c>
      <c r="F334">
        <v>4475</v>
      </c>
      <c r="G334" s="49">
        <v>0.125</v>
      </c>
      <c r="H334">
        <v>3</v>
      </c>
      <c r="I334" s="31">
        <v>5.9957300410031509E-4</v>
      </c>
      <c r="J334" s="31">
        <v>2.154009353565927E-2</v>
      </c>
      <c r="K334" s="31">
        <v>4.2480614067218224E-2</v>
      </c>
      <c r="L334" s="31">
        <v>3.1550034375000001E-2</v>
      </c>
      <c r="M334" s="31">
        <v>6.3100068750000002E-2</v>
      </c>
      <c r="N334" s="31">
        <v>0</v>
      </c>
      <c r="O334" s="31">
        <v>0</v>
      </c>
      <c r="P334" s="31">
        <v>0</v>
      </c>
      <c r="Q334" s="31">
        <v>0</v>
      </c>
      <c r="R334" s="31">
        <v>0</v>
      </c>
      <c r="S334" s="31">
        <v>0</v>
      </c>
      <c r="T334" s="86">
        <f t="shared" si="11"/>
        <v>44.241773258882723</v>
      </c>
      <c r="U334" s="87">
        <f t="shared" si="11"/>
        <v>87.983902347681848</v>
      </c>
      <c r="V334" s="82">
        <v>62.7</v>
      </c>
      <c r="W334" s="83">
        <v>125.4</v>
      </c>
      <c r="X334" s="93">
        <f t="shared" si="12"/>
        <v>-0.2943895811980427</v>
      </c>
      <c r="Y334" s="93">
        <f t="shared" si="12"/>
        <v>-0.29837398446824681</v>
      </c>
      <c r="AA334" s="96"/>
      <c r="AB334" s="97"/>
      <c r="AD334" s="49" t="e">
        <f t="shared" si="13"/>
        <v>#DIV/0!</v>
      </c>
    </row>
    <row r="335" spans="1:30" x14ac:dyDescent="0.25">
      <c r="A335" s="6" t="s">
        <v>700</v>
      </c>
      <c r="B335">
        <v>607</v>
      </c>
      <c r="C335">
        <v>1134</v>
      </c>
      <c r="D335">
        <v>0</v>
      </c>
      <c r="E335">
        <v>0</v>
      </c>
      <c r="F335">
        <v>593</v>
      </c>
      <c r="G335" s="49">
        <v>0.31</v>
      </c>
      <c r="H335">
        <v>4</v>
      </c>
      <c r="I335" s="31">
        <v>5.1807929409750087E-4</v>
      </c>
      <c r="J335" s="31">
        <v>4.7829771200936485E-3</v>
      </c>
      <c r="K335" s="31">
        <v>9.0478749460897942E-3</v>
      </c>
      <c r="L335" s="31">
        <v>1.8728363250000001E-2</v>
      </c>
      <c r="M335" s="31">
        <v>3.7456726500000002E-2</v>
      </c>
      <c r="N335" s="31">
        <v>0</v>
      </c>
      <c r="O335" s="31">
        <v>0</v>
      </c>
      <c r="P335" s="31">
        <v>0</v>
      </c>
      <c r="Q335" s="31">
        <v>0</v>
      </c>
      <c r="R335" s="31">
        <v>0</v>
      </c>
      <c r="S335" s="31">
        <v>0</v>
      </c>
      <c r="T335" s="86">
        <f t="shared" si="11"/>
        <v>19.59278364174471</v>
      </c>
      <c r="U335" s="87">
        <f t="shared" si="11"/>
        <v>38.753834538408164</v>
      </c>
      <c r="V335" s="82">
        <v>24.1</v>
      </c>
      <c r="W335" s="83">
        <v>48.2</v>
      </c>
      <c r="X335" s="93">
        <f t="shared" si="12"/>
        <v>-0.18702142565374658</v>
      </c>
      <c r="Y335" s="93">
        <f t="shared" si="12"/>
        <v>-0.19597853654754849</v>
      </c>
      <c r="AA335" s="96"/>
      <c r="AB335" s="97">
        <v>38.35</v>
      </c>
      <c r="AD335" s="49">
        <f t="shared" si="13"/>
        <v>1.0530235682090217E-2</v>
      </c>
    </row>
    <row r="336" spans="1:30" x14ac:dyDescent="0.25">
      <c r="A336" s="6" t="s">
        <v>701</v>
      </c>
      <c r="B336">
        <v>2757</v>
      </c>
      <c r="C336">
        <v>3811</v>
      </c>
      <c r="D336">
        <v>0</v>
      </c>
      <c r="E336">
        <v>0</v>
      </c>
      <c r="F336">
        <v>2671</v>
      </c>
      <c r="G336" s="49">
        <v>0.125</v>
      </c>
      <c r="H336">
        <v>4</v>
      </c>
      <c r="I336" s="31">
        <v>5.7929158420753847E-4</v>
      </c>
      <c r="J336" s="31">
        <v>1.4289723452953769E-2</v>
      </c>
      <c r="K336" s="31">
        <v>2.8000155321700002E-2</v>
      </c>
      <c r="L336" s="31">
        <v>2.8106296874999999E-2</v>
      </c>
      <c r="M336" s="31">
        <v>5.6212593749999998E-2</v>
      </c>
      <c r="N336" s="31">
        <v>1.9E-2</v>
      </c>
      <c r="O336" s="31">
        <v>3.3000000000000002E-2</v>
      </c>
      <c r="P336" s="31">
        <v>0</v>
      </c>
      <c r="Q336" s="31">
        <v>0</v>
      </c>
      <c r="R336" s="31">
        <v>1E-3</v>
      </c>
      <c r="S336" s="31">
        <v>3.0000000000000001E-3</v>
      </c>
      <c r="T336" s="86">
        <f t="shared" si="11"/>
        <v>51.996683606628146</v>
      </c>
      <c r="U336" s="87">
        <f t="shared" si="11"/>
        <v>100.17729089308334</v>
      </c>
      <c r="V336" s="82">
        <v>53.95</v>
      </c>
      <c r="W336" s="83">
        <v>107.9</v>
      </c>
      <c r="X336" s="93">
        <f t="shared" si="12"/>
        <v>-3.6206049923482087E-2</v>
      </c>
      <c r="Y336" s="93">
        <f t="shared" si="12"/>
        <v>-7.1572836950108076E-2</v>
      </c>
      <c r="AA336" s="96"/>
      <c r="AB336" s="97">
        <v>141</v>
      </c>
      <c r="AD336" s="49">
        <f t="shared" si="13"/>
        <v>-0.28952275962352247</v>
      </c>
    </row>
    <row r="337" spans="1:30" x14ac:dyDescent="0.25">
      <c r="A337" s="6" t="s">
        <v>702</v>
      </c>
      <c r="B337">
        <v>3852</v>
      </c>
      <c r="C337">
        <v>3796</v>
      </c>
      <c r="D337">
        <v>0</v>
      </c>
      <c r="E337">
        <f>291*2</f>
        <v>582</v>
      </c>
      <c r="F337">
        <v>3492</v>
      </c>
      <c r="G337" s="49">
        <v>0.04</v>
      </c>
      <c r="H337">
        <v>3</v>
      </c>
      <c r="I337" s="31">
        <v>5.9281928497364003E-4</v>
      </c>
      <c r="J337" s="31">
        <v>1.8738391470220706E-2</v>
      </c>
      <c r="K337" s="31">
        <v>3.6883963655467776E-2</v>
      </c>
      <c r="L337" s="31">
        <v>9.6336936000000015E-3</v>
      </c>
      <c r="M337" s="31">
        <v>1.9267387200000003E-2</v>
      </c>
      <c r="N337" s="31">
        <v>0</v>
      </c>
      <c r="O337" s="31">
        <v>0</v>
      </c>
      <c r="P337" s="31">
        <v>0</v>
      </c>
      <c r="Q337" s="31">
        <v>8.0000000000000002E-3</v>
      </c>
      <c r="R337" s="31">
        <v>0</v>
      </c>
      <c r="S337" s="31">
        <v>0</v>
      </c>
      <c r="T337" s="86">
        <f t="shared" si="11"/>
        <v>23.643404225183925</v>
      </c>
      <c r="U337" s="87">
        <f t="shared" si="11"/>
        <v>53.459459046223152</v>
      </c>
      <c r="V337" s="82">
        <v>31.1</v>
      </c>
      <c r="W337" s="83">
        <v>62.2</v>
      </c>
      <c r="X337" s="93">
        <f t="shared" si="12"/>
        <v>-0.2397619220198095</v>
      </c>
      <c r="Y337" s="93">
        <f t="shared" si="12"/>
        <v>-0.14052316645943486</v>
      </c>
      <c r="AA337" s="96"/>
      <c r="AB337" s="97">
        <v>85.6</v>
      </c>
      <c r="AD337" s="49">
        <f t="shared" si="13"/>
        <v>-0.37547360927309392</v>
      </c>
    </row>
    <row r="338" spans="1:30" x14ac:dyDescent="0.25">
      <c r="A338" s="6" t="s">
        <v>703</v>
      </c>
      <c r="B338">
        <v>1539</v>
      </c>
      <c r="C338">
        <v>3027</v>
      </c>
      <c r="D338">
        <v>0</v>
      </c>
      <c r="E338">
        <v>4</v>
      </c>
      <c r="F338">
        <v>1472</v>
      </c>
      <c r="G338" s="49">
        <v>0.02</v>
      </c>
      <c r="H338">
        <v>5</v>
      </c>
      <c r="I338" s="31">
        <v>5.5571017107925163E-4</v>
      </c>
      <c r="J338" s="31">
        <v>9.151227182618767E-3</v>
      </c>
      <c r="K338" s="31">
        <v>1.7746744194158282E-2</v>
      </c>
      <c r="L338" s="31">
        <v>3.6567733500000002E-3</v>
      </c>
      <c r="M338" s="31">
        <v>7.3135467000000004E-3</v>
      </c>
      <c r="N338" s="31">
        <v>0</v>
      </c>
      <c r="O338" s="31">
        <v>8.9999999999999998E-4</v>
      </c>
      <c r="P338" s="31">
        <v>0</v>
      </c>
      <c r="Q338" s="31">
        <v>2.9E-4</v>
      </c>
      <c r="R338" s="31">
        <v>0</v>
      </c>
      <c r="S338" s="31">
        <v>0</v>
      </c>
      <c r="T338" s="86">
        <f t="shared" si="11"/>
        <v>10.673333777182306</v>
      </c>
      <c r="U338" s="87">
        <f t="shared" si="11"/>
        <v>21.875242411798567</v>
      </c>
      <c r="V338" s="84">
        <v>13.75</v>
      </c>
      <c r="W338" s="85">
        <v>27.5</v>
      </c>
      <c r="X338" s="93">
        <f t="shared" si="12"/>
        <v>-0.22375754347765053</v>
      </c>
      <c r="Y338" s="93">
        <f t="shared" si="12"/>
        <v>-0.20453663957096124</v>
      </c>
      <c r="AA338" s="98"/>
      <c r="AB338" s="99">
        <v>35</v>
      </c>
      <c r="AD338" s="49">
        <f t="shared" si="13"/>
        <v>-0.37499307394861237</v>
      </c>
    </row>
    <row r="339" spans="1:30" x14ac:dyDescent="0.25">
      <c r="A339" s="6" t="s">
        <v>725</v>
      </c>
      <c r="B339">
        <v>2816</v>
      </c>
      <c r="C339">
        <v>3457</v>
      </c>
      <c r="D339">
        <v>0</v>
      </c>
      <c r="E339">
        <v>0</v>
      </c>
      <c r="F339">
        <v>2651</v>
      </c>
      <c r="G339" s="49">
        <v>0.25240000000000001</v>
      </c>
      <c r="H339">
        <v>5</v>
      </c>
      <c r="I339">
        <v>5.8014803577112776E-4</v>
      </c>
      <c r="J339">
        <v>1.4532265056522227E-2</v>
      </c>
      <c r="K339">
        <v>2.8484382077273326E-2</v>
      </c>
      <c r="L339">
        <v>6.1831418669999999E-2</v>
      </c>
      <c r="M339">
        <v>0.12366283734</v>
      </c>
      <c r="R339" s="31">
        <v>1E-3</v>
      </c>
      <c r="S339" s="31">
        <v>3.0000000000000001E-3</v>
      </c>
      <c r="T339" s="86">
        <f t="shared" si="11"/>
        <v>64.469736438768521</v>
      </c>
      <c r="U339" s="87">
        <f t="shared" si="11"/>
        <v>129.28934951439444</v>
      </c>
      <c r="AB339" s="100">
        <v>124</v>
      </c>
      <c r="AD339" s="49">
        <f t="shared" si="13"/>
        <v>4.2656044470922971E-2</v>
      </c>
    </row>
    <row r="340" spans="1:30" ht="15" customHeight="1" x14ac:dyDescent="0.25"/>
    <row r="342" spans="1:30" x14ac:dyDescent="0.25">
      <c r="A342" s="7" t="s">
        <v>713</v>
      </c>
      <c r="E342" s="76" t="s">
        <v>316</v>
      </c>
      <c r="F342" s="77"/>
      <c r="G342" s="77"/>
      <c r="H342" s="78"/>
      <c r="I342" s="919" t="s">
        <v>315</v>
      </c>
      <c r="J342" s="933"/>
      <c r="K342" s="933"/>
      <c r="L342" s="934"/>
      <c r="M342" s="935" t="s">
        <v>717</v>
      </c>
      <c r="N342" s="937"/>
    </row>
    <row r="343" spans="1:30" ht="26.4" x14ac:dyDescent="0.25">
      <c r="A343" s="7"/>
      <c r="B343" s="22" t="s">
        <v>35</v>
      </c>
      <c r="C343" s="22" t="s">
        <v>105</v>
      </c>
      <c r="D343" s="22" t="s">
        <v>103</v>
      </c>
      <c r="E343" s="73" t="s">
        <v>709</v>
      </c>
      <c r="F343" s="74" t="s">
        <v>14</v>
      </c>
      <c r="G343" s="74" t="s">
        <v>540</v>
      </c>
      <c r="H343" s="75" t="s">
        <v>47</v>
      </c>
      <c r="I343" s="73" t="s">
        <v>108</v>
      </c>
      <c r="J343" s="74" t="s">
        <v>14</v>
      </c>
      <c r="K343" s="74" t="s">
        <v>540</v>
      </c>
      <c r="L343" s="75" t="s">
        <v>47</v>
      </c>
      <c r="M343" s="71">
        <v>50</v>
      </c>
      <c r="N343" s="72">
        <v>100</v>
      </c>
    </row>
    <row r="344" spans="1:30" x14ac:dyDescent="0.25">
      <c r="A344" s="6" t="s">
        <v>690</v>
      </c>
      <c r="B344">
        <v>0</v>
      </c>
    </row>
    <row r="345" spans="1:30" x14ac:dyDescent="0.25">
      <c r="A345" s="6" t="s">
        <v>692</v>
      </c>
      <c r="B345">
        <v>0</v>
      </c>
    </row>
    <row r="346" spans="1:30" x14ac:dyDescent="0.25">
      <c r="A346" s="6" t="s">
        <v>693</v>
      </c>
      <c r="B346">
        <v>0</v>
      </c>
    </row>
    <row r="347" spans="1:30" x14ac:dyDescent="0.25">
      <c r="A347" s="6" t="s">
        <v>694</v>
      </c>
      <c r="B347">
        <v>0</v>
      </c>
    </row>
    <row r="348" spans="1:30" x14ac:dyDescent="0.25">
      <c r="A348" s="6" t="s">
        <v>695</v>
      </c>
      <c r="B348">
        <v>0</v>
      </c>
    </row>
    <row r="349" spans="1:30" x14ac:dyDescent="0.25">
      <c r="A349" s="6" t="s">
        <v>696</v>
      </c>
      <c r="B349">
        <v>10</v>
      </c>
      <c r="C349" t="s">
        <v>537</v>
      </c>
    </row>
    <row r="350" spans="1:30" x14ac:dyDescent="0.25">
      <c r="A350" s="6" t="s">
        <v>697</v>
      </c>
      <c r="B350">
        <v>0</v>
      </c>
    </row>
    <row r="351" spans="1:30" x14ac:dyDescent="0.25">
      <c r="A351" s="6" t="s">
        <v>698</v>
      </c>
      <c r="B351">
        <v>0</v>
      </c>
    </row>
    <row r="352" spans="1:30" x14ac:dyDescent="0.25">
      <c r="A352" s="6" t="s">
        <v>699</v>
      </c>
      <c r="B352">
        <v>24</v>
      </c>
      <c r="C352" t="s">
        <v>534</v>
      </c>
    </row>
    <row r="353" spans="1:12" x14ac:dyDescent="0.25">
      <c r="A353" s="6" t="s">
        <v>700</v>
      </c>
    </row>
    <row r="354" spans="1:12" x14ac:dyDescent="0.25">
      <c r="A354" s="6" t="s">
        <v>701</v>
      </c>
      <c r="B354">
        <v>18</v>
      </c>
      <c r="C354" t="s">
        <v>534</v>
      </c>
      <c r="D354">
        <v>25</v>
      </c>
      <c r="E354" s="49">
        <v>0.25</v>
      </c>
      <c r="F354">
        <v>36</v>
      </c>
      <c r="G354" t="s">
        <v>541</v>
      </c>
      <c r="H354" s="49">
        <v>0.5</v>
      </c>
      <c r="I354" s="49">
        <v>0.25</v>
      </c>
      <c r="J354">
        <v>36</v>
      </c>
      <c r="K354" t="s">
        <v>541</v>
      </c>
      <c r="L354" s="49">
        <v>0.5</v>
      </c>
    </row>
    <row r="355" spans="1:12" ht="12" customHeight="1" x14ac:dyDescent="0.25">
      <c r="A355" s="6" t="s">
        <v>702</v>
      </c>
      <c r="B355">
        <v>0</v>
      </c>
    </row>
    <row r="356" spans="1:12" ht="25.5" customHeight="1" x14ac:dyDescent="0.25">
      <c r="A356" s="6" t="s">
        <v>703</v>
      </c>
      <c r="B356">
        <v>1</v>
      </c>
      <c r="C356" t="s">
        <v>537</v>
      </c>
    </row>
    <row r="358" spans="1:12" x14ac:dyDescent="0.25">
      <c r="A358" s="7" t="s">
        <v>714</v>
      </c>
      <c r="C358" s="22"/>
      <c r="D358" s="22"/>
      <c r="E358" s="22"/>
    </row>
    <row r="359" spans="1:12" x14ac:dyDescent="0.25">
      <c r="A359" s="7"/>
      <c r="B359" s="22" t="s">
        <v>710</v>
      </c>
    </row>
    <row r="360" spans="1:12" x14ac:dyDescent="0.25">
      <c r="A360" s="6" t="s">
        <v>690</v>
      </c>
      <c r="B360">
        <v>15</v>
      </c>
    </row>
    <row r="361" spans="1:12" x14ac:dyDescent="0.25">
      <c r="A361" s="6" t="s">
        <v>692</v>
      </c>
      <c r="B361">
        <v>0</v>
      </c>
    </row>
    <row r="362" spans="1:12" x14ac:dyDescent="0.25">
      <c r="A362" s="6" t="s">
        <v>693</v>
      </c>
      <c r="B362">
        <v>0</v>
      </c>
    </row>
    <row r="363" spans="1:12" x14ac:dyDescent="0.25">
      <c r="A363" s="6" t="s">
        <v>694</v>
      </c>
      <c r="B363">
        <v>0</v>
      </c>
    </row>
    <row r="364" spans="1:12" x14ac:dyDescent="0.25">
      <c r="A364" s="6" t="s">
        <v>695</v>
      </c>
      <c r="B364">
        <v>0</v>
      </c>
    </row>
    <row r="365" spans="1:12" x14ac:dyDescent="0.25">
      <c r="A365" s="6" t="s">
        <v>696</v>
      </c>
      <c r="B365">
        <v>0</v>
      </c>
    </row>
    <row r="366" spans="1:12" x14ac:dyDescent="0.25">
      <c r="A366" s="6" t="s">
        <v>697</v>
      </c>
      <c r="B366">
        <v>0</v>
      </c>
    </row>
    <row r="367" spans="1:12" x14ac:dyDescent="0.25">
      <c r="A367" s="6" t="s">
        <v>698</v>
      </c>
      <c r="B367">
        <v>0</v>
      </c>
    </row>
    <row r="368" spans="1:12" x14ac:dyDescent="0.25">
      <c r="A368" s="6" t="s">
        <v>699</v>
      </c>
      <c r="B368">
        <v>0</v>
      </c>
    </row>
    <row r="369" spans="1:15" x14ac:dyDescent="0.25">
      <c r="A369" s="6" t="s">
        <v>700</v>
      </c>
      <c r="B369">
        <v>0</v>
      </c>
    </row>
    <row r="370" spans="1:15" x14ac:dyDescent="0.25">
      <c r="A370" s="6" t="s">
        <v>701</v>
      </c>
      <c r="B370">
        <v>0</v>
      </c>
    </row>
    <row r="371" spans="1:15" x14ac:dyDescent="0.25">
      <c r="A371" s="6" t="s">
        <v>702</v>
      </c>
      <c r="B371">
        <v>27</v>
      </c>
    </row>
    <row r="372" spans="1:15" ht="13.65" customHeight="1" x14ac:dyDescent="0.25">
      <c r="A372" s="6" t="s">
        <v>703</v>
      </c>
      <c r="B372">
        <v>1</v>
      </c>
    </row>
    <row r="373" spans="1:15" ht="27.9" customHeight="1" x14ac:dyDescent="0.25"/>
    <row r="374" spans="1:15" ht="21" customHeight="1" x14ac:dyDescent="0.25">
      <c r="A374" s="7" t="s">
        <v>771</v>
      </c>
    </row>
    <row r="375" spans="1:15" x14ac:dyDescent="0.25">
      <c r="B375" s="917">
        <v>0</v>
      </c>
      <c r="C375" s="917"/>
      <c r="D375" s="917">
        <v>25</v>
      </c>
      <c r="E375" s="917"/>
      <c r="F375" s="917">
        <v>60</v>
      </c>
      <c r="G375" s="917"/>
      <c r="H375" s="917">
        <v>85</v>
      </c>
      <c r="I375" s="917"/>
      <c r="J375" s="917">
        <v>100</v>
      </c>
      <c r="K375" s="917"/>
      <c r="L375" s="917">
        <v>110</v>
      </c>
      <c r="M375" s="917"/>
      <c r="N375" s="917"/>
      <c r="O375" s="917"/>
    </row>
    <row r="376" spans="1:15" x14ac:dyDescent="0.25">
      <c r="A376" t="s">
        <v>751</v>
      </c>
      <c r="B376" s="917"/>
      <c r="C376" s="917"/>
      <c r="D376" t="s">
        <v>761</v>
      </c>
      <c r="E376" t="s">
        <v>762</v>
      </c>
      <c r="F376" t="s">
        <v>761</v>
      </c>
      <c r="G376" t="s">
        <v>762</v>
      </c>
      <c r="H376" t="s">
        <v>761</v>
      </c>
      <c r="I376" t="s">
        <v>762</v>
      </c>
      <c r="J376" t="s">
        <v>761</v>
      </c>
      <c r="K376" t="s">
        <v>762</v>
      </c>
    </row>
    <row r="377" spans="1:15" x14ac:dyDescent="0.25">
      <c r="A377" s="40" t="s">
        <v>763</v>
      </c>
      <c r="D377" s="40">
        <v>1.68</v>
      </c>
      <c r="H377" s="40">
        <v>8.24</v>
      </c>
      <c r="J377" s="40">
        <v>14.48</v>
      </c>
    </row>
    <row r="378" spans="1:15" x14ac:dyDescent="0.25">
      <c r="A378" s="27" t="s">
        <v>764</v>
      </c>
      <c r="D378" s="27">
        <v>4.5599999999999996</v>
      </c>
      <c r="H378" s="27">
        <v>23.7</v>
      </c>
      <c r="J378" s="27">
        <v>43.62</v>
      </c>
    </row>
    <row r="379" spans="1:15" x14ac:dyDescent="0.25">
      <c r="A379" s="27" t="s">
        <v>765</v>
      </c>
      <c r="D379" s="27">
        <v>6.58</v>
      </c>
      <c r="H379" s="27">
        <v>36.299999999999997</v>
      </c>
      <c r="J379" s="27">
        <v>68.48</v>
      </c>
    </row>
    <row r="380" spans="1:15" ht="12.75" customHeight="1" x14ac:dyDescent="0.25">
      <c r="A380" s="27" t="s">
        <v>766</v>
      </c>
      <c r="D380" s="27">
        <v>11.11</v>
      </c>
      <c r="H380" s="27">
        <v>62.6</v>
      </c>
      <c r="J380" s="27">
        <v>120.32</v>
      </c>
    </row>
    <row r="381" spans="1:15" x14ac:dyDescent="0.25">
      <c r="A381" s="27" t="s">
        <v>767</v>
      </c>
      <c r="D381" s="27">
        <v>19.8</v>
      </c>
      <c r="H381" s="27">
        <v>110</v>
      </c>
      <c r="J381" s="27">
        <v>212.28</v>
      </c>
    </row>
    <row r="382" spans="1:15" x14ac:dyDescent="0.25">
      <c r="A382" s="27" t="s">
        <v>768</v>
      </c>
      <c r="D382" s="27">
        <v>37.5</v>
      </c>
      <c r="H382" s="27">
        <v>213</v>
      </c>
      <c r="J382" s="27">
        <v>415.68</v>
      </c>
    </row>
    <row r="383" spans="1:15" x14ac:dyDescent="0.25">
      <c r="A383" s="41" t="s">
        <v>769</v>
      </c>
      <c r="D383" s="41">
        <v>51.3</v>
      </c>
      <c r="H383" s="41">
        <v>286</v>
      </c>
      <c r="J383" s="41">
        <v>450</v>
      </c>
    </row>
    <row r="385" spans="1:31" x14ac:dyDescent="0.25">
      <c r="B385" s="917">
        <v>0</v>
      </c>
      <c r="C385" s="917"/>
      <c r="D385" s="917">
        <v>25</v>
      </c>
      <c r="E385" s="917"/>
      <c r="F385" s="917">
        <v>60</v>
      </c>
      <c r="G385" s="917"/>
      <c r="H385" s="917">
        <v>85</v>
      </c>
      <c r="I385" s="917"/>
      <c r="J385" s="917">
        <v>100</v>
      </c>
      <c r="K385" s="917"/>
      <c r="L385" s="917">
        <v>110</v>
      </c>
      <c r="M385" s="917"/>
      <c r="N385" s="917"/>
      <c r="O385" s="917"/>
    </row>
    <row r="386" spans="1:31" x14ac:dyDescent="0.25">
      <c r="A386" t="s">
        <v>753</v>
      </c>
      <c r="B386" s="917"/>
      <c r="C386" s="917"/>
      <c r="D386" t="s">
        <v>761</v>
      </c>
      <c r="E386" t="s">
        <v>762</v>
      </c>
      <c r="F386" t="s">
        <v>761</v>
      </c>
      <c r="G386" t="s">
        <v>762</v>
      </c>
      <c r="H386" t="s">
        <v>761</v>
      </c>
      <c r="I386" t="s">
        <v>762</v>
      </c>
      <c r="J386" t="s">
        <v>761</v>
      </c>
      <c r="K386" t="s">
        <v>762</v>
      </c>
    </row>
    <row r="387" spans="1:31" x14ac:dyDescent="0.25">
      <c r="A387" s="40" t="s">
        <v>763</v>
      </c>
      <c r="D387" s="40">
        <v>2.56</v>
      </c>
      <c r="H387" s="40">
        <v>3.54</v>
      </c>
      <c r="J387" s="40">
        <v>3.87</v>
      </c>
    </row>
    <row r="388" spans="1:31" x14ac:dyDescent="0.25">
      <c r="A388" s="27" t="s">
        <v>764</v>
      </c>
      <c r="D388" s="27">
        <v>3.07</v>
      </c>
      <c r="H388" s="27">
        <v>5.24</v>
      </c>
      <c r="J388" s="27">
        <v>6</v>
      </c>
    </row>
    <row r="389" spans="1:31" x14ac:dyDescent="0.25">
      <c r="A389" s="27" t="s">
        <v>770</v>
      </c>
      <c r="D389" s="27">
        <v>3.46</v>
      </c>
      <c r="H389" s="27">
        <v>6.33</v>
      </c>
      <c r="J389" s="27">
        <v>7.39</v>
      </c>
    </row>
    <row r="390" spans="1:31" x14ac:dyDescent="0.25">
      <c r="A390" s="27" t="s">
        <v>766</v>
      </c>
      <c r="D390" s="27">
        <v>4.1900000000000004</v>
      </c>
      <c r="H390" s="27">
        <v>8.4</v>
      </c>
      <c r="J390" s="27">
        <v>10.3</v>
      </c>
    </row>
    <row r="391" spans="1:31" x14ac:dyDescent="0.25">
      <c r="A391" s="27" t="s">
        <v>767</v>
      </c>
      <c r="D391" s="27">
        <v>5.41</v>
      </c>
      <c r="H391" s="27">
        <v>12.7</v>
      </c>
      <c r="J391" s="27">
        <v>15.7</v>
      </c>
    </row>
    <row r="392" spans="1:31" x14ac:dyDescent="0.25">
      <c r="A392" s="27" t="s">
        <v>768</v>
      </c>
      <c r="D392" s="27">
        <v>8.49</v>
      </c>
      <c r="H392" s="27">
        <v>22.2</v>
      </c>
      <c r="J392" s="27">
        <v>28.23</v>
      </c>
    </row>
    <row r="393" spans="1:31" x14ac:dyDescent="0.25">
      <c r="A393" s="41" t="s">
        <v>769</v>
      </c>
      <c r="D393" s="41">
        <v>12.1</v>
      </c>
      <c r="H393" s="41">
        <v>33.299999999999997</v>
      </c>
      <c r="J393" s="41">
        <v>43.5</v>
      </c>
    </row>
    <row r="397" spans="1:31" x14ac:dyDescent="0.25">
      <c r="W397" s="102"/>
      <c r="X397" s="77" t="s">
        <v>952</v>
      </c>
      <c r="Y397" s="77"/>
      <c r="Z397" s="103"/>
    </row>
    <row r="398" spans="1:31" ht="79.2" x14ac:dyDescent="0.25">
      <c r="A398" s="104" t="s">
        <v>953</v>
      </c>
      <c r="B398" s="104" t="s">
        <v>19</v>
      </c>
      <c r="C398" s="104" t="s">
        <v>30</v>
      </c>
      <c r="D398" s="104" t="s">
        <v>31</v>
      </c>
      <c r="E398" s="104" t="s">
        <v>125</v>
      </c>
      <c r="F398" s="104" t="s">
        <v>650</v>
      </c>
      <c r="G398" s="104" t="s">
        <v>651</v>
      </c>
      <c r="H398" s="104" t="s">
        <v>381</v>
      </c>
      <c r="I398" s="104" t="s">
        <v>20</v>
      </c>
      <c r="J398" s="104" t="s">
        <v>26</v>
      </c>
      <c r="K398" s="104" t="s">
        <v>34</v>
      </c>
      <c r="L398" s="104" t="s">
        <v>27</v>
      </c>
      <c r="M398" s="104" t="s">
        <v>772</v>
      </c>
      <c r="N398" s="104" t="s">
        <v>513</v>
      </c>
      <c r="O398" s="104" t="s">
        <v>954</v>
      </c>
      <c r="P398" s="104" t="s">
        <v>955</v>
      </c>
      <c r="Q398" s="104" t="s">
        <v>956</v>
      </c>
      <c r="R398" s="104" t="s">
        <v>957</v>
      </c>
      <c r="S398" s="104" t="s">
        <v>958</v>
      </c>
      <c r="T398" s="104" t="s">
        <v>959</v>
      </c>
      <c r="U398" s="104" t="s">
        <v>960</v>
      </c>
      <c r="V398" s="104" t="s">
        <v>961</v>
      </c>
      <c r="W398" s="105" t="s">
        <v>962</v>
      </c>
      <c r="X398" s="106" t="s">
        <v>963</v>
      </c>
      <c r="Y398" s="106" t="s">
        <v>704</v>
      </c>
      <c r="Z398" s="107" t="s">
        <v>705</v>
      </c>
      <c r="AB398" s="7" t="s">
        <v>966</v>
      </c>
      <c r="AC398" s="7" t="s">
        <v>967</v>
      </c>
      <c r="AD398" s="7" t="s">
        <v>968</v>
      </c>
      <c r="AE398" s="7" t="s">
        <v>969</v>
      </c>
    </row>
    <row r="399" spans="1:31" x14ac:dyDescent="0.25">
      <c r="A399" t="s">
        <v>134</v>
      </c>
      <c r="B399">
        <v>100</v>
      </c>
      <c r="C399">
        <v>1</v>
      </c>
      <c r="D399">
        <v>0</v>
      </c>
      <c r="E399">
        <v>0</v>
      </c>
      <c r="F399" t="s">
        <v>458</v>
      </c>
      <c r="G399" t="s">
        <v>458</v>
      </c>
      <c r="H399" t="s">
        <v>396</v>
      </c>
      <c r="I399">
        <v>1</v>
      </c>
      <c r="J399">
        <v>1</v>
      </c>
      <c r="K399">
        <v>0</v>
      </c>
      <c r="L399" t="s">
        <v>28</v>
      </c>
      <c r="M399" t="s">
        <v>512</v>
      </c>
      <c r="N399" t="s">
        <v>514</v>
      </c>
      <c r="O399">
        <v>6.3040799999999994E-4</v>
      </c>
      <c r="P399">
        <v>1.6500000000000002E-3</v>
      </c>
      <c r="Q399">
        <v>0</v>
      </c>
      <c r="R399">
        <v>7.4999999999999997E-3</v>
      </c>
      <c r="S399" s="101">
        <v>6.3040799999999994E-4</v>
      </c>
      <c r="T399" s="101">
        <v>1.6500000000000002E-3</v>
      </c>
      <c r="U399" s="101">
        <v>0</v>
      </c>
      <c r="V399" s="101">
        <v>7.4999999999999997E-3</v>
      </c>
      <c r="W399">
        <v>1.65</v>
      </c>
      <c r="X399">
        <v>1.65</v>
      </c>
      <c r="Y399">
        <v>1.65</v>
      </c>
      <c r="Z399">
        <v>1.65</v>
      </c>
      <c r="AA399" t="s">
        <v>347</v>
      </c>
      <c r="AB399" t="str">
        <f>IF($O399-$S399 &gt; 0, "ERROR","OK")</f>
        <v>OK</v>
      </c>
      <c r="AC399" t="str">
        <f>IF($P399-$T399 &gt; 0, "ERROR","OK")</f>
        <v>OK</v>
      </c>
      <c r="AD399" t="str">
        <f>IF($Q399-$U399 &gt; 0, "ERROR","OK")</f>
        <v>OK</v>
      </c>
      <c r="AE399" t="str">
        <f>IF($R399-$V399 &gt; 0, "ERROR","OK")</f>
        <v>OK</v>
      </c>
    </row>
    <row r="400" spans="1:31" x14ac:dyDescent="0.25">
      <c r="A400" t="s">
        <v>134</v>
      </c>
      <c r="B400">
        <v>100</v>
      </c>
      <c r="C400">
        <v>1</v>
      </c>
      <c r="D400">
        <v>0</v>
      </c>
      <c r="E400">
        <v>0</v>
      </c>
      <c r="F400" t="s">
        <v>680</v>
      </c>
      <c r="G400" t="s">
        <v>458</v>
      </c>
      <c r="H400" t="s">
        <v>396</v>
      </c>
      <c r="I400">
        <v>1</v>
      </c>
      <c r="J400">
        <v>1</v>
      </c>
      <c r="K400">
        <v>0</v>
      </c>
      <c r="L400" t="s">
        <v>28</v>
      </c>
      <c r="M400" t="s">
        <v>512</v>
      </c>
      <c r="N400" t="s">
        <v>514</v>
      </c>
      <c r="O400">
        <v>6.3040799999999994E-4</v>
      </c>
      <c r="P400">
        <v>1.6500000000000002E-3</v>
      </c>
      <c r="Q400">
        <v>1.125E-2</v>
      </c>
      <c r="R400">
        <v>7.4999999999999997E-3</v>
      </c>
      <c r="S400" s="101">
        <v>6.3040799999999994E-4</v>
      </c>
      <c r="T400" s="101">
        <v>1.6500000000000002E-3</v>
      </c>
      <c r="U400" s="101">
        <v>1.125E-2</v>
      </c>
      <c r="V400" s="101">
        <v>7.4999999999999997E-3</v>
      </c>
      <c r="W400">
        <v>1.65</v>
      </c>
      <c r="X400">
        <v>1.65</v>
      </c>
      <c r="Y400">
        <v>1.65</v>
      </c>
      <c r="Z400">
        <v>1.65</v>
      </c>
      <c r="AA400" t="s">
        <v>347</v>
      </c>
      <c r="AB400" t="str">
        <f t="shared" ref="AB400:AB463" si="14">IF($O400-$S400 &gt; 0, "ERROR","OK")</f>
        <v>OK</v>
      </c>
      <c r="AC400" t="str">
        <f t="shared" ref="AC400:AC463" si="15">IF($P400-$T400 &gt; 0, "ERROR","OK")</f>
        <v>OK</v>
      </c>
      <c r="AD400" t="str">
        <f t="shared" ref="AD400:AD463" si="16">IF($Q400-$U400 &gt; 0, "ERROR","OK")</f>
        <v>OK</v>
      </c>
      <c r="AE400" t="str">
        <f t="shared" ref="AE400:AE463" si="17">IF($R400-$V400 &gt; 0, "ERROR","OK")</f>
        <v>OK</v>
      </c>
    </row>
    <row r="401" spans="1:31" x14ac:dyDescent="0.25">
      <c r="A401" t="s">
        <v>134</v>
      </c>
      <c r="B401">
        <v>100</v>
      </c>
      <c r="C401">
        <v>1</v>
      </c>
      <c r="D401">
        <v>0</v>
      </c>
      <c r="E401">
        <v>0</v>
      </c>
      <c r="F401" t="s">
        <v>679</v>
      </c>
      <c r="G401" t="s">
        <v>458</v>
      </c>
      <c r="H401" t="s">
        <v>396</v>
      </c>
      <c r="I401">
        <v>1</v>
      </c>
      <c r="J401">
        <v>1</v>
      </c>
      <c r="K401">
        <v>0</v>
      </c>
      <c r="L401" t="s">
        <v>28</v>
      </c>
      <c r="M401" t="s">
        <v>512</v>
      </c>
      <c r="N401" t="s">
        <v>514</v>
      </c>
      <c r="O401">
        <v>6.3040799999999994E-4</v>
      </c>
      <c r="P401">
        <v>1.6500000000000002E-3</v>
      </c>
      <c r="Q401">
        <v>2.2499999999999999E-2</v>
      </c>
      <c r="R401">
        <v>1.4999999999999999E-2</v>
      </c>
      <c r="S401" s="101">
        <v>6.3040799999999994E-4</v>
      </c>
      <c r="T401" s="101">
        <v>1.6500000000000002E-3</v>
      </c>
      <c r="U401" s="101">
        <v>2.2499999999999999E-2</v>
      </c>
      <c r="V401" s="101">
        <v>1.4999999999999999E-2</v>
      </c>
      <c r="W401">
        <v>1.65</v>
      </c>
      <c r="X401">
        <v>1.65</v>
      </c>
      <c r="Y401">
        <v>1.65</v>
      </c>
      <c r="Z401">
        <v>1.65</v>
      </c>
      <c r="AA401" t="s">
        <v>347</v>
      </c>
      <c r="AB401" t="str">
        <f t="shared" si="14"/>
        <v>OK</v>
      </c>
      <c r="AC401" t="str">
        <f t="shared" si="15"/>
        <v>OK</v>
      </c>
      <c r="AD401" t="str">
        <f t="shared" si="16"/>
        <v>OK</v>
      </c>
      <c r="AE401" t="str">
        <f t="shared" si="17"/>
        <v>OK</v>
      </c>
    </row>
    <row r="402" spans="1:31" x14ac:dyDescent="0.25">
      <c r="A402" t="s">
        <v>134</v>
      </c>
      <c r="B402">
        <v>100</v>
      </c>
      <c r="C402">
        <v>1</v>
      </c>
      <c r="D402">
        <v>0</v>
      </c>
      <c r="E402">
        <v>0</v>
      </c>
      <c r="F402" t="s">
        <v>681</v>
      </c>
      <c r="G402" t="s">
        <v>458</v>
      </c>
      <c r="H402" t="s">
        <v>396</v>
      </c>
      <c r="I402">
        <v>1</v>
      </c>
      <c r="J402">
        <v>1</v>
      </c>
      <c r="K402">
        <v>0</v>
      </c>
      <c r="L402" t="s">
        <v>28</v>
      </c>
      <c r="M402" t="s">
        <v>512</v>
      </c>
      <c r="N402" t="s">
        <v>514</v>
      </c>
      <c r="O402">
        <v>6.3040799999999994E-4</v>
      </c>
      <c r="P402">
        <v>1.6500000000000002E-3</v>
      </c>
      <c r="Q402">
        <v>1.125E-2</v>
      </c>
      <c r="R402">
        <v>7.4999999999999997E-3</v>
      </c>
      <c r="S402" s="101">
        <v>6.3040799999999994E-4</v>
      </c>
      <c r="T402" s="101">
        <v>1.6500000000000002E-3</v>
      </c>
      <c r="U402" s="101">
        <v>1.125E-2</v>
      </c>
      <c r="V402" s="101">
        <v>7.4999999999999997E-3</v>
      </c>
      <c r="W402">
        <v>1.65</v>
      </c>
      <c r="X402">
        <v>1.65</v>
      </c>
      <c r="Y402">
        <v>1.65</v>
      </c>
      <c r="Z402">
        <v>1.65</v>
      </c>
      <c r="AA402" t="s">
        <v>347</v>
      </c>
      <c r="AB402" t="str">
        <f t="shared" si="14"/>
        <v>OK</v>
      </c>
      <c r="AC402" t="str">
        <f t="shared" si="15"/>
        <v>OK</v>
      </c>
      <c r="AD402" t="str">
        <f t="shared" si="16"/>
        <v>OK</v>
      </c>
      <c r="AE402" t="str">
        <f t="shared" si="17"/>
        <v>OK</v>
      </c>
    </row>
    <row r="403" spans="1:31" x14ac:dyDescent="0.25">
      <c r="A403" t="s">
        <v>134</v>
      </c>
      <c r="B403">
        <v>100</v>
      </c>
      <c r="C403">
        <v>1</v>
      </c>
      <c r="D403">
        <v>0</v>
      </c>
      <c r="E403">
        <v>0</v>
      </c>
      <c r="F403" t="s">
        <v>682</v>
      </c>
      <c r="G403" t="s">
        <v>458</v>
      </c>
      <c r="H403" t="s">
        <v>396</v>
      </c>
      <c r="I403">
        <v>1</v>
      </c>
      <c r="J403">
        <v>1</v>
      </c>
      <c r="K403">
        <v>0</v>
      </c>
      <c r="L403" t="s">
        <v>28</v>
      </c>
      <c r="M403" t="s">
        <v>512</v>
      </c>
      <c r="N403" t="s">
        <v>514</v>
      </c>
      <c r="O403">
        <v>6.3040799999999994E-4</v>
      </c>
      <c r="P403">
        <v>1.6500000000000002E-3</v>
      </c>
      <c r="Q403">
        <v>7.4999999999999997E-3</v>
      </c>
      <c r="R403">
        <v>5.0000000000000001E-3</v>
      </c>
      <c r="S403" s="101">
        <v>6.3040799999999994E-4</v>
      </c>
      <c r="T403" s="101">
        <v>1.6500000000000002E-3</v>
      </c>
      <c r="U403" s="101">
        <v>7.4999999999999997E-3</v>
      </c>
      <c r="V403" s="101">
        <v>5.0000000000000001E-3</v>
      </c>
      <c r="W403">
        <v>1.65</v>
      </c>
      <c r="X403">
        <v>1.65</v>
      </c>
      <c r="Y403">
        <v>1.65</v>
      </c>
      <c r="Z403">
        <v>1.65</v>
      </c>
      <c r="AA403" t="s">
        <v>347</v>
      </c>
      <c r="AB403" t="str">
        <f t="shared" si="14"/>
        <v>OK</v>
      </c>
      <c r="AC403" t="str">
        <f t="shared" si="15"/>
        <v>OK</v>
      </c>
      <c r="AD403" t="str">
        <f t="shared" si="16"/>
        <v>OK</v>
      </c>
      <c r="AE403" t="str">
        <f t="shared" si="17"/>
        <v>OK</v>
      </c>
    </row>
    <row r="404" spans="1:31" x14ac:dyDescent="0.25">
      <c r="A404" t="s">
        <v>136</v>
      </c>
      <c r="B404">
        <v>100</v>
      </c>
      <c r="C404">
        <v>1</v>
      </c>
      <c r="D404">
        <v>0</v>
      </c>
      <c r="E404">
        <v>0</v>
      </c>
      <c r="F404" t="s">
        <v>458</v>
      </c>
      <c r="G404" t="s">
        <v>458</v>
      </c>
      <c r="H404" t="s">
        <v>396</v>
      </c>
      <c r="I404">
        <v>0.5</v>
      </c>
      <c r="J404">
        <v>1</v>
      </c>
      <c r="K404">
        <v>0</v>
      </c>
      <c r="L404" t="s">
        <v>28</v>
      </c>
      <c r="M404" t="s">
        <v>512</v>
      </c>
      <c r="N404" t="s">
        <v>514</v>
      </c>
      <c r="O404">
        <v>5.9732399999999999E-4</v>
      </c>
      <c r="P404">
        <v>1.6500000000000002E-3</v>
      </c>
      <c r="Q404">
        <v>0</v>
      </c>
      <c r="R404">
        <v>8.9999999999999993E-3</v>
      </c>
      <c r="S404" s="101">
        <v>5.9732399999999999E-4</v>
      </c>
      <c r="T404" s="101">
        <v>1.6500000000000002E-3</v>
      </c>
      <c r="U404" s="101">
        <v>0</v>
      </c>
      <c r="V404" s="101">
        <v>8.9999999999999993E-3</v>
      </c>
      <c r="W404">
        <v>1.65</v>
      </c>
      <c r="X404">
        <v>1.65</v>
      </c>
      <c r="Y404">
        <v>1.65</v>
      </c>
      <c r="Z404">
        <v>1.65</v>
      </c>
      <c r="AA404" t="s">
        <v>243</v>
      </c>
      <c r="AB404" t="str">
        <f t="shared" si="14"/>
        <v>OK</v>
      </c>
      <c r="AC404" t="str">
        <f t="shared" si="15"/>
        <v>OK</v>
      </c>
      <c r="AD404" t="str">
        <f t="shared" si="16"/>
        <v>OK</v>
      </c>
      <c r="AE404" t="str">
        <f t="shared" si="17"/>
        <v>OK</v>
      </c>
    </row>
    <row r="405" spans="1:31" x14ac:dyDescent="0.25">
      <c r="A405" t="s">
        <v>136</v>
      </c>
      <c r="B405">
        <v>100</v>
      </c>
      <c r="C405">
        <v>1</v>
      </c>
      <c r="D405">
        <v>0</v>
      </c>
      <c r="E405">
        <v>0</v>
      </c>
      <c r="F405" t="s">
        <v>680</v>
      </c>
      <c r="G405" t="s">
        <v>458</v>
      </c>
      <c r="H405" t="s">
        <v>396</v>
      </c>
      <c r="I405">
        <v>0.5</v>
      </c>
      <c r="J405">
        <v>1</v>
      </c>
      <c r="K405">
        <v>0</v>
      </c>
      <c r="L405" t="s">
        <v>28</v>
      </c>
      <c r="M405" t="s">
        <v>512</v>
      </c>
      <c r="N405" t="s">
        <v>514</v>
      </c>
      <c r="O405">
        <v>5.9732399999999999E-4</v>
      </c>
      <c r="P405">
        <v>1.6500000000000002E-3</v>
      </c>
      <c r="Q405">
        <v>1.6199999999999999E-2</v>
      </c>
      <c r="R405">
        <v>8.9999999999999993E-3</v>
      </c>
      <c r="S405" s="101">
        <v>5.9732399999999999E-4</v>
      </c>
      <c r="T405" s="101">
        <v>1.6500000000000002E-3</v>
      </c>
      <c r="U405" s="101">
        <v>1.6199999999999999E-2</v>
      </c>
      <c r="V405" s="101">
        <v>8.9999999999999993E-3</v>
      </c>
      <c r="W405">
        <v>1.65</v>
      </c>
      <c r="X405">
        <v>1.65</v>
      </c>
      <c r="Y405">
        <v>1.65</v>
      </c>
      <c r="Z405">
        <v>1.65</v>
      </c>
      <c r="AA405" t="s">
        <v>243</v>
      </c>
      <c r="AB405" t="str">
        <f t="shared" si="14"/>
        <v>OK</v>
      </c>
      <c r="AC405" t="str">
        <f t="shared" si="15"/>
        <v>OK</v>
      </c>
      <c r="AD405" t="str">
        <f t="shared" si="16"/>
        <v>OK</v>
      </c>
      <c r="AE405" t="str">
        <f t="shared" si="17"/>
        <v>OK</v>
      </c>
    </row>
    <row r="406" spans="1:31" x14ac:dyDescent="0.25">
      <c r="A406" t="s">
        <v>136</v>
      </c>
      <c r="B406">
        <v>100</v>
      </c>
      <c r="C406">
        <v>1</v>
      </c>
      <c r="D406">
        <v>0</v>
      </c>
      <c r="E406">
        <v>0</v>
      </c>
      <c r="F406" t="s">
        <v>679</v>
      </c>
      <c r="G406" t="s">
        <v>458</v>
      </c>
      <c r="H406" t="s">
        <v>396</v>
      </c>
      <c r="I406">
        <v>0.5</v>
      </c>
      <c r="J406">
        <v>1</v>
      </c>
      <c r="K406">
        <v>0</v>
      </c>
      <c r="L406" t="s">
        <v>28</v>
      </c>
      <c r="M406" t="s">
        <v>512</v>
      </c>
      <c r="N406" t="s">
        <v>514</v>
      </c>
      <c r="O406">
        <v>5.9732399999999999E-4</v>
      </c>
      <c r="P406">
        <v>1.6500000000000002E-3</v>
      </c>
      <c r="Q406">
        <v>3.2399999999999998E-2</v>
      </c>
      <c r="R406">
        <v>1.7999999999999999E-2</v>
      </c>
      <c r="S406" s="101">
        <v>5.9732399999999999E-4</v>
      </c>
      <c r="T406" s="101">
        <v>1.6500000000000002E-3</v>
      </c>
      <c r="U406" s="101">
        <v>3.2399999999999998E-2</v>
      </c>
      <c r="V406" s="101">
        <v>1.7999999999999999E-2</v>
      </c>
      <c r="W406">
        <v>1.65</v>
      </c>
      <c r="X406">
        <v>1.65</v>
      </c>
      <c r="Y406">
        <v>1.65</v>
      </c>
      <c r="Z406">
        <v>1.65</v>
      </c>
      <c r="AA406" t="s">
        <v>243</v>
      </c>
      <c r="AB406" t="str">
        <f t="shared" si="14"/>
        <v>OK</v>
      </c>
      <c r="AC406" t="str">
        <f t="shared" si="15"/>
        <v>OK</v>
      </c>
      <c r="AD406" t="str">
        <f t="shared" si="16"/>
        <v>OK</v>
      </c>
      <c r="AE406" t="str">
        <f t="shared" si="17"/>
        <v>OK</v>
      </c>
    </row>
    <row r="407" spans="1:31" x14ac:dyDescent="0.25">
      <c r="A407" t="s">
        <v>136</v>
      </c>
      <c r="B407">
        <v>100</v>
      </c>
      <c r="C407">
        <v>1</v>
      </c>
      <c r="D407">
        <v>0</v>
      </c>
      <c r="E407">
        <v>0</v>
      </c>
      <c r="F407" t="s">
        <v>681</v>
      </c>
      <c r="G407" t="s">
        <v>458</v>
      </c>
      <c r="H407" t="s">
        <v>396</v>
      </c>
      <c r="I407">
        <v>0.5</v>
      </c>
      <c r="J407">
        <v>1</v>
      </c>
      <c r="K407">
        <v>0</v>
      </c>
      <c r="L407" t="s">
        <v>28</v>
      </c>
      <c r="M407" t="s">
        <v>512</v>
      </c>
      <c r="N407" t="s">
        <v>514</v>
      </c>
      <c r="O407">
        <v>5.9732399999999999E-4</v>
      </c>
      <c r="P407">
        <v>1.6500000000000002E-3</v>
      </c>
      <c r="Q407">
        <v>1.6199999999999999E-2</v>
      </c>
      <c r="R407">
        <v>8.9999999999999993E-3</v>
      </c>
      <c r="S407" s="101">
        <v>5.9732399999999999E-4</v>
      </c>
      <c r="T407" s="101">
        <v>1.6500000000000002E-3</v>
      </c>
      <c r="U407" s="101">
        <v>1.6199999999999999E-2</v>
      </c>
      <c r="V407" s="101">
        <v>8.9999999999999993E-3</v>
      </c>
      <c r="W407">
        <v>1.65</v>
      </c>
      <c r="X407">
        <v>1.65</v>
      </c>
      <c r="Y407">
        <v>1.65</v>
      </c>
      <c r="Z407">
        <v>1.65</v>
      </c>
      <c r="AA407" t="s">
        <v>243</v>
      </c>
      <c r="AB407" t="str">
        <f t="shared" si="14"/>
        <v>OK</v>
      </c>
      <c r="AC407" t="str">
        <f t="shared" si="15"/>
        <v>OK</v>
      </c>
      <c r="AD407" t="str">
        <f t="shared" si="16"/>
        <v>OK</v>
      </c>
      <c r="AE407" t="str">
        <f t="shared" si="17"/>
        <v>OK</v>
      </c>
    </row>
    <row r="408" spans="1:31" x14ac:dyDescent="0.25">
      <c r="A408" t="s">
        <v>136</v>
      </c>
      <c r="B408">
        <v>100</v>
      </c>
      <c r="C408">
        <v>1</v>
      </c>
      <c r="D408">
        <v>0</v>
      </c>
      <c r="E408">
        <v>0</v>
      </c>
      <c r="F408" t="s">
        <v>682</v>
      </c>
      <c r="G408" t="s">
        <v>458</v>
      </c>
      <c r="H408" t="s">
        <v>396</v>
      </c>
      <c r="I408">
        <v>0.5</v>
      </c>
      <c r="J408">
        <v>1</v>
      </c>
      <c r="K408">
        <v>0</v>
      </c>
      <c r="L408" t="s">
        <v>28</v>
      </c>
      <c r="M408" t="s">
        <v>512</v>
      </c>
      <c r="N408" t="s">
        <v>514</v>
      </c>
      <c r="O408">
        <v>5.9732399999999999E-4</v>
      </c>
      <c r="P408">
        <v>1.6500000000000002E-3</v>
      </c>
      <c r="Q408">
        <v>1.0800000000000001E-2</v>
      </c>
      <c r="R408">
        <v>6.0000000000000001E-3</v>
      </c>
      <c r="S408" s="101">
        <v>5.9732399999999999E-4</v>
      </c>
      <c r="T408" s="101">
        <v>1.6500000000000002E-3</v>
      </c>
      <c r="U408" s="101">
        <v>1.0800000000000001E-2</v>
      </c>
      <c r="V408" s="101">
        <v>6.0000000000000001E-3</v>
      </c>
      <c r="W408">
        <v>1.65</v>
      </c>
      <c r="X408">
        <v>1.65</v>
      </c>
      <c r="Y408">
        <v>1.65</v>
      </c>
      <c r="Z408">
        <v>1.65</v>
      </c>
      <c r="AA408" t="s">
        <v>243</v>
      </c>
      <c r="AB408" t="str">
        <f t="shared" si="14"/>
        <v>OK</v>
      </c>
      <c r="AC408" t="str">
        <f t="shared" si="15"/>
        <v>OK</v>
      </c>
      <c r="AD408" t="str">
        <f t="shared" si="16"/>
        <v>OK</v>
      </c>
      <c r="AE408" t="str">
        <f t="shared" si="17"/>
        <v>OK</v>
      </c>
    </row>
    <row r="409" spans="1:31" x14ac:dyDescent="0.25">
      <c r="A409" t="s">
        <v>759</v>
      </c>
      <c r="B409">
        <v>100</v>
      </c>
      <c r="C409">
        <v>1</v>
      </c>
      <c r="D409">
        <v>0</v>
      </c>
      <c r="E409">
        <v>0</v>
      </c>
      <c r="F409" t="s">
        <v>458</v>
      </c>
      <c r="G409" t="s">
        <v>458</v>
      </c>
      <c r="H409" t="s">
        <v>396</v>
      </c>
      <c r="I409">
        <v>0.125</v>
      </c>
      <c r="J409">
        <v>1</v>
      </c>
      <c r="K409">
        <v>0</v>
      </c>
      <c r="L409" t="s">
        <v>28</v>
      </c>
      <c r="M409" t="s">
        <v>512</v>
      </c>
      <c r="N409" t="s">
        <v>514</v>
      </c>
      <c r="O409">
        <v>5.7251099999999994E-4</v>
      </c>
      <c r="P409">
        <v>1.6500000000000002E-3</v>
      </c>
      <c r="Q409">
        <v>0</v>
      </c>
      <c r="R409">
        <v>7.4999999999999997E-3</v>
      </c>
      <c r="S409" s="101">
        <v>5.7251099999999994E-4</v>
      </c>
      <c r="T409" s="101">
        <v>1.6500000000000002E-3</v>
      </c>
      <c r="U409" s="101">
        <v>0</v>
      </c>
      <c r="V409" s="101">
        <v>7.4999999999999997E-3</v>
      </c>
      <c r="W409">
        <v>1.65</v>
      </c>
      <c r="X409">
        <v>1.65</v>
      </c>
      <c r="Y409">
        <v>1.65</v>
      </c>
      <c r="Z409">
        <v>1.65</v>
      </c>
      <c r="AA409" t="s">
        <v>964</v>
      </c>
      <c r="AB409" t="str">
        <f t="shared" si="14"/>
        <v>OK</v>
      </c>
      <c r="AC409" t="str">
        <f t="shared" si="15"/>
        <v>OK</v>
      </c>
      <c r="AD409" t="str">
        <f t="shared" si="16"/>
        <v>OK</v>
      </c>
      <c r="AE409" t="str">
        <f t="shared" si="17"/>
        <v>OK</v>
      </c>
    </row>
    <row r="410" spans="1:31" x14ac:dyDescent="0.25">
      <c r="A410" t="s">
        <v>759</v>
      </c>
      <c r="B410">
        <v>100</v>
      </c>
      <c r="C410">
        <v>1</v>
      </c>
      <c r="D410">
        <v>0</v>
      </c>
      <c r="E410">
        <v>0</v>
      </c>
      <c r="F410" t="s">
        <v>680</v>
      </c>
      <c r="G410" t="s">
        <v>458</v>
      </c>
      <c r="H410" t="s">
        <v>396</v>
      </c>
      <c r="I410">
        <v>0.125</v>
      </c>
      <c r="J410">
        <v>1</v>
      </c>
      <c r="K410">
        <v>0</v>
      </c>
      <c r="L410" t="s">
        <v>28</v>
      </c>
      <c r="M410" t="s">
        <v>512</v>
      </c>
      <c r="N410" t="s">
        <v>514</v>
      </c>
      <c r="O410">
        <v>5.7251099999999994E-4</v>
      </c>
      <c r="P410">
        <v>1.6500000000000002E-3</v>
      </c>
      <c r="Q410">
        <v>1.125E-2</v>
      </c>
      <c r="R410">
        <v>7.4999999999999997E-3</v>
      </c>
      <c r="S410" s="101">
        <v>5.7251099999999994E-4</v>
      </c>
      <c r="T410" s="101">
        <v>1.6500000000000002E-3</v>
      </c>
      <c r="U410" s="101">
        <v>1.125E-2</v>
      </c>
      <c r="V410" s="101">
        <v>7.4999999999999997E-3</v>
      </c>
      <c r="W410">
        <v>1.65</v>
      </c>
      <c r="X410">
        <v>1.65</v>
      </c>
      <c r="Y410">
        <v>1.65</v>
      </c>
      <c r="Z410">
        <v>1.65</v>
      </c>
      <c r="AA410" t="s">
        <v>964</v>
      </c>
      <c r="AB410" t="str">
        <f t="shared" si="14"/>
        <v>OK</v>
      </c>
      <c r="AC410" t="str">
        <f t="shared" si="15"/>
        <v>OK</v>
      </c>
      <c r="AD410" t="str">
        <f t="shared" si="16"/>
        <v>OK</v>
      </c>
      <c r="AE410" t="str">
        <f t="shared" si="17"/>
        <v>OK</v>
      </c>
    </row>
    <row r="411" spans="1:31" x14ac:dyDescent="0.25">
      <c r="A411" t="s">
        <v>759</v>
      </c>
      <c r="B411">
        <v>100</v>
      </c>
      <c r="C411">
        <v>1</v>
      </c>
      <c r="D411">
        <v>0</v>
      </c>
      <c r="E411">
        <v>0</v>
      </c>
      <c r="F411" t="s">
        <v>679</v>
      </c>
      <c r="G411" t="s">
        <v>458</v>
      </c>
      <c r="H411" t="s">
        <v>396</v>
      </c>
      <c r="I411">
        <v>0.125</v>
      </c>
      <c r="J411">
        <v>1</v>
      </c>
      <c r="K411">
        <v>0</v>
      </c>
      <c r="L411" t="s">
        <v>28</v>
      </c>
      <c r="M411" t="s">
        <v>512</v>
      </c>
      <c r="N411" t="s">
        <v>514</v>
      </c>
      <c r="O411">
        <v>5.7251099999999994E-4</v>
      </c>
      <c r="P411">
        <v>1.6500000000000002E-3</v>
      </c>
      <c r="Q411">
        <v>2.2499999999999999E-2</v>
      </c>
      <c r="R411">
        <v>1.4999999999999999E-2</v>
      </c>
      <c r="S411" s="101">
        <v>5.7251099999999994E-4</v>
      </c>
      <c r="T411" s="101">
        <v>1.6500000000000002E-3</v>
      </c>
      <c r="U411" s="101">
        <v>2.2499999999999999E-2</v>
      </c>
      <c r="V411" s="101">
        <v>1.4999999999999999E-2</v>
      </c>
      <c r="W411">
        <v>1.65</v>
      </c>
      <c r="X411">
        <v>1.65</v>
      </c>
      <c r="Y411">
        <v>1.65</v>
      </c>
      <c r="Z411">
        <v>1.65</v>
      </c>
      <c r="AA411" t="s">
        <v>964</v>
      </c>
      <c r="AB411" t="str">
        <f t="shared" si="14"/>
        <v>OK</v>
      </c>
      <c r="AC411" t="str">
        <f t="shared" si="15"/>
        <v>OK</v>
      </c>
      <c r="AD411" t="str">
        <f t="shared" si="16"/>
        <v>OK</v>
      </c>
      <c r="AE411" t="str">
        <f t="shared" si="17"/>
        <v>OK</v>
      </c>
    </row>
    <row r="412" spans="1:31" x14ac:dyDescent="0.25">
      <c r="A412" t="s">
        <v>759</v>
      </c>
      <c r="B412">
        <v>100</v>
      </c>
      <c r="C412">
        <v>1</v>
      </c>
      <c r="D412">
        <v>0</v>
      </c>
      <c r="E412">
        <v>0</v>
      </c>
      <c r="F412" t="s">
        <v>681</v>
      </c>
      <c r="G412" t="s">
        <v>458</v>
      </c>
      <c r="H412" t="s">
        <v>396</v>
      </c>
      <c r="I412">
        <v>0.125</v>
      </c>
      <c r="J412">
        <v>1</v>
      </c>
      <c r="K412">
        <v>0</v>
      </c>
      <c r="L412" t="s">
        <v>28</v>
      </c>
      <c r="M412" t="s">
        <v>512</v>
      </c>
      <c r="N412" t="s">
        <v>514</v>
      </c>
      <c r="O412">
        <v>5.7251099999999994E-4</v>
      </c>
      <c r="P412">
        <v>1.6500000000000002E-3</v>
      </c>
      <c r="Q412">
        <v>1.125E-2</v>
      </c>
      <c r="R412">
        <v>7.4999999999999997E-3</v>
      </c>
      <c r="S412" s="101">
        <v>5.7251099999999994E-4</v>
      </c>
      <c r="T412" s="101">
        <v>1.6500000000000002E-3</v>
      </c>
      <c r="U412" s="101">
        <v>1.125E-2</v>
      </c>
      <c r="V412" s="101">
        <v>7.4999999999999997E-3</v>
      </c>
      <c r="W412">
        <v>1.65</v>
      </c>
      <c r="X412">
        <v>1.65</v>
      </c>
      <c r="Y412">
        <v>1.65</v>
      </c>
      <c r="Z412">
        <v>1.65</v>
      </c>
      <c r="AA412" t="s">
        <v>964</v>
      </c>
      <c r="AB412" t="str">
        <f t="shared" si="14"/>
        <v>OK</v>
      </c>
      <c r="AC412" t="str">
        <f t="shared" si="15"/>
        <v>OK</v>
      </c>
      <c r="AD412" t="str">
        <f t="shared" si="16"/>
        <v>OK</v>
      </c>
      <c r="AE412" t="str">
        <f t="shared" si="17"/>
        <v>OK</v>
      </c>
    </row>
    <row r="413" spans="1:31" x14ac:dyDescent="0.25">
      <c r="A413" t="s">
        <v>759</v>
      </c>
      <c r="B413">
        <v>100</v>
      </c>
      <c r="C413">
        <v>1</v>
      </c>
      <c r="D413">
        <v>0</v>
      </c>
      <c r="E413">
        <v>0</v>
      </c>
      <c r="F413" t="s">
        <v>682</v>
      </c>
      <c r="G413" t="s">
        <v>458</v>
      </c>
      <c r="H413" t="s">
        <v>396</v>
      </c>
      <c r="I413">
        <v>0.125</v>
      </c>
      <c r="J413">
        <v>1</v>
      </c>
      <c r="K413">
        <v>0</v>
      </c>
      <c r="L413" t="s">
        <v>28</v>
      </c>
      <c r="M413" t="s">
        <v>512</v>
      </c>
      <c r="N413" t="s">
        <v>514</v>
      </c>
      <c r="O413">
        <v>5.7251099999999994E-4</v>
      </c>
      <c r="P413">
        <v>1.6500000000000002E-3</v>
      </c>
      <c r="Q413">
        <v>7.4999999999999997E-3</v>
      </c>
      <c r="R413">
        <v>5.0000000000000001E-3</v>
      </c>
      <c r="S413" s="101">
        <v>5.7251099999999994E-4</v>
      </c>
      <c r="T413" s="101">
        <v>1.6500000000000002E-3</v>
      </c>
      <c r="U413" s="101">
        <v>7.4999999999999997E-3</v>
      </c>
      <c r="V413" s="101">
        <v>5.0000000000000001E-3</v>
      </c>
      <c r="W413">
        <v>1.65</v>
      </c>
      <c r="X413">
        <v>1.65</v>
      </c>
      <c r="Y413">
        <v>1.65</v>
      </c>
      <c r="Z413">
        <v>1.65</v>
      </c>
      <c r="AA413" t="s">
        <v>964</v>
      </c>
      <c r="AB413" t="str">
        <f t="shared" si="14"/>
        <v>OK</v>
      </c>
      <c r="AC413" t="str">
        <f t="shared" si="15"/>
        <v>OK</v>
      </c>
      <c r="AD413" t="str">
        <f t="shared" si="16"/>
        <v>OK</v>
      </c>
      <c r="AE413" t="str">
        <f t="shared" si="17"/>
        <v>OK</v>
      </c>
    </row>
    <row r="414" spans="1:31" x14ac:dyDescent="0.25">
      <c r="A414" t="s">
        <v>350</v>
      </c>
      <c r="B414">
        <v>100</v>
      </c>
      <c r="C414">
        <v>1</v>
      </c>
      <c r="D414">
        <v>0</v>
      </c>
      <c r="E414">
        <v>0</v>
      </c>
      <c r="F414" t="s">
        <v>458</v>
      </c>
      <c r="G414" t="s">
        <v>458</v>
      </c>
      <c r="H414" t="s">
        <v>396</v>
      </c>
      <c r="I414">
        <v>0.125</v>
      </c>
      <c r="J414">
        <v>1</v>
      </c>
      <c r="K414">
        <v>0</v>
      </c>
      <c r="L414" t="s">
        <v>28</v>
      </c>
      <c r="M414" t="s">
        <v>512</v>
      </c>
      <c r="N414" t="s">
        <v>514</v>
      </c>
      <c r="O414">
        <v>5.7251099999999994E-4</v>
      </c>
      <c r="P414">
        <v>1.6500000000000002E-3</v>
      </c>
      <c r="Q414">
        <v>0</v>
      </c>
      <c r="R414">
        <v>8.9999999999999993E-3</v>
      </c>
      <c r="S414" s="101">
        <v>5.7251099999999994E-4</v>
      </c>
      <c r="T414" s="101">
        <v>1.6500000000000002E-3</v>
      </c>
      <c r="U414" s="101">
        <v>0</v>
      </c>
      <c r="V414" s="101">
        <v>8.9999999999999993E-3</v>
      </c>
      <c r="W414">
        <v>1.65</v>
      </c>
      <c r="X414">
        <v>1.65</v>
      </c>
      <c r="Y414">
        <v>1.65</v>
      </c>
      <c r="Z414">
        <v>1.65</v>
      </c>
      <c r="AA414" t="s">
        <v>351</v>
      </c>
      <c r="AB414" t="str">
        <f t="shared" si="14"/>
        <v>OK</v>
      </c>
      <c r="AC414" t="str">
        <f t="shared" si="15"/>
        <v>OK</v>
      </c>
      <c r="AD414" t="str">
        <f t="shared" si="16"/>
        <v>OK</v>
      </c>
      <c r="AE414" t="str">
        <f t="shared" si="17"/>
        <v>OK</v>
      </c>
    </row>
    <row r="415" spans="1:31" x14ac:dyDescent="0.25">
      <c r="A415" t="s">
        <v>350</v>
      </c>
      <c r="B415">
        <v>100</v>
      </c>
      <c r="C415">
        <v>1</v>
      </c>
      <c r="D415">
        <v>0</v>
      </c>
      <c r="E415">
        <v>0</v>
      </c>
      <c r="F415" t="s">
        <v>680</v>
      </c>
      <c r="G415" t="s">
        <v>458</v>
      </c>
      <c r="H415" t="s">
        <v>396</v>
      </c>
      <c r="I415">
        <v>0.125</v>
      </c>
      <c r="J415">
        <v>1</v>
      </c>
      <c r="K415">
        <v>0</v>
      </c>
      <c r="L415" t="s">
        <v>28</v>
      </c>
      <c r="M415" t="s">
        <v>512</v>
      </c>
      <c r="N415" t="s">
        <v>514</v>
      </c>
      <c r="O415">
        <v>5.7251099999999994E-4</v>
      </c>
      <c r="P415">
        <v>1.6500000000000002E-3</v>
      </c>
      <c r="Q415">
        <v>1.6199999999999999E-2</v>
      </c>
      <c r="R415">
        <v>8.9999999999999993E-3</v>
      </c>
      <c r="S415" s="101">
        <v>5.7251099999999994E-4</v>
      </c>
      <c r="T415" s="101">
        <v>1.6500000000000002E-3</v>
      </c>
      <c r="U415" s="101">
        <v>1.6199999999999999E-2</v>
      </c>
      <c r="V415" s="101">
        <v>8.9999999999999993E-3</v>
      </c>
      <c r="W415">
        <v>1.65</v>
      </c>
      <c r="X415">
        <v>1.65</v>
      </c>
      <c r="Y415">
        <v>1.65</v>
      </c>
      <c r="Z415">
        <v>1.65</v>
      </c>
      <c r="AA415" t="s">
        <v>351</v>
      </c>
      <c r="AB415" t="str">
        <f t="shared" si="14"/>
        <v>OK</v>
      </c>
      <c r="AC415" t="str">
        <f t="shared" si="15"/>
        <v>OK</v>
      </c>
      <c r="AD415" t="str">
        <f t="shared" si="16"/>
        <v>OK</v>
      </c>
      <c r="AE415" t="str">
        <f t="shared" si="17"/>
        <v>OK</v>
      </c>
    </row>
    <row r="416" spans="1:31" x14ac:dyDescent="0.25">
      <c r="A416" t="s">
        <v>350</v>
      </c>
      <c r="B416">
        <v>100</v>
      </c>
      <c r="C416">
        <v>1</v>
      </c>
      <c r="D416">
        <v>0</v>
      </c>
      <c r="E416">
        <v>0</v>
      </c>
      <c r="F416" t="s">
        <v>679</v>
      </c>
      <c r="G416" t="s">
        <v>458</v>
      </c>
      <c r="H416" t="s">
        <v>396</v>
      </c>
      <c r="I416">
        <v>0.125</v>
      </c>
      <c r="J416">
        <v>1</v>
      </c>
      <c r="K416">
        <v>0</v>
      </c>
      <c r="L416" t="s">
        <v>28</v>
      </c>
      <c r="M416" t="s">
        <v>512</v>
      </c>
      <c r="N416" t="s">
        <v>514</v>
      </c>
      <c r="O416">
        <v>5.7251099999999994E-4</v>
      </c>
      <c r="P416">
        <v>1.6500000000000002E-3</v>
      </c>
      <c r="Q416">
        <v>3.2399999999999998E-2</v>
      </c>
      <c r="R416">
        <v>1.7999999999999999E-2</v>
      </c>
      <c r="S416" s="101">
        <v>5.7251099999999994E-4</v>
      </c>
      <c r="T416" s="101">
        <v>1.6500000000000002E-3</v>
      </c>
      <c r="U416" s="101">
        <v>3.2399999999999998E-2</v>
      </c>
      <c r="V416" s="101">
        <v>1.7999999999999999E-2</v>
      </c>
      <c r="W416">
        <v>1.65</v>
      </c>
      <c r="X416">
        <v>1.65</v>
      </c>
      <c r="Y416">
        <v>1.65</v>
      </c>
      <c r="Z416">
        <v>1.65</v>
      </c>
      <c r="AA416" t="s">
        <v>351</v>
      </c>
      <c r="AB416" t="str">
        <f t="shared" si="14"/>
        <v>OK</v>
      </c>
      <c r="AC416" t="str">
        <f t="shared" si="15"/>
        <v>OK</v>
      </c>
      <c r="AD416" t="str">
        <f t="shared" si="16"/>
        <v>OK</v>
      </c>
      <c r="AE416" t="str">
        <f t="shared" si="17"/>
        <v>OK</v>
      </c>
    </row>
    <row r="417" spans="1:31" x14ac:dyDescent="0.25">
      <c r="A417" t="s">
        <v>350</v>
      </c>
      <c r="B417">
        <v>100</v>
      </c>
      <c r="C417">
        <v>1</v>
      </c>
      <c r="D417">
        <v>0</v>
      </c>
      <c r="E417">
        <v>0</v>
      </c>
      <c r="F417" t="s">
        <v>681</v>
      </c>
      <c r="G417" t="s">
        <v>458</v>
      </c>
      <c r="H417" t="s">
        <v>396</v>
      </c>
      <c r="I417">
        <v>0.125</v>
      </c>
      <c r="J417">
        <v>1</v>
      </c>
      <c r="K417">
        <v>0</v>
      </c>
      <c r="L417" t="s">
        <v>28</v>
      </c>
      <c r="M417" t="s">
        <v>512</v>
      </c>
      <c r="N417" t="s">
        <v>514</v>
      </c>
      <c r="O417">
        <v>5.7251099999999994E-4</v>
      </c>
      <c r="P417">
        <v>1.6500000000000002E-3</v>
      </c>
      <c r="Q417">
        <v>1.6199999999999999E-2</v>
      </c>
      <c r="R417">
        <v>8.9999999999999993E-3</v>
      </c>
      <c r="S417" s="101">
        <v>5.7251099999999994E-4</v>
      </c>
      <c r="T417" s="101">
        <v>1.6500000000000002E-3</v>
      </c>
      <c r="U417" s="101">
        <v>1.6199999999999999E-2</v>
      </c>
      <c r="V417" s="101">
        <v>8.9999999999999993E-3</v>
      </c>
      <c r="W417">
        <v>1.65</v>
      </c>
      <c r="X417">
        <v>1.65</v>
      </c>
      <c r="Y417">
        <v>1.65</v>
      </c>
      <c r="Z417">
        <v>1.65</v>
      </c>
      <c r="AA417" t="s">
        <v>351</v>
      </c>
      <c r="AB417" t="str">
        <f t="shared" si="14"/>
        <v>OK</v>
      </c>
      <c r="AC417" t="str">
        <f t="shared" si="15"/>
        <v>OK</v>
      </c>
      <c r="AD417" t="str">
        <f t="shared" si="16"/>
        <v>OK</v>
      </c>
      <c r="AE417" t="str">
        <f t="shared" si="17"/>
        <v>OK</v>
      </c>
    </row>
    <row r="418" spans="1:31" x14ac:dyDescent="0.25">
      <c r="A418" t="s">
        <v>350</v>
      </c>
      <c r="B418">
        <v>100</v>
      </c>
      <c r="C418">
        <v>1</v>
      </c>
      <c r="D418">
        <v>0</v>
      </c>
      <c r="E418">
        <v>0</v>
      </c>
      <c r="F418" t="s">
        <v>682</v>
      </c>
      <c r="G418" t="s">
        <v>458</v>
      </c>
      <c r="H418" t="s">
        <v>396</v>
      </c>
      <c r="I418">
        <v>0.125</v>
      </c>
      <c r="J418">
        <v>1</v>
      </c>
      <c r="K418">
        <v>0</v>
      </c>
      <c r="L418" t="s">
        <v>28</v>
      </c>
      <c r="M418" t="s">
        <v>512</v>
      </c>
      <c r="N418" t="s">
        <v>514</v>
      </c>
      <c r="O418">
        <v>5.7251099999999994E-4</v>
      </c>
      <c r="P418">
        <v>1.6500000000000002E-3</v>
      </c>
      <c r="Q418">
        <v>1.0800000000000001E-2</v>
      </c>
      <c r="R418">
        <v>6.0000000000000001E-3</v>
      </c>
      <c r="S418" s="101">
        <v>5.7251099999999994E-4</v>
      </c>
      <c r="T418" s="101">
        <v>1.6500000000000002E-3</v>
      </c>
      <c r="U418" s="101">
        <v>1.0800000000000001E-2</v>
      </c>
      <c r="V418" s="101">
        <v>6.0000000000000001E-3</v>
      </c>
      <c r="W418">
        <v>1.65</v>
      </c>
      <c r="X418">
        <v>1.65</v>
      </c>
      <c r="Y418">
        <v>1.65</v>
      </c>
      <c r="Z418">
        <v>1.65</v>
      </c>
      <c r="AA418" t="s">
        <v>351</v>
      </c>
      <c r="AB418" t="str">
        <f t="shared" si="14"/>
        <v>OK</v>
      </c>
      <c r="AC418" t="str">
        <f t="shared" si="15"/>
        <v>OK</v>
      </c>
      <c r="AD418" t="str">
        <f t="shared" si="16"/>
        <v>OK</v>
      </c>
      <c r="AE418" t="str">
        <f t="shared" si="17"/>
        <v>OK</v>
      </c>
    </row>
    <row r="419" spans="1:31" x14ac:dyDescent="0.25">
      <c r="A419" t="s">
        <v>348</v>
      </c>
      <c r="B419">
        <v>100</v>
      </c>
      <c r="C419">
        <v>1</v>
      </c>
      <c r="D419">
        <v>0</v>
      </c>
      <c r="E419">
        <v>0</v>
      </c>
      <c r="F419" t="s">
        <v>458</v>
      </c>
      <c r="G419" t="s">
        <v>458</v>
      </c>
      <c r="H419" t="s">
        <v>396</v>
      </c>
      <c r="I419">
        <v>0.125</v>
      </c>
      <c r="J419">
        <v>1</v>
      </c>
      <c r="K419">
        <v>0</v>
      </c>
      <c r="L419" t="s">
        <v>28</v>
      </c>
      <c r="M419" t="s">
        <v>512</v>
      </c>
      <c r="N419" t="s">
        <v>514</v>
      </c>
      <c r="O419">
        <v>5.7251099999999994E-4</v>
      </c>
      <c r="P419">
        <v>1.6500000000000002E-3</v>
      </c>
      <c r="Q419">
        <v>0</v>
      </c>
      <c r="R419">
        <v>7.4999999999999997E-3</v>
      </c>
      <c r="S419" s="101">
        <v>5.7251099999999994E-4</v>
      </c>
      <c r="T419" s="101">
        <v>1.6500000000000002E-3</v>
      </c>
      <c r="U419" s="101">
        <v>0</v>
      </c>
      <c r="V419" s="101">
        <v>7.4999999999999997E-3</v>
      </c>
      <c r="W419">
        <v>1.65</v>
      </c>
      <c r="X419">
        <v>1.65</v>
      </c>
      <c r="Y419">
        <v>1.65</v>
      </c>
      <c r="Z419">
        <v>1.65</v>
      </c>
      <c r="AA419" t="s">
        <v>349</v>
      </c>
      <c r="AB419" t="str">
        <f t="shared" si="14"/>
        <v>OK</v>
      </c>
      <c r="AC419" t="str">
        <f t="shared" si="15"/>
        <v>OK</v>
      </c>
      <c r="AD419" t="str">
        <f t="shared" si="16"/>
        <v>OK</v>
      </c>
      <c r="AE419" t="str">
        <f t="shared" si="17"/>
        <v>OK</v>
      </c>
    </row>
    <row r="420" spans="1:31" x14ac:dyDescent="0.25">
      <c r="A420" t="s">
        <v>348</v>
      </c>
      <c r="B420">
        <v>100</v>
      </c>
      <c r="C420">
        <v>1</v>
      </c>
      <c r="D420">
        <v>0</v>
      </c>
      <c r="E420">
        <v>0</v>
      </c>
      <c r="F420" t="s">
        <v>680</v>
      </c>
      <c r="G420" t="s">
        <v>458</v>
      </c>
      <c r="H420" t="s">
        <v>396</v>
      </c>
      <c r="I420">
        <v>0.125</v>
      </c>
      <c r="J420">
        <v>1</v>
      </c>
      <c r="K420">
        <v>0</v>
      </c>
      <c r="L420" t="s">
        <v>28</v>
      </c>
      <c r="M420" t="s">
        <v>512</v>
      </c>
      <c r="N420" t="s">
        <v>514</v>
      </c>
      <c r="O420">
        <v>5.7251099999999994E-4</v>
      </c>
      <c r="P420">
        <v>1.6500000000000002E-3</v>
      </c>
      <c r="Q420">
        <v>1.125E-2</v>
      </c>
      <c r="R420">
        <v>7.4999999999999997E-3</v>
      </c>
      <c r="S420" s="101">
        <v>5.7251099999999994E-4</v>
      </c>
      <c r="T420" s="101">
        <v>1.6500000000000002E-3</v>
      </c>
      <c r="U420" s="101">
        <v>1.125E-2</v>
      </c>
      <c r="V420" s="101">
        <v>7.4999999999999997E-3</v>
      </c>
      <c r="W420">
        <v>1.65</v>
      </c>
      <c r="X420">
        <v>1.65</v>
      </c>
      <c r="Y420">
        <v>1.65</v>
      </c>
      <c r="Z420">
        <v>1.65</v>
      </c>
      <c r="AA420" t="s">
        <v>349</v>
      </c>
      <c r="AB420" t="str">
        <f t="shared" si="14"/>
        <v>OK</v>
      </c>
      <c r="AC420" t="str">
        <f t="shared" si="15"/>
        <v>OK</v>
      </c>
      <c r="AD420" t="str">
        <f t="shared" si="16"/>
        <v>OK</v>
      </c>
      <c r="AE420" t="str">
        <f t="shared" si="17"/>
        <v>OK</v>
      </c>
    </row>
    <row r="421" spans="1:31" x14ac:dyDescent="0.25">
      <c r="A421" t="s">
        <v>348</v>
      </c>
      <c r="B421">
        <v>100</v>
      </c>
      <c r="C421">
        <v>1</v>
      </c>
      <c r="D421">
        <v>0</v>
      </c>
      <c r="E421">
        <v>0</v>
      </c>
      <c r="F421" t="s">
        <v>679</v>
      </c>
      <c r="G421" t="s">
        <v>458</v>
      </c>
      <c r="H421" t="s">
        <v>396</v>
      </c>
      <c r="I421">
        <v>0.125</v>
      </c>
      <c r="J421">
        <v>1</v>
      </c>
      <c r="K421">
        <v>0</v>
      </c>
      <c r="L421" t="s">
        <v>28</v>
      </c>
      <c r="M421" t="s">
        <v>512</v>
      </c>
      <c r="N421" t="s">
        <v>514</v>
      </c>
      <c r="O421">
        <v>5.7251099999999994E-4</v>
      </c>
      <c r="P421">
        <v>1.6500000000000002E-3</v>
      </c>
      <c r="Q421">
        <v>2.2499999999999999E-2</v>
      </c>
      <c r="R421">
        <v>1.4999999999999999E-2</v>
      </c>
      <c r="S421" s="101">
        <v>5.7251099999999994E-4</v>
      </c>
      <c r="T421" s="101">
        <v>1.6500000000000002E-3</v>
      </c>
      <c r="U421" s="101">
        <v>2.2499999999999999E-2</v>
      </c>
      <c r="V421" s="101">
        <v>1.4999999999999999E-2</v>
      </c>
      <c r="W421">
        <v>1.65</v>
      </c>
      <c r="X421">
        <v>1.65</v>
      </c>
      <c r="Y421">
        <v>1.65</v>
      </c>
      <c r="Z421">
        <v>1.65</v>
      </c>
      <c r="AA421" t="s">
        <v>349</v>
      </c>
      <c r="AB421" t="str">
        <f t="shared" si="14"/>
        <v>OK</v>
      </c>
      <c r="AC421" t="str">
        <f t="shared" si="15"/>
        <v>OK</v>
      </c>
      <c r="AD421" t="str">
        <f t="shared" si="16"/>
        <v>OK</v>
      </c>
      <c r="AE421" t="str">
        <f t="shared" si="17"/>
        <v>OK</v>
      </c>
    </row>
    <row r="422" spans="1:31" x14ac:dyDescent="0.25">
      <c r="A422" t="s">
        <v>348</v>
      </c>
      <c r="B422">
        <v>100</v>
      </c>
      <c r="C422">
        <v>1</v>
      </c>
      <c r="D422">
        <v>0</v>
      </c>
      <c r="E422">
        <v>0</v>
      </c>
      <c r="F422" t="s">
        <v>681</v>
      </c>
      <c r="G422" t="s">
        <v>458</v>
      </c>
      <c r="H422" t="s">
        <v>396</v>
      </c>
      <c r="I422">
        <v>0.125</v>
      </c>
      <c r="J422">
        <v>1</v>
      </c>
      <c r="K422">
        <v>0</v>
      </c>
      <c r="L422" t="s">
        <v>28</v>
      </c>
      <c r="M422" t="s">
        <v>512</v>
      </c>
      <c r="N422" t="s">
        <v>514</v>
      </c>
      <c r="O422">
        <v>5.7251099999999994E-4</v>
      </c>
      <c r="P422">
        <v>1.6500000000000002E-3</v>
      </c>
      <c r="Q422">
        <v>1.125E-2</v>
      </c>
      <c r="R422">
        <v>7.4999999999999997E-3</v>
      </c>
      <c r="S422" s="101">
        <v>5.7251099999999994E-4</v>
      </c>
      <c r="T422" s="101">
        <v>1.6500000000000002E-3</v>
      </c>
      <c r="U422" s="101">
        <v>1.125E-2</v>
      </c>
      <c r="V422" s="101">
        <v>7.4999999999999997E-3</v>
      </c>
      <c r="W422">
        <v>1.65</v>
      </c>
      <c r="X422">
        <v>1.65</v>
      </c>
      <c r="Y422">
        <v>1.65</v>
      </c>
      <c r="Z422">
        <v>1.65</v>
      </c>
      <c r="AA422" t="s">
        <v>349</v>
      </c>
      <c r="AB422" t="str">
        <f t="shared" si="14"/>
        <v>OK</v>
      </c>
      <c r="AC422" t="str">
        <f t="shared" si="15"/>
        <v>OK</v>
      </c>
      <c r="AD422" t="str">
        <f t="shared" si="16"/>
        <v>OK</v>
      </c>
      <c r="AE422" t="str">
        <f t="shared" si="17"/>
        <v>OK</v>
      </c>
    </row>
    <row r="423" spans="1:31" x14ac:dyDescent="0.25">
      <c r="A423" t="s">
        <v>348</v>
      </c>
      <c r="B423">
        <v>100</v>
      </c>
      <c r="C423">
        <v>1</v>
      </c>
      <c r="D423">
        <v>0</v>
      </c>
      <c r="E423">
        <v>0</v>
      </c>
      <c r="F423" t="s">
        <v>682</v>
      </c>
      <c r="G423" t="s">
        <v>458</v>
      </c>
      <c r="H423" t="s">
        <v>396</v>
      </c>
      <c r="I423">
        <v>0.125</v>
      </c>
      <c r="J423">
        <v>1</v>
      </c>
      <c r="K423">
        <v>0</v>
      </c>
      <c r="L423" t="s">
        <v>28</v>
      </c>
      <c r="M423" t="s">
        <v>512</v>
      </c>
      <c r="N423" t="s">
        <v>514</v>
      </c>
      <c r="O423">
        <v>5.7251099999999994E-4</v>
      </c>
      <c r="P423">
        <v>1.6500000000000002E-3</v>
      </c>
      <c r="Q423">
        <v>7.4999999999999997E-3</v>
      </c>
      <c r="R423">
        <v>5.0000000000000001E-3</v>
      </c>
      <c r="S423" s="101">
        <v>5.7251099999999994E-4</v>
      </c>
      <c r="T423" s="101">
        <v>1.6500000000000002E-3</v>
      </c>
      <c r="U423" s="101">
        <v>7.4999999999999997E-3</v>
      </c>
      <c r="V423" s="101">
        <v>5.0000000000000001E-3</v>
      </c>
      <c r="W423">
        <v>1.65</v>
      </c>
      <c r="X423">
        <v>1.65</v>
      </c>
      <c r="Y423">
        <v>1.65</v>
      </c>
      <c r="Z423">
        <v>1.65</v>
      </c>
      <c r="AA423" t="s">
        <v>349</v>
      </c>
      <c r="AB423" t="str">
        <f t="shared" si="14"/>
        <v>OK</v>
      </c>
      <c r="AC423" t="str">
        <f t="shared" si="15"/>
        <v>OK</v>
      </c>
      <c r="AD423" t="str">
        <f t="shared" si="16"/>
        <v>OK</v>
      </c>
      <c r="AE423" t="str">
        <f t="shared" si="17"/>
        <v>OK</v>
      </c>
    </row>
    <row r="424" spans="1:31" x14ac:dyDescent="0.25">
      <c r="A424" t="s">
        <v>135</v>
      </c>
      <c r="B424">
        <v>100</v>
      </c>
      <c r="C424">
        <v>1</v>
      </c>
      <c r="D424">
        <v>0</v>
      </c>
      <c r="E424">
        <v>0</v>
      </c>
      <c r="F424" t="s">
        <v>458</v>
      </c>
      <c r="G424" t="s">
        <v>458</v>
      </c>
      <c r="H424" t="s">
        <v>396</v>
      </c>
      <c r="I424">
        <v>0.125</v>
      </c>
      <c r="J424">
        <v>1</v>
      </c>
      <c r="K424">
        <v>0</v>
      </c>
      <c r="L424" t="s">
        <v>28</v>
      </c>
      <c r="M424" t="s">
        <v>512</v>
      </c>
      <c r="N424" t="s">
        <v>514</v>
      </c>
      <c r="O424">
        <v>5.7251099999999994E-4</v>
      </c>
      <c r="P424">
        <v>1.6500000000000002E-3</v>
      </c>
      <c r="Q424">
        <v>0</v>
      </c>
      <c r="R424">
        <v>8.9999999999999993E-3</v>
      </c>
      <c r="S424" s="101">
        <v>5.7251099999999994E-4</v>
      </c>
      <c r="T424" s="101">
        <v>1.6500000000000002E-3</v>
      </c>
      <c r="U424" s="101">
        <v>0</v>
      </c>
      <c r="V424" s="101">
        <v>8.9999999999999993E-3</v>
      </c>
      <c r="W424">
        <v>1.65</v>
      </c>
      <c r="X424">
        <v>1.65</v>
      </c>
      <c r="Y424">
        <v>1.65</v>
      </c>
      <c r="Z424">
        <v>1.65</v>
      </c>
      <c r="AA424" t="s">
        <v>244</v>
      </c>
      <c r="AB424" t="str">
        <f t="shared" si="14"/>
        <v>OK</v>
      </c>
      <c r="AC424" t="str">
        <f t="shared" si="15"/>
        <v>OK</v>
      </c>
      <c r="AD424" t="str">
        <f t="shared" si="16"/>
        <v>OK</v>
      </c>
      <c r="AE424" t="str">
        <f t="shared" si="17"/>
        <v>OK</v>
      </c>
    </row>
    <row r="425" spans="1:31" x14ac:dyDescent="0.25">
      <c r="A425" t="s">
        <v>135</v>
      </c>
      <c r="B425">
        <v>100</v>
      </c>
      <c r="C425">
        <v>1</v>
      </c>
      <c r="D425">
        <v>0</v>
      </c>
      <c r="E425">
        <v>0</v>
      </c>
      <c r="F425" t="s">
        <v>680</v>
      </c>
      <c r="G425" t="s">
        <v>458</v>
      </c>
      <c r="H425" t="s">
        <v>396</v>
      </c>
      <c r="I425">
        <v>0.125</v>
      </c>
      <c r="J425">
        <v>1</v>
      </c>
      <c r="K425">
        <v>0</v>
      </c>
      <c r="L425" t="s">
        <v>28</v>
      </c>
      <c r="M425" t="s">
        <v>512</v>
      </c>
      <c r="N425" t="s">
        <v>514</v>
      </c>
      <c r="O425">
        <v>5.7251099999999994E-4</v>
      </c>
      <c r="P425">
        <v>1.6500000000000002E-3</v>
      </c>
      <c r="Q425">
        <v>1.6199999999999999E-2</v>
      </c>
      <c r="R425">
        <v>8.9999999999999993E-3</v>
      </c>
      <c r="S425" s="101">
        <v>5.7251099999999994E-4</v>
      </c>
      <c r="T425" s="101">
        <v>1.6500000000000002E-3</v>
      </c>
      <c r="U425" s="101">
        <v>1.6199999999999999E-2</v>
      </c>
      <c r="V425" s="101">
        <v>8.9999999999999993E-3</v>
      </c>
      <c r="W425">
        <v>1.65</v>
      </c>
      <c r="X425">
        <v>1.65</v>
      </c>
      <c r="Y425">
        <v>1.65</v>
      </c>
      <c r="Z425">
        <v>1.65</v>
      </c>
      <c r="AA425" t="s">
        <v>244</v>
      </c>
      <c r="AB425" t="str">
        <f t="shared" si="14"/>
        <v>OK</v>
      </c>
      <c r="AC425" t="str">
        <f t="shared" si="15"/>
        <v>OK</v>
      </c>
      <c r="AD425" t="str">
        <f t="shared" si="16"/>
        <v>OK</v>
      </c>
      <c r="AE425" t="str">
        <f t="shared" si="17"/>
        <v>OK</v>
      </c>
    </row>
    <row r="426" spans="1:31" x14ac:dyDescent="0.25">
      <c r="A426" t="s">
        <v>135</v>
      </c>
      <c r="B426">
        <v>100</v>
      </c>
      <c r="C426">
        <v>1</v>
      </c>
      <c r="D426">
        <v>0</v>
      </c>
      <c r="E426">
        <v>0</v>
      </c>
      <c r="F426" t="s">
        <v>679</v>
      </c>
      <c r="G426" t="s">
        <v>458</v>
      </c>
      <c r="H426" t="s">
        <v>396</v>
      </c>
      <c r="I426">
        <v>0.125</v>
      </c>
      <c r="J426">
        <v>1</v>
      </c>
      <c r="K426">
        <v>0</v>
      </c>
      <c r="L426" t="s">
        <v>28</v>
      </c>
      <c r="M426" t="s">
        <v>512</v>
      </c>
      <c r="N426" t="s">
        <v>514</v>
      </c>
      <c r="O426">
        <v>5.7251099999999994E-4</v>
      </c>
      <c r="P426">
        <v>1.6500000000000002E-3</v>
      </c>
      <c r="Q426">
        <v>3.2399999999999998E-2</v>
      </c>
      <c r="R426">
        <v>1.7999999999999999E-2</v>
      </c>
      <c r="S426" s="101">
        <v>5.7251099999999994E-4</v>
      </c>
      <c r="T426" s="101">
        <v>1.6500000000000002E-3</v>
      </c>
      <c r="U426" s="101">
        <v>3.2399999999999998E-2</v>
      </c>
      <c r="V426" s="101">
        <v>1.7999999999999999E-2</v>
      </c>
      <c r="W426">
        <v>1.65</v>
      </c>
      <c r="X426">
        <v>1.65</v>
      </c>
      <c r="Y426">
        <v>1.65</v>
      </c>
      <c r="Z426">
        <v>1.65</v>
      </c>
      <c r="AA426" t="s">
        <v>244</v>
      </c>
      <c r="AB426" t="str">
        <f t="shared" si="14"/>
        <v>OK</v>
      </c>
      <c r="AC426" t="str">
        <f t="shared" si="15"/>
        <v>OK</v>
      </c>
      <c r="AD426" t="str">
        <f t="shared" si="16"/>
        <v>OK</v>
      </c>
      <c r="AE426" t="str">
        <f t="shared" si="17"/>
        <v>OK</v>
      </c>
    </row>
    <row r="427" spans="1:31" x14ac:dyDescent="0.25">
      <c r="A427" t="s">
        <v>135</v>
      </c>
      <c r="B427">
        <v>100</v>
      </c>
      <c r="C427">
        <v>1</v>
      </c>
      <c r="D427">
        <v>0</v>
      </c>
      <c r="E427">
        <v>0</v>
      </c>
      <c r="F427" t="s">
        <v>681</v>
      </c>
      <c r="G427" t="s">
        <v>458</v>
      </c>
      <c r="H427" t="s">
        <v>396</v>
      </c>
      <c r="I427">
        <v>0.125</v>
      </c>
      <c r="J427">
        <v>1</v>
      </c>
      <c r="K427">
        <v>0</v>
      </c>
      <c r="L427" t="s">
        <v>28</v>
      </c>
      <c r="M427" t="s">
        <v>512</v>
      </c>
      <c r="N427" t="s">
        <v>514</v>
      </c>
      <c r="O427">
        <v>5.7251099999999994E-4</v>
      </c>
      <c r="P427">
        <v>1.6500000000000002E-3</v>
      </c>
      <c r="Q427">
        <v>1.6199999999999999E-2</v>
      </c>
      <c r="R427">
        <v>8.9999999999999993E-3</v>
      </c>
      <c r="S427" s="101">
        <v>5.7251099999999994E-4</v>
      </c>
      <c r="T427" s="101">
        <v>1.6500000000000002E-3</v>
      </c>
      <c r="U427" s="101">
        <v>1.6199999999999999E-2</v>
      </c>
      <c r="V427" s="101">
        <v>8.9999999999999993E-3</v>
      </c>
      <c r="W427">
        <v>1.65</v>
      </c>
      <c r="X427">
        <v>1.65</v>
      </c>
      <c r="Y427">
        <v>1.65</v>
      </c>
      <c r="Z427">
        <v>1.65</v>
      </c>
      <c r="AA427" t="s">
        <v>244</v>
      </c>
      <c r="AB427" t="str">
        <f t="shared" si="14"/>
        <v>OK</v>
      </c>
      <c r="AC427" t="str">
        <f t="shared" si="15"/>
        <v>OK</v>
      </c>
      <c r="AD427" t="str">
        <f t="shared" si="16"/>
        <v>OK</v>
      </c>
      <c r="AE427" t="str">
        <f t="shared" si="17"/>
        <v>OK</v>
      </c>
    </row>
    <row r="428" spans="1:31" x14ac:dyDescent="0.25">
      <c r="A428" t="s">
        <v>135</v>
      </c>
      <c r="B428">
        <v>100</v>
      </c>
      <c r="C428">
        <v>1</v>
      </c>
      <c r="D428">
        <v>0</v>
      </c>
      <c r="E428">
        <v>0</v>
      </c>
      <c r="F428" t="s">
        <v>682</v>
      </c>
      <c r="G428" t="s">
        <v>458</v>
      </c>
      <c r="H428" t="s">
        <v>396</v>
      </c>
      <c r="I428">
        <v>0.125</v>
      </c>
      <c r="J428">
        <v>1</v>
      </c>
      <c r="K428">
        <v>0</v>
      </c>
      <c r="L428" t="s">
        <v>28</v>
      </c>
      <c r="M428" t="s">
        <v>512</v>
      </c>
      <c r="N428" t="s">
        <v>514</v>
      </c>
      <c r="O428">
        <v>5.7251099999999994E-4</v>
      </c>
      <c r="P428">
        <v>1.6500000000000002E-3</v>
      </c>
      <c r="Q428">
        <v>1.0800000000000001E-2</v>
      </c>
      <c r="R428">
        <v>6.0000000000000001E-3</v>
      </c>
      <c r="S428" s="101">
        <v>5.7251099999999994E-4</v>
      </c>
      <c r="T428" s="101">
        <v>1.6500000000000002E-3</v>
      </c>
      <c r="U428" s="101">
        <v>1.0800000000000001E-2</v>
      </c>
      <c r="V428" s="101">
        <v>6.0000000000000001E-3</v>
      </c>
      <c r="W428">
        <v>1.65</v>
      </c>
      <c r="X428">
        <v>1.65</v>
      </c>
      <c r="Y428">
        <v>1.65</v>
      </c>
      <c r="Z428">
        <v>1.65</v>
      </c>
      <c r="AA428" t="s">
        <v>244</v>
      </c>
      <c r="AB428" t="str">
        <f t="shared" si="14"/>
        <v>OK</v>
      </c>
      <c r="AC428" t="str">
        <f t="shared" si="15"/>
        <v>OK</v>
      </c>
      <c r="AD428" t="str">
        <f t="shared" si="16"/>
        <v>OK</v>
      </c>
      <c r="AE428" t="str">
        <f t="shared" si="17"/>
        <v>OK</v>
      </c>
    </row>
    <row r="429" spans="1:31" x14ac:dyDescent="0.25">
      <c r="A429" t="s">
        <v>214</v>
      </c>
      <c r="B429">
        <v>0</v>
      </c>
      <c r="C429">
        <v>0</v>
      </c>
      <c r="D429">
        <v>0</v>
      </c>
      <c r="E429">
        <v>0</v>
      </c>
      <c r="F429" t="s">
        <v>458</v>
      </c>
      <c r="G429" t="s">
        <v>458</v>
      </c>
      <c r="H429" t="s">
        <v>396</v>
      </c>
      <c r="I429">
        <v>0.125</v>
      </c>
      <c r="J429">
        <v>1</v>
      </c>
      <c r="K429">
        <v>0</v>
      </c>
      <c r="L429" t="s">
        <v>28</v>
      </c>
      <c r="M429" t="s">
        <v>512</v>
      </c>
      <c r="N429" t="s">
        <v>514</v>
      </c>
      <c r="O429">
        <v>0</v>
      </c>
      <c r="P429">
        <v>0</v>
      </c>
      <c r="Q429">
        <v>0</v>
      </c>
      <c r="R429">
        <v>0</v>
      </c>
      <c r="S429" s="101">
        <v>0</v>
      </c>
      <c r="T429" s="101">
        <v>0</v>
      </c>
      <c r="U429" s="101">
        <v>0</v>
      </c>
      <c r="V429" s="101">
        <v>0</v>
      </c>
      <c r="W429">
        <v>0</v>
      </c>
      <c r="X429">
        <v>0</v>
      </c>
      <c r="Y429">
        <v>0</v>
      </c>
      <c r="Z429">
        <v>0</v>
      </c>
      <c r="AA429" t="s">
        <v>319</v>
      </c>
      <c r="AB429" t="str">
        <f t="shared" si="14"/>
        <v>OK</v>
      </c>
      <c r="AC429" t="str">
        <f t="shared" si="15"/>
        <v>OK</v>
      </c>
      <c r="AD429" t="str">
        <f t="shared" si="16"/>
        <v>OK</v>
      </c>
      <c r="AE429" t="str">
        <f t="shared" si="17"/>
        <v>OK</v>
      </c>
    </row>
    <row r="430" spans="1:31" x14ac:dyDescent="0.25">
      <c r="A430" t="s">
        <v>135</v>
      </c>
      <c r="B430">
        <v>0</v>
      </c>
      <c r="C430">
        <v>0</v>
      </c>
      <c r="D430">
        <v>0</v>
      </c>
      <c r="E430">
        <v>0</v>
      </c>
      <c r="F430" t="s">
        <v>458</v>
      </c>
      <c r="G430" t="s">
        <v>458</v>
      </c>
      <c r="H430" t="s">
        <v>396</v>
      </c>
      <c r="I430">
        <v>0.125</v>
      </c>
      <c r="J430">
        <v>1</v>
      </c>
      <c r="K430">
        <v>0</v>
      </c>
      <c r="L430" t="s">
        <v>28</v>
      </c>
      <c r="M430" t="s">
        <v>512</v>
      </c>
      <c r="N430" t="s">
        <v>514</v>
      </c>
      <c r="O430">
        <v>0</v>
      </c>
      <c r="P430">
        <v>0</v>
      </c>
      <c r="Q430">
        <v>0</v>
      </c>
      <c r="R430">
        <v>0</v>
      </c>
      <c r="S430" s="101">
        <v>0</v>
      </c>
      <c r="T430" s="101">
        <v>0</v>
      </c>
      <c r="U430" s="101">
        <v>0</v>
      </c>
      <c r="V430" s="101">
        <v>0</v>
      </c>
      <c r="W430">
        <v>0</v>
      </c>
      <c r="X430">
        <v>0</v>
      </c>
      <c r="Y430">
        <v>0</v>
      </c>
      <c r="Z430">
        <v>0</v>
      </c>
      <c r="AA430" t="s">
        <v>244</v>
      </c>
      <c r="AB430" t="str">
        <f t="shared" si="14"/>
        <v>OK</v>
      </c>
      <c r="AC430" t="str">
        <f t="shared" si="15"/>
        <v>OK</v>
      </c>
      <c r="AD430" t="str">
        <f t="shared" si="16"/>
        <v>OK</v>
      </c>
      <c r="AE430" t="str">
        <f t="shared" si="17"/>
        <v>OK</v>
      </c>
    </row>
    <row r="431" spans="1:31" x14ac:dyDescent="0.25">
      <c r="A431" t="s">
        <v>134</v>
      </c>
      <c r="B431">
        <v>100</v>
      </c>
      <c r="C431">
        <v>1</v>
      </c>
      <c r="D431">
        <v>0</v>
      </c>
      <c r="E431">
        <v>0</v>
      </c>
      <c r="F431" t="s">
        <v>458</v>
      </c>
      <c r="G431" t="s">
        <v>458</v>
      </c>
      <c r="H431" t="s">
        <v>396</v>
      </c>
      <c r="I431">
        <v>1</v>
      </c>
      <c r="J431">
        <v>1</v>
      </c>
      <c r="K431">
        <v>0</v>
      </c>
      <c r="L431" t="s">
        <v>28</v>
      </c>
      <c r="M431" t="s">
        <v>774</v>
      </c>
      <c r="N431" t="s">
        <v>965</v>
      </c>
      <c r="O431">
        <v>8.8516799999999998E-4</v>
      </c>
      <c r="P431">
        <v>4.3600000000000002E-3</v>
      </c>
      <c r="Q431">
        <v>0</v>
      </c>
      <c r="R431">
        <v>7.4999999999999997E-3</v>
      </c>
      <c r="S431" s="101">
        <v>8.8516799999999998E-4</v>
      </c>
      <c r="T431" s="101">
        <v>4.3600000000000002E-3</v>
      </c>
      <c r="U431" s="101">
        <v>0</v>
      </c>
      <c r="V431" s="101">
        <v>7.4999999999999997E-3</v>
      </c>
      <c r="W431">
        <v>3.75</v>
      </c>
      <c r="X431">
        <v>3.7561</v>
      </c>
      <c r="Y431">
        <v>4.0549999999999997</v>
      </c>
      <c r="Z431">
        <v>4.3600000000000003</v>
      </c>
      <c r="AA431" t="s">
        <v>347</v>
      </c>
      <c r="AB431" t="str">
        <f t="shared" si="14"/>
        <v>OK</v>
      </c>
      <c r="AC431" t="str">
        <f t="shared" si="15"/>
        <v>OK</v>
      </c>
      <c r="AD431" t="str">
        <f t="shared" si="16"/>
        <v>OK</v>
      </c>
      <c r="AE431" t="str">
        <f t="shared" si="17"/>
        <v>OK</v>
      </c>
    </row>
    <row r="432" spans="1:31" x14ac:dyDescent="0.25">
      <c r="A432" t="s">
        <v>134</v>
      </c>
      <c r="B432">
        <v>100</v>
      </c>
      <c r="C432">
        <v>1</v>
      </c>
      <c r="D432">
        <v>0</v>
      </c>
      <c r="E432">
        <v>0</v>
      </c>
      <c r="F432" t="s">
        <v>680</v>
      </c>
      <c r="G432" t="s">
        <v>458</v>
      </c>
      <c r="H432" t="s">
        <v>396</v>
      </c>
      <c r="I432">
        <v>1</v>
      </c>
      <c r="J432">
        <v>1</v>
      </c>
      <c r="K432">
        <v>0</v>
      </c>
      <c r="L432" t="s">
        <v>28</v>
      </c>
      <c r="M432" t="s">
        <v>774</v>
      </c>
      <c r="N432" t="s">
        <v>965</v>
      </c>
      <c r="O432">
        <v>8.8516799999999998E-4</v>
      </c>
      <c r="P432">
        <v>4.3600000000000002E-3</v>
      </c>
      <c r="Q432">
        <v>1.125E-2</v>
      </c>
      <c r="R432">
        <v>7.4999999999999997E-3</v>
      </c>
      <c r="S432" s="101">
        <v>8.8516799999999998E-4</v>
      </c>
      <c r="T432" s="101">
        <v>4.3600000000000002E-3</v>
      </c>
      <c r="U432" s="101">
        <v>1.125E-2</v>
      </c>
      <c r="V432" s="101">
        <v>7.4999999999999997E-3</v>
      </c>
      <c r="W432">
        <v>3.75</v>
      </c>
      <c r="X432">
        <v>3.7561</v>
      </c>
      <c r="Y432">
        <v>4.0549999999999997</v>
      </c>
      <c r="Z432">
        <v>4.3600000000000003</v>
      </c>
      <c r="AA432" t="s">
        <v>347</v>
      </c>
      <c r="AB432" t="str">
        <f t="shared" si="14"/>
        <v>OK</v>
      </c>
      <c r="AC432" t="str">
        <f t="shared" si="15"/>
        <v>OK</v>
      </c>
      <c r="AD432" t="str">
        <f t="shared" si="16"/>
        <v>OK</v>
      </c>
      <c r="AE432" t="str">
        <f t="shared" si="17"/>
        <v>OK</v>
      </c>
    </row>
    <row r="433" spans="1:31" x14ac:dyDescent="0.25">
      <c r="A433" t="s">
        <v>134</v>
      </c>
      <c r="B433">
        <v>100</v>
      </c>
      <c r="C433">
        <v>1</v>
      </c>
      <c r="D433">
        <v>0</v>
      </c>
      <c r="E433">
        <v>0</v>
      </c>
      <c r="F433" t="s">
        <v>679</v>
      </c>
      <c r="G433" t="s">
        <v>458</v>
      </c>
      <c r="H433" t="s">
        <v>396</v>
      </c>
      <c r="I433">
        <v>1</v>
      </c>
      <c r="J433">
        <v>1</v>
      </c>
      <c r="K433">
        <v>0</v>
      </c>
      <c r="L433" t="s">
        <v>28</v>
      </c>
      <c r="M433" t="s">
        <v>774</v>
      </c>
      <c r="N433" t="s">
        <v>965</v>
      </c>
      <c r="O433">
        <v>8.8516799999999998E-4</v>
      </c>
      <c r="P433">
        <v>4.3600000000000002E-3</v>
      </c>
      <c r="Q433">
        <v>2.2499999999999999E-2</v>
      </c>
      <c r="R433">
        <v>1.4999999999999999E-2</v>
      </c>
      <c r="S433" s="101">
        <v>8.8516799999999998E-4</v>
      </c>
      <c r="T433" s="101">
        <v>4.3600000000000002E-3</v>
      </c>
      <c r="U433" s="101">
        <v>2.2499999999999999E-2</v>
      </c>
      <c r="V433" s="101">
        <v>1.4999999999999999E-2</v>
      </c>
      <c r="W433">
        <v>3.75</v>
      </c>
      <c r="X433">
        <v>3.7561</v>
      </c>
      <c r="Y433">
        <v>4.0549999999999997</v>
      </c>
      <c r="Z433">
        <v>4.3600000000000003</v>
      </c>
      <c r="AA433" t="s">
        <v>347</v>
      </c>
      <c r="AB433" t="str">
        <f t="shared" si="14"/>
        <v>OK</v>
      </c>
      <c r="AC433" t="str">
        <f t="shared" si="15"/>
        <v>OK</v>
      </c>
      <c r="AD433" t="str">
        <f t="shared" si="16"/>
        <v>OK</v>
      </c>
      <c r="AE433" t="str">
        <f t="shared" si="17"/>
        <v>OK</v>
      </c>
    </row>
    <row r="434" spans="1:31" x14ac:dyDescent="0.25">
      <c r="A434" t="s">
        <v>134</v>
      </c>
      <c r="B434">
        <v>100</v>
      </c>
      <c r="C434">
        <v>1</v>
      </c>
      <c r="D434">
        <v>0</v>
      </c>
      <c r="E434">
        <v>0</v>
      </c>
      <c r="F434" t="s">
        <v>681</v>
      </c>
      <c r="G434" t="s">
        <v>458</v>
      </c>
      <c r="H434" t="s">
        <v>396</v>
      </c>
      <c r="I434">
        <v>1</v>
      </c>
      <c r="J434">
        <v>1</v>
      </c>
      <c r="K434">
        <v>0</v>
      </c>
      <c r="L434" t="s">
        <v>28</v>
      </c>
      <c r="M434" t="s">
        <v>774</v>
      </c>
      <c r="N434" t="s">
        <v>965</v>
      </c>
      <c r="O434">
        <v>8.8516799999999998E-4</v>
      </c>
      <c r="P434">
        <v>4.3600000000000002E-3</v>
      </c>
      <c r="Q434">
        <v>1.125E-2</v>
      </c>
      <c r="R434">
        <v>7.4999999999999997E-3</v>
      </c>
      <c r="S434" s="101">
        <v>8.8516799999999998E-4</v>
      </c>
      <c r="T434" s="101">
        <v>4.3600000000000002E-3</v>
      </c>
      <c r="U434" s="101">
        <v>1.125E-2</v>
      </c>
      <c r="V434" s="101">
        <v>7.4999999999999997E-3</v>
      </c>
      <c r="W434">
        <v>3.75</v>
      </c>
      <c r="X434">
        <v>3.7561</v>
      </c>
      <c r="Y434">
        <v>4.0549999999999997</v>
      </c>
      <c r="Z434">
        <v>4.3600000000000003</v>
      </c>
      <c r="AA434" t="s">
        <v>347</v>
      </c>
      <c r="AB434" t="str">
        <f t="shared" si="14"/>
        <v>OK</v>
      </c>
      <c r="AC434" t="str">
        <f t="shared" si="15"/>
        <v>OK</v>
      </c>
      <c r="AD434" t="str">
        <f t="shared" si="16"/>
        <v>OK</v>
      </c>
      <c r="AE434" t="str">
        <f t="shared" si="17"/>
        <v>OK</v>
      </c>
    </row>
    <row r="435" spans="1:31" x14ac:dyDescent="0.25">
      <c r="A435" t="s">
        <v>134</v>
      </c>
      <c r="B435">
        <v>100</v>
      </c>
      <c r="C435">
        <v>1</v>
      </c>
      <c r="D435">
        <v>0</v>
      </c>
      <c r="E435">
        <v>0</v>
      </c>
      <c r="F435" t="s">
        <v>682</v>
      </c>
      <c r="G435" t="s">
        <v>458</v>
      </c>
      <c r="H435" t="s">
        <v>396</v>
      </c>
      <c r="I435">
        <v>1</v>
      </c>
      <c r="J435">
        <v>1</v>
      </c>
      <c r="K435">
        <v>0</v>
      </c>
      <c r="L435" t="s">
        <v>28</v>
      </c>
      <c r="M435" t="s">
        <v>774</v>
      </c>
      <c r="N435" t="s">
        <v>514</v>
      </c>
      <c r="O435">
        <v>6.9316799999999997E-4</v>
      </c>
      <c r="P435">
        <v>1.6500000000000002E-3</v>
      </c>
      <c r="Q435">
        <v>7.4999999999999997E-3</v>
      </c>
      <c r="R435">
        <v>5.0000000000000001E-3</v>
      </c>
      <c r="S435" s="101">
        <v>6.9316799999999997E-4</v>
      </c>
      <c r="T435" s="101">
        <v>1.6500000000000002E-3</v>
      </c>
      <c r="U435" s="101">
        <v>7.4999999999999997E-3</v>
      </c>
      <c r="V435" s="101">
        <v>5.0000000000000001E-3</v>
      </c>
      <c r="W435">
        <v>1.65</v>
      </c>
      <c r="X435">
        <v>1.65</v>
      </c>
      <c r="Y435">
        <v>1.65</v>
      </c>
      <c r="Z435">
        <v>1.65</v>
      </c>
      <c r="AA435" t="s">
        <v>347</v>
      </c>
      <c r="AB435" t="str">
        <f t="shared" si="14"/>
        <v>OK</v>
      </c>
      <c r="AC435" t="str">
        <f t="shared" si="15"/>
        <v>OK</v>
      </c>
      <c r="AD435" t="str">
        <f t="shared" si="16"/>
        <v>OK</v>
      </c>
      <c r="AE435" t="str">
        <f t="shared" si="17"/>
        <v>OK</v>
      </c>
    </row>
    <row r="436" spans="1:31" x14ac:dyDescent="0.25">
      <c r="A436" t="s">
        <v>136</v>
      </c>
      <c r="B436">
        <v>100</v>
      </c>
      <c r="C436">
        <v>1</v>
      </c>
      <c r="D436">
        <v>0</v>
      </c>
      <c r="E436">
        <v>0</v>
      </c>
      <c r="F436" t="s">
        <v>458</v>
      </c>
      <c r="G436" t="s">
        <v>458</v>
      </c>
      <c r="H436" t="s">
        <v>396</v>
      </c>
      <c r="I436">
        <v>0.5</v>
      </c>
      <c r="J436">
        <v>1</v>
      </c>
      <c r="K436">
        <v>0</v>
      </c>
      <c r="L436" t="s">
        <v>28</v>
      </c>
      <c r="M436" t="s">
        <v>774</v>
      </c>
      <c r="N436" t="s">
        <v>514</v>
      </c>
      <c r="O436">
        <v>6.2870399999999989E-4</v>
      </c>
      <c r="P436">
        <v>1.6500000000000002E-3</v>
      </c>
      <c r="Q436">
        <v>0</v>
      </c>
      <c r="R436">
        <v>8.9999999999999993E-3</v>
      </c>
      <c r="S436" s="101">
        <v>6.2870399999999989E-4</v>
      </c>
      <c r="T436" s="101">
        <v>1.6500000000000002E-3</v>
      </c>
      <c r="U436" s="101">
        <v>0</v>
      </c>
      <c r="V436" s="101">
        <v>8.9999999999999993E-3</v>
      </c>
      <c r="W436">
        <v>1.65</v>
      </c>
      <c r="X436">
        <v>1.65</v>
      </c>
      <c r="Y436">
        <v>1.65</v>
      </c>
      <c r="Z436">
        <v>1.65</v>
      </c>
      <c r="AA436" t="s">
        <v>243</v>
      </c>
      <c r="AB436" t="str">
        <f t="shared" si="14"/>
        <v>OK</v>
      </c>
      <c r="AC436" t="str">
        <f t="shared" si="15"/>
        <v>OK</v>
      </c>
      <c r="AD436" t="str">
        <f t="shared" si="16"/>
        <v>OK</v>
      </c>
      <c r="AE436" t="str">
        <f t="shared" si="17"/>
        <v>OK</v>
      </c>
    </row>
    <row r="437" spans="1:31" x14ac:dyDescent="0.25">
      <c r="A437" t="s">
        <v>136</v>
      </c>
      <c r="B437">
        <v>100</v>
      </c>
      <c r="C437">
        <v>1</v>
      </c>
      <c r="D437">
        <v>0</v>
      </c>
      <c r="E437">
        <v>0</v>
      </c>
      <c r="F437" t="s">
        <v>680</v>
      </c>
      <c r="G437" t="s">
        <v>458</v>
      </c>
      <c r="H437" t="s">
        <v>396</v>
      </c>
      <c r="I437">
        <v>0.5</v>
      </c>
      <c r="J437">
        <v>1</v>
      </c>
      <c r="K437">
        <v>0</v>
      </c>
      <c r="L437" t="s">
        <v>28</v>
      </c>
      <c r="M437" t="s">
        <v>774</v>
      </c>
      <c r="N437" t="s">
        <v>514</v>
      </c>
      <c r="O437">
        <v>6.2870399999999989E-4</v>
      </c>
      <c r="P437">
        <v>1.6500000000000002E-3</v>
      </c>
      <c r="Q437">
        <v>1.6199999999999999E-2</v>
      </c>
      <c r="R437">
        <v>8.9999999999999993E-3</v>
      </c>
      <c r="S437" s="101">
        <v>6.2870399999999989E-4</v>
      </c>
      <c r="T437" s="101">
        <v>1.6500000000000002E-3</v>
      </c>
      <c r="U437" s="101">
        <v>1.6199999999999999E-2</v>
      </c>
      <c r="V437" s="101">
        <v>8.9999999999999993E-3</v>
      </c>
      <c r="W437">
        <v>1.65</v>
      </c>
      <c r="X437">
        <v>1.65</v>
      </c>
      <c r="Y437">
        <v>1.65</v>
      </c>
      <c r="Z437">
        <v>1.65</v>
      </c>
      <c r="AA437" t="s">
        <v>243</v>
      </c>
      <c r="AB437" t="str">
        <f t="shared" si="14"/>
        <v>OK</v>
      </c>
      <c r="AC437" t="str">
        <f t="shared" si="15"/>
        <v>OK</v>
      </c>
      <c r="AD437" t="str">
        <f t="shared" si="16"/>
        <v>OK</v>
      </c>
      <c r="AE437" t="str">
        <f t="shared" si="17"/>
        <v>OK</v>
      </c>
    </row>
    <row r="438" spans="1:31" x14ac:dyDescent="0.25">
      <c r="A438" t="s">
        <v>136</v>
      </c>
      <c r="B438">
        <v>100</v>
      </c>
      <c r="C438">
        <v>1</v>
      </c>
      <c r="D438">
        <v>0</v>
      </c>
      <c r="E438">
        <v>0</v>
      </c>
      <c r="F438" t="s">
        <v>679</v>
      </c>
      <c r="G438" t="s">
        <v>458</v>
      </c>
      <c r="H438" t="s">
        <v>396</v>
      </c>
      <c r="I438">
        <v>0.5</v>
      </c>
      <c r="J438">
        <v>1</v>
      </c>
      <c r="K438">
        <v>0</v>
      </c>
      <c r="L438" t="s">
        <v>28</v>
      </c>
      <c r="M438" t="s">
        <v>774</v>
      </c>
      <c r="N438" t="s">
        <v>965</v>
      </c>
      <c r="O438">
        <v>7.2470399999999995E-4</v>
      </c>
      <c r="P438">
        <v>4.0549999999999996E-3</v>
      </c>
      <c r="Q438">
        <v>3.2399999999999998E-2</v>
      </c>
      <c r="R438">
        <v>1.7999999999999999E-2</v>
      </c>
      <c r="S438" s="101">
        <v>7.2470399999999995E-4</v>
      </c>
      <c r="T438" s="101">
        <v>4.0549999999999996E-3</v>
      </c>
      <c r="U438" s="101">
        <v>3.2399999999999998E-2</v>
      </c>
      <c r="V438" s="101">
        <v>1.7999999999999999E-2</v>
      </c>
      <c r="W438">
        <v>3.75</v>
      </c>
      <c r="X438">
        <v>3.75305</v>
      </c>
      <c r="Y438">
        <v>3.9024999999999999</v>
      </c>
      <c r="Z438">
        <v>4.0549999999999997</v>
      </c>
      <c r="AA438" t="s">
        <v>243</v>
      </c>
      <c r="AB438" t="str">
        <f t="shared" si="14"/>
        <v>OK</v>
      </c>
      <c r="AC438" t="str">
        <f t="shared" si="15"/>
        <v>OK</v>
      </c>
      <c r="AD438" t="str">
        <f t="shared" si="16"/>
        <v>OK</v>
      </c>
      <c r="AE438" t="str">
        <f t="shared" si="17"/>
        <v>OK</v>
      </c>
    </row>
    <row r="439" spans="1:31" x14ac:dyDescent="0.25">
      <c r="A439" t="s">
        <v>136</v>
      </c>
      <c r="B439">
        <v>100</v>
      </c>
      <c r="C439">
        <v>1</v>
      </c>
      <c r="D439">
        <v>0</v>
      </c>
      <c r="E439">
        <v>0</v>
      </c>
      <c r="F439" t="s">
        <v>681</v>
      </c>
      <c r="G439" t="s">
        <v>458</v>
      </c>
      <c r="H439" t="s">
        <v>396</v>
      </c>
      <c r="I439">
        <v>0.5</v>
      </c>
      <c r="J439">
        <v>1</v>
      </c>
      <c r="K439">
        <v>0</v>
      </c>
      <c r="L439" t="s">
        <v>28</v>
      </c>
      <c r="M439" t="s">
        <v>774</v>
      </c>
      <c r="N439" t="s">
        <v>514</v>
      </c>
      <c r="O439">
        <v>6.2870399999999989E-4</v>
      </c>
      <c r="P439">
        <v>1.6500000000000002E-3</v>
      </c>
      <c r="Q439">
        <v>1.6199999999999999E-2</v>
      </c>
      <c r="R439">
        <v>8.9999999999999993E-3</v>
      </c>
      <c r="S439" s="101">
        <v>6.2870399999999989E-4</v>
      </c>
      <c r="T439" s="101">
        <v>1.6500000000000002E-3</v>
      </c>
      <c r="U439" s="101">
        <v>1.6199999999999999E-2</v>
      </c>
      <c r="V439" s="101">
        <v>8.9999999999999993E-3</v>
      </c>
      <c r="W439">
        <v>1.65</v>
      </c>
      <c r="X439">
        <v>1.65</v>
      </c>
      <c r="Y439">
        <v>1.65</v>
      </c>
      <c r="Z439">
        <v>1.65</v>
      </c>
      <c r="AA439" t="s">
        <v>243</v>
      </c>
      <c r="AB439" t="str">
        <f t="shared" si="14"/>
        <v>OK</v>
      </c>
      <c r="AC439" t="str">
        <f t="shared" si="15"/>
        <v>OK</v>
      </c>
      <c r="AD439" t="str">
        <f t="shared" si="16"/>
        <v>OK</v>
      </c>
      <c r="AE439" t="str">
        <f t="shared" si="17"/>
        <v>OK</v>
      </c>
    </row>
    <row r="440" spans="1:31" x14ac:dyDescent="0.25">
      <c r="A440" t="s">
        <v>136</v>
      </c>
      <c r="B440">
        <v>100</v>
      </c>
      <c r="C440">
        <v>1</v>
      </c>
      <c r="D440">
        <v>0</v>
      </c>
      <c r="E440">
        <v>0</v>
      </c>
      <c r="F440" t="s">
        <v>682</v>
      </c>
      <c r="G440" t="s">
        <v>458</v>
      </c>
      <c r="H440" t="s">
        <v>396</v>
      </c>
      <c r="I440">
        <v>0.5</v>
      </c>
      <c r="J440">
        <v>1</v>
      </c>
      <c r="K440">
        <v>0</v>
      </c>
      <c r="L440" t="s">
        <v>28</v>
      </c>
      <c r="M440" t="s">
        <v>774</v>
      </c>
      <c r="N440" t="s">
        <v>514</v>
      </c>
      <c r="O440">
        <v>6.2870399999999989E-4</v>
      </c>
      <c r="P440">
        <v>1.6500000000000002E-3</v>
      </c>
      <c r="Q440">
        <v>1.0800000000000001E-2</v>
      </c>
      <c r="R440">
        <v>6.0000000000000001E-3</v>
      </c>
      <c r="S440" s="101">
        <v>6.2870399999999989E-4</v>
      </c>
      <c r="T440" s="101">
        <v>1.6500000000000002E-3</v>
      </c>
      <c r="U440" s="101">
        <v>1.0800000000000001E-2</v>
      </c>
      <c r="V440" s="101">
        <v>6.0000000000000001E-3</v>
      </c>
      <c r="W440">
        <v>1.65</v>
      </c>
      <c r="X440">
        <v>1.65</v>
      </c>
      <c r="Y440">
        <v>1.65</v>
      </c>
      <c r="Z440">
        <v>1.65</v>
      </c>
      <c r="AA440" t="s">
        <v>243</v>
      </c>
      <c r="AB440" t="str">
        <f t="shared" si="14"/>
        <v>OK</v>
      </c>
      <c r="AC440" t="str">
        <f t="shared" si="15"/>
        <v>OK</v>
      </c>
      <c r="AD440" t="str">
        <f t="shared" si="16"/>
        <v>OK</v>
      </c>
      <c r="AE440" t="str">
        <f t="shared" si="17"/>
        <v>OK</v>
      </c>
    </row>
    <row r="441" spans="1:31" x14ac:dyDescent="0.25">
      <c r="A441" t="s">
        <v>759</v>
      </c>
      <c r="B441">
        <v>100</v>
      </c>
      <c r="C441">
        <v>1</v>
      </c>
      <c r="D441">
        <v>0</v>
      </c>
      <c r="E441">
        <v>0</v>
      </c>
      <c r="F441" t="s">
        <v>458</v>
      </c>
      <c r="G441" t="s">
        <v>458</v>
      </c>
      <c r="H441" t="s">
        <v>396</v>
      </c>
      <c r="I441">
        <v>0.125</v>
      </c>
      <c r="J441">
        <v>1</v>
      </c>
      <c r="K441">
        <v>0</v>
      </c>
      <c r="L441" t="s">
        <v>28</v>
      </c>
      <c r="M441" t="s">
        <v>774</v>
      </c>
      <c r="N441" t="s">
        <v>965</v>
      </c>
      <c r="O441">
        <v>6.0435600000000001E-4</v>
      </c>
      <c r="P441">
        <v>3.8262499999999998E-3</v>
      </c>
      <c r="Q441">
        <v>0</v>
      </c>
      <c r="R441">
        <v>7.4999999999999997E-3</v>
      </c>
      <c r="S441" s="101">
        <v>6.0435600000000001E-4</v>
      </c>
      <c r="T441" s="101">
        <v>3.8262499999999998E-3</v>
      </c>
      <c r="U441" s="101">
        <v>0</v>
      </c>
      <c r="V441" s="101">
        <v>7.4999999999999997E-3</v>
      </c>
      <c r="W441">
        <v>3.75</v>
      </c>
      <c r="X441">
        <v>3.7507625</v>
      </c>
      <c r="Y441">
        <v>3.788125</v>
      </c>
      <c r="Z441">
        <v>3.8262499999999999</v>
      </c>
      <c r="AA441" t="s">
        <v>964</v>
      </c>
      <c r="AB441" t="str">
        <f t="shared" si="14"/>
        <v>OK</v>
      </c>
      <c r="AC441" t="str">
        <f t="shared" si="15"/>
        <v>OK</v>
      </c>
      <c r="AD441" t="str">
        <f t="shared" si="16"/>
        <v>OK</v>
      </c>
      <c r="AE441" t="str">
        <f t="shared" si="17"/>
        <v>OK</v>
      </c>
    </row>
    <row r="442" spans="1:31" x14ac:dyDescent="0.25">
      <c r="A442" t="s">
        <v>759</v>
      </c>
      <c r="B442">
        <v>100</v>
      </c>
      <c r="C442">
        <v>1</v>
      </c>
      <c r="D442">
        <v>0</v>
      </c>
      <c r="E442">
        <v>0</v>
      </c>
      <c r="F442" t="s">
        <v>680</v>
      </c>
      <c r="G442" t="s">
        <v>458</v>
      </c>
      <c r="H442" t="s">
        <v>396</v>
      </c>
      <c r="I442">
        <v>0.125</v>
      </c>
      <c r="J442">
        <v>1</v>
      </c>
      <c r="K442">
        <v>0</v>
      </c>
      <c r="L442" t="s">
        <v>28</v>
      </c>
      <c r="M442" t="s">
        <v>774</v>
      </c>
      <c r="N442" t="s">
        <v>514</v>
      </c>
      <c r="O442">
        <v>5.8035599999999997E-4</v>
      </c>
      <c r="P442">
        <v>1.6500000000000002E-3</v>
      </c>
      <c r="Q442">
        <v>1.125E-2</v>
      </c>
      <c r="R442">
        <v>7.4999999999999997E-3</v>
      </c>
      <c r="S442" s="101">
        <v>5.8035599999999997E-4</v>
      </c>
      <c r="T442" s="101">
        <v>1.6500000000000002E-3</v>
      </c>
      <c r="U442" s="101">
        <v>1.125E-2</v>
      </c>
      <c r="V442" s="101">
        <v>7.4999999999999997E-3</v>
      </c>
      <c r="W442">
        <v>1.65</v>
      </c>
      <c r="X442">
        <v>1.65</v>
      </c>
      <c r="Y442">
        <v>1.65</v>
      </c>
      <c r="Z442">
        <v>1.65</v>
      </c>
      <c r="AA442" t="s">
        <v>964</v>
      </c>
      <c r="AB442" t="str">
        <f t="shared" si="14"/>
        <v>OK</v>
      </c>
      <c r="AC442" t="str">
        <f t="shared" si="15"/>
        <v>OK</v>
      </c>
      <c r="AD442" t="str">
        <f t="shared" si="16"/>
        <v>OK</v>
      </c>
      <c r="AE442" t="str">
        <f t="shared" si="17"/>
        <v>OK</v>
      </c>
    </row>
    <row r="443" spans="1:31" x14ac:dyDescent="0.25">
      <c r="A443" t="s">
        <v>759</v>
      </c>
      <c r="B443">
        <v>100</v>
      </c>
      <c r="C443">
        <v>1</v>
      </c>
      <c r="D443">
        <v>0</v>
      </c>
      <c r="E443">
        <v>0</v>
      </c>
      <c r="F443" t="s">
        <v>679</v>
      </c>
      <c r="G443" t="s">
        <v>458</v>
      </c>
      <c r="H443" t="s">
        <v>396</v>
      </c>
      <c r="I443">
        <v>0.125</v>
      </c>
      <c r="J443">
        <v>1</v>
      </c>
      <c r="K443">
        <v>0</v>
      </c>
      <c r="L443" t="s">
        <v>28</v>
      </c>
      <c r="M443" t="s">
        <v>774</v>
      </c>
      <c r="N443" t="s">
        <v>514</v>
      </c>
      <c r="O443">
        <v>5.8035599999999997E-4</v>
      </c>
      <c r="P443">
        <v>1.6500000000000002E-3</v>
      </c>
      <c r="Q443">
        <v>2.2499999999999999E-2</v>
      </c>
      <c r="R443">
        <v>1.4999999999999999E-2</v>
      </c>
      <c r="S443" s="101">
        <v>5.8035599999999997E-4</v>
      </c>
      <c r="T443" s="101">
        <v>1.6500000000000002E-3</v>
      </c>
      <c r="U443" s="101">
        <v>2.2499999999999999E-2</v>
      </c>
      <c r="V443" s="101">
        <v>1.4999999999999999E-2</v>
      </c>
      <c r="W443">
        <v>1.65</v>
      </c>
      <c r="X443">
        <v>1.65</v>
      </c>
      <c r="Y443">
        <v>1.65</v>
      </c>
      <c r="Z443">
        <v>1.65</v>
      </c>
      <c r="AA443" t="s">
        <v>964</v>
      </c>
      <c r="AB443" t="str">
        <f t="shared" si="14"/>
        <v>OK</v>
      </c>
      <c r="AC443" t="str">
        <f t="shared" si="15"/>
        <v>OK</v>
      </c>
      <c r="AD443" t="str">
        <f t="shared" si="16"/>
        <v>OK</v>
      </c>
      <c r="AE443" t="str">
        <f t="shared" si="17"/>
        <v>OK</v>
      </c>
    </row>
    <row r="444" spans="1:31" x14ac:dyDescent="0.25">
      <c r="A444" t="s">
        <v>759</v>
      </c>
      <c r="B444">
        <v>100</v>
      </c>
      <c r="C444">
        <v>1</v>
      </c>
      <c r="D444">
        <v>0</v>
      </c>
      <c r="E444">
        <v>0</v>
      </c>
      <c r="F444" t="s">
        <v>681</v>
      </c>
      <c r="G444" t="s">
        <v>458</v>
      </c>
      <c r="H444" t="s">
        <v>396</v>
      </c>
      <c r="I444">
        <v>0.125</v>
      </c>
      <c r="J444">
        <v>1</v>
      </c>
      <c r="K444">
        <v>0</v>
      </c>
      <c r="L444" t="s">
        <v>28</v>
      </c>
      <c r="M444" t="s">
        <v>774</v>
      </c>
      <c r="N444" t="s">
        <v>514</v>
      </c>
      <c r="O444">
        <v>5.8035599999999997E-4</v>
      </c>
      <c r="P444">
        <v>1.6500000000000002E-3</v>
      </c>
      <c r="Q444">
        <v>1.125E-2</v>
      </c>
      <c r="R444">
        <v>7.4999999999999997E-3</v>
      </c>
      <c r="S444" s="101">
        <v>5.8035599999999997E-4</v>
      </c>
      <c r="T444" s="101">
        <v>1.6500000000000002E-3</v>
      </c>
      <c r="U444" s="101">
        <v>1.125E-2</v>
      </c>
      <c r="V444" s="101">
        <v>7.4999999999999997E-3</v>
      </c>
      <c r="W444">
        <v>1.65</v>
      </c>
      <c r="X444">
        <v>1.65</v>
      </c>
      <c r="Y444">
        <v>1.65</v>
      </c>
      <c r="Z444">
        <v>1.65</v>
      </c>
      <c r="AA444" t="s">
        <v>964</v>
      </c>
      <c r="AB444" t="str">
        <f t="shared" si="14"/>
        <v>OK</v>
      </c>
      <c r="AC444" t="str">
        <f t="shared" si="15"/>
        <v>OK</v>
      </c>
      <c r="AD444" t="str">
        <f t="shared" si="16"/>
        <v>OK</v>
      </c>
      <c r="AE444" t="str">
        <f t="shared" si="17"/>
        <v>OK</v>
      </c>
    </row>
    <row r="445" spans="1:31" x14ac:dyDescent="0.25">
      <c r="A445" t="s">
        <v>759</v>
      </c>
      <c r="B445">
        <v>100</v>
      </c>
      <c r="C445">
        <v>1</v>
      </c>
      <c r="D445">
        <v>0</v>
      </c>
      <c r="E445">
        <v>0</v>
      </c>
      <c r="F445" t="s">
        <v>682</v>
      </c>
      <c r="G445" t="s">
        <v>458</v>
      </c>
      <c r="H445" t="s">
        <v>396</v>
      </c>
      <c r="I445">
        <v>0.125</v>
      </c>
      <c r="J445">
        <v>1</v>
      </c>
      <c r="K445">
        <v>0</v>
      </c>
      <c r="L445" t="s">
        <v>28</v>
      </c>
      <c r="M445" t="s">
        <v>774</v>
      </c>
      <c r="N445" t="s">
        <v>514</v>
      </c>
      <c r="O445">
        <v>5.8035599999999997E-4</v>
      </c>
      <c r="P445">
        <v>1.6500000000000002E-3</v>
      </c>
      <c r="Q445">
        <v>7.4999999999999997E-3</v>
      </c>
      <c r="R445">
        <v>5.0000000000000001E-3</v>
      </c>
      <c r="S445" s="101">
        <v>5.8035599999999997E-4</v>
      </c>
      <c r="T445" s="101">
        <v>1.6500000000000002E-3</v>
      </c>
      <c r="U445" s="101">
        <v>7.4999999999999997E-3</v>
      </c>
      <c r="V445" s="101">
        <v>5.0000000000000001E-3</v>
      </c>
      <c r="W445">
        <v>1.65</v>
      </c>
      <c r="X445">
        <v>1.65</v>
      </c>
      <c r="Y445">
        <v>1.65</v>
      </c>
      <c r="Z445">
        <v>1.65</v>
      </c>
      <c r="AA445" t="s">
        <v>964</v>
      </c>
      <c r="AB445" t="str">
        <f t="shared" si="14"/>
        <v>OK</v>
      </c>
      <c r="AC445" t="str">
        <f t="shared" si="15"/>
        <v>OK</v>
      </c>
      <c r="AD445" t="str">
        <f t="shared" si="16"/>
        <v>OK</v>
      </c>
      <c r="AE445" t="str">
        <f t="shared" si="17"/>
        <v>OK</v>
      </c>
    </row>
    <row r="446" spans="1:31" x14ac:dyDescent="0.25">
      <c r="A446" t="s">
        <v>350</v>
      </c>
      <c r="B446">
        <v>100</v>
      </c>
      <c r="C446">
        <v>1</v>
      </c>
      <c r="D446">
        <v>0</v>
      </c>
      <c r="E446">
        <v>0</v>
      </c>
      <c r="F446" t="s">
        <v>458</v>
      </c>
      <c r="G446" t="s">
        <v>458</v>
      </c>
      <c r="H446" t="s">
        <v>396</v>
      </c>
      <c r="I446">
        <v>0.125</v>
      </c>
      <c r="J446">
        <v>1</v>
      </c>
      <c r="K446">
        <v>0</v>
      </c>
      <c r="L446" t="s">
        <v>28</v>
      </c>
      <c r="M446" t="s">
        <v>774</v>
      </c>
      <c r="N446" t="s">
        <v>514</v>
      </c>
      <c r="O446">
        <v>5.8035599999999997E-4</v>
      </c>
      <c r="P446">
        <v>1.6500000000000002E-3</v>
      </c>
      <c r="Q446">
        <v>0</v>
      </c>
      <c r="R446">
        <v>8.9999999999999993E-3</v>
      </c>
      <c r="S446" s="101">
        <v>5.8035599999999997E-4</v>
      </c>
      <c r="T446" s="101">
        <v>1.6500000000000002E-3</v>
      </c>
      <c r="U446" s="101">
        <v>0</v>
      </c>
      <c r="V446" s="101">
        <v>8.9999999999999993E-3</v>
      </c>
      <c r="W446">
        <v>1.65</v>
      </c>
      <c r="X446">
        <v>1.65</v>
      </c>
      <c r="Y446">
        <v>1.65</v>
      </c>
      <c r="Z446">
        <v>1.65</v>
      </c>
      <c r="AA446" t="s">
        <v>351</v>
      </c>
      <c r="AB446" t="str">
        <f t="shared" si="14"/>
        <v>OK</v>
      </c>
      <c r="AC446" t="str">
        <f t="shared" si="15"/>
        <v>OK</v>
      </c>
      <c r="AD446" t="str">
        <f t="shared" si="16"/>
        <v>OK</v>
      </c>
      <c r="AE446" t="str">
        <f t="shared" si="17"/>
        <v>OK</v>
      </c>
    </row>
    <row r="447" spans="1:31" x14ac:dyDescent="0.25">
      <c r="A447" t="s">
        <v>350</v>
      </c>
      <c r="B447">
        <v>100</v>
      </c>
      <c r="C447">
        <v>1</v>
      </c>
      <c r="D447">
        <v>0</v>
      </c>
      <c r="E447">
        <v>0</v>
      </c>
      <c r="F447" t="s">
        <v>680</v>
      </c>
      <c r="G447" t="s">
        <v>458</v>
      </c>
      <c r="H447" t="s">
        <v>396</v>
      </c>
      <c r="I447">
        <v>0.125</v>
      </c>
      <c r="J447">
        <v>1</v>
      </c>
      <c r="K447">
        <v>0</v>
      </c>
      <c r="L447" t="s">
        <v>28</v>
      </c>
      <c r="M447" t="s">
        <v>774</v>
      </c>
      <c r="N447" t="s">
        <v>965</v>
      </c>
      <c r="O447">
        <v>6.0435600000000001E-4</v>
      </c>
      <c r="P447">
        <v>3.8262499999999998E-3</v>
      </c>
      <c r="Q447">
        <v>1.6199999999999999E-2</v>
      </c>
      <c r="R447">
        <v>8.9999999999999993E-3</v>
      </c>
      <c r="S447" s="101">
        <v>6.0435600000000001E-4</v>
      </c>
      <c r="T447" s="101">
        <v>3.8262499999999998E-3</v>
      </c>
      <c r="U447" s="101">
        <v>1.6199999999999999E-2</v>
      </c>
      <c r="V447" s="101">
        <v>8.9999999999999993E-3</v>
      </c>
      <c r="W447">
        <v>3.75</v>
      </c>
      <c r="X447">
        <v>3.7507625</v>
      </c>
      <c r="Y447">
        <v>3.788125</v>
      </c>
      <c r="Z447">
        <v>3.8262499999999999</v>
      </c>
      <c r="AA447" t="s">
        <v>351</v>
      </c>
      <c r="AB447" t="str">
        <f t="shared" si="14"/>
        <v>OK</v>
      </c>
      <c r="AC447" t="str">
        <f t="shared" si="15"/>
        <v>OK</v>
      </c>
      <c r="AD447" t="str">
        <f t="shared" si="16"/>
        <v>OK</v>
      </c>
      <c r="AE447" t="str">
        <f t="shared" si="17"/>
        <v>OK</v>
      </c>
    </row>
    <row r="448" spans="1:31" x14ac:dyDescent="0.25">
      <c r="A448" t="s">
        <v>350</v>
      </c>
      <c r="B448">
        <v>100</v>
      </c>
      <c r="C448">
        <v>1</v>
      </c>
      <c r="D448">
        <v>0</v>
      </c>
      <c r="E448">
        <v>0</v>
      </c>
      <c r="F448" t="s">
        <v>679</v>
      </c>
      <c r="G448" t="s">
        <v>458</v>
      </c>
      <c r="H448" t="s">
        <v>396</v>
      </c>
      <c r="I448">
        <v>0.125</v>
      </c>
      <c r="J448">
        <v>1</v>
      </c>
      <c r="K448">
        <v>0</v>
      </c>
      <c r="L448" t="s">
        <v>28</v>
      </c>
      <c r="M448" t="s">
        <v>774</v>
      </c>
      <c r="N448" t="s">
        <v>514</v>
      </c>
      <c r="O448">
        <v>5.8035599999999997E-4</v>
      </c>
      <c r="P448">
        <v>1.6500000000000002E-3</v>
      </c>
      <c r="Q448">
        <v>3.2399999999999998E-2</v>
      </c>
      <c r="R448">
        <v>1.7999999999999999E-2</v>
      </c>
      <c r="S448" s="101">
        <v>5.8035599999999997E-4</v>
      </c>
      <c r="T448" s="101">
        <v>1.6500000000000002E-3</v>
      </c>
      <c r="U448" s="101">
        <v>3.2399999999999998E-2</v>
      </c>
      <c r="V448" s="101">
        <v>1.7999999999999999E-2</v>
      </c>
      <c r="W448">
        <v>1.65</v>
      </c>
      <c r="X448">
        <v>1.65</v>
      </c>
      <c r="Y448">
        <v>1.65</v>
      </c>
      <c r="Z448">
        <v>1.65</v>
      </c>
      <c r="AA448" t="s">
        <v>351</v>
      </c>
      <c r="AB448" t="str">
        <f t="shared" si="14"/>
        <v>OK</v>
      </c>
      <c r="AC448" t="str">
        <f t="shared" si="15"/>
        <v>OK</v>
      </c>
      <c r="AD448" t="str">
        <f t="shared" si="16"/>
        <v>OK</v>
      </c>
      <c r="AE448" t="str">
        <f t="shared" si="17"/>
        <v>OK</v>
      </c>
    </row>
    <row r="449" spans="1:31" x14ac:dyDescent="0.25">
      <c r="A449" t="s">
        <v>350</v>
      </c>
      <c r="B449">
        <v>100</v>
      </c>
      <c r="C449">
        <v>1</v>
      </c>
      <c r="D449">
        <v>0</v>
      </c>
      <c r="E449">
        <v>0</v>
      </c>
      <c r="F449" t="s">
        <v>681</v>
      </c>
      <c r="G449" t="s">
        <v>458</v>
      </c>
      <c r="H449" t="s">
        <v>396</v>
      </c>
      <c r="I449">
        <v>0.125</v>
      </c>
      <c r="J449">
        <v>1</v>
      </c>
      <c r="K449">
        <v>0</v>
      </c>
      <c r="L449" t="s">
        <v>28</v>
      </c>
      <c r="M449" t="s">
        <v>774</v>
      </c>
      <c r="N449" t="s">
        <v>514</v>
      </c>
      <c r="O449">
        <v>5.8035599999999997E-4</v>
      </c>
      <c r="P449">
        <v>1.6500000000000002E-3</v>
      </c>
      <c r="Q449">
        <v>1.6199999999999999E-2</v>
      </c>
      <c r="R449">
        <v>8.9999999999999993E-3</v>
      </c>
      <c r="S449" s="101">
        <v>5.8035599999999997E-4</v>
      </c>
      <c r="T449" s="101">
        <v>1.6500000000000002E-3</v>
      </c>
      <c r="U449" s="101">
        <v>1.6199999999999999E-2</v>
      </c>
      <c r="V449" s="101">
        <v>8.9999999999999993E-3</v>
      </c>
      <c r="W449">
        <v>1.65</v>
      </c>
      <c r="X449">
        <v>1.65</v>
      </c>
      <c r="Y449">
        <v>1.65</v>
      </c>
      <c r="Z449">
        <v>1.65</v>
      </c>
      <c r="AA449" t="s">
        <v>351</v>
      </c>
      <c r="AB449" t="str">
        <f t="shared" si="14"/>
        <v>OK</v>
      </c>
      <c r="AC449" t="str">
        <f t="shared" si="15"/>
        <v>OK</v>
      </c>
      <c r="AD449" t="str">
        <f t="shared" si="16"/>
        <v>OK</v>
      </c>
      <c r="AE449" t="str">
        <f t="shared" si="17"/>
        <v>OK</v>
      </c>
    </row>
    <row r="450" spans="1:31" x14ac:dyDescent="0.25">
      <c r="A450" t="s">
        <v>350</v>
      </c>
      <c r="B450">
        <v>100</v>
      </c>
      <c r="C450">
        <v>1</v>
      </c>
      <c r="D450">
        <v>0</v>
      </c>
      <c r="E450">
        <v>0</v>
      </c>
      <c r="F450" t="s">
        <v>682</v>
      </c>
      <c r="G450" t="s">
        <v>458</v>
      </c>
      <c r="H450" t="s">
        <v>396</v>
      </c>
      <c r="I450">
        <v>0.125</v>
      </c>
      <c r="J450">
        <v>1</v>
      </c>
      <c r="K450">
        <v>0</v>
      </c>
      <c r="L450" t="s">
        <v>28</v>
      </c>
      <c r="M450" t="s">
        <v>774</v>
      </c>
      <c r="N450" t="s">
        <v>514</v>
      </c>
      <c r="O450">
        <v>5.8035599999999997E-4</v>
      </c>
      <c r="P450">
        <v>1.6500000000000002E-3</v>
      </c>
      <c r="Q450">
        <v>1.0800000000000001E-2</v>
      </c>
      <c r="R450">
        <v>6.0000000000000001E-3</v>
      </c>
      <c r="S450" s="101">
        <v>5.8035599999999997E-4</v>
      </c>
      <c r="T450" s="101">
        <v>1.6500000000000002E-3</v>
      </c>
      <c r="U450" s="101">
        <v>1.0800000000000001E-2</v>
      </c>
      <c r="V450" s="101">
        <v>6.0000000000000001E-3</v>
      </c>
      <c r="W450">
        <v>1.65</v>
      </c>
      <c r="X450">
        <v>1.65</v>
      </c>
      <c r="Y450">
        <v>1.65</v>
      </c>
      <c r="Z450">
        <v>1.65</v>
      </c>
      <c r="AA450" t="s">
        <v>351</v>
      </c>
      <c r="AB450" t="str">
        <f t="shared" si="14"/>
        <v>OK</v>
      </c>
      <c r="AC450" t="str">
        <f t="shared" si="15"/>
        <v>OK</v>
      </c>
      <c r="AD450" t="str">
        <f t="shared" si="16"/>
        <v>OK</v>
      </c>
      <c r="AE450" t="str">
        <f t="shared" si="17"/>
        <v>OK</v>
      </c>
    </row>
    <row r="451" spans="1:31" x14ac:dyDescent="0.25">
      <c r="A451" t="s">
        <v>348</v>
      </c>
      <c r="B451">
        <v>100</v>
      </c>
      <c r="C451">
        <v>1</v>
      </c>
      <c r="D451">
        <v>0</v>
      </c>
      <c r="E451">
        <v>0</v>
      </c>
      <c r="F451" t="s">
        <v>458</v>
      </c>
      <c r="G451" t="s">
        <v>458</v>
      </c>
      <c r="H451" t="s">
        <v>396</v>
      </c>
      <c r="I451">
        <v>0.125</v>
      </c>
      <c r="J451">
        <v>1</v>
      </c>
      <c r="K451">
        <v>0</v>
      </c>
      <c r="L451" t="s">
        <v>28</v>
      </c>
      <c r="M451" t="s">
        <v>774</v>
      </c>
      <c r="N451" t="s">
        <v>965</v>
      </c>
      <c r="O451">
        <v>6.0435600000000001E-4</v>
      </c>
      <c r="P451">
        <v>3.8262499999999998E-3</v>
      </c>
      <c r="Q451">
        <v>0</v>
      </c>
      <c r="R451">
        <v>7.4999999999999997E-3</v>
      </c>
      <c r="S451" s="101">
        <v>6.0435600000000001E-4</v>
      </c>
      <c r="T451" s="101">
        <v>3.8262499999999998E-3</v>
      </c>
      <c r="U451" s="101">
        <v>0</v>
      </c>
      <c r="V451" s="101">
        <v>7.4999999999999997E-3</v>
      </c>
      <c r="W451">
        <v>3.75</v>
      </c>
      <c r="X451">
        <v>3.7507625</v>
      </c>
      <c r="Y451">
        <v>3.788125</v>
      </c>
      <c r="Z451">
        <v>3.8262499999999999</v>
      </c>
      <c r="AA451" t="s">
        <v>349</v>
      </c>
      <c r="AB451" t="str">
        <f t="shared" si="14"/>
        <v>OK</v>
      </c>
      <c r="AC451" t="str">
        <f t="shared" si="15"/>
        <v>OK</v>
      </c>
      <c r="AD451" t="str">
        <f t="shared" si="16"/>
        <v>OK</v>
      </c>
      <c r="AE451" t="str">
        <f t="shared" si="17"/>
        <v>OK</v>
      </c>
    </row>
    <row r="452" spans="1:31" x14ac:dyDescent="0.25">
      <c r="A452" t="s">
        <v>348</v>
      </c>
      <c r="B452">
        <v>100</v>
      </c>
      <c r="C452">
        <v>1</v>
      </c>
      <c r="D452">
        <v>0</v>
      </c>
      <c r="E452">
        <v>0</v>
      </c>
      <c r="F452" t="s">
        <v>680</v>
      </c>
      <c r="G452" t="s">
        <v>458</v>
      </c>
      <c r="H452" t="s">
        <v>396</v>
      </c>
      <c r="I452">
        <v>0.125</v>
      </c>
      <c r="J452">
        <v>1</v>
      </c>
      <c r="K452">
        <v>0</v>
      </c>
      <c r="L452" t="s">
        <v>28</v>
      </c>
      <c r="M452" t="s">
        <v>774</v>
      </c>
      <c r="N452" t="s">
        <v>514</v>
      </c>
      <c r="O452">
        <v>5.8035599999999997E-4</v>
      </c>
      <c r="P452">
        <v>1.6500000000000002E-3</v>
      </c>
      <c r="Q452">
        <v>1.125E-2</v>
      </c>
      <c r="R452">
        <v>7.4999999999999997E-3</v>
      </c>
      <c r="S452" s="101">
        <v>5.8035599999999997E-4</v>
      </c>
      <c r="T452" s="101">
        <v>1.6500000000000002E-3</v>
      </c>
      <c r="U452" s="101">
        <v>1.125E-2</v>
      </c>
      <c r="V452" s="101">
        <v>7.4999999999999997E-3</v>
      </c>
      <c r="W452">
        <v>1.65</v>
      </c>
      <c r="X452">
        <v>1.65</v>
      </c>
      <c r="Y452">
        <v>1.65</v>
      </c>
      <c r="Z452">
        <v>1.65</v>
      </c>
      <c r="AA452" t="s">
        <v>349</v>
      </c>
      <c r="AB452" t="str">
        <f t="shared" si="14"/>
        <v>OK</v>
      </c>
      <c r="AC452" t="str">
        <f t="shared" si="15"/>
        <v>OK</v>
      </c>
      <c r="AD452" t="str">
        <f t="shared" si="16"/>
        <v>OK</v>
      </c>
      <c r="AE452" t="str">
        <f t="shared" si="17"/>
        <v>OK</v>
      </c>
    </row>
    <row r="453" spans="1:31" x14ac:dyDescent="0.25">
      <c r="A453" t="s">
        <v>348</v>
      </c>
      <c r="B453">
        <v>100</v>
      </c>
      <c r="C453">
        <v>1</v>
      </c>
      <c r="D453">
        <v>0</v>
      </c>
      <c r="E453">
        <v>0</v>
      </c>
      <c r="F453" t="s">
        <v>679</v>
      </c>
      <c r="G453" t="s">
        <v>458</v>
      </c>
      <c r="H453" t="s">
        <v>396</v>
      </c>
      <c r="I453">
        <v>0.125</v>
      </c>
      <c r="J453">
        <v>1</v>
      </c>
      <c r="K453">
        <v>0</v>
      </c>
      <c r="L453" t="s">
        <v>28</v>
      </c>
      <c r="M453" t="s">
        <v>774</v>
      </c>
      <c r="N453" t="s">
        <v>514</v>
      </c>
      <c r="O453">
        <v>5.8035599999999997E-4</v>
      </c>
      <c r="P453">
        <v>1.6500000000000002E-3</v>
      </c>
      <c r="Q453">
        <v>2.2499999999999999E-2</v>
      </c>
      <c r="R453">
        <v>1.4999999999999999E-2</v>
      </c>
      <c r="S453" s="101">
        <v>5.8035599999999997E-4</v>
      </c>
      <c r="T453" s="101">
        <v>1.6500000000000002E-3</v>
      </c>
      <c r="U453" s="101">
        <v>2.2499999999999999E-2</v>
      </c>
      <c r="V453" s="101">
        <v>1.4999999999999999E-2</v>
      </c>
      <c r="W453">
        <v>1.65</v>
      </c>
      <c r="X453">
        <v>1.65</v>
      </c>
      <c r="Y453">
        <v>1.65</v>
      </c>
      <c r="Z453">
        <v>1.65</v>
      </c>
      <c r="AA453" t="s">
        <v>349</v>
      </c>
      <c r="AB453" t="str">
        <f t="shared" si="14"/>
        <v>OK</v>
      </c>
      <c r="AC453" t="str">
        <f t="shared" si="15"/>
        <v>OK</v>
      </c>
      <c r="AD453" t="str">
        <f t="shared" si="16"/>
        <v>OK</v>
      </c>
      <c r="AE453" t="str">
        <f t="shared" si="17"/>
        <v>OK</v>
      </c>
    </row>
    <row r="454" spans="1:31" x14ac:dyDescent="0.25">
      <c r="A454" t="s">
        <v>348</v>
      </c>
      <c r="B454">
        <v>100</v>
      </c>
      <c r="C454">
        <v>1</v>
      </c>
      <c r="D454">
        <v>0</v>
      </c>
      <c r="E454">
        <v>0</v>
      </c>
      <c r="F454" t="s">
        <v>681</v>
      </c>
      <c r="G454" t="s">
        <v>458</v>
      </c>
      <c r="H454" t="s">
        <v>396</v>
      </c>
      <c r="I454">
        <v>0.125</v>
      </c>
      <c r="J454">
        <v>1</v>
      </c>
      <c r="K454">
        <v>0</v>
      </c>
      <c r="L454" t="s">
        <v>28</v>
      </c>
      <c r="M454" t="s">
        <v>774</v>
      </c>
      <c r="N454" t="s">
        <v>514</v>
      </c>
      <c r="O454">
        <v>5.8035599999999997E-4</v>
      </c>
      <c r="P454">
        <v>1.6500000000000002E-3</v>
      </c>
      <c r="Q454">
        <v>1.125E-2</v>
      </c>
      <c r="R454">
        <v>7.4999999999999997E-3</v>
      </c>
      <c r="S454" s="101">
        <v>5.8035599999999997E-4</v>
      </c>
      <c r="T454" s="101">
        <v>1.6500000000000002E-3</v>
      </c>
      <c r="U454" s="101">
        <v>1.125E-2</v>
      </c>
      <c r="V454" s="101">
        <v>7.4999999999999997E-3</v>
      </c>
      <c r="W454">
        <v>1.65</v>
      </c>
      <c r="X454">
        <v>1.65</v>
      </c>
      <c r="Y454">
        <v>1.65</v>
      </c>
      <c r="Z454">
        <v>1.65</v>
      </c>
      <c r="AA454" t="s">
        <v>349</v>
      </c>
      <c r="AB454" t="str">
        <f t="shared" si="14"/>
        <v>OK</v>
      </c>
      <c r="AC454" t="str">
        <f t="shared" si="15"/>
        <v>OK</v>
      </c>
      <c r="AD454" t="str">
        <f t="shared" si="16"/>
        <v>OK</v>
      </c>
      <c r="AE454" t="str">
        <f t="shared" si="17"/>
        <v>OK</v>
      </c>
    </row>
    <row r="455" spans="1:31" x14ac:dyDescent="0.25">
      <c r="A455" t="s">
        <v>348</v>
      </c>
      <c r="B455">
        <v>100</v>
      </c>
      <c r="C455">
        <v>1</v>
      </c>
      <c r="D455">
        <v>0</v>
      </c>
      <c r="E455">
        <v>0</v>
      </c>
      <c r="F455" t="s">
        <v>682</v>
      </c>
      <c r="G455" t="s">
        <v>458</v>
      </c>
      <c r="H455" t="s">
        <v>396</v>
      </c>
      <c r="I455">
        <v>0.125</v>
      </c>
      <c r="J455">
        <v>1</v>
      </c>
      <c r="K455">
        <v>0</v>
      </c>
      <c r="L455" t="s">
        <v>28</v>
      </c>
      <c r="M455" t="s">
        <v>774</v>
      </c>
      <c r="N455" t="s">
        <v>965</v>
      </c>
      <c r="O455">
        <v>6.0435600000000001E-4</v>
      </c>
      <c r="P455">
        <v>3.8262499999999998E-3</v>
      </c>
      <c r="Q455">
        <v>7.4999999999999997E-3</v>
      </c>
      <c r="R455">
        <v>5.0000000000000001E-3</v>
      </c>
      <c r="S455" s="101">
        <v>6.0435600000000001E-4</v>
      </c>
      <c r="T455" s="101">
        <v>3.8262499999999998E-3</v>
      </c>
      <c r="U455" s="101">
        <v>7.4999999999999997E-3</v>
      </c>
      <c r="V455" s="101">
        <v>5.0000000000000001E-3</v>
      </c>
      <c r="W455">
        <v>3.75</v>
      </c>
      <c r="X455">
        <v>3.7507625</v>
      </c>
      <c r="Y455">
        <v>3.788125</v>
      </c>
      <c r="Z455">
        <v>3.8262499999999999</v>
      </c>
      <c r="AA455" t="s">
        <v>349</v>
      </c>
      <c r="AB455" t="str">
        <f t="shared" si="14"/>
        <v>OK</v>
      </c>
      <c r="AC455" t="str">
        <f t="shared" si="15"/>
        <v>OK</v>
      </c>
      <c r="AD455" t="str">
        <f t="shared" si="16"/>
        <v>OK</v>
      </c>
      <c r="AE455" t="str">
        <f t="shared" si="17"/>
        <v>OK</v>
      </c>
    </row>
    <row r="456" spans="1:31" x14ac:dyDescent="0.25">
      <c r="A456" t="s">
        <v>135</v>
      </c>
      <c r="B456">
        <v>100</v>
      </c>
      <c r="C456">
        <v>1</v>
      </c>
      <c r="D456">
        <v>0</v>
      </c>
      <c r="E456">
        <v>0</v>
      </c>
      <c r="F456" t="s">
        <v>458</v>
      </c>
      <c r="G456" t="s">
        <v>458</v>
      </c>
      <c r="H456" t="s">
        <v>396</v>
      </c>
      <c r="I456">
        <v>0.125</v>
      </c>
      <c r="J456">
        <v>1</v>
      </c>
      <c r="K456">
        <v>0</v>
      </c>
      <c r="L456" t="s">
        <v>28</v>
      </c>
      <c r="M456" t="s">
        <v>774</v>
      </c>
      <c r="N456" t="s">
        <v>514</v>
      </c>
      <c r="O456">
        <v>5.8035599999999997E-4</v>
      </c>
      <c r="P456">
        <v>1.6500000000000002E-3</v>
      </c>
      <c r="Q456">
        <v>0</v>
      </c>
      <c r="R456">
        <v>8.9999999999999993E-3</v>
      </c>
      <c r="S456" s="101">
        <v>5.8035599999999997E-4</v>
      </c>
      <c r="T456" s="101">
        <v>1.6500000000000002E-3</v>
      </c>
      <c r="U456" s="101">
        <v>0</v>
      </c>
      <c r="V456" s="101">
        <v>8.9999999999999993E-3</v>
      </c>
      <c r="W456">
        <v>1.65</v>
      </c>
      <c r="X456">
        <v>1.65</v>
      </c>
      <c r="Y456">
        <v>1.65</v>
      </c>
      <c r="Z456">
        <v>1.65</v>
      </c>
      <c r="AA456" t="s">
        <v>244</v>
      </c>
      <c r="AB456" t="str">
        <f t="shared" si="14"/>
        <v>OK</v>
      </c>
      <c r="AC456" t="str">
        <f t="shared" si="15"/>
        <v>OK</v>
      </c>
      <c r="AD456" t="str">
        <f t="shared" si="16"/>
        <v>OK</v>
      </c>
      <c r="AE456" t="str">
        <f t="shared" si="17"/>
        <v>OK</v>
      </c>
    </row>
    <row r="457" spans="1:31" x14ac:dyDescent="0.25">
      <c r="A457" t="s">
        <v>135</v>
      </c>
      <c r="B457">
        <v>100</v>
      </c>
      <c r="C457">
        <v>1</v>
      </c>
      <c r="D457">
        <v>0</v>
      </c>
      <c r="E457">
        <v>0</v>
      </c>
      <c r="F457" t="s">
        <v>680</v>
      </c>
      <c r="G457" t="s">
        <v>458</v>
      </c>
      <c r="H457" t="s">
        <v>396</v>
      </c>
      <c r="I457">
        <v>0.125</v>
      </c>
      <c r="J457">
        <v>1</v>
      </c>
      <c r="K457">
        <v>0</v>
      </c>
      <c r="L457" t="s">
        <v>28</v>
      </c>
      <c r="M457" t="s">
        <v>774</v>
      </c>
      <c r="N457" t="s">
        <v>514</v>
      </c>
      <c r="O457">
        <v>5.8035599999999997E-4</v>
      </c>
      <c r="P457">
        <v>1.6500000000000002E-3</v>
      </c>
      <c r="Q457">
        <v>1.6199999999999999E-2</v>
      </c>
      <c r="R457">
        <v>8.9999999999999993E-3</v>
      </c>
      <c r="S457" s="101">
        <v>5.8035599999999997E-4</v>
      </c>
      <c r="T457" s="101">
        <v>1.6500000000000002E-3</v>
      </c>
      <c r="U457" s="101">
        <v>1.6199999999999999E-2</v>
      </c>
      <c r="V457" s="101">
        <v>8.9999999999999993E-3</v>
      </c>
      <c r="W457">
        <v>1.65</v>
      </c>
      <c r="X457">
        <v>1.65</v>
      </c>
      <c r="Y457">
        <v>1.65</v>
      </c>
      <c r="Z457">
        <v>1.65</v>
      </c>
      <c r="AA457" t="s">
        <v>244</v>
      </c>
      <c r="AB457" t="str">
        <f t="shared" si="14"/>
        <v>OK</v>
      </c>
      <c r="AC457" t="str">
        <f t="shared" si="15"/>
        <v>OK</v>
      </c>
      <c r="AD457" t="str">
        <f t="shared" si="16"/>
        <v>OK</v>
      </c>
      <c r="AE457" t="str">
        <f t="shared" si="17"/>
        <v>OK</v>
      </c>
    </row>
    <row r="458" spans="1:31" x14ac:dyDescent="0.25">
      <c r="A458" t="s">
        <v>135</v>
      </c>
      <c r="B458">
        <v>100</v>
      </c>
      <c r="C458">
        <v>1</v>
      </c>
      <c r="D458">
        <v>0</v>
      </c>
      <c r="E458">
        <v>0</v>
      </c>
      <c r="F458" t="s">
        <v>679</v>
      </c>
      <c r="G458" t="s">
        <v>458</v>
      </c>
      <c r="H458" t="s">
        <v>396</v>
      </c>
      <c r="I458">
        <v>0.125</v>
      </c>
      <c r="J458">
        <v>1</v>
      </c>
      <c r="K458">
        <v>0</v>
      </c>
      <c r="L458" t="s">
        <v>28</v>
      </c>
      <c r="M458" t="s">
        <v>774</v>
      </c>
      <c r="N458" t="s">
        <v>514</v>
      </c>
      <c r="O458">
        <v>5.8035599999999997E-4</v>
      </c>
      <c r="P458">
        <v>1.6500000000000002E-3</v>
      </c>
      <c r="Q458">
        <v>3.2399999999999998E-2</v>
      </c>
      <c r="R458">
        <v>1.7999999999999999E-2</v>
      </c>
      <c r="S458" s="101">
        <v>5.8035599999999997E-4</v>
      </c>
      <c r="T458" s="101">
        <v>1.6500000000000002E-3</v>
      </c>
      <c r="U458" s="101">
        <v>3.2399999999999998E-2</v>
      </c>
      <c r="V458" s="101">
        <v>1.7999999999999999E-2</v>
      </c>
      <c r="W458">
        <v>1.65</v>
      </c>
      <c r="X458">
        <v>1.65</v>
      </c>
      <c r="Y458">
        <v>1.65</v>
      </c>
      <c r="Z458">
        <v>1.65</v>
      </c>
      <c r="AA458" t="s">
        <v>244</v>
      </c>
      <c r="AB458" t="str">
        <f t="shared" si="14"/>
        <v>OK</v>
      </c>
      <c r="AC458" t="str">
        <f t="shared" si="15"/>
        <v>OK</v>
      </c>
      <c r="AD458" t="str">
        <f t="shared" si="16"/>
        <v>OK</v>
      </c>
      <c r="AE458" t="str">
        <f t="shared" si="17"/>
        <v>OK</v>
      </c>
    </row>
    <row r="459" spans="1:31" x14ac:dyDescent="0.25">
      <c r="A459" t="s">
        <v>135</v>
      </c>
      <c r="B459">
        <v>100</v>
      </c>
      <c r="C459">
        <v>1</v>
      </c>
      <c r="D459">
        <v>0</v>
      </c>
      <c r="E459">
        <v>0</v>
      </c>
      <c r="F459" t="s">
        <v>681</v>
      </c>
      <c r="G459" t="s">
        <v>458</v>
      </c>
      <c r="H459" t="s">
        <v>396</v>
      </c>
      <c r="I459">
        <v>0.125</v>
      </c>
      <c r="J459">
        <v>1</v>
      </c>
      <c r="K459">
        <v>0</v>
      </c>
      <c r="L459" t="s">
        <v>28</v>
      </c>
      <c r="M459" t="s">
        <v>774</v>
      </c>
      <c r="N459" t="s">
        <v>965</v>
      </c>
      <c r="O459">
        <v>6.0435600000000001E-4</v>
      </c>
      <c r="P459">
        <v>3.8262499999999998E-3</v>
      </c>
      <c r="Q459">
        <v>1.6199999999999999E-2</v>
      </c>
      <c r="R459">
        <v>8.9999999999999993E-3</v>
      </c>
      <c r="S459" s="101">
        <v>6.0435600000000001E-4</v>
      </c>
      <c r="T459" s="101">
        <v>3.8262499999999998E-3</v>
      </c>
      <c r="U459" s="101">
        <v>1.6199999999999999E-2</v>
      </c>
      <c r="V459" s="101">
        <v>8.9999999999999993E-3</v>
      </c>
      <c r="W459">
        <v>3.75</v>
      </c>
      <c r="X459">
        <v>3.7507625</v>
      </c>
      <c r="Y459">
        <v>3.788125</v>
      </c>
      <c r="Z459">
        <v>3.8262499999999999</v>
      </c>
      <c r="AA459" t="s">
        <v>244</v>
      </c>
      <c r="AB459" t="str">
        <f t="shared" si="14"/>
        <v>OK</v>
      </c>
      <c r="AC459" t="str">
        <f t="shared" si="15"/>
        <v>OK</v>
      </c>
      <c r="AD459" t="str">
        <f t="shared" si="16"/>
        <v>OK</v>
      </c>
      <c r="AE459" t="str">
        <f t="shared" si="17"/>
        <v>OK</v>
      </c>
    </row>
    <row r="460" spans="1:31" x14ac:dyDescent="0.25">
      <c r="A460" t="s">
        <v>135</v>
      </c>
      <c r="B460">
        <v>100</v>
      </c>
      <c r="C460">
        <v>1</v>
      </c>
      <c r="D460">
        <v>0</v>
      </c>
      <c r="E460">
        <v>0</v>
      </c>
      <c r="F460" t="s">
        <v>682</v>
      </c>
      <c r="G460" t="s">
        <v>458</v>
      </c>
      <c r="H460" t="s">
        <v>396</v>
      </c>
      <c r="I460">
        <v>0.125</v>
      </c>
      <c r="J460">
        <v>1</v>
      </c>
      <c r="K460">
        <v>0</v>
      </c>
      <c r="L460" t="s">
        <v>28</v>
      </c>
      <c r="M460" t="s">
        <v>774</v>
      </c>
      <c r="N460" t="s">
        <v>514</v>
      </c>
      <c r="O460">
        <v>5.8035599999999997E-4</v>
      </c>
      <c r="P460">
        <v>1.6500000000000002E-3</v>
      </c>
      <c r="Q460">
        <v>1.0800000000000001E-2</v>
      </c>
      <c r="R460">
        <v>6.0000000000000001E-3</v>
      </c>
      <c r="S460" s="101">
        <v>5.8035599999999997E-4</v>
      </c>
      <c r="T460" s="101">
        <v>1.6500000000000002E-3</v>
      </c>
      <c r="U460" s="101">
        <v>1.0800000000000001E-2</v>
      </c>
      <c r="V460" s="101">
        <v>6.0000000000000001E-3</v>
      </c>
      <c r="W460">
        <v>1.65</v>
      </c>
      <c r="X460">
        <v>1.65</v>
      </c>
      <c r="Y460">
        <v>1.65</v>
      </c>
      <c r="Z460">
        <v>1.65</v>
      </c>
      <c r="AA460" t="s">
        <v>244</v>
      </c>
      <c r="AB460" t="str">
        <f t="shared" si="14"/>
        <v>OK</v>
      </c>
      <c r="AC460" t="str">
        <f t="shared" si="15"/>
        <v>OK</v>
      </c>
      <c r="AD460" t="str">
        <f t="shared" si="16"/>
        <v>OK</v>
      </c>
      <c r="AE460" t="str">
        <f t="shared" si="17"/>
        <v>OK</v>
      </c>
    </row>
    <row r="461" spans="1:31" x14ac:dyDescent="0.25">
      <c r="A461" t="s">
        <v>214</v>
      </c>
      <c r="B461">
        <v>100</v>
      </c>
      <c r="C461">
        <v>0</v>
      </c>
      <c r="D461">
        <v>1</v>
      </c>
      <c r="E461">
        <v>0</v>
      </c>
      <c r="F461" t="s">
        <v>458</v>
      </c>
      <c r="G461" t="s">
        <v>458</v>
      </c>
      <c r="H461" t="s">
        <v>396</v>
      </c>
      <c r="I461">
        <v>0.125</v>
      </c>
      <c r="J461">
        <v>1</v>
      </c>
      <c r="K461">
        <v>5</v>
      </c>
      <c r="L461" t="s">
        <v>28</v>
      </c>
      <c r="M461" t="s">
        <v>512</v>
      </c>
      <c r="N461" t="s">
        <v>965</v>
      </c>
      <c r="O461">
        <v>3.2510999999999994E-5</v>
      </c>
      <c r="P461">
        <v>2.2099416666666663E-3</v>
      </c>
      <c r="Q461">
        <v>3.716525005E-3</v>
      </c>
      <c r="R461">
        <v>4.7647361138888891E-3</v>
      </c>
      <c r="S461" s="101">
        <v>3.2510999999999994E-5</v>
      </c>
      <c r="T461" s="101">
        <v>2.2099416666666663E-3</v>
      </c>
      <c r="U461" s="101">
        <v>3.716525005E-3</v>
      </c>
      <c r="V461" s="101">
        <v>4.7647361138888891E-3</v>
      </c>
      <c r="W461">
        <v>2.1</v>
      </c>
      <c r="X461">
        <v>2.1010994166666666</v>
      </c>
      <c r="Y461">
        <v>2.1549708333333335</v>
      </c>
      <c r="Z461">
        <v>2.2099416666666665</v>
      </c>
      <c r="AA461" t="s">
        <v>319</v>
      </c>
      <c r="AB461" t="str">
        <f t="shared" si="14"/>
        <v>OK</v>
      </c>
      <c r="AC461" t="str">
        <f t="shared" si="15"/>
        <v>OK</v>
      </c>
      <c r="AD461" t="str">
        <f t="shared" si="16"/>
        <v>OK</v>
      </c>
      <c r="AE461" t="str">
        <f t="shared" si="17"/>
        <v>OK</v>
      </c>
    </row>
    <row r="462" spans="1:31" x14ac:dyDescent="0.25">
      <c r="A462" t="s">
        <v>757</v>
      </c>
      <c r="B462">
        <v>100</v>
      </c>
      <c r="C462">
        <v>0</v>
      </c>
      <c r="D462">
        <v>1</v>
      </c>
      <c r="E462">
        <v>0</v>
      </c>
      <c r="F462" t="s">
        <v>458</v>
      </c>
      <c r="G462" t="s">
        <v>458</v>
      </c>
      <c r="H462" t="s">
        <v>396</v>
      </c>
      <c r="I462">
        <v>0.125</v>
      </c>
      <c r="J462">
        <v>1</v>
      </c>
      <c r="K462">
        <v>5</v>
      </c>
      <c r="L462" t="s">
        <v>28</v>
      </c>
      <c r="M462" t="s">
        <v>512</v>
      </c>
      <c r="N462" t="s">
        <v>965</v>
      </c>
      <c r="O462">
        <v>3.2510999999999994E-5</v>
      </c>
      <c r="P462">
        <v>2.2662092075892855E-3</v>
      </c>
      <c r="Q462">
        <v>5.5374999999999999E-3</v>
      </c>
      <c r="R462">
        <v>8.1916666666666665E-3</v>
      </c>
      <c r="S462" s="101">
        <v>3.2510999999999994E-5</v>
      </c>
      <c r="T462" s="101">
        <v>2.2662092075892855E-3</v>
      </c>
      <c r="U462" s="101">
        <v>5.5374999999999999E-3</v>
      </c>
      <c r="V462" s="101">
        <v>8.1916666666666665E-3</v>
      </c>
      <c r="W462">
        <v>2.1</v>
      </c>
      <c r="X462">
        <v>2.1016620920758928</v>
      </c>
      <c r="Y462">
        <v>2.1831046037946429</v>
      </c>
      <c r="Z462">
        <v>2.2662092075892857</v>
      </c>
      <c r="AA462" t="s">
        <v>964</v>
      </c>
      <c r="AB462" t="str">
        <f t="shared" si="14"/>
        <v>OK</v>
      </c>
      <c r="AC462" t="str">
        <f t="shared" si="15"/>
        <v>OK</v>
      </c>
      <c r="AD462" t="str">
        <f t="shared" si="16"/>
        <v>OK</v>
      </c>
      <c r="AE462" t="str">
        <f t="shared" si="17"/>
        <v>OK</v>
      </c>
    </row>
    <row r="463" spans="1:31" x14ac:dyDescent="0.25">
      <c r="A463" t="s">
        <v>366</v>
      </c>
      <c r="B463">
        <v>100</v>
      </c>
      <c r="C463">
        <v>0</v>
      </c>
      <c r="D463">
        <v>1</v>
      </c>
      <c r="E463">
        <v>0</v>
      </c>
      <c r="F463" t="s">
        <v>458</v>
      </c>
      <c r="G463" t="s">
        <v>458</v>
      </c>
      <c r="H463" t="s">
        <v>396</v>
      </c>
      <c r="I463">
        <v>0.125</v>
      </c>
      <c r="J463">
        <v>1</v>
      </c>
      <c r="K463">
        <v>5</v>
      </c>
      <c r="L463" t="s">
        <v>28</v>
      </c>
      <c r="M463" t="s">
        <v>512</v>
      </c>
      <c r="N463" t="s">
        <v>965</v>
      </c>
      <c r="O463">
        <v>3.2510999999999994E-5</v>
      </c>
      <c r="P463">
        <v>2.2662092075892855E-3</v>
      </c>
      <c r="Q463">
        <v>5.561875E-3</v>
      </c>
      <c r="R463">
        <v>8.1899305555555545E-3</v>
      </c>
      <c r="S463" s="101">
        <v>3.2510999999999994E-5</v>
      </c>
      <c r="T463" s="101">
        <v>2.2662092075892855E-3</v>
      </c>
      <c r="U463" s="101">
        <v>5.561875E-3</v>
      </c>
      <c r="V463" s="101">
        <v>8.1899305555555545E-3</v>
      </c>
      <c r="W463">
        <v>2.1</v>
      </c>
      <c r="X463">
        <v>2.1016620920758928</v>
      </c>
      <c r="Y463">
        <v>2.1831046037946429</v>
      </c>
      <c r="Z463">
        <v>2.2662092075892857</v>
      </c>
      <c r="AA463" t="s">
        <v>487</v>
      </c>
      <c r="AB463" t="str">
        <f t="shared" si="14"/>
        <v>OK</v>
      </c>
      <c r="AC463" t="str">
        <f t="shared" si="15"/>
        <v>OK</v>
      </c>
      <c r="AD463" t="str">
        <f t="shared" si="16"/>
        <v>OK</v>
      </c>
      <c r="AE463" t="str">
        <f t="shared" si="17"/>
        <v>OK</v>
      </c>
    </row>
    <row r="464" spans="1:31" x14ac:dyDescent="0.25">
      <c r="A464" t="s">
        <v>133</v>
      </c>
      <c r="B464">
        <v>100</v>
      </c>
      <c r="C464">
        <v>0</v>
      </c>
      <c r="D464">
        <v>1</v>
      </c>
      <c r="E464">
        <v>0</v>
      </c>
      <c r="F464" t="s">
        <v>458</v>
      </c>
      <c r="G464" t="s">
        <v>458</v>
      </c>
      <c r="H464" t="s">
        <v>396</v>
      </c>
      <c r="I464">
        <v>0.125</v>
      </c>
      <c r="J464">
        <v>1</v>
      </c>
      <c r="K464">
        <v>5</v>
      </c>
      <c r="L464" t="s">
        <v>28</v>
      </c>
      <c r="M464" t="s">
        <v>512</v>
      </c>
      <c r="N464" t="s">
        <v>965</v>
      </c>
      <c r="O464">
        <v>3.2510999999999994E-5</v>
      </c>
      <c r="P464">
        <v>2.2101093563988094E-3</v>
      </c>
      <c r="Q464">
        <v>5.4952020218750003E-3</v>
      </c>
      <c r="R464">
        <v>7.8780808087500001E-3</v>
      </c>
      <c r="S464" s="101">
        <v>3.2510999999999994E-5</v>
      </c>
      <c r="T464" s="101">
        <v>2.2101093563988094E-3</v>
      </c>
      <c r="U464" s="101">
        <v>5.4952020218750003E-3</v>
      </c>
      <c r="V464" s="101">
        <v>7.8780808087500001E-3</v>
      </c>
      <c r="W464">
        <v>2.1</v>
      </c>
      <c r="X464">
        <v>2.101101093563988</v>
      </c>
      <c r="Y464">
        <v>2.1550546781994044</v>
      </c>
      <c r="Z464">
        <v>2.2101093563988092</v>
      </c>
      <c r="AA464" t="s">
        <v>314</v>
      </c>
      <c r="AB464" t="str">
        <f t="shared" ref="AB464:AB527" si="18">IF($O464-$S464 &gt; 0, "ERROR","OK")</f>
        <v>OK</v>
      </c>
      <c r="AC464" t="str">
        <f t="shared" ref="AC464:AC527" si="19">IF($P464-$T464 &gt; 0, "ERROR","OK")</f>
        <v>OK</v>
      </c>
      <c r="AD464" t="str">
        <f t="shared" ref="AD464:AD527" si="20">IF($Q464-$U464 &gt; 0, "ERROR","OK")</f>
        <v>OK</v>
      </c>
      <c r="AE464" t="str">
        <f t="shared" ref="AE464:AE527" si="21">IF($R464-$V464 &gt; 0, "ERROR","OK")</f>
        <v>OK</v>
      </c>
    </row>
    <row r="465" spans="1:31" x14ac:dyDescent="0.25">
      <c r="A465" t="s">
        <v>367</v>
      </c>
      <c r="B465">
        <v>100</v>
      </c>
      <c r="C465">
        <v>0</v>
      </c>
      <c r="D465">
        <v>1</v>
      </c>
      <c r="E465">
        <v>0</v>
      </c>
      <c r="F465" t="s">
        <v>458</v>
      </c>
      <c r="G465" t="s">
        <v>458</v>
      </c>
      <c r="H465" t="s">
        <v>396</v>
      </c>
      <c r="I465">
        <v>0.125</v>
      </c>
      <c r="J465">
        <v>1</v>
      </c>
      <c r="K465">
        <v>5</v>
      </c>
      <c r="L465" t="s">
        <v>28</v>
      </c>
      <c r="M465" t="s">
        <v>512</v>
      </c>
      <c r="N465" t="s">
        <v>965</v>
      </c>
      <c r="O465">
        <v>3.2510999999999994E-5</v>
      </c>
      <c r="P465">
        <v>2.2476153645833333E-3</v>
      </c>
      <c r="Q465">
        <v>7.8567436468749991E-3</v>
      </c>
      <c r="R465">
        <v>1.054269745875E-2</v>
      </c>
      <c r="S465" s="101">
        <v>3.2510999999999994E-5</v>
      </c>
      <c r="T465" s="101">
        <v>2.2476153645833333E-3</v>
      </c>
      <c r="U465" s="101">
        <v>7.8567436468749991E-3</v>
      </c>
      <c r="V465" s="101">
        <v>1.054269745875E-2</v>
      </c>
      <c r="W465">
        <v>2.1</v>
      </c>
      <c r="X465">
        <v>2.1014761536458333</v>
      </c>
      <c r="Y465">
        <v>2.1738076822916668</v>
      </c>
      <c r="Z465">
        <v>2.2476153645833334</v>
      </c>
      <c r="AA465" t="s">
        <v>368</v>
      </c>
      <c r="AB465" t="str">
        <f t="shared" si="18"/>
        <v>OK</v>
      </c>
      <c r="AC465" t="str">
        <f t="shared" si="19"/>
        <v>OK</v>
      </c>
      <c r="AD465" t="str">
        <f t="shared" si="20"/>
        <v>OK</v>
      </c>
      <c r="AE465" t="str">
        <f t="shared" si="21"/>
        <v>OK</v>
      </c>
    </row>
    <row r="466" spans="1:31" x14ac:dyDescent="0.25">
      <c r="A466" t="s">
        <v>369</v>
      </c>
      <c r="B466">
        <v>100</v>
      </c>
      <c r="C466">
        <v>0</v>
      </c>
      <c r="D466">
        <v>1</v>
      </c>
      <c r="E466">
        <v>0</v>
      </c>
      <c r="F466" t="s">
        <v>458</v>
      </c>
      <c r="G466" t="s">
        <v>458</v>
      </c>
      <c r="H466" t="s">
        <v>396</v>
      </c>
      <c r="I466">
        <v>0.125</v>
      </c>
      <c r="J466">
        <v>1</v>
      </c>
      <c r="K466">
        <v>5</v>
      </c>
      <c r="L466" t="s">
        <v>28</v>
      </c>
      <c r="M466" t="s">
        <v>512</v>
      </c>
      <c r="N466" t="s">
        <v>965</v>
      </c>
      <c r="O466">
        <v>3.2510999999999994E-5</v>
      </c>
      <c r="P466">
        <v>2.2101093563988094E-3</v>
      </c>
      <c r="Q466">
        <v>5.5511686688750001E-3</v>
      </c>
      <c r="R466">
        <v>7.8761117178409081E-3</v>
      </c>
      <c r="S466" s="101">
        <v>3.2510999999999994E-5</v>
      </c>
      <c r="T466" s="101">
        <v>2.2101093563988094E-3</v>
      </c>
      <c r="U466" s="101">
        <v>5.5511686688750001E-3</v>
      </c>
      <c r="V466" s="101">
        <v>7.8761117178409081E-3</v>
      </c>
      <c r="W466">
        <v>2.1</v>
      </c>
      <c r="X466">
        <v>2.101101093563988</v>
      </c>
      <c r="Y466">
        <v>2.1550546781994044</v>
      </c>
      <c r="Z466">
        <v>2.2101093563988092</v>
      </c>
      <c r="AA466" t="s">
        <v>371</v>
      </c>
      <c r="AB466" t="str">
        <f t="shared" si="18"/>
        <v>OK</v>
      </c>
      <c r="AC466" t="str">
        <f t="shared" si="19"/>
        <v>OK</v>
      </c>
      <c r="AD466" t="str">
        <f t="shared" si="20"/>
        <v>OK</v>
      </c>
      <c r="AE466" t="str">
        <f t="shared" si="21"/>
        <v>OK</v>
      </c>
    </row>
    <row r="467" spans="1:31" x14ac:dyDescent="0.25">
      <c r="A467" t="s">
        <v>370</v>
      </c>
      <c r="B467">
        <v>100</v>
      </c>
      <c r="C467">
        <v>0</v>
      </c>
      <c r="D467">
        <v>1</v>
      </c>
      <c r="E467">
        <v>0</v>
      </c>
      <c r="F467" t="s">
        <v>458</v>
      </c>
      <c r="G467" t="s">
        <v>458</v>
      </c>
      <c r="H467" t="s">
        <v>396</v>
      </c>
      <c r="I467">
        <v>0.125</v>
      </c>
      <c r="J467">
        <v>1</v>
      </c>
      <c r="K467">
        <v>5</v>
      </c>
      <c r="L467" t="s">
        <v>28</v>
      </c>
      <c r="M467" t="s">
        <v>512</v>
      </c>
      <c r="N467" t="s">
        <v>965</v>
      </c>
      <c r="O467">
        <v>3.2510999999999994E-5</v>
      </c>
      <c r="P467">
        <v>2.2476153645833333E-3</v>
      </c>
      <c r="Q467">
        <v>7.9590436138750002E-3</v>
      </c>
      <c r="R467">
        <v>1.0539104125416665E-2</v>
      </c>
      <c r="S467" s="101">
        <v>3.2510999999999994E-5</v>
      </c>
      <c r="T467" s="101">
        <v>2.2476153645833333E-3</v>
      </c>
      <c r="U467" s="101">
        <v>7.9590436138750002E-3</v>
      </c>
      <c r="V467" s="101">
        <v>1.0539104125416665E-2</v>
      </c>
      <c r="W467">
        <v>2.1</v>
      </c>
      <c r="X467">
        <v>2.1014761536458333</v>
      </c>
      <c r="Y467">
        <v>2.1738076822916668</v>
      </c>
      <c r="Z467">
        <v>2.2476153645833334</v>
      </c>
      <c r="AA467" t="s">
        <v>372</v>
      </c>
      <c r="AB467" t="str">
        <f t="shared" si="18"/>
        <v>OK</v>
      </c>
      <c r="AC467" t="str">
        <f t="shared" si="19"/>
        <v>OK</v>
      </c>
      <c r="AD467" t="str">
        <f t="shared" si="20"/>
        <v>OK</v>
      </c>
      <c r="AE467" t="str">
        <f t="shared" si="21"/>
        <v>OK</v>
      </c>
    </row>
    <row r="468" spans="1:31" x14ac:dyDescent="0.25">
      <c r="A468" t="s">
        <v>214</v>
      </c>
      <c r="B468">
        <v>100</v>
      </c>
      <c r="C468">
        <v>0</v>
      </c>
      <c r="D468">
        <v>1</v>
      </c>
      <c r="E468">
        <v>0</v>
      </c>
      <c r="F468" t="s">
        <v>680</v>
      </c>
      <c r="G468" t="s">
        <v>458</v>
      </c>
      <c r="H468" t="s">
        <v>396</v>
      </c>
      <c r="I468">
        <v>0.125</v>
      </c>
      <c r="J468">
        <v>1</v>
      </c>
      <c r="K468">
        <v>5</v>
      </c>
      <c r="L468" t="s">
        <v>28</v>
      </c>
      <c r="M468" t="s">
        <v>512</v>
      </c>
      <c r="N468" t="s">
        <v>965</v>
      </c>
      <c r="O468">
        <v>3.2510999999999994E-5</v>
      </c>
      <c r="P468">
        <v>2.2099416666666663E-3</v>
      </c>
      <c r="Q468">
        <v>3.716525005E-3</v>
      </c>
      <c r="R468">
        <v>4.7647361138888891E-3</v>
      </c>
      <c r="S468" s="101">
        <v>3.2510999999999994E-5</v>
      </c>
      <c r="T468" s="101">
        <v>2.2099416666666663E-3</v>
      </c>
      <c r="U468" s="101">
        <v>3.716525005E-3</v>
      </c>
      <c r="V468" s="101">
        <v>4.7647361138888891E-3</v>
      </c>
      <c r="W468">
        <v>2.1</v>
      </c>
      <c r="X468">
        <v>2.1010994166666666</v>
      </c>
      <c r="Y468">
        <v>2.1549708333333335</v>
      </c>
      <c r="Z468">
        <v>2.2099416666666665</v>
      </c>
      <c r="AA468" t="s">
        <v>319</v>
      </c>
      <c r="AB468" t="str">
        <f t="shared" si="18"/>
        <v>OK</v>
      </c>
      <c r="AC468" t="str">
        <f t="shared" si="19"/>
        <v>OK</v>
      </c>
      <c r="AD468" t="str">
        <f t="shared" si="20"/>
        <v>OK</v>
      </c>
      <c r="AE468" t="str">
        <f t="shared" si="21"/>
        <v>OK</v>
      </c>
    </row>
    <row r="469" spans="1:31" x14ac:dyDescent="0.25">
      <c r="A469" t="s">
        <v>757</v>
      </c>
      <c r="B469">
        <v>100</v>
      </c>
      <c r="C469">
        <v>0</v>
      </c>
      <c r="D469">
        <v>1</v>
      </c>
      <c r="E469">
        <v>0</v>
      </c>
      <c r="F469" t="s">
        <v>680</v>
      </c>
      <c r="G469" t="s">
        <v>458</v>
      </c>
      <c r="H469" t="s">
        <v>396</v>
      </c>
      <c r="I469">
        <v>0.125</v>
      </c>
      <c r="J469">
        <v>1</v>
      </c>
      <c r="K469">
        <v>5</v>
      </c>
      <c r="L469" t="s">
        <v>28</v>
      </c>
      <c r="M469" t="s">
        <v>512</v>
      </c>
      <c r="N469" t="s">
        <v>965</v>
      </c>
      <c r="O469">
        <v>3.2510999999999994E-5</v>
      </c>
      <c r="P469">
        <v>2.2662092075892855E-3</v>
      </c>
      <c r="Q469">
        <v>5.5374999999999999E-3</v>
      </c>
      <c r="R469">
        <v>8.1916666666666665E-3</v>
      </c>
      <c r="S469" s="101">
        <v>3.2510999999999994E-5</v>
      </c>
      <c r="T469" s="101">
        <v>2.2662092075892855E-3</v>
      </c>
      <c r="U469" s="101">
        <v>5.5374999999999999E-3</v>
      </c>
      <c r="V469" s="101">
        <v>8.1916666666666665E-3</v>
      </c>
      <c r="W469">
        <v>2.1</v>
      </c>
      <c r="X469">
        <v>2.1016620920758928</v>
      </c>
      <c r="Y469">
        <v>2.1831046037946429</v>
      </c>
      <c r="Z469">
        <v>2.2662092075892857</v>
      </c>
      <c r="AA469" t="s">
        <v>964</v>
      </c>
      <c r="AB469" t="str">
        <f t="shared" si="18"/>
        <v>OK</v>
      </c>
      <c r="AC469" t="str">
        <f t="shared" si="19"/>
        <v>OK</v>
      </c>
      <c r="AD469" t="str">
        <f t="shared" si="20"/>
        <v>OK</v>
      </c>
      <c r="AE469" t="str">
        <f t="shared" si="21"/>
        <v>OK</v>
      </c>
    </row>
    <row r="470" spans="1:31" x14ac:dyDescent="0.25">
      <c r="A470" t="s">
        <v>366</v>
      </c>
      <c r="B470">
        <v>100</v>
      </c>
      <c r="C470">
        <v>0</v>
      </c>
      <c r="D470">
        <v>1</v>
      </c>
      <c r="E470">
        <v>0</v>
      </c>
      <c r="F470" t="s">
        <v>680</v>
      </c>
      <c r="G470" t="s">
        <v>458</v>
      </c>
      <c r="H470" t="s">
        <v>396</v>
      </c>
      <c r="I470">
        <v>0.125</v>
      </c>
      <c r="J470">
        <v>1</v>
      </c>
      <c r="K470">
        <v>5</v>
      </c>
      <c r="L470" t="s">
        <v>28</v>
      </c>
      <c r="M470" t="s">
        <v>512</v>
      </c>
      <c r="N470" t="s">
        <v>965</v>
      </c>
      <c r="O470">
        <v>3.2510999999999994E-5</v>
      </c>
      <c r="P470">
        <v>2.2662092075892855E-3</v>
      </c>
      <c r="Q470">
        <v>5.561875E-3</v>
      </c>
      <c r="R470">
        <v>8.1899305555555545E-3</v>
      </c>
      <c r="S470" s="101">
        <v>3.2510999999999994E-5</v>
      </c>
      <c r="T470" s="101">
        <v>2.2662092075892855E-3</v>
      </c>
      <c r="U470" s="101">
        <v>5.561875E-3</v>
      </c>
      <c r="V470" s="101">
        <v>8.1899305555555545E-3</v>
      </c>
      <c r="W470">
        <v>2.1</v>
      </c>
      <c r="X470">
        <v>2.1016620920758928</v>
      </c>
      <c r="Y470">
        <v>2.1831046037946429</v>
      </c>
      <c r="Z470">
        <v>2.2662092075892857</v>
      </c>
      <c r="AA470" t="s">
        <v>487</v>
      </c>
      <c r="AB470" t="str">
        <f t="shared" si="18"/>
        <v>OK</v>
      </c>
      <c r="AC470" t="str">
        <f t="shared" si="19"/>
        <v>OK</v>
      </c>
      <c r="AD470" t="str">
        <f t="shared" si="20"/>
        <v>OK</v>
      </c>
      <c r="AE470" t="str">
        <f t="shared" si="21"/>
        <v>OK</v>
      </c>
    </row>
    <row r="471" spans="1:31" x14ac:dyDescent="0.25">
      <c r="A471" t="s">
        <v>133</v>
      </c>
      <c r="B471">
        <v>100</v>
      </c>
      <c r="C471">
        <v>0</v>
      </c>
      <c r="D471">
        <v>1</v>
      </c>
      <c r="E471">
        <v>0</v>
      </c>
      <c r="F471" t="s">
        <v>680</v>
      </c>
      <c r="G471" t="s">
        <v>458</v>
      </c>
      <c r="H471" t="s">
        <v>396</v>
      </c>
      <c r="I471">
        <v>0.125</v>
      </c>
      <c r="J471">
        <v>1</v>
      </c>
      <c r="K471">
        <v>5</v>
      </c>
      <c r="L471" t="s">
        <v>28</v>
      </c>
      <c r="M471" t="s">
        <v>512</v>
      </c>
      <c r="N471" t="s">
        <v>965</v>
      </c>
      <c r="O471">
        <v>3.2510999999999994E-5</v>
      </c>
      <c r="P471">
        <v>2.2101093563988094E-3</v>
      </c>
      <c r="Q471">
        <v>5.4952020218750003E-3</v>
      </c>
      <c r="R471">
        <v>7.8780808087500001E-3</v>
      </c>
      <c r="S471" s="101">
        <v>3.2510999999999994E-5</v>
      </c>
      <c r="T471" s="101">
        <v>2.2101093563988094E-3</v>
      </c>
      <c r="U471" s="101">
        <v>5.4952020218750003E-3</v>
      </c>
      <c r="V471" s="101">
        <v>7.8780808087500001E-3</v>
      </c>
      <c r="W471">
        <v>2.1</v>
      </c>
      <c r="X471">
        <v>2.101101093563988</v>
      </c>
      <c r="Y471">
        <v>2.1550546781994044</v>
      </c>
      <c r="Z471">
        <v>2.2101093563988092</v>
      </c>
      <c r="AA471" t="s">
        <v>314</v>
      </c>
      <c r="AB471" t="str">
        <f t="shared" si="18"/>
        <v>OK</v>
      </c>
      <c r="AC471" t="str">
        <f t="shared" si="19"/>
        <v>OK</v>
      </c>
      <c r="AD471" t="str">
        <f t="shared" si="20"/>
        <v>OK</v>
      </c>
      <c r="AE471" t="str">
        <f t="shared" si="21"/>
        <v>OK</v>
      </c>
    </row>
    <row r="472" spans="1:31" x14ac:dyDescent="0.25">
      <c r="A472" t="s">
        <v>367</v>
      </c>
      <c r="B472">
        <v>100</v>
      </c>
      <c r="C472">
        <v>0</v>
      </c>
      <c r="D472">
        <v>1</v>
      </c>
      <c r="E472">
        <v>0</v>
      </c>
      <c r="F472" t="s">
        <v>680</v>
      </c>
      <c r="G472" t="s">
        <v>458</v>
      </c>
      <c r="H472" t="s">
        <v>396</v>
      </c>
      <c r="I472">
        <v>0.125</v>
      </c>
      <c r="J472">
        <v>1</v>
      </c>
      <c r="K472">
        <v>5</v>
      </c>
      <c r="L472" t="s">
        <v>28</v>
      </c>
      <c r="M472" t="s">
        <v>512</v>
      </c>
      <c r="N472" t="s">
        <v>965</v>
      </c>
      <c r="O472">
        <v>3.2510999999999994E-5</v>
      </c>
      <c r="P472">
        <v>2.2476153645833333E-3</v>
      </c>
      <c r="Q472">
        <v>7.8567436468749991E-3</v>
      </c>
      <c r="R472">
        <v>1.054269745875E-2</v>
      </c>
      <c r="S472" s="101">
        <v>3.2510999999999994E-5</v>
      </c>
      <c r="T472" s="101">
        <v>2.2476153645833333E-3</v>
      </c>
      <c r="U472" s="101">
        <v>7.8567436468749991E-3</v>
      </c>
      <c r="V472" s="101">
        <v>1.054269745875E-2</v>
      </c>
      <c r="W472">
        <v>2.1</v>
      </c>
      <c r="X472">
        <v>2.1014761536458333</v>
      </c>
      <c r="Y472">
        <v>2.1738076822916668</v>
      </c>
      <c r="Z472">
        <v>2.2476153645833334</v>
      </c>
      <c r="AA472" t="s">
        <v>368</v>
      </c>
      <c r="AB472" t="str">
        <f t="shared" si="18"/>
        <v>OK</v>
      </c>
      <c r="AC472" t="str">
        <f t="shared" si="19"/>
        <v>OK</v>
      </c>
      <c r="AD472" t="str">
        <f t="shared" si="20"/>
        <v>OK</v>
      </c>
      <c r="AE472" t="str">
        <f t="shared" si="21"/>
        <v>OK</v>
      </c>
    </row>
    <row r="473" spans="1:31" x14ac:dyDescent="0.25">
      <c r="A473" t="s">
        <v>369</v>
      </c>
      <c r="B473">
        <v>100</v>
      </c>
      <c r="C473">
        <v>0</v>
      </c>
      <c r="D473">
        <v>1</v>
      </c>
      <c r="E473">
        <v>0</v>
      </c>
      <c r="F473" t="s">
        <v>680</v>
      </c>
      <c r="G473" t="s">
        <v>458</v>
      </c>
      <c r="H473" t="s">
        <v>396</v>
      </c>
      <c r="I473">
        <v>0.125</v>
      </c>
      <c r="J473">
        <v>1</v>
      </c>
      <c r="K473">
        <v>5</v>
      </c>
      <c r="L473" t="s">
        <v>28</v>
      </c>
      <c r="M473" t="s">
        <v>512</v>
      </c>
      <c r="N473" t="s">
        <v>965</v>
      </c>
      <c r="O473">
        <v>3.2510999999999994E-5</v>
      </c>
      <c r="P473">
        <v>2.2101093563988094E-3</v>
      </c>
      <c r="Q473">
        <v>5.5511686688750001E-3</v>
      </c>
      <c r="R473">
        <v>7.8761117178409081E-3</v>
      </c>
      <c r="S473" s="101">
        <v>3.2510999999999994E-5</v>
      </c>
      <c r="T473" s="101">
        <v>2.2101093563988094E-3</v>
      </c>
      <c r="U473" s="101">
        <v>5.5511686688750001E-3</v>
      </c>
      <c r="V473" s="101">
        <v>7.8761117178409081E-3</v>
      </c>
      <c r="W473">
        <v>2.1</v>
      </c>
      <c r="X473">
        <v>2.101101093563988</v>
      </c>
      <c r="Y473">
        <v>2.1550546781994044</v>
      </c>
      <c r="Z473">
        <v>2.2101093563988092</v>
      </c>
      <c r="AA473" t="s">
        <v>371</v>
      </c>
      <c r="AB473" t="str">
        <f t="shared" si="18"/>
        <v>OK</v>
      </c>
      <c r="AC473" t="str">
        <f t="shared" si="19"/>
        <v>OK</v>
      </c>
      <c r="AD473" t="str">
        <f t="shared" si="20"/>
        <v>OK</v>
      </c>
      <c r="AE473" t="str">
        <f t="shared" si="21"/>
        <v>OK</v>
      </c>
    </row>
    <row r="474" spans="1:31" x14ac:dyDescent="0.25">
      <c r="A474" t="s">
        <v>370</v>
      </c>
      <c r="B474">
        <v>100</v>
      </c>
      <c r="C474">
        <v>0</v>
      </c>
      <c r="D474">
        <v>1</v>
      </c>
      <c r="E474">
        <v>0</v>
      </c>
      <c r="F474" t="s">
        <v>680</v>
      </c>
      <c r="G474" t="s">
        <v>458</v>
      </c>
      <c r="H474" t="s">
        <v>396</v>
      </c>
      <c r="I474">
        <v>0.125</v>
      </c>
      <c r="J474">
        <v>1</v>
      </c>
      <c r="K474">
        <v>5</v>
      </c>
      <c r="L474" t="s">
        <v>28</v>
      </c>
      <c r="M474" t="s">
        <v>512</v>
      </c>
      <c r="N474" t="s">
        <v>965</v>
      </c>
      <c r="O474">
        <v>3.2510999999999994E-5</v>
      </c>
      <c r="P474">
        <v>2.2476153645833333E-3</v>
      </c>
      <c r="Q474">
        <v>7.9590436138750002E-3</v>
      </c>
      <c r="R474">
        <v>1.0539104125416665E-2</v>
      </c>
      <c r="S474" s="101">
        <v>3.2510999999999994E-5</v>
      </c>
      <c r="T474" s="101">
        <v>2.2476153645833333E-3</v>
      </c>
      <c r="U474" s="101">
        <v>7.9590436138750002E-3</v>
      </c>
      <c r="V474" s="101">
        <v>1.0539104125416665E-2</v>
      </c>
      <c r="W474">
        <v>2.1</v>
      </c>
      <c r="X474">
        <v>2.1014761536458333</v>
      </c>
      <c r="Y474">
        <v>2.1738076822916668</v>
      </c>
      <c r="Z474">
        <v>2.2476153645833334</v>
      </c>
      <c r="AA474" t="s">
        <v>372</v>
      </c>
      <c r="AB474" t="str">
        <f t="shared" si="18"/>
        <v>OK</v>
      </c>
      <c r="AC474" t="str">
        <f t="shared" si="19"/>
        <v>OK</v>
      </c>
      <c r="AD474" t="str">
        <f t="shared" si="20"/>
        <v>OK</v>
      </c>
      <c r="AE474" t="str">
        <f t="shared" si="21"/>
        <v>OK</v>
      </c>
    </row>
    <row r="475" spans="1:31" x14ac:dyDescent="0.25">
      <c r="A475" t="s">
        <v>214</v>
      </c>
      <c r="B475">
        <v>100</v>
      </c>
      <c r="C475">
        <v>0</v>
      </c>
      <c r="D475">
        <v>1</v>
      </c>
      <c r="E475">
        <v>0</v>
      </c>
      <c r="F475" t="s">
        <v>679</v>
      </c>
      <c r="G475" t="s">
        <v>458</v>
      </c>
      <c r="H475" t="s">
        <v>396</v>
      </c>
      <c r="I475">
        <v>0.125</v>
      </c>
      <c r="J475">
        <v>1</v>
      </c>
      <c r="K475">
        <v>5</v>
      </c>
      <c r="L475" t="s">
        <v>28</v>
      </c>
      <c r="M475" t="s">
        <v>512</v>
      </c>
      <c r="N475" t="s">
        <v>965</v>
      </c>
      <c r="O475">
        <v>3.2510999999999994E-5</v>
      </c>
      <c r="P475">
        <v>2.2099416666666663E-3</v>
      </c>
      <c r="Q475">
        <v>3.716525005E-3</v>
      </c>
      <c r="R475">
        <v>4.7647361138888891E-3</v>
      </c>
      <c r="S475" s="101">
        <v>3.2510999999999994E-5</v>
      </c>
      <c r="T475" s="101">
        <v>2.2099416666666663E-3</v>
      </c>
      <c r="U475" s="101">
        <v>3.716525005E-3</v>
      </c>
      <c r="V475" s="101">
        <v>4.7647361138888891E-3</v>
      </c>
      <c r="W475">
        <v>2.1</v>
      </c>
      <c r="X475">
        <v>2.1010994166666666</v>
      </c>
      <c r="Y475">
        <v>2.1549708333333335</v>
      </c>
      <c r="Z475">
        <v>2.2099416666666665</v>
      </c>
      <c r="AA475" t="s">
        <v>319</v>
      </c>
      <c r="AB475" t="str">
        <f t="shared" si="18"/>
        <v>OK</v>
      </c>
      <c r="AC475" t="str">
        <f t="shared" si="19"/>
        <v>OK</v>
      </c>
      <c r="AD475" t="str">
        <f t="shared" si="20"/>
        <v>OK</v>
      </c>
      <c r="AE475" t="str">
        <f t="shared" si="21"/>
        <v>OK</v>
      </c>
    </row>
    <row r="476" spans="1:31" x14ac:dyDescent="0.25">
      <c r="A476" t="s">
        <v>757</v>
      </c>
      <c r="B476">
        <v>100</v>
      </c>
      <c r="C476">
        <v>0</v>
      </c>
      <c r="D476">
        <v>1</v>
      </c>
      <c r="E476">
        <v>0</v>
      </c>
      <c r="F476" t="s">
        <v>679</v>
      </c>
      <c r="G476" t="s">
        <v>458</v>
      </c>
      <c r="H476" t="s">
        <v>396</v>
      </c>
      <c r="I476">
        <v>0.125</v>
      </c>
      <c r="J476">
        <v>1</v>
      </c>
      <c r="K476">
        <v>5</v>
      </c>
      <c r="L476" t="s">
        <v>28</v>
      </c>
      <c r="M476" t="s">
        <v>512</v>
      </c>
      <c r="N476" t="s">
        <v>965</v>
      </c>
      <c r="O476">
        <v>3.2510999999999994E-5</v>
      </c>
      <c r="P476">
        <v>2.2662092075892855E-3</v>
      </c>
      <c r="Q476">
        <v>5.5374999999999999E-3</v>
      </c>
      <c r="R476">
        <v>8.1916666666666665E-3</v>
      </c>
      <c r="S476" s="101">
        <v>3.2510999999999994E-5</v>
      </c>
      <c r="T476" s="101">
        <v>2.2662092075892855E-3</v>
      </c>
      <c r="U476" s="101">
        <v>5.5374999999999999E-3</v>
      </c>
      <c r="V476" s="101">
        <v>8.1916666666666665E-3</v>
      </c>
      <c r="W476">
        <v>2.1</v>
      </c>
      <c r="X476">
        <v>2.1016620920758928</v>
      </c>
      <c r="Y476">
        <v>2.1831046037946429</v>
      </c>
      <c r="Z476">
        <v>2.2662092075892857</v>
      </c>
      <c r="AA476" t="s">
        <v>964</v>
      </c>
      <c r="AB476" t="str">
        <f t="shared" si="18"/>
        <v>OK</v>
      </c>
      <c r="AC476" t="str">
        <f t="shared" si="19"/>
        <v>OK</v>
      </c>
      <c r="AD476" t="str">
        <f t="shared" si="20"/>
        <v>OK</v>
      </c>
      <c r="AE476" t="str">
        <f t="shared" si="21"/>
        <v>OK</v>
      </c>
    </row>
    <row r="477" spans="1:31" x14ac:dyDescent="0.25">
      <c r="A477" t="s">
        <v>366</v>
      </c>
      <c r="B477">
        <v>100</v>
      </c>
      <c r="C477">
        <v>0</v>
      </c>
      <c r="D477">
        <v>1</v>
      </c>
      <c r="E477">
        <v>0</v>
      </c>
      <c r="F477" t="s">
        <v>679</v>
      </c>
      <c r="G477" t="s">
        <v>458</v>
      </c>
      <c r="H477" t="s">
        <v>396</v>
      </c>
      <c r="I477">
        <v>0.125</v>
      </c>
      <c r="J477">
        <v>1</v>
      </c>
      <c r="K477">
        <v>5</v>
      </c>
      <c r="L477" t="s">
        <v>28</v>
      </c>
      <c r="M477" t="s">
        <v>512</v>
      </c>
      <c r="N477" t="s">
        <v>965</v>
      </c>
      <c r="O477">
        <v>3.2510999999999994E-5</v>
      </c>
      <c r="P477">
        <v>2.2662092075892855E-3</v>
      </c>
      <c r="Q477">
        <v>5.561875E-3</v>
      </c>
      <c r="R477">
        <v>8.1899305555555545E-3</v>
      </c>
      <c r="S477" s="101">
        <v>3.2510999999999994E-5</v>
      </c>
      <c r="T477" s="101">
        <v>2.2662092075892855E-3</v>
      </c>
      <c r="U477" s="101">
        <v>5.561875E-3</v>
      </c>
      <c r="V477" s="101">
        <v>8.1899305555555545E-3</v>
      </c>
      <c r="W477">
        <v>2.1</v>
      </c>
      <c r="X477">
        <v>2.1016620920758928</v>
      </c>
      <c r="Y477">
        <v>2.1831046037946429</v>
      </c>
      <c r="Z477">
        <v>2.2662092075892857</v>
      </c>
      <c r="AA477" t="s">
        <v>487</v>
      </c>
      <c r="AB477" t="str">
        <f t="shared" si="18"/>
        <v>OK</v>
      </c>
      <c r="AC477" t="str">
        <f t="shared" si="19"/>
        <v>OK</v>
      </c>
      <c r="AD477" t="str">
        <f t="shared" si="20"/>
        <v>OK</v>
      </c>
      <c r="AE477" t="str">
        <f t="shared" si="21"/>
        <v>OK</v>
      </c>
    </row>
    <row r="478" spans="1:31" x14ac:dyDescent="0.25">
      <c r="A478" t="s">
        <v>133</v>
      </c>
      <c r="B478">
        <v>100</v>
      </c>
      <c r="C478">
        <v>0</v>
      </c>
      <c r="D478">
        <v>1</v>
      </c>
      <c r="E478">
        <v>0</v>
      </c>
      <c r="F478" t="s">
        <v>679</v>
      </c>
      <c r="G478" t="s">
        <v>458</v>
      </c>
      <c r="H478" t="s">
        <v>396</v>
      </c>
      <c r="I478">
        <v>0.125</v>
      </c>
      <c r="J478">
        <v>1</v>
      </c>
      <c r="K478">
        <v>5</v>
      </c>
      <c r="L478" t="s">
        <v>28</v>
      </c>
      <c r="M478" t="s">
        <v>512</v>
      </c>
      <c r="N478" t="s">
        <v>965</v>
      </c>
      <c r="O478">
        <v>3.2510999999999994E-5</v>
      </c>
      <c r="P478">
        <v>2.2101093563988094E-3</v>
      </c>
      <c r="Q478">
        <v>5.4952020218750003E-3</v>
      </c>
      <c r="R478">
        <v>7.8780808087500001E-3</v>
      </c>
      <c r="S478" s="101">
        <v>3.2510999999999994E-5</v>
      </c>
      <c r="T478" s="101">
        <v>2.2101093563988094E-3</v>
      </c>
      <c r="U478" s="101">
        <v>5.4952020218750003E-3</v>
      </c>
      <c r="V478" s="101">
        <v>7.8780808087500001E-3</v>
      </c>
      <c r="W478">
        <v>2.1</v>
      </c>
      <c r="X478">
        <v>2.101101093563988</v>
      </c>
      <c r="Y478">
        <v>2.1550546781994044</v>
      </c>
      <c r="Z478">
        <v>2.2101093563988092</v>
      </c>
      <c r="AA478" t="s">
        <v>314</v>
      </c>
      <c r="AB478" t="str">
        <f t="shared" si="18"/>
        <v>OK</v>
      </c>
      <c r="AC478" t="str">
        <f t="shared" si="19"/>
        <v>OK</v>
      </c>
      <c r="AD478" t="str">
        <f t="shared" si="20"/>
        <v>OK</v>
      </c>
      <c r="AE478" t="str">
        <f t="shared" si="21"/>
        <v>OK</v>
      </c>
    </row>
    <row r="479" spans="1:31" x14ac:dyDescent="0.25">
      <c r="A479" t="s">
        <v>367</v>
      </c>
      <c r="B479">
        <v>100</v>
      </c>
      <c r="C479">
        <v>0</v>
      </c>
      <c r="D479">
        <v>1</v>
      </c>
      <c r="E479">
        <v>0</v>
      </c>
      <c r="F479" t="s">
        <v>679</v>
      </c>
      <c r="G479" t="s">
        <v>458</v>
      </c>
      <c r="H479" t="s">
        <v>396</v>
      </c>
      <c r="I479">
        <v>0.125</v>
      </c>
      <c r="J479">
        <v>1</v>
      </c>
      <c r="K479">
        <v>5</v>
      </c>
      <c r="L479" t="s">
        <v>28</v>
      </c>
      <c r="M479" t="s">
        <v>512</v>
      </c>
      <c r="N479" t="s">
        <v>965</v>
      </c>
      <c r="O479">
        <v>3.2510999999999994E-5</v>
      </c>
      <c r="P479">
        <v>2.2476153645833333E-3</v>
      </c>
      <c r="Q479">
        <v>7.8567436468749991E-3</v>
      </c>
      <c r="R479">
        <v>1.054269745875E-2</v>
      </c>
      <c r="S479" s="101">
        <v>3.2510999999999994E-5</v>
      </c>
      <c r="T479" s="101">
        <v>2.2476153645833333E-3</v>
      </c>
      <c r="U479" s="101">
        <v>7.8567436468749991E-3</v>
      </c>
      <c r="V479" s="101">
        <v>1.054269745875E-2</v>
      </c>
      <c r="W479">
        <v>2.1</v>
      </c>
      <c r="X479">
        <v>2.1014761536458333</v>
      </c>
      <c r="Y479">
        <v>2.1738076822916668</v>
      </c>
      <c r="Z479">
        <v>2.2476153645833334</v>
      </c>
      <c r="AA479" t="s">
        <v>368</v>
      </c>
      <c r="AB479" t="str">
        <f t="shared" si="18"/>
        <v>OK</v>
      </c>
      <c r="AC479" t="str">
        <f t="shared" si="19"/>
        <v>OK</v>
      </c>
      <c r="AD479" t="str">
        <f t="shared" si="20"/>
        <v>OK</v>
      </c>
      <c r="AE479" t="str">
        <f t="shared" si="21"/>
        <v>OK</v>
      </c>
    </row>
    <row r="480" spans="1:31" x14ac:dyDescent="0.25">
      <c r="A480" t="s">
        <v>369</v>
      </c>
      <c r="B480">
        <v>100</v>
      </c>
      <c r="C480">
        <v>0</v>
      </c>
      <c r="D480">
        <v>1</v>
      </c>
      <c r="E480">
        <v>0</v>
      </c>
      <c r="F480" t="s">
        <v>679</v>
      </c>
      <c r="G480" t="s">
        <v>458</v>
      </c>
      <c r="H480" t="s">
        <v>396</v>
      </c>
      <c r="I480">
        <v>0.125</v>
      </c>
      <c r="J480">
        <v>1</v>
      </c>
      <c r="K480">
        <v>5</v>
      </c>
      <c r="L480" t="s">
        <v>28</v>
      </c>
      <c r="M480" t="s">
        <v>512</v>
      </c>
      <c r="N480" t="s">
        <v>965</v>
      </c>
      <c r="O480">
        <v>3.2510999999999994E-5</v>
      </c>
      <c r="P480">
        <v>2.2101093563988094E-3</v>
      </c>
      <c r="Q480">
        <v>5.5511686688750001E-3</v>
      </c>
      <c r="R480">
        <v>7.8761117178409081E-3</v>
      </c>
      <c r="S480" s="101">
        <v>3.2510999999999994E-5</v>
      </c>
      <c r="T480" s="101">
        <v>2.2101093563988094E-3</v>
      </c>
      <c r="U480" s="101">
        <v>5.5511686688750001E-3</v>
      </c>
      <c r="V480" s="101">
        <v>7.8761117178409081E-3</v>
      </c>
      <c r="W480">
        <v>2.1</v>
      </c>
      <c r="X480">
        <v>2.101101093563988</v>
      </c>
      <c r="Y480">
        <v>2.1550546781994044</v>
      </c>
      <c r="Z480">
        <v>2.2101093563988092</v>
      </c>
      <c r="AA480" t="s">
        <v>371</v>
      </c>
      <c r="AB480" t="str">
        <f t="shared" si="18"/>
        <v>OK</v>
      </c>
      <c r="AC480" t="str">
        <f t="shared" si="19"/>
        <v>OK</v>
      </c>
      <c r="AD480" t="str">
        <f t="shared" si="20"/>
        <v>OK</v>
      </c>
      <c r="AE480" t="str">
        <f t="shared" si="21"/>
        <v>OK</v>
      </c>
    </row>
    <row r="481" spans="1:31" x14ac:dyDescent="0.25">
      <c r="A481" t="s">
        <v>370</v>
      </c>
      <c r="B481">
        <v>100</v>
      </c>
      <c r="C481">
        <v>0</v>
      </c>
      <c r="D481">
        <v>1</v>
      </c>
      <c r="E481">
        <v>0</v>
      </c>
      <c r="F481" t="s">
        <v>679</v>
      </c>
      <c r="G481" t="s">
        <v>458</v>
      </c>
      <c r="H481" t="s">
        <v>396</v>
      </c>
      <c r="I481">
        <v>0.125</v>
      </c>
      <c r="J481">
        <v>1</v>
      </c>
      <c r="K481">
        <v>5</v>
      </c>
      <c r="L481" t="s">
        <v>28</v>
      </c>
      <c r="M481" t="s">
        <v>512</v>
      </c>
      <c r="N481" t="s">
        <v>965</v>
      </c>
      <c r="O481">
        <v>3.2510999999999994E-5</v>
      </c>
      <c r="P481">
        <v>2.2476153645833333E-3</v>
      </c>
      <c r="Q481">
        <v>7.9590436138750002E-3</v>
      </c>
      <c r="R481">
        <v>1.0539104125416665E-2</v>
      </c>
      <c r="S481" s="101">
        <v>3.2510999999999994E-5</v>
      </c>
      <c r="T481" s="101">
        <v>2.2476153645833333E-3</v>
      </c>
      <c r="U481" s="101">
        <v>7.9590436138750002E-3</v>
      </c>
      <c r="V481" s="101">
        <v>1.0539104125416665E-2</v>
      </c>
      <c r="W481">
        <v>2.1</v>
      </c>
      <c r="X481">
        <v>2.1014761536458333</v>
      </c>
      <c r="Y481">
        <v>2.1738076822916668</v>
      </c>
      <c r="Z481">
        <v>2.2476153645833334</v>
      </c>
      <c r="AA481" t="s">
        <v>372</v>
      </c>
      <c r="AB481" t="str">
        <f t="shared" si="18"/>
        <v>OK</v>
      </c>
      <c r="AC481" t="str">
        <f t="shared" si="19"/>
        <v>OK</v>
      </c>
      <c r="AD481" t="str">
        <f t="shared" si="20"/>
        <v>OK</v>
      </c>
      <c r="AE481" t="str">
        <f t="shared" si="21"/>
        <v>OK</v>
      </c>
    </row>
    <row r="482" spans="1:31" x14ac:dyDescent="0.25">
      <c r="A482" t="s">
        <v>214</v>
      </c>
      <c r="B482">
        <v>100</v>
      </c>
      <c r="C482">
        <v>0</v>
      </c>
      <c r="D482">
        <v>1</v>
      </c>
      <c r="E482">
        <v>0</v>
      </c>
      <c r="F482" t="s">
        <v>681</v>
      </c>
      <c r="G482" t="s">
        <v>458</v>
      </c>
      <c r="H482" t="s">
        <v>396</v>
      </c>
      <c r="I482">
        <v>0.125</v>
      </c>
      <c r="J482">
        <v>1</v>
      </c>
      <c r="K482">
        <v>5</v>
      </c>
      <c r="L482" t="s">
        <v>28</v>
      </c>
      <c r="M482" t="s">
        <v>512</v>
      </c>
      <c r="N482" t="s">
        <v>965</v>
      </c>
      <c r="O482">
        <v>3.2510999999999994E-5</v>
      </c>
      <c r="P482">
        <v>2.2099416666666663E-3</v>
      </c>
      <c r="Q482">
        <v>3.716525005E-3</v>
      </c>
      <c r="R482">
        <v>4.7647361138888891E-3</v>
      </c>
      <c r="S482" s="101">
        <v>3.2510999999999994E-5</v>
      </c>
      <c r="T482" s="101">
        <v>2.2099416666666663E-3</v>
      </c>
      <c r="U482" s="101">
        <v>3.716525005E-3</v>
      </c>
      <c r="V482" s="101">
        <v>4.7647361138888891E-3</v>
      </c>
      <c r="W482">
        <v>2.1</v>
      </c>
      <c r="X482">
        <v>2.1010994166666666</v>
      </c>
      <c r="Y482">
        <v>2.1549708333333335</v>
      </c>
      <c r="Z482">
        <v>2.2099416666666665</v>
      </c>
      <c r="AA482" t="s">
        <v>319</v>
      </c>
      <c r="AB482" t="str">
        <f t="shared" si="18"/>
        <v>OK</v>
      </c>
      <c r="AC482" t="str">
        <f t="shared" si="19"/>
        <v>OK</v>
      </c>
      <c r="AD482" t="str">
        <f t="shared" si="20"/>
        <v>OK</v>
      </c>
      <c r="AE482" t="str">
        <f t="shared" si="21"/>
        <v>OK</v>
      </c>
    </row>
    <row r="483" spans="1:31" x14ac:dyDescent="0.25">
      <c r="A483" t="s">
        <v>757</v>
      </c>
      <c r="B483">
        <v>100</v>
      </c>
      <c r="C483">
        <v>0</v>
      </c>
      <c r="D483">
        <v>1</v>
      </c>
      <c r="E483">
        <v>0</v>
      </c>
      <c r="F483" t="s">
        <v>681</v>
      </c>
      <c r="G483" t="s">
        <v>458</v>
      </c>
      <c r="H483" t="s">
        <v>396</v>
      </c>
      <c r="I483">
        <v>0.125</v>
      </c>
      <c r="J483">
        <v>1</v>
      </c>
      <c r="K483">
        <v>5</v>
      </c>
      <c r="L483" t="s">
        <v>28</v>
      </c>
      <c r="M483" t="s">
        <v>512</v>
      </c>
      <c r="N483" t="s">
        <v>965</v>
      </c>
      <c r="O483">
        <v>3.2510999999999994E-5</v>
      </c>
      <c r="P483">
        <v>2.2662092075892855E-3</v>
      </c>
      <c r="Q483">
        <v>5.5374999999999999E-3</v>
      </c>
      <c r="R483">
        <v>8.1916666666666665E-3</v>
      </c>
      <c r="S483" s="101">
        <v>3.2510999999999994E-5</v>
      </c>
      <c r="T483" s="101">
        <v>2.2662092075892855E-3</v>
      </c>
      <c r="U483" s="101">
        <v>5.5374999999999999E-3</v>
      </c>
      <c r="V483" s="101">
        <v>8.1916666666666665E-3</v>
      </c>
      <c r="W483">
        <v>2.1</v>
      </c>
      <c r="X483">
        <v>2.1016620920758928</v>
      </c>
      <c r="Y483">
        <v>2.1831046037946429</v>
      </c>
      <c r="Z483">
        <v>2.2662092075892857</v>
      </c>
      <c r="AA483" t="s">
        <v>964</v>
      </c>
      <c r="AB483" t="str">
        <f t="shared" si="18"/>
        <v>OK</v>
      </c>
      <c r="AC483" t="str">
        <f t="shared" si="19"/>
        <v>OK</v>
      </c>
      <c r="AD483" t="str">
        <f t="shared" si="20"/>
        <v>OK</v>
      </c>
      <c r="AE483" t="str">
        <f t="shared" si="21"/>
        <v>OK</v>
      </c>
    </row>
    <row r="484" spans="1:31" x14ac:dyDescent="0.25">
      <c r="A484" t="s">
        <v>366</v>
      </c>
      <c r="B484">
        <v>100</v>
      </c>
      <c r="C484">
        <v>0</v>
      </c>
      <c r="D484">
        <v>1</v>
      </c>
      <c r="E484">
        <v>0</v>
      </c>
      <c r="F484" t="s">
        <v>681</v>
      </c>
      <c r="G484" t="s">
        <v>458</v>
      </c>
      <c r="H484" t="s">
        <v>396</v>
      </c>
      <c r="I484">
        <v>0.125</v>
      </c>
      <c r="J484">
        <v>1</v>
      </c>
      <c r="K484">
        <v>5</v>
      </c>
      <c r="L484" t="s">
        <v>28</v>
      </c>
      <c r="M484" t="s">
        <v>512</v>
      </c>
      <c r="N484" t="s">
        <v>965</v>
      </c>
      <c r="O484">
        <v>3.2510999999999994E-5</v>
      </c>
      <c r="P484">
        <v>2.2662092075892855E-3</v>
      </c>
      <c r="Q484">
        <v>5.561875E-3</v>
      </c>
      <c r="R484">
        <v>8.1899305555555545E-3</v>
      </c>
      <c r="S484" s="101">
        <v>3.2510999999999994E-5</v>
      </c>
      <c r="T484" s="101">
        <v>2.2662092075892855E-3</v>
      </c>
      <c r="U484" s="101">
        <v>5.561875E-3</v>
      </c>
      <c r="V484" s="101">
        <v>8.1899305555555545E-3</v>
      </c>
      <c r="W484">
        <v>2.1</v>
      </c>
      <c r="X484">
        <v>2.1016620920758928</v>
      </c>
      <c r="Y484">
        <v>2.1831046037946429</v>
      </c>
      <c r="Z484">
        <v>2.2662092075892857</v>
      </c>
      <c r="AA484" t="s">
        <v>487</v>
      </c>
      <c r="AB484" t="str">
        <f t="shared" si="18"/>
        <v>OK</v>
      </c>
      <c r="AC484" t="str">
        <f t="shared" si="19"/>
        <v>OK</v>
      </c>
      <c r="AD484" t="str">
        <f t="shared" si="20"/>
        <v>OK</v>
      </c>
      <c r="AE484" t="str">
        <f t="shared" si="21"/>
        <v>OK</v>
      </c>
    </row>
    <row r="485" spans="1:31" x14ac:dyDescent="0.25">
      <c r="A485" t="s">
        <v>133</v>
      </c>
      <c r="B485">
        <v>100</v>
      </c>
      <c r="C485">
        <v>0</v>
      </c>
      <c r="D485">
        <v>1</v>
      </c>
      <c r="E485">
        <v>0</v>
      </c>
      <c r="F485" t="s">
        <v>681</v>
      </c>
      <c r="G485" t="s">
        <v>458</v>
      </c>
      <c r="H485" t="s">
        <v>396</v>
      </c>
      <c r="I485">
        <v>0.125</v>
      </c>
      <c r="J485">
        <v>1</v>
      </c>
      <c r="K485">
        <v>5</v>
      </c>
      <c r="L485" t="s">
        <v>28</v>
      </c>
      <c r="M485" t="s">
        <v>512</v>
      </c>
      <c r="N485" t="s">
        <v>965</v>
      </c>
      <c r="O485">
        <v>3.2510999999999994E-5</v>
      </c>
      <c r="P485">
        <v>2.2101093563988094E-3</v>
      </c>
      <c r="Q485">
        <v>5.4952020218750003E-3</v>
      </c>
      <c r="R485">
        <v>7.8780808087500001E-3</v>
      </c>
      <c r="S485" s="101">
        <v>3.2510999999999994E-5</v>
      </c>
      <c r="T485" s="101">
        <v>2.2101093563988094E-3</v>
      </c>
      <c r="U485" s="101">
        <v>5.4952020218750003E-3</v>
      </c>
      <c r="V485" s="101">
        <v>7.8780808087500001E-3</v>
      </c>
      <c r="W485">
        <v>2.1</v>
      </c>
      <c r="X485">
        <v>2.101101093563988</v>
      </c>
      <c r="Y485">
        <v>2.1550546781994044</v>
      </c>
      <c r="Z485">
        <v>2.2101093563988092</v>
      </c>
      <c r="AA485" t="s">
        <v>314</v>
      </c>
      <c r="AB485" t="str">
        <f t="shared" si="18"/>
        <v>OK</v>
      </c>
      <c r="AC485" t="str">
        <f t="shared" si="19"/>
        <v>OK</v>
      </c>
      <c r="AD485" t="str">
        <f t="shared" si="20"/>
        <v>OK</v>
      </c>
      <c r="AE485" t="str">
        <f t="shared" si="21"/>
        <v>OK</v>
      </c>
    </row>
    <row r="486" spans="1:31" x14ac:dyDescent="0.25">
      <c r="A486" t="s">
        <v>367</v>
      </c>
      <c r="B486">
        <v>100</v>
      </c>
      <c r="C486">
        <v>0</v>
      </c>
      <c r="D486">
        <v>1</v>
      </c>
      <c r="E486">
        <v>0</v>
      </c>
      <c r="F486" t="s">
        <v>681</v>
      </c>
      <c r="G486" t="s">
        <v>458</v>
      </c>
      <c r="H486" t="s">
        <v>396</v>
      </c>
      <c r="I486">
        <v>0.125</v>
      </c>
      <c r="J486">
        <v>1</v>
      </c>
      <c r="K486">
        <v>5</v>
      </c>
      <c r="L486" t="s">
        <v>28</v>
      </c>
      <c r="M486" t="s">
        <v>512</v>
      </c>
      <c r="N486" t="s">
        <v>965</v>
      </c>
      <c r="O486">
        <v>3.2510999999999994E-5</v>
      </c>
      <c r="P486">
        <v>2.2476153645833333E-3</v>
      </c>
      <c r="Q486">
        <v>7.8567436468749991E-3</v>
      </c>
      <c r="R486">
        <v>1.054269745875E-2</v>
      </c>
      <c r="S486" s="101">
        <v>3.2510999999999994E-5</v>
      </c>
      <c r="T486" s="101">
        <v>2.2476153645833333E-3</v>
      </c>
      <c r="U486" s="101">
        <v>7.8567436468749991E-3</v>
      </c>
      <c r="V486" s="101">
        <v>1.054269745875E-2</v>
      </c>
      <c r="W486">
        <v>2.1</v>
      </c>
      <c r="X486">
        <v>2.1014761536458333</v>
      </c>
      <c r="Y486">
        <v>2.1738076822916668</v>
      </c>
      <c r="Z486">
        <v>2.2476153645833334</v>
      </c>
      <c r="AA486" t="s">
        <v>368</v>
      </c>
      <c r="AB486" t="str">
        <f t="shared" si="18"/>
        <v>OK</v>
      </c>
      <c r="AC486" t="str">
        <f t="shared" si="19"/>
        <v>OK</v>
      </c>
      <c r="AD486" t="str">
        <f t="shared" si="20"/>
        <v>OK</v>
      </c>
      <c r="AE486" t="str">
        <f t="shared" si="21"/>
        <v>OK</v>
      </c>
    </row>
    <row r="487" spans="1:31" x14ac:dyDescent="0.25">
      <c r="A487" t="s">
        <v>369</v>
      </c>
      <c r="B487">
        <v>100</v>
      </c>
      <c r="C487">
        <v>0</v>
      </c>
      <c r="D487">
        <v>1</v>
      </c>
      <c r="E487">
        <v>0</v>
      </c>
      <c r="F487" t="s">
        <v>681</v>
      </c>
      <c r="G487" t="s">
        <v>458</v>
      </c>
      <c r="H487" t="s">
        <v>396</v>
      </c>
      <c r="I487">
        <v>0.125</v>
      </c>
      <c r="J487">
        <v>1</v>
      </c>
      <c r="K487">
        <v>5</v>
      </c>
      <c r="L487" t="s">
        <v>28</v>
      </c>
      <c r="M487" t="s">
        <v>512</v>
      </c>
      <c r="N487" t="s">
        <v>965</v>
      </c>
      <c r="O487">
        <v>3.2510999999999994E-5</v>
      </c>
      <c r="P487">
        <v>2.2101093563988094E-3</v>
      </c>
      <c r="Q487">
        <v>5.5511686688750001E-3</v>
      </c>
      <c r="R487">
        <v>7.8761117178409081E-3</v>
      </c>
      <c r="S487" s="101">
        <v>3.2510999999999994E-5</v>
      </c>
      <c r="T487" s="101">
        <v>2.2101093563988094E-3</v>
      </c>
      <c r="U487" s="101">
        <v>5.5511686688750001E-3</v>
      </c>
      <c r="V487" s="101">
        <v>7.8761117178409081E-3</v>
      </c>
      <c r="W487">
        <v>2.1</v>
      </c>
      <c r="X487">
        <v>2.101101093563988</v>
      </c>
      <c r="Y487">
        <v>2.1550546781994044</v>
      </c>
      <c r="Z487">
        <v>2.2101093563988092</v>
      </c>
      <c r="AA487" t="s">
        <v>371</v>
      </c>
      <c r="AB487" t="str">
        <f t="shared" si="18"/>
        <v>OK</v>
      </c>
      <c r="AC487" t="str">
        <f t="shared" si="19"/>
        <v>OK</v>
      </c>
      <c r="AD487" t="str">
        <f t="shared" si="20"/>
        <v>OK</v>
      </c>
      <c r="AE487" t="str">
        <f t="shared" si="21"/>
        <v>OK</v>
      </c>
    </row>
    <row r="488" spans="1:31" x14ac:dyDescent="0.25">
      <c r="A488" t="s">
        <v>370</v>
      </c>
      <c r="B488">
        <v>100</v>
      </c>
      <c r="C488">
        <v>0</v>
      </c>
      <c r="D488">
        <v>1</v>
      </c>
      <c r="E488">
        <v>0</v>
      </c>
      <c r="F488" t="s">
        <v>681</v>
      </c>
      <c r="G488" t="s">
        <v>458</v>
      </c>
      <c r="H488" t="s">
        <v>396</v>
      </c>
      <c r="I488">
        <v>0.125</v>
      </c>
      <c r="J488">
        <v>1</v>
      </c>
      <c r="K488">
        <v>5</v>
      </c>
      <c r="L488" t="s">
        <v>28</v>
      </c>
      <c r="M488" t="s">
        <v>512</v>
      </c>
      <c r="N488" t="s">
        <v>965</v>
      </c>
      <c r="O488">
        <v>3.2510999999999994E-5</v>
      </c>
      <c r="P488">
        <v>2.2476153645833333E-3</v>
      </c>
      <c r="Q488">
        <v>7.9590436138750002E-3</v>
      </c>
      <c r="R488">
        <v>1.0539104125416665E-2</v>
      </c>
      <c r="S488" s="101">
        <v>3.2510999999999994E-5</v>
      </c>
      <c r="T488" s="101">
        <v>2.2476153645833333E-3</v>
      </c>
      <c r="U488" s="101">
        <v>7.9590436138750002E-3</v>
      </c>
      <c r="V488" s="101">
        <v>1.0539104125416665E-2</v>
      </c>
      <c r="W488">
        <v>2.1</v>
      </c>
      <c r="X488">
        <v>2.1014761536458333</v>
      </c>
      <c r="Y488">
        <v>2.1738076822916668</v>
      </c>
      <c r="Z488">
        <v>2.2476153645833334</v>
      </c>
      <c r="AA488" t="s">
        <v>372</v>
      </c>
      <c r="AB488" t="str">
        <f t="shared" si="18"/>
        <v>OK</v>
      </c>
      <c r="AC488" t="str">
        <f t="shared" si="19"/>
        <v>OK</v>
      </c>
      <c r="AD488" t="str">
        <f t="shared" si="20"/>
        <v>OK</v>
      </c>
      <c r="AE488" t="str">
        <f t="shared" si="21"/>
        <v>OK</v>
      </c>
    </row>
    <row r="489" spans="1:31" x14ac:dyDescent="0.25">
      <c r="A489" t="s">
        <v>214</v>
      </c>
      <c r="B489">
        <v>100</v>
      </c>
      <c r="C489">
        <v>0</v>
      </c>
      <c r="D489">
        <v>1</v>
      </c>
      <c r="E489">
        <v>0</v>
      </c>
      <c r="F489" t="s">
        <v>682</v>
      </c>
      <c r="G489" t="s">
        <v>458</v>
      </c>
      <c r="H489" t="s">
        <v>396</v>
      </c>
      <c r="I489">
        <v>0.125</v>
      </c>
      <c r="J489">
        <v>1</v>
      </c>
      <c r="K489">
        <v>5</v>
      </c>
      <c r="L489" t="s">
        <v>28</v>
      </c>
      <c r="M489" t="s">
        <v>512</v>
      </c>
      <c r="N489" t="s">
        <v>965</v>
      </c>
      <c r="O489">
        <v>3.2510999999999994E-5</v>
      </c>
      <c r="P489">
        <v>2.2099416666666663E-3</v>
      </c>
      <c r="Q489">
        <v>3.716525005E-3</v>
      </c>
      <c r="R489">
        <v>4.7647361138888891E-3</v>
      </c>
      <c r="S489" s="101">
        <v>3.2510999999999994E-5</v>
      </c>
      <c r="T489" s="101">
        <v>2.2099416666666663E-3</v>
      </c>
      <c r="U489" s="101">
        <v>3.716525005E-3</v>
      </c>
      <c r="V489" s="101">
        <v>4.7647361138888891E-3</v>
      </c>
      <c r="W489">
        <v>2.1</v>
      </c>
      <c r="X489">
        <v>2.1010994166666666</v>
      </c>
      <c r="Y489">
        <v>2.1549708333333335</v>
      </c>
      <c r="Z489">
        <v>2.2099416666666665</v>
      </c>
      <c r="AA489" t="s">
        <v>319</v>
      </c>
      <c r="AB489" t="str">
        <f t="shared" si="18"/>
        <v>OK</v>
      </c>
      <c r="AC489" t="str">
        <f t="shared" si="19"/>
        <v>OK</v>
      </c>
      <c r="AD489" t="str">
        <f t="shared" si="20"/>
        <v>OK</v>
      </c>
      <c r="AE489" t="str">
        <f t="shared" si="21"/>
        <v>OK</v>
      </c>
    </row>
    <row r="490" spans="1:31" x14ac:dyDescent="0.25">
      <c r="A490" t="s">
        <v>757</v>
      </c>
      <c r="B490">
        <v>100</v>
      </c>
      <c r="C490">
        <v>0</v>
      </c>
      <c r="D490">
        <v>1</v>
      </c>
      <c r="E490">
        <v>0</v>
      </c>
      <c r="F490" t="s">
        <v>682</v>
      </c>
      <c r="G490" t="s">
        <v>458</v>
      </c>
      <c r="H490" t="s">
        <v>396</v>
      </c>
      <c r="I490">
        <v>0.125</v>
      </c>
      <c r="J490">
        <v>1</v>
      </c>
      <c r="K490">
        <v>5</v>
      </c>
      <c r="L490" t="s">
        <v>28</v>
      </c>
      <c r="M490" t="s">
        <v>512</v>
      </c>
      <c r="N490" t="s">
        <v>965</v>
      </c>
      <c r="O490">
        <v>3.2510999999999994E-5</v>
      </c>
      <c r="P490">
        <v>2.2662092075892855E-3</v>
      </c>
      <c r="Q490">
        <v>5.5374999999999999E-3</v>
      </c>
      <c r="R490">
        <v>8.1916666666666665E-3</v>
      </c>
      <c r="S490" s="101">
        <v>3.2510999999999994E-5</v>
      </c>
      <c r="T490" s="101">
        <v>2.2662092075892855E-3</v>
      </c>
      <c r="U490" s="101">
        <v>5.5374999999999999E-3</v>
      </c>
      <c r="V490" s="101">
        <v>8.1916666666666665E-3</v>
      </c>
      <c r="W490">
        <v>2.1</v>
      </c>
      <c r="X490">
        <v>2.1016620920758928</v>
      </c>
      <c r="Y490">
        <v>2.1831046037946429</v>
      </c>
      <c r="Z490">
        <v>2.2662092075892857</v>
      </c>
      <c r="AA490" t="s">
        <v>964</v>
      </c>
      <c r="AB490" t="str">
        <f t="shared" si="18"/>
        <v>OK</v>
      </c>
      <c r="AC490" t="str">
        <f t="shared" si="19"/>
        <v>OK</v>
      </c>
      <c r="AD490" t="str">
        <f t="shared" si="20"/>
        <v>OK</v>
      </c>
      <c r="AE490" t="str">
        <f t="shared" si="21"/>
        <v>OK</v>
      </c>
    </row>
    <row r="491" spans="1:31" x14ac:dyDescent="0.25">
      <c r="A491" t="s">
        <v>366</v>
      </c>
      <c r="B491">
        <v>100</v>
      </c>
      <c r="C491">
        <v>0</v>
      </c>
      <c r="D491">
        <v>1</v>
      </c>
      <c r="E491">
        <v>0</v>
      </c>
      <c r="F491" t="s">
        <v>682</v>
      </c>
      <c r="G491" t="s">
        <v>458</v>
      </c>
      <c r="H491" t="s">
        <v>396</v>
      </c>
      <c r="I491">
        <v>0.125</v>
      </c>
      <c r="J491">
        <v>1</v>
      </c>
      <c r="K491">
        <v>5</v>
      </c>
      <c r="L491" t="s">
        <v>28</v>
      </c>
      <c r="M491" t="s">
        <v>512</v>
      </c>
      <c r="N491" t="s">
        <v>965</v>
      </c>
      <c r="O491">
        <v>3.2510999999999994E-5</v>
      </c>
      <c r="P491">
        <v>2.2662092075892855E-3</v>
      </c>
      <c r="Q491">
        <v>5.561875E-3</v>
      </c>
      <c r="R491">
        <v>8.1899305555555545E-3</v>
      </c>
      <c r="S491" s="101">
        <v>3.2510999999999994E-5</v>
      </c>
      <c r="T491" s="101">
        <v>2.2662092075892855E-3</v>
      </c>
      <c r="U491" s="101">
        <v>5.561875E-3</v>
      </c>
      <c r="V491" s="101">
        <v>8.1899305555555545E-3</v>
      </c>
      <c r="W491">
        <v>2.1</v>
      </c>
      <c r="X491">
        <v>2.1016620920758928</v>
      </c>
      <c r="Y491">
        <v>2.1831046037946429</v>
      </c>
      <c r="Z491">
        <v>2.2662092075892857</v>
      </c>
      <c r="AA491" t="s">
        <v>487</v>
      </c>
      <c r="AB491" t="str">
        <f t="shared" si="18"/>
        <v>OK</v>
      </c>
      <c r="AC491" t="str">
        <f t="shared" si="19"/>
        <v>OK</v>
      </c>
      <c r="AD491" t="str">
        <f t="shared" si="20"/>
        <v>OK</v>
      </c>
      <c r="AE491" t="str">
        <f t="shared" si="21"/>
        <v>OK</v>
      </c>
    </row>
    <row r="492" spans="1:31" x14ac:dyDescent="0.25">
      <c r="A492" t="s">
        <v>133</v>
      </c>
      <c r="B492">
        <v>100</v>
      </c>
      <c r="C492">
        <v>0</v>
      </c>
      <c r="D492">
        <v>1</v>
      </c>
      <c r="E492">
        <v>0</v>
      </c>
      <c r="F492" t="s">
        <v>682</v>
      </c>
      <c r="G492" t="s">
        <v>458</v>
      </c>
      <c r="H492" t="s">
        <v>396</v>
      </c>
      <c r="I492">
        <v>0.125</v>
      </c>
      <c r="J492">
        <v>1</v>
      </c>
      <c r="K492">
        <v>5</v>
      </c>
      <c r="L492" t="s">
        <v>28</v>
      </c>
      <c r="M492" t="s">
        <v>512</v>
      </c>
      <c r="N492" t="s">
        <v>965</v>
      </c>
      <c r="O492">
        <v>3.2510999999999994E-5</v>
      </c>
      <c r="P492">
        <v>2.2101093563988094E-3</v>
      </c>
      <c r="Q492">
        <v>5.4952020218750003E-3</v>
      </c>
      <c r="R492">
        <v>7.8780808087500001E-3</v>
      </c>
      <c r="S492" s="101">
        <v>3.2510999999999994E-5</v>
      </c>
      <c r="T492" s="101">
        <v>2.2101093563988094E-3</v>
      </c>
      <c r="U492" s="101">
        <v>5.4952020218750003E-3</v>
      </c>
      <c r="V492" s="101">
        <v>7.8780808087500001E-3</v>
      </c>
      <c r="W492">
        <v>2.1</v>
      </c>
      <c r="X492">
        <v>2.101101093563988</v>
      </c>
      <c r="Y492">
        <v>2.1550546781994044</v>
      </c>
      <c r="Z492">
        <v>2.2101093563988092</v>
      </c>
      <c r="AA492" t="s">
        <v>314</v>
      </c>
      <c r="AB492" t="str">
        <f t="shared" si="18"/>
        <v>OK</v>
      </c>
      <c r="AC492" t="str">
        <f t="shared" si="19"/>
        <v>OK</v>
      </c>
      <c r="AD492" t="str">
        <f t="shared" si="20"/>
        <v>OK</v>
      </c>
      <c r="AE492" t="str">
        <f t="shared" si="21"/>
        <v>OK</v>
      </c>
    </row>
    <row r="493" spans="1:31" x14ac:dyDescent="0.25">
      <c r="A493" t="s">
        <v>367</v>
      </c>
      <c r="B493">
        <v>100</v>
      </c>
      <c r="C493">
        <v>0</v>
      </c>
      <c r="D493">
        <v>1</v>
      </c>
      <c r="E493">
        <v>0</v>
      </c>
      <c r="F493" t="s">
        <v>682</v>
      </c>
      <c r="G493" t="s">
        <v>458</v>
      </c>
      <c r="H493" t="s">
        <v>396</v>
      </c>
      <c r="I493">
        <v>0.125</v>
      </c>
      <c r="J493">
        <v>1</v>
      </c>
      <c r="K493">
        <v>5</v>
      </c>
      <c r="L493" t="s">
        <v>28</v>
      </c>
      <c r="M493" t="s">
        <v>512</v>
      </c>
      <c r="N493" t="s">
        <v>965</v>
      </c>
      <c r="O493">
        <v>3.2510999999999994E-5</v>
      </c>
      <c r="P493">
        <v>2.2476153645833333E-3</v>
      </c>
      <c r="Q493">
        <v>7.8567436468749991E-3</v>
      </c>
      <c r="R493">
        <v>1.054269745875E-2</v>
      </c>
      <c r="S493" s="101">
        <v>3.2510999999999994E-5</v>
      </c>
      <c r="T493" s="101">
        <v>2.2476153645833333E-3</v>
      </c>
      <c r="U493" s="101">
        <v>7.8567436468749991E-3</v>
      </c>
      <c r="V493" s="101">
        <v>1.054269745875E-2</v>
      </c>
      <c r="W493">
        <v>2.1</v>
      </c>
      <c r="X493">
        <v>2.1014761536458333</v>
      </c>
      <c r="Y493">
        <v>2.1738076822916668</v>
      </c>
      <c r="Z493">
        <v>2.2476153645833334</v>
      </c>
      <c r="AA493" t="s">
        <v>368</v>
      </c>
      <c r="AB493" t="str">
        <f t="shared" si="18"/>
        <v>OK</v>
      </c>
      <c r="AC493" t="str">
        <f t="shared" si="19"/>
        <v>OK</v>
      </c>
      <c r="AD493" t="str">
        <f t="shared" si="20"/>
        <v>OK</v>
      </c>
      <c r="AE493" t="str">
        <f t="shared" si="21"/>
        <v>OK</v>
      </c>
    </row>
    <row r="494" spans="1:31" x14ac:dyDescent="0.25">
      <c r="A494" t="s">
        <v>369</v>
      </c>
      <c r="B494">
        <v>100</v>
      </c>
      <c r="C494">
        <v>0</v>
      </c>
      <c r="D494">
        <v>1</v>
      </c>
      <c r="E494">
        <v>0</v>
      </c>
      <c r="F494" t="s">
        <v>682</v>
      </c>
      <c r="G494" t="s">
        <v>458</v>
      </c>
      <c r="H494" t="s">
        <v>396</v>
      </c>
      <c r="I494">
        <v>0.125</v>
      </c>
      <c r="J494">
        <v>1</v>
      </c>
      <c r="K494">
        <v>5</v>
      </c>
      <c r="L494" t="s">
        <v>28</v>
      </c>
      <c r="M494" t="s">
        <v>512</v>
      </c>
      <c r="N494" t="s">
        <v>965</v>
      </c>
      <c r="O494">
        <v>3.2510999999999994E-5</v>
      </c>
      <c r="P494">
        <v>2.2101093563988094E-3</v>
      </c>
      <c r="Q494">
        <v>5.5511686688750001E-3</v>
      </c>
      <c r="R494">
        <v>7.8761117178409081E-3</v>
      </c>
      <c r="S494" s="101">
        <v>3.2510999999999994E-5</v>
      </c>
      <c r="T494" s="101">
        <v>2.2101093563988094E-3</v>
      </c>
      <c r="U494" s="101">
        <v>5.5511686688750001E-3</v>
      </c>
      <c r="V494" s="101">
        <v>7.8761117178409081E-3</v>
      </c>
      <c r="W494">
        <v>2.1</v>
      </c>
      <c r="X494">
        <v>2.101101093563988</v>
      </c>
      <c r="Y494">
        <v>2.1550546781994044</v>
      </c>
      <c r="Z494">
        <v>2.2101093563988092</v>
      </c>
      <c r="AA494" t="s">
        <v>371</v>
      </c>
      <c r="AB494" t="str">
        <f t="shared" si="18"/>
        <v>OK</v>
      </c>
      <c r="AC494" t="str">
        <f t="shared" si="19"/>
        <v>OK</v>
      </c>
      <c r="AD494" t="str">
        <f t="shared" si="20"/>
        <v>OK</v>
      </c>
      <c r="AE494" t="str">
        <f t="shared" si="21"/>
        <v>OK</v>
      </c>
    </row>
    <row r="495" spans="1:31" x14ac:dyDescent="0.25">
      <c r="A495" t="s">
        <v>370</v>
      </c>
      <c r="B495">
        <v>100</v>
      </c>
      <c r="C495">
        <v>0</v>
      </c>
      <c r="D495">
        <v>1</v>
      </c>
      <c r="E495">
        <v>0</v>
      </c>
      <c r="F495" t="s">
        <v>682</v>
      </c>
      <c r="G495" t="s">
        <v>458</v>
      </c>
      <c r="H495" t="s">
        <v>396</v>
      </c>
      <c r="I495">
        <v>0.125</v>
      </c>
      <c r="J495">
        <v>1</v>
      </c>
      <c r="K495">
        <v>5</v>
      </c>
      <c r="L495" t="s">
        <v>28</v>
      </c>
      <c r="M495" t="s">
        <v>512</v>
      </c>
      <c r="N495" t="s">
        <v>965</v>
      </c>
      <c r="O495">
        <v>3.2510999999999994E-5</v>
      </c>
      <c r="P495">
        <v>2.2476153645833333E-3</v>
      </c>
      <c r="Q495">
        <v>7.9590436138750002E-3</v>
      </c>
      <c r="R495">
        <v>1.0539104125416665E-2</v>
      </c>
      <c r="S495" s="101">
        <v>3.2510999999999994E-5</v>
      </c>
      <c r="T495" s="101">
        <v>2.2476153645833333E-3</v>
      </c>
      <c r="U495" s="101">
        <v>7.9590436138750002E-3</v>
      </c>
      <c r="V495" s="101">
        <v>1.0539104125416665E-2</v>
      </c>
      <c r="W495">
        <v>2.1</v>
      </c>
      <c r="X495">
        <v>2.1014761536458333</v>
      </c>
      <c r="Y495">
        <v>2.1738076822916668</v>
      </c>
      <c r="Z495">
        <v>2.2476153645833334</v>
      </c>
      <c r="AA495" t="s">
        <v>372</v>
      </c>
      <c r="AB495" t="str">
        <f t="shared" si="18"/>
        <v>OK</v>
      </c>
      <c r="AC495" t="str">
        <f t="shared" si="19"/>
        <v>OK</v>
      </c>
      <c r="AD495" t="str">
        <f t="shared" si="20"/>
        <v>OK</v>
      </c>
      <c r="AE495" t="str">
        <f t="shared" si="21"/>
        <v>OK</v>
      </c>
    </row>
    <row r="496" spans="1:31" x14ac:dyDescent="0.25">
      <c r="A496" t="s">
        <v>214</v>
      </c>
      <c r="B496">
        <v>100</v>
      </c>
      <c r="C496">
        <v>0</v>
      </c>
      <c r="D496">
        <v>1</v>
      </c>
      <c r="E496">
        <v>0</v>
      </c>
      <c r="F496" t="s">
        <v>458</v>
      </c>
      <c r="G496" t="s">
        <v>458</v>
      </c>
      <c r="H496" t="s">
        <v>396</v>
      </c>
      <c r="I496">
        <v>0.125</v>
      </c>
      <c r="J496">
        <v>1</v>
      </c>
      <c r="K496">
        <v>5</v>
      </c>
      <c r="L496" t="s">
        <v>28</v>
      </c>
      <c r="M496" t="s">
        <v>774</v>
      </c>
      <c r="N496" t="s">
        <v>965</v>
      </c>
      <c r="O496">
        <v>4.6610999999999998E-5</v>
      </c>
      <c r="P496">
        <v>2.2099416666666663E-3</v>
      </c>
      <c r="Q496">
        <v>3.716525005E-3</v>
      </c>
      <c r="R496">
        <v>4.7647361138888891E-3</v>
      </c>
      <c r="S496" s="101">
        <v>4.6610999999999998E-5</v>
      </c>
      <c r="T496" s="101">
        <v>2.2099416666666663E-3</v>
      </c>
      <c r="U496" s="101">
        <v>3.716525005E-3</v>
      </c>
      <c r="V496" s="101">
        <v>4.7647361138888891E-3</v>
      </c>
      <c r="W496">
        <v>2.1</v>
      </c>
      <c r="X496">
        <v>2.1010994166666666</v>
      </c>
      <c r="Y496">
        <v>2.1549708333333335</v>
      </c>
      <c r="Z496">
        <v>2.2099416666666665</v>
      </c>
      <c r="AA496" t="s">
        <v>319</v>
      </c>
      <c r="AB496" t="str">
        <f t="shared" si="18"/>
        <v>OK</v>
      </c>
      <c r="AC496" t="str">
        <f t="shared" si="19"/>
        <v>OK</v>
      </c>
      <c r="AD496" t="str">
        <f t="shared" si="20"/>
        <v>OK</v>
      </c>
      <c r="AE496" t="str">
        <f t="shared" si="21"/>
        <v>OK</v>
      </c>
    </row>
    <row r="497" spans="1:31" x14ac:dyDescent="0.25">
      <c r="A497" t="s">
        <v>214</v>
      </c>
      <c r="B497">
        <v>100</v>
      </c>
      <c r="C497">
        <v>0</v>
      </c>
      <c r="D497">
        <v>1</v>
      </c>
      <c r="E497">
        <v>0</v>
      </c>
      <c r="F497" t="s">
        <v>680</v>
      </c>
      <c r="G497" t="s">
        <v>458</v>
      </c>
      <c r="H497" t="s">
        <v>396</v>
      </c>
      <c r="I497">
        <v>0.125</v>
      </c>
      <c r="J497">
        <v>1</v>
      </c>
      <c r="K497">
        <v>5</v>
      </c>
      <c r="L497" t="s">
        <v>28</v>
      </c>
      <c r="M497" t="s">
        <v>774</v>
      </c>
      <c r="N497" t="s">
        <v>965</v>
      </c>
      <c r="O497">
        <v>4.6610999999999998E-5</v>
      </c>
      <c r="P497">
        <v>2.2099416666666663E-3</v>
      </c>
      <c r="Q497">
        <v>3.716525005E-3</v>
      </c>
      <c r="R497">
        <v>4.7647361138888891E-3</v>
      </c>
      <c r="S497" s="101">
        <v>4.6610999999999998E-5</v>
      </c>
      <c r="T497" s="101">
        <v>2.2099416666666663E-3</v>
      </c>
      <c r="U497" s="101">
        <v>3.716525005E-3</v>
      </c>
      <c r="V497" s="101">
        <v>4.7647361138888891E-3</v>
      </c>
      <c r="W497">
        <v>2.1</v>
      </c>
      <c r="X497">
        <v>2.1010994166666666</v>
      </c>
      <c r="Y497">
        <v>2.1549708333333335</v>
      </c>
      <c r="Z497">
        <v>2.2099416666666665</v>
      </c>
      <c r="AA497" t="s">
        <v>319</v>
      </c>
      <c r="AB497" t="str">
        <f t="shared" si="18"/>
        <v>OK</v>
      </c>
      <c r="AC497" t="str">
        <f t="shared" si="19"/>
        <v>OK</v>
      </c>
      <c r="AD497" t="str">
        <f t="shared" si="20"/>
        <v>OK</v>
      </c>
      <c r="AE497" t="str">
        <f t="shared" si="21"/>
        <v>OK</v>
      </c>
    </row>
    <row r="498" spans="1:31" x14ac:dyDescent="0.25">
      <c r="A498" t="s">
        <v>214</v>
      </c>
      <c r="B498">
        <v>100</v>
      </c>
      <c r="C498">
        <v>0</v>
      </c>
      <c r="D498">
        <v>0</v>
      </c>
      <c r="E498">
        <v>1</v>
      </c>
      <c r="F498" t="s">
        <v>458</v>
      </c>
      <c r="G498" t="s">
        <v>458</v>
      </c>
      <c r="H498" t="s">
        <v>396</v>
      </c>
      <c r="I498">
        <v>0.125</v>
      </c>
      <c r="J498">
        <v>1</v>
      </c>
      <c r="K498">
        <v>5</v>
      </c>
      <c r="L498" t="s">
        <v>28</v>
      </c>
      <c r="M498" t="s">
        <v>512</v>
      </c>
      <c r="N498" t="s">
        <v>965</v>
      </c>
      <c r="O498">
        <v>5.6510999999999988E-5</v>
      </c>
      <c r="P498">
        <v>3.8599416666666663E-3</v>
      </c>
      <c r="Q498">
        <v>3.716525005E-3</v>
      </c>
      <c r="R498">
        <v>4.7647361138888891E-3</v>
      </c>
      <c r="S498" s="101">
        <v>5.6510999999999988E-5</v>
      </c>
      <c r="T498" s="101">
        <v>3.8599416666666663E-3</v>
      </c>
      <c r="U498" s="101">
        <v>3.716525005E-3</v>
      </c>
      <c r="V498" s="101">
        <v>4.7647361138888891E-3</v>
      </c>
      <c r="W498">
        <v>3.75</v>
      </c>
      <c r="X498">
        <v>3.7510994166666665</v>
      </c>
      <c r="Y498">
        <v>3.804970833333333</v>
      </c>
      <c r="Z498">
        <v>3.8599416666666664</v>
      </c>
      <c r="AA498" t="s">
        <v>319</v>
      </c>
      <c r="AB498" t="str">
        <f t="shared" si="18"/>
        <v>OK</v>
      </c>
      <c r="AC498" t="str">
        <f t="shared" si="19"/>
        <v>OK</v>
      </c>
      <c r="AD498" t="str">
        <f t="shared" si="20"/>
        <v>OK</v>
      </c>
      <c r="AE498" t="str">
        <f t="shared" si="21"/>
        <v>OK</v>
      </c>
    </row>
    <row r="499" spans="1:31" x14ac:dyDescent="0.25">
      <c r="A499" t="s">
        <v>757</v>
      </c>
      <c r="B499">
        <v>100</v>
      </c>
      <c r="C499">
        <v>0</v>
      </c>
      <c r="D499">
        <v>0</v>
      </c>
      <c r="E499">
        <v>1</v>
      </c>
      <c r="F499" t="s">
        <v>458</v>
      </c>
      <c r="G499" t="s">
        <v>458</v>
      </c>
      <c r="H499" t="s">
        <v>396</v>
      </c>
      <c r="I499">
        <v>0.125</v>
      </c>
      <c r="J499">
        <v>1</v>
      </c>
      <c r="K499">
        <v>5</v>
      </c>
      <c r="L499" t="s">
        <v>28</v>
      </c>
      <c r="M499" t="s">
        <v>512</v>
      </c>
      <c r="N499" t="s">
        <v>965</v>
      </c>
      <c r="O499">
        <v>5.6510999999999988E-5</v>
      </c>
      <c r="P499">
        <v>3.9162092075892855E-3</v>
      </c>
      <c r="Q499">
        <v>5.5374999999999999E-3</v>
      </c>
      <c r="R499">
        <v>8.1916666666666665E-3</v>
      </c>
      <c r="S499" s="101">
        <v>5.6510999999999988E-5</v>
      </c>
      <c r="T499" s="101">
        <v>3.9162092075892855E-3</v>
      </c>
      <c r="U499" s="101">
        <v>5.5374999999999999E-3</v>
      </c>
      <c r="V499" s="101">
        <v>8.1916666666666665E-3</v>
      </c>
      <c r="W499">
        <v>3.75</v>
      </c>
      <c r="X499">
        <v>3.7516620920758932</v>
      </c>
      <c r="Y499">
        <v>3.8331046037946424</v>
      </c>
      <c r="Z499">
        <v>3.9162092075892856</v>
      </c>
      <c r="AA499" t="s">
        <v>964</v>
      </c>
      <c r="AB499" t="str">
        <f t="shared" si="18"/>
        <v>OK</v>
      </c>
      <c r="AC499" t="str">
        <f t="shared" si="19"/>
        <v>OK</v>
      </c>
      <c r="AD499" t="str">
        <f t="shared" si="20"/>
        <v>OK</v>
      </c>
      <c r="AE499" t="str">
        <f t="shared" si="21"/>
        <v>OK</v>
      </c>
    </row>
    <row r="500" spans="1:31" x14ac:dyDescent="0.25">
      <c r="A500" t="s">
        <v>366</v>
      </c>
      <c r="B500">
        <v>100</v>
      </c>
      <c r="C500">
        <v>0</v>
      </c>
      <c r="D500">
        <v>0</v>
      </c>
      <c r="E500">
        <v>1</v>
      </c>
      <c r="F500" t="s">
        <v>458</v>
      </c>
      <c r="G500" t="s">
        <v>458</v>
      </c>
      <c r="H500" t="s">
        <v>396</v>
      </c>
      <c r="I500">
        <v>0.125</v>
      </c>
      <c r="J500">
        <v>1</v>
      </c>
      <c r="K500">
        <v>5</v>
      </c>
      <c r="L500" t="s">
        <v>28</v>
      </c>
      <c r="M500" t="s">
        <v>512</v>
      </c>
      <c r="N500" t="s">
        <v>965</v>
      </c>
      <c r="O500">
        <v>5.6510999999999988E-5</v>
      </c>
      <c r="P500">
        <v>3.9162092075892855E-3</v>
      </c>
      <c r="Q500">
        <v>5.561875E-3</v>
      </c>
      <c r="R500">
        <v>8.1899305555555545E-3</v>
      </c>
      <c r="S500" s="101">
        <v>5.6510999999999988E-5</v>
      </c>
      <c r="T500" s="101">
        <v>3.9162092075892855E-3</v>
      </c>
      <c r="U500" s="101">
        <v>5.561875E-3</v>
      </c>
      <c r="V500" s="101">
        <v>8.1899305555555545E-3</v>
      </c>
      <c r="W500">
        <v>3.75</v>
      </c>
      <c r="X500">
        <v>3.7516620920758932</v>
      </c>
      <c r="Y500">
        <v>3.8331046037946424</v>
      </c>
      <c r="Z500">
        <v>3.9162092075892856</v>
      </c>
      <c r="AA500" t="s">
        <v>487</v>
      </c>
      <c r="AB500" t="str">
        <f t="shared" si="18"/>
        <v>OK</v>
      </c>
      <c r="AC500" t="str">
        <f t="shared" si="19"/>
        <v>OK</v>
      </c>
      <c r="AD500" t="str">
        <f t="shared" si="20"/>
        <v>OK</v>
      </c>
      <c r="AE500" t="str">
        <f t="shared" si="21"/>
        <v>OK</v>
      </c>
    </row>
    <row r="501" spans="1:31" x14ac:dyDescent="0.25">
      <c r="A501" t="s">
        <v>133</v>
      </c>
      <c r="B501">
        <v>100</v>
      </c>
      <c r="C501">
        <v>0</v>
      </c>
      <c r="D501">
        <v>0</v>
      </c>
      <c r="E501">
        <v>1</v>
      </c>
      <c r="F501" t="s">
        <v>458</v>
      </c>
      <c r="G501" t="s">
        <v>458</v>
      </c>
      <c r="H501" t="s">
        <v>396</v>
      </c>
      <c r="I501">
        <v>0.125</v>
      </c>
      <c r="J501">
        <v>1</v>
      </c>
      <c r="K501">
        <v>5</v>
      </c>
      <c r="L501" t="s">
        <v>28</v>
      </c>
      <c r="M501" t="s">
        <v>512</v>
      </c>
      <c r="N501" t="s">
        <v>965</v>
      </c>
      <c r="O501">
        <v>5.6510999999999988E-5</v>
      </c>
      <c r="P501">
        <v>5.0101093563988102E-3</v>
      </c>
      <c r="Q501">
        <v>5.4952020218750003E-3</v>
      </c>
      <c r="R501">
        <v>7.8780808087500001E-3</v>
      </c>
      <c r="S501" s="101">
        <v>5.6510999999999988E-5</v>
      </c>
      <c r="T501" s="101">
        <v>5.0101093563988102E-3</v>
      </c>
      <c r="U501" s="101">
        <v>5.4952020218750003E-3</v>
      </c>
      <c r="V501" s="101">
        <v>7.8780808087500001E-3</v>
      </c>
      <c r="W501">
        <v>4.9000000000000004</v>
      </c>
      <c r="X501">
        <v>4.9011010935639883</v>
      </c>
      <c r="Y501">
        <v>4.9550546781994047</v>
      </c>
      <c r="Z501">
        <v>5.0101093563988099</v>
      </c>
      <c r="AA501" t="s">
        <v>314</v>
      </c>
      <c r="AB501" t="str">
        <f t="shared" si="18"/>
        <v>OK</v>
      </c>
      <c r="AC501" t="str">
        <f t="shared" si="19"/>
        <v>OK</v>
      </c>
      <c r="AD501" t="str">
        <f t="shared" si="20"/>
        <v>OK</v>
      </c>
      <c r="AE501" t="str">
        <f t="shared" si="21"/>
        <v>OK</v>
      </c>
    </row>
    <row r="502" spans="1:31" x14ac:dyDescent="0.25">
      <c r="A502" t="s">
        <v>367</v>
      </c>
      <c r="B502">
        <v>100</v>
      </c>
      <c r="C502">
        <v>0</v>
      </c>
      <c r="D502">
        <v>0</v>
      </c>
      <c r="E502">
        <v>1</v>
      </c>
      <c r="F502" t="s">
        <v>458</v>
      </c>
      <c r="G502" t="s">
        <v>458</v>
      </c>
      <c r="H502" t="s">
        <v>396</v>
      </c>
      <c r="I502">
        <v>0.125</v>
      </c>
      <c r="J502">
        <v>1</v>
      </c>
      <c r="K502">
        <v>5</v>
      </c>
      <c r="L502" t="s">
        <v>28</v>
      </c>
      <c r="M502" t="s">
        <v>512</v>
      </c>
      <c r="N502" t="s">
        <v>965</v>
      </c>
      <c r="O502">
        <v>5.6510999999999988E-5</v>
      </c>
      <c r="P502">
        <v>5.0476153645833332E-3</v>
      </c>
      <c r="Q502">
        <v>7.8567436468749991E-3</v>
      </c>
      <c r="R502">
        <v>1.054269745875E-2</v>
      </c>
      <c r="S502" s="101">
        <v>5.6510999999999988E-5</v>
      </c>
      <c r="T502" s="101">
        <v>5.0476153645833332E-3</v>
      </c>
      <c r="U502" s="101">
        <v>7.8567436468749991E-3</v>
      </c>
      <c r="V502" s="101">
        <v>1.054269745875E-2</v>
      </c>
      <c r="W502">
        <v>4.9000000000000004</v>
      </c>
      <c r="X502">
        <v>4.9014761536458336</v>
      </c>
      <c r="Y502">
        <v>4.9738076822916666</v>
      </c>
      <c r="Z502">
        <v>5.0476153645833328</v>
      </c>
      <c r="AA502" t="s">
        <v>368</v>
      </c>
      <c r="AB502" t="str">
        <f t="shared" si="18"/>
        <v>OK</v>
      </c>
      <c r="AC502" t="str">
        <f t="shared" si="19"/>
        <v>OK</v>
      </c>
      <c r="AD502" t="str">
        <f t="shared" si="20"/>
        <v>OK</v>
      </c>
      <c r="AE502" t="str">
        <f t="shared" si="21"/>
        <v>OK</v>
      </c>
    </row>
    <row r="503" spans="1:31" x14ac:dyDescent="0.25">
      <c r="A503" t="s">
        <v>369</v>
      </c>
      <c r="B503">
        <v>100</v>
      </c>
      <c r="C503">
        <v>0</v>
      </c>
      <c r="D503">
        <v>0</v>
      </c>
      <c r="E503">
        <v>1</v>
      </c>
      <c r="F503" t="s">
        <v>458</v>
      </c>
      <c r="G503" t="s">
        <v>458</v>
      </c>
      <c r="H503" t="s">
        <v>396</v>
      </c>
      <c r="I503">
        <v>0.125</v>
      </c>
      <c r="J503">
        <v>1</v>
      </c>
      <c r="K503">
        <v>5</v>
      </c>
      <c r="L503" t="s">
        <v>28</v>
      </c>
      <c r="M503" t="s">
        <v>512</v>
      </c>
      <c r="N503" t="s">
        <v>965</v>
      </c>
      <c r="O503">
        <v>5.6510999999999988E-5</v>
      </c>
      <c r="P503">
        <v>5.0101093563988102E-3</v>
      </c>
      <c r="Q503">
        <v>5.5511686688750001E-3</v>
      </c>
      <c r="R503">
        <v>7.8761117178409081E-3</v>
      </c>
      <c r="S503" s="101">
        <v>5.6510999999999988E-5</v>
      </c>
      <c r="T503" s="101">
        <v>5.0101093563988102E-3</v>
      </c>
      <c r="U503" s="101">
        <v>5.5511686688750001E-3</v>
      </c>
      <c r="V503" s="101">
        <v>7.8761117178409081E-3</v>
      </c>
      <c r="W503">
        <v>4.9000000000000004</v>
      </c>
      <c r="X503">
        <v>4.9011010935639883</v>
      </c>
      <c r="Y503">
        <v>4.9550546781994047</v>
      </c>
      <c r="Z503">
        <v>5.0101093563988099</v>
      </c>
      <c r="AA503" t="s">
        <v>371</v>
      </c>
      <c r="AB503" t="str">
        <f t="shared" si="18"/>
        <v>OK</v>
      </c>
      <c r="AC503" t="str">
        <f t="shared" si="19"/>
        <v>OK</v>
      </c>
      <c r="AD503" t="str">
        <f t="shared" si="20"/>
        <v>OK</v>
      </c>
      <c r="AE503" t="str">
        <f t="shared" si="21"/>
        <v>OK</v>
      </c>
    </row>
    <row r="504" spans="1:31" x14ac:dyDescent="0.25">
      <c r="A504" t="s">
        <v>370</v>
      </c>
      <c r="B504">
        <v>100</v>
      </c>
      <c r="C504">
        <v>0</v>
      </c>
      <c r="D504">
        <v>0</v>
      </c>
      <c r="E504">
        <v>1</v>
      </c>
      <c r="F504" t="s">
        <v>458</v>
      </c>
      <c r="G504" t="s">
        <v>458</v>
      </c>
      <c r="H504" t="s">
        <v>396</v>
      </c>
      <c r="I504">
        <v>0.125</v>
      </c>
      <c r="J504">
        <v>1</v>
      </c>
      <c r="K504">
        <v>5</v>
      </c>
      <c r="L504" t="s">
        <v>28</v>
      </c>
      <c r="M504" t="s">
        <v>512</v>
      </c>
      <c r="N504" t="s">
        <v>965</v>
      </c>
      <c r="O504">
        <v>5.6510999999999988E-5</v>
      </c>
      <c r="P504">
        <v>5.0476153645833332E-3</v>
      </c>
      <c r="Q504">
        <v>7.9590436138750002E-3</v>
      </c>
      <c r="R504">
        <v>1.0539104125416665E-2</v>
      </c>
      <c r="S504" s="101">
        <v>5.6510999999999988E-5</v>
      </c>
      <c r="T504" s="101">
        <v>5.0476153645833332E-3</v>
      </c>
      <c r="U504" s="101">
        <v>7.9590436138750002E-3</v>
      </c>
      <c r="V504" s="101">
        <v>1.0539104125416665E-2</v>
      </c>
      <c r="W504">
        <v>4.9000000000000004</v>
      </c>
      <c r="X504">
        <v>4.9014761536458336</v>
      </c>
      <c r="Y504">
        <v>4.9738076822916666</v>
      </c>
      <c r="Z504">
        <v>5.0476153645833328</v>
      </c>
      <c r="AA504" t="s">
        <v>372</v>
      </c>
      <c r="AB504" t="str">
        <f t="shared" si="18"/>
        <v>OK</v>
      </c>
      <c r="AC504" t="str">
        <f t="shared" si="19"/>
        <v>OK</v>
      </c>
      <c r="AD504" t="str">
        <f t="shared" si="20"/>
        <v>OK</v>
      </c>
      <c r="AE504" t="str">
        <f t="shared" si="21"/>
        <v>OK</v>
      </c>
    </row>
    <row r="505" spans="1:31" x14ac:dyDescent="0.25">
      <c r="A505" t="s">
        <v>214</v>
      </c>
      <c r="B505">
        <v>100</v>
      </c>
      <c r="C505">
        <v>0</v>
      </c>
      <c r="D505">
        <v>0</v>
      </c>
      <c r="E505">
        <v>1</v>
      </c>
      <c r="F505" t="s">
        <v>680</v>
      </c>
      <c r="G505" t="s">
        <v>458</v>
      </c>
      <c r="H505" t="s">
        <v>396</v>
      </c>
      <c r="I505">
        <v>0.125</v>
      </c>
      <c r="J505">
        <v>1</v>
      </c>
      <c r="K505">
        <v>5</v>
      </c>
      <c r="L505" t="s">
        <v>28</v>
      </c>
      <c r="M505" t="s">
        <v>512</v>
      </c>
      <c r="N505" t="s">
        <v>965</v>
      </c>
      <c r="O505">
        <v>5.6510999999999988E-5</v>
      </c>
      <c r="P505">
        <v>3.8599416666666663E-3</v>
      </c>
      <c r="Q505">
        <v>3.716525005E-3</v>
      </c>
      <c r="R505">
        <v>4.7647361138888891E-3</v>
      </c>
      <c r="S505" s="101">
        <v>5.6510999999999988E-5</v>
      </c>
      <c r="T505" s="101">
        <v>3.8599416666666663E-3</v>
      </c>
      <c r="U505" s="101">
        <v>3.716525005E-3</v>
      </c>
      <c r="V505" s="101">
        <v>4.7647361138888891E-3</v>
      </c>
      <c r="W505">
        <v>3.75</v>
      </c>
      <c r="X505">
        <v>3.7510994166666665</v>
      </c>
      <c r="Y505">
        <v>3.804970833333333</v>
      </c>
      <c r="Z505">
        <v>3.8599416666666664</v>
      </c>
      <c r="AA505" t="s">
        <v>319</v>
      </c>
      <c r="AB505" t="str">
        <f t="shared" si="18"/>
        <v>OK</v>
      </c>
      <c r="AC505" t="str">
        <f t="shared" si="19"/>
        <v>OK</v>
      </c>
      <c r="AD505" t="str">
        <f t="shared" si="20"/>
        <v>OK</v>
      </c>
      <c r="AE505" t="str">
        <f t="shared" si="21"/>
        <v>OK</v>
      </c>
    </row>
    <row r="506" spans="1:31" x14ac:dyDescent="0.25">
      <c r="A506" t="s">
        <v>757</v>
      </c>
      <c r="B506">
        <v>100</v>
      </c>
      <c r="C506">
        <v>0</v>
      </c>
      <c r="D506">
        <v>0</v>
      </c>
      <c r="E506">
        <v>1</v>
      </c>
      <c r="F506" t="s">
        <v>680</v>
      </c>
      <c r="G506" t="s">
        <v>458</v>
      </c>
      <c r="H506" t="s">
        <v>396</v>
      </c>
      <c r="I506">
        <v>0.125</v>
      </c>
      <c r="J506">
        <v>1</v>
      </c>
      <c r="K506">
        <v>5</v>
      </c>
      <c r="L506" t="s">
        <v>28</v>
      </c>
      <c r="M506" t="s">
        <v>512</v>
      </c>
      <c r="N506" t="s">
        <v>965</v>
      </c>
      <c r="O506">
        <v>5.6510999999999988E-5</v>
      </c>
      <c r="P506">
        <v>3.9162092075892855E-3</v>
      </c>
      <c r="Q506">
        <v>5.5374999999999999E-3</v>
      </c>
      <c r="R506">
        <v>8.1916666666666665E-3</v>
      </c>
      <c r="S506" s="101">
        <v>5.6510999999999988E-5</v>
      </c>
      <c r="T506" s="101">
        <v>3.9162092075892855E-3</v>
      </c>
      <c r="U506" s="101">
        <v>5.5374999999999999E-3</v>
      </c>
      <c r="V506" s="101">
        <v>8.1916666666666665E-3</v>
      </c>
      <c r="W506">
        <v>3.75</v>
      </c>
      <c r="X506">
        <v>3.7516620920758932</v>
      </c>
      <c r="Y506">
        <v>3.8331046037946424</v>
      </c>
      <c r="Z506">
        <v>3.9162092075892856</v>
      </c>
      <c r="AA506" t="s">
        <v>964</v>
      </c>
      <c r="AB506" t="str">
        <f t="shared" si="18"/>
        <v>OK</v>
      </c>
      <c r="AC506" t="str">
        <f t="shared" si="19"/>
        <v>OK</v>
      </c>
      <c r="AD506" t="str">
        <f t="shared" si="20"/>
        <v>OK</v>
      </c>
      <c r="AE506" t="str">
        <f t="shared" si="21"/>
        <v>OK</v>
      </c>
    </row>
    <row r="507" spans="1:31" x14ac:dyDescent="0.25">
      <c r="A507" t="s">
        <v>366</v>
      </c>
      <c r="B507">
        <v>100</v>
      </c>
      <c r="C507">
        <v>0</v>
      </c>
      <c r="D507">
        <v>0</v>
      </c>
      <c r="E507">
        <v>1</v>
      </c>
      <c r="F507" t="s">
        <v>680</v>
      </c>
      <c r="G507" t="s">
        <v>458</v>
      </c>
      <c r="H507" t="s">
        <v>396</v>
      </c>
      <c r="I507">
        <v>0.125</v>
      </c>
      <c r="J507">
        <v>1</v>
      </c>
      <c r="K507">
        <v>5</v>
      </c>
      <c r="L507" t="s">
        <v>28</v>
      </c>
      <c r="M507" t="s">
        <v>512</v>
      </c>
      <c r="N507" t="s">
        <v>965</v>
      </c>
      <c r="O507">
        <v>5.6510999999999988E-5</v>
      </c>
      <c r="P507">
        <v>3.9162092075892855E-3</v>
      </c>
      <c r="Q507">
        <v>5.561875E-3</v>
      </c>
      <c r="R507">
        <v>8.1899305555555545E-3</v>
      </c>
      <c r="S507" s="101">
        <v>5.6510999999999988E-5</v>
      </c>
      <c r="T507" s="101">
        <v>3.9162092075892855E-3</v>
      </c>
      <c r="U507" s="101">
        <v>5.561875E-3</v>
      </c>
      <c r="V507" s="101">
        <v>8.1899305555555545E-3</v>
      </c>
      <c r="W507">
        <v>3.75</v>
      </c>
      <c r="X507">
        <v>3.7516620920758932</v>
      </c>
      <c r="Y507">
        <v>3.8331046037946424</v>
      </c>
      <c r="Z507">
        <v>3.9162092075892856</v>
      </c>
      <c r="AA507" t="s">
        <v>487</v>
      </c>
      <c r="AB507" t="str">
        <f t="shared" si="18"/>
        <v>OK</v>
      </c>
      <c r="AC507" t="str">
        <f t="shared" si="19"/>
        <v>OK</v>
      </c>
      <c r="AD507" t="str">
        <f t="shared" si="20"/>
        <v>OK</v>
      </c>
      <c r="AE507" t="str">
        <f t="shared" si="21"/>
        <v>OK</v>
      </c>
    </row>
    <row r="508" spans="1:31" x14ac:dyDescent="0.25">
      <c r="A508" t="s">
        <v>133</v>
      </c>
      <c r="B508">
        <v>100</v>
      </c>
      <c r="C508">
        <v>0</v>
      </c>
      <c r="D508">
        <v>0</v>
      </c>
      <c r="E508">
        <v>1</v>
      </c>
      <c r="F508" t="s">
        <v>680</v>
      </c>
      <c r="G508" t="s">
        <v>458</v>
      </c>
      <c r="H508" t="s">
        <v>396</v>
      </c>
      <c r="I508">
        <v>0.125</v>
      </c>
      <c r="J508">
        <v>1</v>
      </c>
      <c r="K508">
        <v>5</v>
      </c>
      <c r="L508" t="s">
        <v>28</v>
      </c>
      <c r="M508" t="s">
        <v>512</v>
      </c>
      <c r="N508" t="s">
        <v>965</v>
      </c>
      <c r="O508">
        <v>5.6510999999999988E-5</v>
      </c>
      <c r="P508">
        <v>5.0101093563988102E-3</v>
      </c>
      <c r="Q508">
        <v>5.4952020218750003E-3</v>
      </c>
      <c r="R508">
        <v>7.8780808087500001E-3</v>
      </c>
      <c r="S508" s="101">
        <v>5.6510999999999988E-5</v>
      </c>
      <c r="T508" s="101">
        <v>5.0101093563988102E-3</v>
      </c>
      <c r="U508" s="101">
        <v>5.4952020218750003E-3</v>
      </c>
      <c r="V508" s="101">
        <v>7.8780808087500001E-3</v>
      </c>
      <c r="W508">
        <v>4.9000000000000004</v>
      </c>
      <c r="X508">
        <v>4.9011010935639883</v>
      </c>
      <c r="Y508">
        <v>4.9550546781994047</v>
      </c>
      <c r="Z508">
        <v>5.0101093563988099</v>
      </c>
      <c r="AA508" t="s">
        <v>314</v>
      </c>
      <c r="AB508" t="str">
        <f t="shared" si="18"/>
        <v>OK</v>
      </c>
      <c r="AC508" t="str">
        <f t="shared" si="19"/>
        <v>OK</v>
      </c>
      <c r="AD508" t="str">
        <f t="shared" si="20"/>
        <v>OK</v>
      </c>
      <c r="AE508" t="str">
        <f t="shared" si="21"/>
        <v>OK</v>
      </c>
    </row>
    <row r="509" spans="1:31" x14ac:dyDescent="0.25">
      <c r="A509" t="s">
        <v>367</v>
      </c>
      <c r="B509">
        <v>100</v>
      </c>
      <c r="C509">
        <v>0</v>
      </c>
      <c r="D509">
        <v>0</v>
      </c>
      <c r="E509">
        <v>1</v>
      </c>
      <c r="F509" t="s">
        <v>680</v>
      </c>
      <c r="G509" t="s">
        <v>458</v>
      </c>
      <c r="H509" t="s">
        <v>396</v>
      </c>
      <c r="I509">
        <v>0.125</v>
      </c>
      <c r="J509">
        <v>1</v>
      </c>
      <c r="K509">
        <v>5</v>
      </c>
      <c r="L509" t="s">
        <v>28</v>
      </c>
      <c r="M509" t="s">
        <v>512</v>
      </c>
      <c r="N509" t="s">
        <v>965</v>
      </c>
      <c r="O509">
        <v>5.6510999999999988E-5</v>
      </c>
      <c r="P509">
        <v>5.0476153645833332E-3</v>
      </c>
      <c r="Q509">
        <v>7.8567436468749991E-3</v>
      </c>
      <c r="R509">
        <v>1.054269745875E-2</v>
      </c>
      <c r="S509" s="101">
        <v>5.6510999999999988E-5</v>
      </c>
      <c r="T509" s="101">
        <v>5.0476153645833332E-3</v>
      </c>
      <c r="U509" s="101">
        <v>7.8567436468749991E-3</v>
      </c>
      <c r="V509" s="101">
        <v>1.054269745875E-2</v>
      </c>
      <c r="W509">
        <v>4.9000000000000004</v>
      </c>
      <c r="X509">
        <v>4.9014761536458336</v>
      </c>
      <c r="Y509">
        <v>4.9738076822916666</v>
      </c>
      <c r="Z509">
        <v>5.0476153645833328</v>
      </c>
      <c r="AA509" t="s">
        <v>368</v>
      </c>
      <c r="AB509" t="str">
        <f t="shared" si="18"/>
        <v>OK</v>
      </c>
      <c r="AC509" t="str">
        <f t="shared" si="19"/>
        <v>OK</v>
      </c>
      <c r="AD509" t="str">
        <f t="shared" si="20"/>
        <v>OK</v>
      </c>
      <c r="AE509" t="str">
        <f t="shared" si="21"/>
        <v>OK</v>
      </c>
    </row>
    <row r="510" spans="1:31" x14ac:dyDescent="0.25">
      <c r="A510" t="s">
        <v>369</v>
      </c>
      <c r="B510">
        <v>100</v>
      </c>
      <c r="C510">
        <v>0</v>
      </c>
      <c r="D510">
        <v>0</v>
      </c>
      <c r="E510">
        <v>1</v>
      </c>
      <c r="F510" t="s">
        <v>680</v>
      </c>
      <c r="G510" t="s">
        <v>458</v>
      </c>
      <c r="H510" t="s">
        <v>396</v>
      </c>
      <c r="I510">
        <v>0.125</v>
      </c>
      <c r="J510">
        <v>1</v>
      </c>
      <c r="K510">
        <v>5</v>
      </c>
      <c r="L510" t="s">
        <v>28</v>
      </c>
      <c r="M510" t="s">
        <v>512</v>
      </c>
      <c r="N510" t="s">
        <v>965</v>
      </c>
      <c r="O510">
        <v>5.6510999999999988E-5</v>
      </c>
      <c r="P510">
        <v>5.0101093563988102E-3</v>
      </c>
      <c r="Q510">
        <v>5.5511686688750001E-3</v>
      </c>
      <c r="R510">
        <v>7.8761117178409081E-3</v>
      </c>
      <c r="S510" s="101">
        <v>5.6510999999999988E-5</v>
      </c>
      <c r="T510" s="101">
        <v>5.0101093563988102E-3</v>
      </c>
      <c r="U510" s="101">
        <v>5.5511686688750001E-3</v>
      </c>
      <c r="V510" s="101">
        <v>7.8761117178409081E-3</v>
      </c>
      <c r="W510">
        <v>4.9000000000000004</v>
      </c>
      <c r="X510">
        <v>4.9011010935639883</v>
      </c>
      <c r="Y510">
        <v>4.9550546781994047</v>
      </c>
      <c r="Z510">
        <v>5.0101093563988099</v>
      </c>
      <c r="AA510" t="s">
        <v>371</v>
      </c>
      <c r="AB510" t="str">
        <f t="shared" si="18"/>
        <v>OK</v>
      </c>
      <c r="AC510" t="str">
        <f t="shared" si="19"/>
        <v>OK</v>
      </c>
      <c r="AD510" t="str">
        <f t="shared" si="20"/>
        <v>OK</v>
      </c>
      <c r="AE510" t="str">
        <f t="shared" si="21"/>
        <v>OK</v>
      </c>
    </row>
    <row r="511" spans="1:31" x14ac:dyDescent="0.25">
      <c r="A511" t="s">
        <v>370</v>
      </c>
      <c r="B511">
        <v>100</v>
      </c>
      <c r="C511">
        <v>0</v>
      </c>
      <c r="D511">
        <v>0</v>
      </c>
      <c r="E511">
        <v>1</v>
      </c>
      <c r="F511" t="s">
        <v>680</v>
      </c>
      <c r="G511" t="s">
        <v>458</v>
      </c>
      <c r="H511" t="s">
        <v>396</v>
      </c>
      <c r="I511">
        <v>0.125</v>
      </c>
      <c r="J511">
        <v>1</v>
      </c>
      <c r="K511">
        <v>5</v>
      </c>
      <c r="L511" t="s">
        <v>28</v>
      </c>
      <c r="M511" t="s">
        <v>512</v>
      </c>
      <c r="N511" t="s">
        <v>965</v>
      </c>
      <c r="O511">
        <v>5.6510999999999988E-5</v>
      </c>
      <c r="P511">
        <v>5.0476153645833332E-3</v>
      </c>
      <c r="Q511">
        <v>7.9590436138750002E-3</v>
      </c>
      <c r="R511">
        <v>1.0539104125416665E-2</v>
      </c>
      <c r="S511" s="101">
        <v>5.6510999999999988E-5</v>
      </c>
      <c r="T511" s="101">
        <v>5.0476153645833332E-3</v>
      </c>
      <c r="U511" s="101">
        <v>7.9590436138750002E-3</v>
      </c>
      <c r="V511" s="101">
        <v>1.0539104125416665E-2</v>
      </c>
      <c r="W511">
        <v>4.9000000000000004</v>
      </c>
      <c r="X511">
        <v>4.9014761536458336</v>
      </c>
      <c r="Y511">
        <v>4.9738076822916666</v>
      </c>
      <c r="Z511">
        <v>5.0476153645833328</v>
      </c>
      <c r="AA511" t="s">
        <v>372</v>
      </c>
      <c r="AB511" t="str">
        <f t="shared" si="18"/>
        <v>OK</v>
      </c>
      <c r="AC511" t="str">
        <f t="shared" si="19"/>
        <v>OK</v>
      </c>
      <c r="AD511" t="str">
        <f t="shared" si="20"/>
        <v>OK</v>
      </c>
      <c r="AE511" t="str">
        <f t="shared" si="21"/>
        <v>OK</v>
      </c>
    </row>
    <row r="512" spans="1:31" x14ac:dyDescent="0.25">
      <c r="A512" t="s">
        <v>214</v>
      </c>
      <c r="B512">
        <v>100</v>
      </c>
      <c r="C512">
        <v>0</v>
      </c>
      <c r="D512">
        <v>0</v>
      </c>
      <c r="E512">
        <v>1</v>
      </c>
      <c r="F512" t="s">
        <v>679</v>
      </c>
      <c r="G512" t="s">
        <v>458</v>
      </c>
      <c r="H512" t="s">
        <v>396</v>
      </c>
      <c r="I512">
        <v>0.125</v>
      </c>
      <c r="J512">
        <v>1</v>
      </c>
      <c r="K512">
        <v>5</v>
      </c>
      <c r="L512" t="s">
        <v>28</v>
      </c>
      <c r="M512" t="s">
        <v>512</v>
      </c>
      <c r="N512" t="s">
        <v>965</v>
      </c>
      <c r="O512">
        <v>5.6510999999999988E-5</v>
      </c>
      <c r="P512">
        <v>3.8599416666666663E-3</v>
      </c>
      <c r="Q512">
        <v>3.716525005E-3</v>
      </c>
      <c r="R512">
        <v>4.7647361138888891E-3</v>
      </c>
      <c r="S512" s="101">
        <v>5.6510999999999988E-5</v>
      </c>
      <c r="T512" s="101">
        <v>3.8599416666666663E-3</v>
      </c>
      <c r="U512" s="101">
        <v>3.716525005E-3</v>
      </c>
      <c r="V512" s="101">
        <v>4.7647361138888891E-3</v>
      </c>
      <c r="W512">
        <v>3.75</v>
      </c>
      <c r="X512">
        <v>3.7510994166666665</v>
      </c>
      <c r="Y512">
        <v>3.804970833333333</v>
      </c>
      <c r="Z512">
        <v>3.8599416666666664</v>
      </c>
      <c r="AA512" t="s">
        <v>319</v>
      </c>
      <c r="AB512" t="str">
        <f t="shared" si="18"/>
        <v>OK</v>
      </c>
      <c r="AC512" t="str">
        <f t="shared" si="19"/>
        <v>OK</v>
      </c>
      <c r="AD512" t="str">
        <f t="shared" si="20"/>
        <v>OK</v>
      </c>
      <c r="AE512" t="str">
        <f t="shared" si="21"/>
        <v>OK</v>
      </c>
    </row>
    <row r="513" spans="1:31" x14ac:dyDescent="0.25">
      <c r="A513" t="s">
        <v>757</v>
      </c>
      <c r="B513">
        <v>100</v>
      </c>
      <c r="C513">
        <v>0</v>
      </c>
      <c r="D513">
        <v>0</v>
      </c>
      <c r="E513">
        <v>1</v>
      </c>
      <c r="F513" t="s">
        <v>679</v>
      </c>
      <c r="G513" t="s">
        <v>458</v>
      </c>
      <c r="H513" t="s">
        <v>396</v>
      </c>
      <c r="I513">
        <v>0.125</v>
      </c>
      <c r="J513">
        <v>1</v>
      </c>
      <c r="K513">
        <v>5</v>
      </c>
      <c r="L513" t="s">
        <v>28</v>
      </c>
      <c r="M513" t="s">
        <v>512</v>
      </c>
      <c r="N513" t="s">
        <v>965</v>
      </c>
      <c r="O513">
        <v>5.6510999999999988E-5</v>
      </c>
      <c r="P513">
        <v>3.9162092075892855E-3</v>
      </c>
      <c r="Q513">
        <v>5.5374999999999999E-3</v>
      </c>
      <c r="R513">
        <v>8.1916666666666665E-3</v>
      </c>
      <c r="S513" s="101">
        <v>5.6510999999999988E-5</v>
      </c>
      <c r="T513" s="101">
        <v>3.9162092075892855E-3</v>
      </c>
      <c r="U513" s="101">
        <v>5.5374999999999999E-3</v>
      </c>
      <c r="V513" s="101">
        <v>8.1916666666666665E-3</v>
      </c>
      <c r="W513">
        <v>3.75</v>
      </c>
      <c r="X513">
        <v>3.7516620920758932</v>
      </c>
      <c r="Y513">
        <v>3.8331046037946424</v>
      </c>
      <c r="Z513">
        <v>3.9162092075892856</v>
      </c>
      <c r="AA513" t="s">
        <v>964</v>
      </c>
      <c r="AB513" t="str">
        <f t="shared" si="18"/>
        <v>OK</v>
      </c>
      <c r="AC513" t="str">
        <f t="shared" si="19"/>
        <v>OK</v>
      </c>
      <c r="AD513" t="str">
        <f t="shared" si="20"/>
        <v>OK</v>
      </c>
      <c r="AE513" t="str">
        <f t="shared" si="21"/>
        <v>OK</v>
      </c>
    </row>
    <row r="514" spans="1:31" x14ac:dyDescent="0.25">
      <c r="A514" t="s">
        <v>366</v>
      </c>
      <c r="B514">
        <v>100</v>
      </c>
      <c r="C514">
        <v>0</v>
      </c>
      <c r="D514">
        <v>0</v>
      </c>
      <c r="E514">
        <v>1</v>
      </c>
      <c r="F514" t="s">
        <v>679</v>
      </c>
      <c r="G514" t="s">
        <v>458</v>
      </c>
      <c r="H514" t="s">
        <v>396</v>
      </c>
      <c r="I514">
        <v>0.125</v>
      </c>
      <c r="J514">
        <v>1</v>
      </c>
      <c r="K514">
        <v>5</v>
      </c>
      <c r="L514" t="s">
        <v>28</v>
      </c>
      <c r="M514" t="s">
        <v>512</v>
      </c>
      <c r="N514" t="s">
        <v>965</v>
      </c>
      <c r="O514">
        <v>5.6510999999999988E-5</v>
      </c>
      <c r="P514">
        <v>3.9162092075892855E-3</v>
      </c>
      <c r="Q514">
        <v>5.561875E-3</v>
      </c>
      <c r="R514">
        <v>8.1899305555555545E-3</v>
      </c>
      <c r="S514" s="101">
        <v>5.6510999999999988E-5</v>
      </c>
      <c r="T514" s="101">
        <v>3.9162092075892855E-3</v>
      </c>
      <c r="U514" s="101">
        <v>5.561875E-3</v>
      </c>
      <c r="V514" s="101">
        <v>8.1899305555555545E-3</v>
      </c>
      <c r="W514">
        <v>3.75</v>
      </c>
      <c r="X514">
        <v>3.7516620920758932</v>
      </c>
      <c r="Y514">
        <v>3.8331046037946424</v>
      </c>
      <c r="Z514">
        <v>3.9162092075892856</v>
      </c>
      <c r="AA514" t="s">
        <v>487</v>
      </c>
      <c r="AB514" t="str">
        <f t="shared" si="18"/>
        <v>OK</v>
      </c>
      <c r="AC514" t="str">
        <f t="shared" si="19"/>
        <v>OK</v>
      </c>
      <c r="AD514" t="str">
        <f t="shared" si="20"/>
        <v>OK</v>
      </c>
      <c r="AE514" t="str">
        <f t="shared" si="21"/>
        <v>OK</v>
      </c>
    </row>
    <row r="515" spans="1:31" x14ac:dyDescent="0.25">
      <c r="A515" t="s">
        <v>133</v>
      </c>
      <c r="B515">
        <v>100</v>
      </c>
      <c r="C515">
        <v>0</v>
      </c>
      <c r="D515">
        <v>0</v>
      </c>
      <c r="E515">
        <v>1</v>
      </c>
      <c r="F515" t="s">
        <v>679</v>
      </c>
      <c r="G515" t="s">
        <v>458</v>
      </c>
      <c r="H515" t="s">
        <v>396</v>
      </c>
      <c r="I515">
        <v>0.125</v>
      </c>
      <c r="J515">
        <v>1</v>
      </c>
      <c r="K515">
        <v>5</v>
      </c>
      <c r="L515" t="s">
        <v>28</v>
      </c>
      <c r="M515" t="s">
        <v>512</v>
      </c>
      <c r="N515" t="s">
        <v>965</v>
      </c>
      <c r="O515">
        <v>5.6510999999999988E-5</v>
      </c>
      <c r="P515">
        <v>5.0101093563988102E-3</v>
      </c>
      <c r="Q515">
        <v>5.4952020218750003E-3</v>
      </c>
      <c r="R515">
        <v>7.8780808087500001E-3</v>
      </c>
      <c r="S515" s="101">
        <v>5.6510999999999988E-5</v>
      </c>
      <c r="T515" s="101">
        <v>5.0101093563988102E-3</v>
      </c>
      <c r="U515" s="101">
        <v>5.4952020218750003E-3</v>
      </c>
      <c r="V515" s="101">
        <v>7.8780808087500001E-3</v>
      </c>
      <c r="W515">
        <v>4.9000000000000004</v>
      </c>
      <c r="X515">
        <v>4.9011010935639883</v>
      </c>
      <c r="Y515">
        <v>4.9550546781994047</v>
      </c>
      <c r="Z515">
        <v>5.0101093563988099</v>
      </c>
      <c r="AA515" t="s">
        <v>314</v>
      </c>
      <c r="AB515" t="str">
        <f t="shared" si="18"/>
        <v>OK</v>
      </c>
      <c r="AC515" t="str">
        <f t="shared" si="19"/>
        <v>OK</v>
      </c>
      <c r="AD515" t="str">
        <f t="shared" si="20"/>
        <v>OK</v>
      </c>
      <c r="AE515" t="str">
        <f t="shared" si="21"/>
        <v>OK</v>
      </c>
    </row>
    <row r="516" spans="1:31" x14ac:dyDescent="0.25">
      <c r="A516" t="s">
        <v>367</v>
      </c>
      <c r="B516">
        <v>100</v>
      </c>
      <c r="C516">
        <v>0</v>
      </c>
      <c r="D516">
        <v>0</v>
      </c>
      <c r="E516">
        <v>1</v>
      </c>
      <c r="F516" t="s">
        <v>679</v>
      </c>
      <c r="G516" t="s">
        <v>458</v>
      </c>
      <c r="H516" t="s">
        <v>396</v>
      </c>
      <c r="I516">
        <v>0.125</v>
      </c>
      <c r="J516">
        <v>1</v>
      </c>
      <c r="K516">
        <v>5</v>
      </c>
      <c r="L516" t="s">
        <v>28</v>
      </c>
      <c r="M516" t="s">
        <v>512</v>
      </c>
      <c r="N516" t="s">
        <v>965</v>
      </c>
      <c r="O516">
        <v>5.6510999999999988E-5</v>
      </c>
      <c r="P516">
        <v>5.0476153645833332E-3</v>
      </c>
      <c r="Q516">
        <v>7.8567436468749991E-3</v>
      </c>
      <c r="R516">
        <v>1.054269745875E-2</v>
      </c>
      <c r="S516" s="101">
        <v>5.6510999999999988E-5</v>
      </c>
      <c r="T516" s="101">
        <v>5.0476153645833332E-3</v>
      </c>
      <c r="U516" s="101">
        <v>7.8567436468749991E-3</v>
      </c>
      <c r="V516" s="101">
        <v>1.054269745875E-2</v>
      </c>
      <c r="W516">
        <v>4.9000000000000004</v>
      </c>
      <c r="X516">
        <v>4.9014761536458336</v>
      </c>
      <c r="Y516">
        <v>4.9738076822916666</v>
      </c>
      <c r="Z516">
        <v>5.0476153645833328</v>
      </c>
      <c r="AA516" t="s">
        <v>368</v>
      </c>
      <c r="AB516" t="str">
        <f t="shared" si="18"/>
        <v>OK</v>
      </c>
      <c r="AC516" t="str">
        <f t="shared" si="19"/>
        <v>OK</v>
      </c>
      <c r="AD516" t="str">
        <f t="shared" si="20"/>
        <v>OK</v>
      </c>
      <c r="AE516" t="str">
        <f t="shared" si="21"/>
        <v>OK</v>
      </c>
    </row>
    <row r="517" spans="1:31" x14ac:dyDescent="0.25">
      <c r="A517" t="s">
        <v>369</v>
      </c>
      <c r="B517">
        <v>100</v>
      </c>
      <c r="C517">
        <v>0</v>
      </c>
      <c r="D517">
        <v>0</v>
      </c>
      <c r="E517">
        <v>1</v>
      </c>
      <c r="F517" t="s">
        <v>679</v>
      </c>
      <c r="G517" t="s">
        <v>458</v>
      </c>
      <c r="H517" t="s">
        <v>396</v>
      </c>
      <c r="I517">
        <v>0.125</v>
      </c>
      <c r="J517">
        <v>1</v>
      </c>
      <c r="K517">
        <v>5</v>
      </c>
      <c r="L517" t="s">
        <v>28</v>
      </c>
      <c r="M517" t="s">
        <v>512</v>
      </c>
      <c r="N517" t="s">
        <v>965</v>
      </c>
      <c r="O517">
        <v>5.6510999999999988E-5</v>
      </c>
      <c r="P517">
        <v>5.0101093563988102E-3</v>
      </c>
      <c r="Q517">
        <v>5.5511686688750001E-3</v>
      </c>
      <c r="R517">
        <v>7.8761117178409081E-3</v>
      </c>
      <c r="S517" s="101">
        <v>5.6510999999999988E-5</v>
      </c>
      <c r="T517" s="101">
        <v>5.0101093563988102E-3</v>
      </c>
      <c r="U517" s="101">
        <v>5.5511686688750001E-3</v>
      </c>
      <c r="V517" s="101">
        <v>7.8761117178409081E-3</v>
      </c>
      <c r="W517">
        <v>4.9000000000000004</v>
      </c>
      <c r="X517">
        <v>4.9011010935639883</v>
      </c>
      <c r="Y517">
        <v>4.9550546781994047</v>
      </c>
      <c r="Z517">
        <v>5.0101093563988099</v>
      </c>
      <c r="AA517" t="s">
        <v>371</v>
      </c>
      <c r="AB517" t="str">
        <f t="shared" si="18"/>
        <v>OK</v>
      </c>
      <c r="AC517" t="str">
        <f t="shared" si="19"/>
        <v>OK</v>
      </c>
      <c r="AD517" t="str">
        <f t="shared" si="20"/>
        <v>OK</v>
      </c>
      <c r="AE517" t="str">
        <f t="shared" si="21"/>
        <v>OK</v>
      </c>
    </row>
    <row r="518" spans="1:31" x14ac:dyDescent="0.25">
      <c r="A518" t="s">
        <v>370</v>
      </c>
      <c r="B518">
        <v>100</v>
      </c>
      <c r="C518">
        <v>0</v>
      </c>
      <c r="D518">
        <v>0</v>
      </c>
      <c r="E518">
        <v>1</v>
      </c>
      <c r="F518" t="s">
        <v>679</v>
      </c>
      <c r="G518" t="s">
        <v>458</v>
      </c>
      <c r="H518" t="s">
        <v>396</v>
      </c>
      <c r="I518">
        <v>0.125</v>
      </c>
      <c r="J518">
        <v>1</v>
      </c>
      <c r="K518">
        <v>5</v>
      </c>
      <c r="L518" t="s">
        <v>28</v>
      </c>
      <c r="M518" t="s">
        <v>512</v>
      </c>
      <c r="N518" t="s">
        <v>965</v>
      </c>
      <c r="O518">
        <v>5.6510999999999988E-5</v>
      </c>
      <c r="P518">
        <v>5.0476153645833332E-3</v>
      </c>
      <c r="Q518">
        <v>7.9590436138750002E-3</v>
      </c>
      <c r="R518">
        <v>1.0539104125416665E-2</v>
      </c>
      <c r="S518" s="101">
        <v>5.6510999999999988E-5</v>
      </c>
      <c r="T518" s="101">
        <v>5.0476153645833332E-3</v>
      </c>
      <c r="U518" s="101">
        <v>7.9590436138750002E-3</v>
      </c>
      <c r="V518" s="101">
        <v>1.0539104125416665E-2</v>
      </c>
      <c r="W518">
        <v>4.9000000000000004</v>
      </c>
      <c r="X518">
        <v>4.9014761536458336</v>
      </c>
      <c r="Y518">
        <v>4.9738076822916666</v>
      </c>
      <c r="Z518">
        <v>5.0476153645833328</v>
      </c>
      <c r="AA518" t="s">
        <v>372</v>
      </c>
      <c r="AB518" t="str">
        <f t="shared" si="18"/>
        <v>OK</v>
      </c>
      <c r="AC518" t="str">
        <f t="shared" si="19"/>
        <v>OK</v>
      </c>
      <c r="AD518" t="str">
        <f t="shared" si="20"/>
        <v>OK</v>
      </c>
      <c r="AE518" t="str">
        <f t="shared" si="21"/>
        <v>OK</v>
      </c>
    </row>
    <row r="519" spans="1:31" x14ac:dyDescent="0.25">
      <c r="A519" t="s">
        <v>214</v>
      </c>
      <c r="B519">
        <v>100</v>
      </c>
      <c r="C519">
        <v>0</v>
      </c>
      <c r="D519">
        <v>0</v>
      </c>
      <c r="E519">
        <v>1</v>
      </c>
      <c r="F519" t="s">
        <v>681</v>
      </c>
      <c r="G519" t="s">
        <v>458</v>
      </c>
      <c r="H519" t="s">
        <v>396</v>
      </c>
      <c r="I519">
        <v>0.125</v>
      </c>
      <c r="J519">
        <v>1</v>
      </c>
      <c r="K519">
        <v>5</v>
      </c>
      <c r="L519" t="s">
        <v>28</v>
      </c>
      <c r="M519" t="s">
        <v>512</v>
      </c>
      <c r="N519" t="s">
        <v>965</v>
      </c>
      <c r="O519">
        <v>5.6510999999999988E-5</v>
      </c>
      <c r="P519">
        <v>3.8599416666666663E-3</v>
      </c>
      <c r="Q519">
        <v>3.716525005E-3</v>
      </c>
      <c r="R519">
        <v>4.7647361138888891E-3</v>
      </c>
      <c r="S519" s="101">
        <v>5.6510999999999988E-5</v>
      </c>
      <c r="T519" s="101">
        <v>3.8599416666666663E-3</v>
      </c>
      <c r="U519" s="101">
        <v>3.716525005E-3</v>
      </c>
      <c r="V519" s="101">
        <v>4.7647361138888891E-3</v>
      </c>
      <c r="W519">
        <v>3.75</v>
      </c>
      <c r="X519">
        <v>3.7510994166666665</v>
      </c>
      <c r="Y519">
        <v>3.804970833333333</v>
      </c>
      <c r="Z519">
        <v>3.8599416666666664</v>
      </c>
      <c r="AA519" t="s">
        <v>319</v>
      </c>
      <c r="AB519" t="str">
        <f t="shared" si="18"/>
        <v>OK</v>
      </c>
      <c r="AC519" t="str">
        <f t="shared" si="19"/>
        <v>OK</v>
      </c>
      <c r="AD519" t="str">
        <f t="shared" si="20"/>
        <v>OK</v>
      </c>
      <c r="AE519" t="str">
        <f t="shared" si="21"/>
        <v>OK</v>
      </c>
    </row>
    <row r="520" spans="1:31" x14ac:dyDescent="0.25">
      <c r="A520" t="s">
        <v>757</v>
      </c>
      <c r="B520">
        <v>100</v>
      </c>
      <c r="C520">
        <v>0</v>
      </c>
      <c r="D520">
        <v>0</v>
      </c>
      <c r="E520">
        <v>1</v>
      </c>
      <c r="F520" t="s">
        <v>681</v>
      </c>
      <c r="G520" t="s">
        <v>458</v>
      </c>
      <c r="H520" t="s">
        <v>396</v>
      </c>
      <c r="I520">
        <v>0.125</v>
      </c>
      <c r="J520">
        <v>1</v>
      </c>
      <c r="K520">
        <v>5</v>
      </c>
      <c r="L520" t="s">
        <v>28</v>
      </c>
      <c r="M520" t="s">
        <v>512</v>
      </c>
      <c r="N520" t="s">
        <v>965</v>
      </c>
      <c r="O520">
        <v>5.6510999999999988E-5</v>
      </c>
      <c r="P520">
        <v>3.9162092075892855E-3</v>
      </c>
      <c r="Q520">
        <v>5.5374999999999999E-3</v>
      </c>
      <c r="R520">
        <v>8.1916666666666665E-3</v>
      </c>
      <c r="S520" s="101">
        <v>5.6510999999999988E-5</v>
      </c>
      <c r="T520" s="101">
        <v>3.9162092075892855E-3</v>
      </c>
      <c r="U520" s="101">
        <v>5.5374999999999999E-3</v>
      </c>
      <c r="V520" s="101">
        <v>8.1916666666666665E-3</v>
      </c>
      <c r="W520">
        <v>3.75</v>
      </c>
      <c r="X520">
        <v>3.7516620920758932</v>
      </c>
      <c r="Y520">
        <v>3.8331046037946424</v>
      </c>
      <c r="Z520">
        <v>3.9162092075892856</v>
      </c>
      <c r="AA520" t="s">
        <v>964</v>
      </c>
      <c r="AB520" t="str">
        <f t="shared" si="18"/>
        <v>OK</v>
      </c>
      <c r="AC520" t="str">
        <f t="shared" si="19"/>
        <v>OK</v>
      </c>
      <c r="AD520" t="str">
        <f t="shared" si="20"/>
        <v>OK</v>
      </c>
      <c r="AE520" t="str">
        <f t="shared" si="21"/>
        <v>OK</v>
      </c>
    </row>
    <row r="521" spans="1:31" x14ac:dyDescent="0.25">
      <c r="A521" t="s">
        <v>366</v>
      </c>
      <c r="B521">
        <v>100</v>
      </c>
      <c r="C521">
        <v>0</v>
      </c>
      <c r="D521">
        <v>0</v>
      </c>
      <c r="E521">
        <v>1</v>
      </c>
      <c r="F521" t="s">
        <v>681</v>
      </c>
      <c r="G521" t="s">
        <v>458</v>
      </c>
      <c r="H521" t="s">
        <v>396</v>
      </c>
      <c r="I521">
        <v>0.125</v>
      </c>
      <c r="J521">
        <v>1</v>
      </c>
      <c r="K521">
        <v>5</v>
      </c>
      <c r="L521" t="s">
        <v>28</v>
      </c>
      <c r="M521" t="s">
        <v>512</v>
      </c>
      <c r="N521" t="s">
        <v>965</v>
      </c>
      <c r="O521">
        <v>5.6510999999999988E-5</v>
      </c>
      <c r="P521">
        <v>3.9162092075892855E-3</v>
      </c>
      <c r="Q521">
        <v>5.561875E-3</v>
      </c>
      <c r="R521">
        <v>8.1899305555555545E-3</v>
      </c>
      <c r="S521" s="101">
        <v>5.6510999999999988E-5</v>
      </c>
      <c r="T521" s="101">
        <v>3.9162092075892855E-3</v>
      </c>
      <c r="U521" s="101">
        <v>5.561875E-3</v>
      </c>
      <c r="V521" s="101">
        <v>8.1899305555555545E-3</v>
      </c>
      <c r="W521">
        <v>3.75</v>
      </c>
      <c r="X521">
        <v>3.7516620920758932</v>
      </c>
      <c r="Y521">
        <v>3.8331046037946424</v>
      </c>
      <c r="Z521">
        <v>3.9162092075892856</v>
      </c>
      <c r="AA521" t="s">
        <v>487</v>
      </c>
      <c r="AB521" t="str">
        <f t="shared" si="18"/>
        <v>OK</v>
      </c>
      <c r="AC521" t="str">
        <f t="shared" si="19"/>
        <v>OK</v>
      </c>
      <c r="AD521" t="str">
        <f t="shared" si="20"/>
        <v>OK</v>
      </c>
      <c r="AE521" t="str">
        <f t="shared" si="21"/>
        <v>OK</v>
      </c>
    </row>
    <row r="522" spans="1:31" x14ac:dyDescent="0.25">
      <c r="A522" t="s">
        <v>133</v>
      </c>
      <c r="B522">
        <v>100</v>
      </c>
      <c r="C522">
        <v>0</v>
      </c>
      <c r="D522">
        <v>0</v>
      </c>
      <c r="E522">
        <v>1</v>
      </c>
      <c r="F522" t="s">
        <v>681</v>
      </c>
      <c r="G522" t="s">
        <v>458</v>
      </c>
      <c r="H522" t="s">
        <v>396</v>
      </c>
      <c r="I522">
        <v>0.125</v>
      </c>
      <c r="J522">
        <v>1</v>
      </c>
      <c r="K522">
        <v>5</v>
      </c>
      <c r="L522" t="s">
        <v>28</v>
      </c>
      <c r="M522" t="s">
        <v>512</v>
      </c>
      <c r="N522" t="s">
        <v>965</v>
      </c>
      <c r="O522">
        <v>5.6510999999999988E-5</v>
      </c>
      <c r="P522">
        <v>5.0101093563988102E-3</v>
      </c>
      <c r="Q522">
        <v>5.4952020218750003E-3</v>
      </c>
      <c r="R522">
        <v>7.8780808087500001E-3</v>
      </c>
      <c r="S522" s="101">
        <v>5.6510999999999988E-5</v>
      </c>
      <c r="T522" s="101">
        <v>5.0101093563988102E-3</v>
      </c>
      <c r="U522" s="101">
        <v>5.4952020218750003E-3</v>
      </c>
      <c r="V522" s="101">
        <v>7.8780808087500001E-3</v>
      </c>
      <c r="W522">
        <v>4.9000000000000004</v>
      </c>
      <c r="X522">
        <v>4.9011010935639883</v>
      </c>
      <c r="Y522">
        <v>4.9550546781994047</v>
      </c>
      <c r="Z522">
        <v>5.0101093563988099</v>
      </c>
      <c r="AA522" t="s">
        <v>314</v>
      </c>
      <c r="AB522" t="str">
        <f t="shared" si="18"/>
        <v>OK</v>
      </c>
      <c r="AC522" t="str">
        <f t="shared" si="19"/>
        <v>OK</v>
      </c>
      <c r="AD522" t="str">
        <f t="shared" si="20"/>
        <v>OK</v>
      </c>
      <c r="AE522" t="str">
        <f t="shared" si="21"/>
        <v>OK</v>
      </c>
    </row>
    <row r="523" spans="1:31" x14ac:dyDescent="0.25">
      <c r="A523" t="s">
        <v>367</v>
      </c>
      <c r="B523">
        <v>100</v>
      </c>
      <c r="C523">
        <v>0</v>
      </c>
      <c r="D523">
        <v>0</v>
      </c>
      <c r="E523">
        <v>1</v>
      </c>
      <c r="F523" t="s">
        <v>681</v>
      </c>
      <c r="G523" t="s">
        <v>458</v>
      </c>
      <c r="H523" t="s">
        <v>396</v>
      </c>
      <c r="I523">
        <v>0.125</v>
      </c>
      <c r="J523">
        <v>1</v>
      </c>
      <c r="K523">
        <v>5</v>
      </c>
      <c r="L523" t="s">
        <v>28</v>
      </c>
      <c r="M523" t="s">
        <v>512</v>
      </c>
      <c r="N523" t="s">
        <v>965</v>
      </c>
      <c r="O523">
        <v>5.6510999999999988E-5</v>
      </c>
      <c r="P523">
        <v>5.0476153645833332E-3</v>
      </c>
      <c r="Q523">
        <v>7.8567436468749991E-3</v>
      </c>
      <c r="R523">
        <v>1.054269745875E-2</v>
      </c>
      <c r="S523" s="101">
        <v>5.6510999999999988E-5</v>
      </c>
      <c r="T523" s="101">
        <v>5.0476153645833332E-3</v>
      </c>
      <c r="U523" s="101">
        <v>7.8567436468749991E-3</v>
      </c>
      <c r="V523" s="101">
        <v>1.054269745875E-2</v>
      </c>
      <c r="W523">
        <v>4.9000000000000004</v>
      </c>
      <c r="X523">
        <v>4.9014761536458336</v>
      </c>
      <c r="Y523">
        <v>4.9738076822916666</v>
      </c>
      <c r="Z523">
        <v>5.0476153645833328</v>
      </c>
      <c r="AA523" t="s">
        <v>368</v>
      </c>
      <c r="AB523" t="str">
        <f t="shared" si="18"/>
        <v>OK</v>
      </c>
      <c r="AC523" t="str">
        <f t="shared" si="19"/>
        <v>OK</v>
      </c>
      <c r="AD523" t="str">
        <f t="shared" si="20"/>
        <v>OK</v>
      </c>
      <c r="AE523" t="str">
        <f t="shared" si="21"/>
        <v>OK</v>
      </c>
    </row>
    <row r="524" spans="1:31" x14ac:dyDescent="0.25">
      <c r="A524" t="s">
        <v>369</v>
      </c>
      <c r="B524">
        <v>100</v>
      </c>
      <c r="C524">
        <v>0</v>
      </c>
      <c r="D524">
        <v>0</v>
      </c>
      <c r="E524">
        <v>1</v>
      </c>
      <c r="F524" t="s">
        <v>681</v>
      </c>
      <c r="G524" t="s">
        <v>458</v>
      </c>
      <c r="H524" t="s">
        <v>396</v>
      </c>
      <c r="I524">
        <v>0.125</v>
      </c>
      <c r="J524">
        <v>1</v>
      </c>
      <c r="K524">
        <v>5</v>
      </c>
      <c r="L524" t="s">
        <v>28</v>
      </c>
      <c r="M524" t="s">
        <v>512</v>
      </c>
      <c r="N524" t="s">
        <v>965</v>
      </c>
      <c r="O524">
        <v>5.6510999999999988E-5</v>
      </c>
      <c r="P524">
        <v>5.0101093563988102E-3</v>
      </c>
      <c r="Q524">
        <v>5.5511686688750001E-3</v>
      </c>
      <c r="R524">
        <v>7.8761117178409081E-3</v>
      </c>
      <c r="S524" s="101">
        <v>5.6510999999999988E-5</v>
      </c>
      <c r="T524" s="101">
        <v>5.0101093563988102E-3</v>
      </c>
      <c r="U524" s="101">
        <v>5.5511686688750001E-3</v>
      </c>
      <c r="V524" s="101">
        <v>7.8761117178409081E-3</v>
      </c>
      <c r="W524">
        <v>4.9000000000000004</v>
      </c>
      <c r="X524">
        <v>4.9011010935639883</v>
      </c>
      <c r="Y524">
        <v>4.9550546781994047</v>
      </c>
      <c r="Z524">
        <v>5.0101093563988099</v>
      </c>
      <c r="AA524" t="s">
        <v>371</v>
      </c>
      <c r="AB524" t="str">
        <f t="shared" si="18"/>
        <v>OK</v>
      </c>
      <c r="AC524" t="str">
        <f t="shared" si="19"/>
        <v>OK</v>
      </c>
      <c r="AD524" t="str">
        <f t="shared" si="20"/>
        <v>OK</v>
      </c>
      <c r="AE524" t="str">
        <f t="shared" si="21"/>
        <v>OK</v>
      </c>
    </row>
    <row r="525" spans="1:31" x14ac:dyDescent="0.25">
      <c r="A525" t="s">
        <v>370</v>
      </c>
      <c r="B525">
        <v>100</v>
      </c>
      <c r="C525">
        <v>0</v>
      </c>
      <c r="D525">
        <v>0</v>
      </c>
      <c r="E525">
        <v>1</v>
      </c>
      <c r="F525" t="s">
        <v>681</v>
      </c>
      <c r="G525" t="s">
        <v>458</v>
      </c>
      <c r="H525" t="s">
        <v>396</v>
      </c>
      <c r="I525">
        <v>0.125</v>
      </c>
      <c r="J525">
        <v>1</v>
      </c>
      <c r="K525">
        <v>5</v>
      </c>
      <c r="L525" t="s">
        <v>28</v>
      </c>
      <c r="M525" t="s">
        <v>512</v>
      </c>
      <c r="N525" t="s">
        <v>965</v>
      </c>
      <c r="O525">
        <v>5.6510999999999988E-5</v>
      </c>
      <c r="P525">
        <v>5.0476153645833332E-3</v>
      </c>
      <c r="Q525">
        <v>7.9590436138750002E-3</v>
      </c>
      <c r="R525">
        <v>1.0539104125416665E-2</v>
      </c>
      <c r="S525" s="101">
        <v>5.6510999999999988E-5</v>
      </c>
      <c r="T525" s="101">
        <v>5.0476153645833332E-3</v>
      </c>
      <c r="U525" s="101">
        <v>7.9590436138750002E-3</v>
      </c>
      <c r="V525" s="101">
        <v>1.0539104125416665E-2</v>
      </c>
      <c r="W525">
        <v>4.9000000000000004</v>
      </c>
      <c r="X525">
        <v>4.9014761536458336</v>
      </c>
      <c r="Y525">
        <v>4.9738076822916666</v>
      </c>
      <c r="Z525">
        <v>5.0476153645833328</v>
      </c>
      <c r="AA525" t="s">
        <v>372</v>
      </c>
      <c r="AB525" t="str">
        <f t="shared" si="18"/>
        <v>OK</v>
      </c>
      <c r="AC525" t="str">
        <f t="shared" si="19"/>
        <v>OK</v>
      </c>
      <c r="AD525" t="str">
        <f t="shared" si="20"/>
        <v>OK</v>
      </c>
      <c r="AE525" t="str">
        <f t="shared" si="21"/>
        <v>OK</v>
      </c>
    </row>
    <row r="526" spans="1:31" x14ac:dyDescent="0.25">
      <c r="A526" t="s">
        <v>214</v>
      </c>
      <c r="B526">
        <v>100</v>
      </c>
      <c r="C526">
        <v>0</v>
      </c>
      <c r="D526">
        <v>0</v>
      </c>
      <c r="E526">
        <v>1</v>
      </c>
      <c r="F526" t="s">
        <v>682</v>
      </c>
      <c r="G526" t="s">
        <v>458</v>
      </c>
      <c r="H526" t="s">
        <v>396</v>
      </c>
      <c r="I526">
        <v>0.125</v>
      </c>
      <c r="J526">
        <v>1</v>
      </c>
      <c r="K526">
        <v>5</v>
      </c>
      <c r="L526" t="s">
        <v>28</v>
      </c>
      <c r="M526" t="s">
        <v>512</v>
      </c>
      <c r="N526" t="s">
        <v>965</v>
      </c>
      <c r="O526">
        <v>5.6510999999999988E-5</v>
      </c>
      <c r="P526">
        <v>3.8599416666666663E-3</v>
      </c>
      <c r="Q526">
        <v>3.716525005E-3</v>
      </c>
      <c r="R526">
        <v>4.7647361138888891E-3</v>
      </c>
      <c r="S526" s="101">
        <v>5.6510999999999988E-5</v>
      </c>
      <c r="T526" s="101">
        <v>3.8599416666666663E-3</v>
      </c>
      <c r="U526" s="101">
        <v>3.716525005E-3</v>
      </c>
      <c r="V526" s="101">
        <v>4.7647361138888891E-3</v>
      </c>
      <c r="W526">
        <v>3.75</v>
      </c>
      <c r="X526">
        <v>3.7510994166666665</v>
      </c>
      <c r="Y526">
        <v>3.804970833333333</v>
      </c>
      <c r="Z526">
        <v>3.8599416666666664</v>
      </c>
      <c r="AA526" t="s">
        <v>319</v>
      </c>
      <c r="AB526" t="str">
        <f t="shared" si="18"/>
        <v>OK</v>
      </c>
      <c r="AC526" t="str">
        <f t="shared" si="19"/>
        <v>OK</v>
      </c>
      <c r="AD526" t="str">
        <f t="shared" si="20"/>
        <v>OK</v>
      </c>
      <c r="AE526" t="str">
        <f t="shared" si="21"/>
        <v>OK</v>
      </c>
    </row>
    <row r="527" spans="1:31" x14ac:dyDescent="0.25">
      <c r="A527" t="s">
        <v>757</v>
      </c>
      <c r="B527">
        <v>100</v>
      </c>
      <c r="C527">
        <v>0</v>
      </c>
      <c r="D527">
        <v>0</v>
      </c>
      <c r="E527">
        <v>1</v>
      </c>
      <c r="F527" t="s">
        <v>682</v>
      </c>
      <c r="G527" t="s">
        <v>458</v>
      </c>
      <c r="H527" t="s">
        <v>396</v>
      </c>
      <c r="I527">
        <v>0.125</v>
      </c>
      <c r="J527">
        <v>1</v>
      </c>
      <c r="K527">
        <v>5</v>
      </c>
      <c r="L527" t="s">
        <v>28</v>
      </c>
      <c r="M527" t="s">
        <v>512</v>
      </c>
      <c r="N527" t="s">
        <v>965</v>
      </c>
      <c r="O527">
        <v>5.6510999999999988E-5</v>
      </c>
      <c r="P527">
        <v>3.9162092075892855E-3</v>
      </c>
      <c r="Q527">
        <v>5.5374999999999999E-3</v>
      </c>
      <c r="R527">
        <v>8.1916666666666665E-3</v>
      </c>
      <c r="S527" s="101">
        <v>5.6510999999999988E-5</v>
      </c>
      <c r="T527" s="101">
        <v>3.9162092075892855E-3</v>
      </c>
      <c r="U527" s="101">
        <v>5.5374999999999999E-3</v>
      </c>
      <c r="V527" s="101">
        <v>8.1916666666666665E-3</v>
      </c>
      <c r="W527">
        <v>3.75</v>
      </c>
      <c r="X527">
        <v>3.7516620920758932</v>
      </c>
      <c r="Y527">
        <v>3.8331046037946424</v>
      </c>
      <c r="Z527">
        <v>3.9162092075892856</v>
      </c>
      <c r="AA527" t="s">
        <v>964</v>
      </c>
      <c r="AB527" t="str">
        <f t="shared" si="18"/>
        <v>OK</v>
      </c>
      <c r="AC527" t="str">
        <f t="shared" si="19"/>
        <v>OK</v>
      </c>
      <c r="AD527" t="str">
        <f t="shared" si="20"/>
        <v>OK</v>
      </c>
      <c r="AE527" t="str">
        <f t="shared" si="21"/>
        <v>OK</v>
      </c>
    </row>
    <row r="528" spans="1:31" x14ac:dyDescent="0.25">
      <c r="A528" t="s">
        <v>366</v>
      </c>
      <c r="B528">
        <v>100</v>
      </c>
      <c r="C528">
        <v>0</v>
      </c>
      <c r="D528">
        <v>0</v>
      </c>
      <c r="E528">
        <v>1</v>
      </c>
      <c r="F528" t="s">
        <v>682</v>
      </c>
      <c r="G528" t="s">
        <v>458</v>
      </c>
      <c r="H528" t="s">
        <v>396</v>
      </c>
      <c r="I528">
        <v>0.125</v>
      </c>
      <c r="J528">
        <v>1</v>
      </c>
      <c r="K528">
        <v>5</v>
      </c>
      <c r="L528" t="s">
        <v>28</v>
      </c>
      <c r="M528" t="s">
        <v>512</v>
      </c>
      <c r="N528" t="s">
        <v>965</v>
      </c>
      <c r="O528">
        <v>5.6510999999999988E-5</v>
      </c>
      <c r="P528">
        <v>3.9162092075892855E-3</v>
      </c>
      <c r="Q528">
        <v>5.561875E-3</v>
      </c>
      <c r="R528">
        <v>8.1899305555555545E-3</v>
      </c>
      <c r="S528" s="101">
        <v>5.6510999999999988E-5</v>
      </c>
      <c r="T528" s="101">
        <v>3.9162092075892855E-3</v>
      </c>
      <c r="U528" s="101">
        <v>5.561875E-3</v>
      </c>
      <c r="V528" s="101">
        <v>8.1899305555555545E-3</v>
      </c>
      <c r="W528">
        <v>3.75</v>
      </c>
      <c r="X528">
        <v>3.7516620920758932</v>
      </c>
      <c r="Y528">
        <v>3.8331046037946424</v>
      </c>
      <c r="Z528">
        <v>3.9162092075892856</v>
      </c>
      <c r="AA528" t="s">
        <v>487</v>
      </c>
      <c r="AB528" t="str">
        <f t="shared" ref="AB528:AB591" si="22">IF($O528-$S528 &gt; 0, "ERROR","OK")</f>
        <v>OK</v>
      </c>
      <c r="AC528" t="str">
        <f t="shared" ref="AC528:AC591" si="23">IF($P528-$T528 &gt; 0, "ERROR","OK")</f>
        <v>OK</v>
      </c>
      <c r="AD528" t="str">
        <f t="shared" ref="AD528:AD591" si="24">IF($Q528-$U528 &gt; 0, "ERROR","OK")</f>
        <v>OK</v>
      </c>
      <c r="AE528" t="str">
        <f t="shared" ref="AE528:AE591" si="25">IF($R528-$V528 &gt; 0, "ERROR","OK")</f>
        <v>OK</v>
      </c>
    </row>
    <row r="529" spans="1:31" x14ac:dyDescent="0.25">
      <c r="A529" t="s">
        <v>133</v>
      </c>
      <c r="B529">
        <v>100</v>
      </c>
      <c r="C529">
        <v>0</v>
      </c>
      <c r="D529">
        <v>0</v>
      </c>
      <c r="E529">
        <v>1</v>
      </c>
      <c r="F529" t="s">
        <v>682</v>
      </c>
      <c r="G529" t="s">
        <v>458</v>
      </c>
      <c r="H529" t="s">
        <v>396</v>
      </c>
      <c r="I529">
        <v>0.125</v>
      </c>
      <c r="J529">
        <v>1</v>
      </c>
      <c r="K529">
        <v>5</v>
      </c>
      <c r="L529" t="s">
        <v>28</v>
      </c>
      <c r="M529" t="s">
        <v>512</v>
      </c>
      <c r="N529" t="s">
        <v>965</v>
      </c>
      <c r="O529">
        <v>5.6510999999999988E-5</v>
      </c>
      <c r="P529">
        <v>5.0101093563988102E-3</v>
      </c>
      <c r="Q529">
        <v>5.4952020218750003E-3</v>
      </c>
      <c r="R529">
        <v>7.8780808087500001E-3</v>
      </c>
      <c r="S529" s="101">
        <v>5.6510999999999988E-5</v>
      </c>
      <c r="T529" s="101">
        <v>5.0101093563988102E-3</v>
      </c>
      <c r="U529" s="101">
        <v>5.4952020218750003E-3</v>
      </c>
      <c r="V529" s="101">
        <v>7.8780808087500001E-3</v>
      </c>
      <c r="W529">
        <v>4.9000000000000004</v>
      </c>
      <c r="X529">
        <v>4.9011010935639883</v>
      </c>
      <c r="Y529">
        <v>4.9550546781994047</v>
      </c>
      <c r="Z529">
        <v>5.0101093563988099</v>
      </c>
      <c r="AA529" t="s">
        <v>314</v>
      </c>
      <c r="AB529" t="str">
        <f t="shared" si="22"/>
        <v>OK</v>
      </c>
      <c r="AC529" t="str">
        <f t="shared" si="23"/>
        <v>OK</v>
      </c>
      <c r="AD529" t="str">
        <f t="shared" si="24"/>
        <v>OK</v>
      </c>
      <c r="AE529" t="str">
        <f t="shared" si="25"/>
        <v>OK</v>
      </c>
    </row>
    <row r="530" spans="1:31" x14ac:dyDescent="0.25">
      <c r="A530" t="s">
        <v>367</v>
      </c>
      <c r="B530">
        <v>100</v>
      </c>
      <c r="C530">
        <v>0</v>
      </c>
      <c r="D530">
        <v>0</v>
      </c>
      <c r="E530">
        <v>1</v>
      </c>
      <c r="F530" t="s">
        <v>682</v>
      </c>
      <c r="G530" t="s">
        <v>458</v>
      </c>
      <c r="H530" t="s">
        <v>396</v>
      </c>
      <c r="I530">
        <v>0.125</v>
      </c>
      <c r="J530">
        <v>1</v>
      </c>
      <c r="K530">
        <v>5</v>
      </c>
      <c r="L530" t="s">
        <v>28</v>
      </c>
      <c r="M530" t="s">
        <v>512</v>
      </c>
      <c r="N530" t="s">
        <v>965</v>
      </c>
      <c r="O530">
        <v>5.6510999999999988E-5</v>
      </c>
      <c r="P530">
        <v>5.0476153645833332E-3</v>
      </c>
      <c r="Q530">
        <v>7.8567436468749991E-3</v>
      </c>
      <c r="R530">
        <v>1.054269745875E-2</v>
      </c>
      <c r="S530" s="101">
        <v>5.6510999999999988E-5</v>
      </c>
      <c r="T530" s="101">
        <v>5.0476153645833332E-3</v>
      </c>
      <c r="U530" s="101">
        <v>7.8567436468749991E-3</v>
      </c>
      <c r="V530" s="101">
        <v>1.054269745875E-2</v>
      </c>
      <c r="W530">
        <v>4.9000000000000004</v>
      </c>
      <c r="X530">
        <v>4.9014761536458336</v>
      </c>
      <c r="Y530">
        <v>4.9738076822916666</v>
      </c>
      <c r="Z530">
        <v>5.0476153645833328</v>
      </c>
      <c r="AA530" t="s">
        <v>368</v>
      </c>
      <c r="AB530" t="str">
        <f t="shared" si="22"/>
        <v>OK</v>
      </c>
      <c r="AC530" t="str">
        <f t="shared" si="23"/>
        <v>OK</v>
      </c>
      <c r="AD530" t="str">
        <f t="shared" si="24"/>
        <v>OK</v>
      </c>
      <c r="AE530" t="str">
        <f t="shared" si="25"/>
        <v>OK</v>
      </c>
    </row>
    <row r="531" spans="1:31" x14ac:dyDescent="0.25">
      <c r="A531" t="s">
        <v>369</v>
      </c>
      <c r="B531">
        <v>100</v>
      </c>
      <c r="C531">
        <v>0</v>
      </c>
      <c r="D531">
        <v>0</v>
      </c>
      <c r="E531">
        <v>1</v>
      </c>
      <c r="F531" t="s">
        <v>682</v>
      </c>
      <c r="G531" t="s">
        <v>458</v>
      </c>
      <c r="H531" t="s">
        <v>396</v>
      </c>
      <c r="I531">
        <v>0.125</v>
      </c>
      <c r="J531">
        <v>1</v>
      </c>
      <c r="K531">
        <v>5</v>
      </c>
      <c r="L531" t="s">
        <v>28</v>
      </c>
      <c r="M531" t="s">
        <v>512</v>
      </c>
      <c r="N531" t="s">
        <v>965</v>
      </c>
      <c r="O531">
        <v>5.6510999999999988E-5</v>
      </c>
      <c r="P531">
        <v>5.0101093563988102E-3</v>
      </c>
      <c r="Q531">
        <v>5.5511686688750001E-3</v>
      </c>
      <c r="R531">
        <v>7.8761117178409081E-3</v>
      </c>
      <c r="S531" s="101">
        <v>5.6510999999999988E-5</v>
      </c>
      <c r="T531" s="101">
        <v>5.0101093563988102E-3</v>
      </c>
      <c r="U531" s="101">
        <v>5.5511686688750001E-3</v>
      </c>
      <c r="V531" s="101">
        <v>7.8761117178409081E-3</v>
      </c>
      <c r="W531">
        <v>4.9000000000000004</v>
      </c>
      <c r="X531">
        <v>4.9011010935639883</v>
      </c>
      <c r="Y531">
        <v>4.9550546781994047</v>
      </c>
      <c r="Z531">
        <v>5.0101093563988099</v>
      </c>
      <c r="AA531" t="s">
        <v>371</v>
      </c>
      <c r="AB531" t="str">
        <f t="shared" si="22"/>
        <v>OK</v>
      </c>
      <c r="AC531" t="str">
        <f t="shared" si="23"/>
        <v>OK</v>
      </c>
      <c r="AD531" t="str">
        <f t="shared" si="24"/>
        <v>OK</v>
      </c>
      <c r="AE531" t="str">
        <f t="shared" si="25"/>
        <v>OK</v>
      </c>
    </row>
    <row r="532" spans="1:31" x14ac:dyDescent="0.25">
      <c r="A532" t="s">
        <v>370</v>
      </c>
      <c r="B532">
        <v>100</v>
      </c>
      <c r="C532">
        <v>0</v>
      </c>
      <c r="D532">
        <v>0</v>
      </c>
      <c r="E532">
        <v>1</v>
      </c>
      <c r="F532" t="s">
        <v>682</v>
      </c>
      <c r="G532" t="s">
        <v>458</v>
      </c>
      <c r="H532" t="s">
        <v>396</v>
      </c>
      <c r="I532">
        <v>0.125</v>
      </c>
      <c r="J532">
        <v>1</v>
      </c>
      <c r="K532">
        <v>5</v>
      </c>
      <c r="L532" t="s">
        <v>28</v>
      </c>
      <c r="M532" t="s">
        <v>512</v>
      </c>
      <c r="N532" t="s">
        <v>965</v>
      </c>
      <c r="O532">
        <v>5.6510999999999988E-5</v>
      </c>
      <c r="P532">
        <v>5.0476153645833332E-3</v>
      </c>
      <c r="Q532">
        <v>7.9590436138750002E-3</v>
      </c>
      <c r="R532">
        <v>1.0539104125416665E-2</v>
      </c>
      <c r="S532" s="101">
        <v>5.6510999999999988E-5</v>
      </c>
      <c r="T532" s="101">
        <v>5.0476153645833332E-3</v>
      </c>
      <c r="U532" s="101">
        <v>7.9590436138750002E-3</v>
      </c>
      <c r="V532" s="101">
        <v>1.0539104125416665E-2</v>
      </c>
      <c r="W532">
        <v>4.9000000000000004</v>
      </c>
      <c r="X532">
        <v>4.9014761536458336</v>
      </c>
      <c r="Y532">
        <v>4.9738076822916666</v>
      </c>
      <c r="Z532">
        <v>5.0476153645833328</v>
      </c>
      <c r="AA532" t="s">
        <v>372</v>
      </c>
      <c r="AB532" t="str">
        <f t="shared" si="22"/>
        <v>OK</v>
      </c>
      <c r="AC532" t="str">
        <f t="shared" si="23"/>
        <v>OK</v>
      </c>
      <c r="AD532" t="str">
        <f t="shared" si="24"/>
        <v>OK</v>
      </c>
      <c r="AE532" t="str">
        <f t="shared" si="25"/>
        <v>OK</v>
      </c>
    </row>
    <row r="533" spans="1:31" x14ac:dyDescent="0.25">
      <c r="A533" t="s">
        <v>134</v>
      </c>
      <c r="B533">
        <v>100</v>
      </c>
      <c r="C533">
        <v>1</v>
      </c>
      <c r="D533">
        <v>0</v>
      </c>
      <c r="E533">
        <v>1</v>
      </c>
      <c r="F533" t="s">
        <v>458</v>
      </c>
      <c r="G533" t="s">
        <v>458</v>
      </c>
      <c r="H533" t="s">
        <v>396</v>
      </c>
      <c r="I533">
        <v>0.125</v>
      </c>
      <c r="J533">
        <v>1</v>
      </c>
      <c r="K533">
        <v>5</v>
      </c>
      <c r="L533" t="s">
        <v>28</v>
      </c>
      <c r="M533" t="s">
        <v>512</v>
      </c>
      <c r="N533" t="s">
        <v>965</v>
      </c>
      <c r="O533">
        <v>6.5302199999999996E-4</v>
      </c>
      <c r="P533">
        <v>7.7074763950892855E-3</v>
      </c>
      <c r="Q533">
        <v>3.3107812781250001E-3</v>
      </c>
      <c r="R533">
        <v>1.2373854185416666E-2</v>
      </c>
      <c r="S533" s="101">
        <v>6.5302199999999996E-4</v>
      </c>
      <c r="T533" s="101">
        <v>7.7074763950892855E-3</v>
      </c>
      <c r="U533" s="101">
        <v>3.3107812781250001E-3</v>
      </c>
      <c r="V533" s="101">
        <v>1.2373854185416666E-2</v>
      </c>
      <c r="W533">
        <v>7.5</v>
      </c>
      <c r="X533">
        <v>7.5020747639508931</v>
      </c>
      <c r="Y533">
        <v>7.6037381975446428</v>
      </c>
      <c r="Z533">
        <v>7.7074763950892855</v>
      </c>
      <c r="AA533" t="s">
        <v>347</v>
      </c>
      <c r="AB533" t="str">
        <f t="shared" si="22"/>
        <v>OK</v>
      </c>
      <c r="AC533" t="str">
        <f t="shared" si="23"/>
        <v>OK</v>
      </c>
      <c r="AD533" t="str">
        <f t="shared" si="24"/>
        <v>OK</v>
      </c>
      <c r="AE533" t="str">
        <f t="shared" si="25"/>
        <v>OK</v>
      </c>
    </row>
    <row r="534" spans="1:31" x14ac:dyDescent="0.25">
      <c r="A534" t="s">
        <v>134</v>
      </c>
      <c r="B534">
        <v>100</v>
      </c>
      <c r="C534">
        <v>1</v>
      </c>
      <c r="D534">
        <v>0</v>
      </c>
      <c r="E534">
        <v>0</v>
      </c>
      <c r="F534" t="s">
        <v>679</v>
      </c>
      <c r="G534" t="s">
        <v>686</v>
      </c>
      <c r="H534" t="s">
        <v>396</v>
      </c>
      <c r="I534">
        <v>0.125</v>
      </c>
      <c r="J534">
        <v>1</v>
      </c>
      <c r="K534">
        <v>5</v>
      </c>
      <c r="L534" t="s">
        <v>28</v>
      </c>
      <c r="M534" t="s">
        <v>512</v>
      </c>
      <c r="N534" t="s">
        <v>965</v>
      </c>
      <c r="O534">
        <v>5.9651099999999998E-4</v>
      </c>
      <c r="P534">
        <v>3.8262499999999998E-3</v>
      </c>
      <c r="Q534">
        <v>2.2499999999999999E-2</v>
      </c>
      <c r="R534">
        <v>1.4999999999999999E-2</v>
      </c>
      <c r="S534" s="101">
        <v>5.9651099999999998E-4</v>
      </c>
      <c r="T534" s="101">
        <v>3.8262499999999998E-3</v>
      </c>
      <c r="U534" s="101">
        <v>2.2499999999999999E-2</v>
      </c>
      <c r="V534" s="101">
        <v>1.4999999999999999E-2</v>
      </c>
      <c r="W534">
        <v>3.75</v>
      </c>
      <c r="X534">
        <v>3.7507625</v>
      </c>
      <c r="Y534">
        <v>3.788125</v>
      </c>
      <c r="Z534">
        <v>3.8262499999999999</v>
      </c>
      <c r="AA534" t="s">
        <v>347</v>
      </c>
      <c r="AB534" t="str">
        <f t="shared" si="22"/>
        <v>OK</v>
      </c>
      <c r="AC534" t="str">
        <f t="shared" si="23"/>
        <v>OK</v>
      </c>
      <c r="AD534" t="str">
        <f t="shared" si="24"/>
        <v>OK</v>
      </c>
      <c r="AE534" t="str">
        <f t="shared" si="25"/>
        <v>OK</v>
      </c>
    </row>
    <row r="535" spans="1:31" x14ac:dyDescent="0.25">
      <c r="A535" t="s">
        <v>134</v>
      </c>
      <c r="B535">
        <v>100</v>
      </c>
      <c r="C535">
        <v>1</v>
      </c>
      <c r="D535">
        <v>0</v>
      </c>
      <c r="E535">
        <v>0</v>
      </c>
      <c r="F535" t="s">
        <v>681</v>
      </c>
      <c r="G535" t="s">
        <v>687</v>
      </c>
      <c r="H535" t="s">
        <v>396</v>
      </c>
      <c r="I535">
        <v>0.125</v>
      </c>
      <c r="J535">
        <v>1</v>
      </c>
      <c r="K535">
        <v>5</v>
      </c>
      <c r="L535" t="s">
        <v>28</v>
      </c>
      <c r="M535" t="s">
        <v>512</v>
      </c>
      <c r="N535" t="s">
        <v>965</v>
      </c>
      <c r="O535">
        <v>5.9651099999999998E-4</v>
      </c>
      <c r="P535">
        <v>3.8262499999999998E-3</v>
      </c>
      <c r="Q535">
        <v>1.125E-2</v>
      </c>
      <c r="R535">
        <v>7.4999999999999997E-3</v>
      </c>
      <c r="S535" s="101">
        <v>5.9651099999999998E-4</v>
      </c>
      <c r="T535" s="101">
        <v>3.8262499999999998E-3</v>
      </c>
      <c r="U535" s="101">
        <v>1.125E-2</v>
      </c>
      <c r="V535" s="101">
        <v>7.4999999999999997E-3</v>
      </c>
      <c r="W535">
        <v>3.75</v>
      </c>
      <c r="X535">
        <v>3.7507625</v>
      </c>
      <c r="Y535">
        <v>3.788125</v>
      </c>
      <c r="Z535">
        <v>3.8262499999999999</v>
      </c>
      <c r="AA535" t="s">
        <v>347</v>
      </c>
      <c r="AB535" t="str">
        <f t="shared" si="22"/>
        <v>OK</v>
      </c>
      <c r="AC535" t="str">
        <f t="shared" si="23"/>
        <v>OK</v>
      </c>
      <c r="AD535" t="str">
        <f t="shared" si="24"/>
        <v>OK</v>
      </c>
      <c r="AE535" t="str">
        <f t="shared" si="25"/>
        <v>OK</v>
      </c>
    </row>
    <row r="536" spans="1:31" x14ac:dyDescent="0.25">
      <c r="A536" t="s">
        <v>134</v>
      </c>
      <c r="B536">
        <v>100</v>
      </c>
      <c r="C536">
        <v>1</v>
      </c>
      <c r="D536">
        <v>0</v>
      </c>
      <c r="E536">
        <v>0</v>
      </c>
      <c r="F536" t="s">
        <v>682</v>
      </c>
      <c r="G536" t="s">
        <v>688</v>
      </c>
      <c r="H536" t="s">
        <v>396</v>
      </c>
      <c r="I536">
        <v>0.125</v>
      </c>
      <c r="J536">
        <v>1</v>
      </c>
      <c r="K536">
        <v>5</v>
      </c>
      <c r="L536" t="s">
        <v>28</v>
      </c>
      <c r="M536" t="s">
        <v>512</v>
      </c>
      <c r="N536" t="s">
        <v>965</v>
      </c>
      <c r="O536">
        <v>5.9651099999999998E-4</v>
      </c>
      <c r="P536">
        <v>3.8262499999999998E-3</v>
      </c>
      <c r="Q536">
        <v>7.4999999999999997E-3</v>
      </c>
      <c r="R536">
        <v>5.0000000000000001E-3</v>
      </c>
      <c r="S536" s="101">
        <v>5.9651099999999998E-4</v>
      </c>
      <c r="T536" s="101">
        <v>3.8262499999999998E-3</v>
      </c>
      <c r="U536" s="101">
        <v>7.4999999999999997E-3</v>
      </c>
      <c r="V536" s="101">
        <v>5.0000000000000001E-3</v>
      </c>
      <c r="W536">
        <v>3.75</v>
      </c>
      <c r="X536">
        <v>3.7507625</v>
      </c>
      <c r="Y536">
        <v>3.788125</v>
      </c>
      <c r="Z536">
        <v>3.8262499999999999</v>
      </c>
      <c r="AA536" t="s">
        <v>347</v>
      </c>
      <c r="AB536" t="str">
        <f t="shared" si="22"/>
        <v>OK</v>
      </c>
      <c r="AC536" t="str">
        <f t="shared" si="23"/>
        <v>OK</v>
      </c>
      <c r="AD536" t="str">
        <f t="shared" si="24"/>
        <v>OK</v>
      </c>
      <c r="AE536" t="str">
        <f t="shared" si="25"/>
        <v>OK</v>
      </c>
    </row>
    <row r="537" spans="1:31" x14ac:dyDescent="0.25">
      <c r="A537" t="s">
        <v>759</v>
      </c>
      <c r="B537">
        <v>100</v>
      </c>
      <c r="C537">
        <v>1</v>
      </c>
      <c r="D537">
        <v>0</v>
      </c>
      <c r="E537">
        <v>1</v>
      </c>
      <c r="F537" t="s">
        <v>458</v>
      </c>
      <c r="G537" t="s">
        <v>458</v>
      </c>
      <c r="H537" t="s">
        <v>396</v>
      </c>
      <c r="I537">
        <v>0.125</v>
      </c>
      <c r="J537">
        <v>1</v>
      </c>
      <c r="K537">
        <v>5</v>
      </c>
      <c r="L537" t="s">
        <v>28</v>
      </c>
      <c r="M537" t="s">
        <v>512</v>
      </c>
      <c r="N537" t="s">
        <v>965</v>
      </c>
      <c r="O537">
        <v>6.5302199999999996E-4</v>
      </c>
      <c r="P537">
        <v>7.7164866815476177E-3</v>
      </c>
      <c r="Q537">
        <v>6.4142187500000006E-3</v>
      </c>
      <c r="R537">
        <v>1.6809479166666669E-2</v>
      </c>
      <c r="S537" s="101">
        <v>6.5302199999999996E-4</v>
      </c>
      <c r="T537" s="101">
        <v>7.7164866815476177E-3</v>
      </c>
      <c r="U537" s="101">
        <v>6.4142187500000006E-3</v>
      </c>
      <c r="V537" s="101">
        <v>1.6809479166666669E-2</v>
      </c>
      <c r="W537">
        <v>7.5</v>
      </c>
      <c r="X537">
        <v>7.5021648668154759</v>
      </c>
      <c r="Y537">
        <v>7.608243340773809</v>
      </c>
      <c r="Z537">
        <v>7.7164866815476181</v>
      </c>
      <c r="AA537" t="s">
        <v>964</v>
      </c>
      <c r="AB537" t="str">
        <f t="shared" si="22"/>
        <v>OK</v>
      </c>
      <c r="AC537" t="str">
        <f t="shared" si="23"/>
        <v>OK</v>
      </c>
      <c r="AD537" t="str">
        <f t="shared" si="24"/>
        <v>OK</v>
      </c>
      <c r="AE537" t="str">
        <f t="shared" si="25"/>
        <v>OK</v>
      </c>
    </row>
    <row r="538" spans="1:31" x14ac:dyDescent="0.25">
      <c r="A538" t="s">
        <v>759</v>
      </c>
      <c r="B538">
        <v>100</v>
      </c>
      <c r="C538">
        <v>1</v>
      </c>
      <c r="D538">
        <v>0</v>
      </c>
      <c r="E538">
        <v>0</v>
      </c>
      <c r="F538" t="s">
        <v>679</v>
      </c>
      <c r="G538" t="s">
        <v>686</v>
      </c>
      <c r="H538" t="s">
        <v>396</v>
      </c>
      <c r="I538">
        <v>0.125</v>
      </c>
      <c r="J538">
        <v>1</v>
      </c>
      <c r="K538">
        <v>5</v>
      </c>
      <c r="L538" t="s">
        <v>28</v>
      </c>
      <c r="M538" t="s">
        <v>512</v>
      </c>
      <c r="N538" t="s">
        <v>965</v>
      </c>
      <c r="O538">
        <v>5.9651099999999998E-4</v>
      </c>
      <c r="P538">
        <v>3.8262499999999998E-3</v>
      </c>
      <c r="Q538">
        <v>2.2499999999999999E-2</v>
      </c>
      <c r="R538">
        <v>1.4999999999999999E-2</v>
      </c>
      <c r="S538" s="101">
        <v>5.9651099999999998E-4</v>
      </c>
      <c r="T538" s="101">
        <v>3.8262499999999998E-3</v>
      </c>
      <c r="U538" s="101">
        <v>2.2499999999999999E-2</v>
      </c>
      <c r="V538" s="101">
        <v>1.4999999999999999E-2</v>
      </c>
      <c r="W538">
        <v>3.75</v>
      </c>
      <c r="X538">
        <v>3.7507625</v>
      </c>
      <c r="Y538">
        <v>3.788125</v>
      </c>
      <c r="Z538">
        <v>3.8262499999999999</v>
      </c>
      <c r="AA538" t="s">
        <v>964</v>
      </c>
      <c r="AB538" t="str">
        <f t="shared" si="22"/>
        <v>OK</v>
      </c>
      <c r="AC538" t="str">
        <f t="shared" si="23"/>
        <v>OK</v>
      </c>
      <c r="AD538" t="str">
        <f t="shared" si="24"/>
        <v>OK</v>
      </c>
      <c r="AE538" t="str">
        <f t="shared" si="25"/>
        <v>OK</v>
      </c>
    </row>
    <row r="539" spans="1:31" x14ac:dyDescent="0.25">
      <c r="A539" t="s">
        <v>759</v>
      </c>
      <c r="B539">
        <v>100</v>
      </c>
      <c r="C539">
        <v>1</v>
      </c>
      <c r="D539">
        <v>0</v>
      </c>
      <c r="E539">
        <v>0</v>
      </c>
      <c r="F539" t="s">
        <v>681</v>
      </c>
      <c r="G539" t="s">
        <v>687</v>
      </c>
      <c r="H539" t="s">
        <v>396</v>
      </c>
      <c r="I539">
        <v>0.125</v>
      </c>
      <c r="J539">
        <v>1</v>
      </c>
      <c r="K539">
        <v>5</v>
      </c>
      <c r="L539" t="s">
        <v>28</v>
      </c>
      <c r="M539" t="s">
        <v>512</v>
      </c>
      <c r="N539" t="s">
        <v>965</v>
      </c>
      <c r="O539">
        <v>5.9651099999999998E-4</v>
      </c>
      <c r="P539">
        <v>3.8262499999999998E-3</v>
      </c>
      <c r="Q539">
        <v>1.125E-2</v>
      </c>
      <c r="R539">
        <v>7.4999999999999997E-3</v>
      </c>
      <c r="S539" s="101">
        <v>5.9651099999999998E-4</v>
      </c>
      <c r="T539" s="101">
        <v>3.8262499999999998E-3</v>
      </c>
      <c r="U539" s="101">
        <v>1.125E-2</v>
      </c>
      <c r="V539" s="101">
        <v>7.4999999999999997E-3</v>
      </c>
      <c r="W539">
        <v>3.75</v>
      </c>
      <c r="X539">
        <v>3.7507625</v>
      </c>
      <c r="Y539">
        <v>3.788125</v>
      </c>
      <c r="Z539">
        <v>3.8262499999999999</v>
      </c>
      <c r="AA539" t="s">
        <v>964</v>
      </c>
      <c r="AB539" t="str">
        <f t="shared" si="22"/>
        <v>OK</v>
      </c>
      <c r="AC539" t="str">
        <f t="shared" si="23"/>
        <v>OK</v>
      </c>
      <c r="AD539" t="str">
        <f t="shared" si="24"/>
        <v>OK</v>
      </c>
      <c r="AE539" t="str">
        <f t="shared" si="25"/>
        <v>OK</v>
      </c>
    </row>
    <row r="540" spans="1:31" x14ac:dyDescent="0.25">
      <c r="A540" t="s">
        <v>759</v>
      </c>
      <c r="B540">
        <v>100</v>
      </c>
      <c r="C540">
        <v>1</v>
      </c>
      <c r="D540">
        <v>0</v>
      </c>
      <c r="E540">
        <v>0</v>
      </c>
      <c r="F540" t="s">
        <v>682</v>
      </c>
      <c r="G540" t="s">
        <v>688</v>
      </c>
      <c r="H540" t="s">
        <v>396</v>
      </c>
      <c r="I540">
        <v>0.125</v>
      </c>
      <c r="J540">
        <v>1</v>
      </c>
      <c r="K540">
        <v>5</v>
      </c>
      <c r="L540" t="s">
        <v>28</v>
      </c>
      <c r="M540" t="s">
        <v>512</v>
      </c>
      <c r="N540" t="s">
        <v>965</v>
      </c>
      <c r="O540">
        <v>5.9651099999999998E-4</v>
      </c>
      <c r="P540">
        <v>3.8262499999999998E-3</v>
      </c>
      <c r="Q540">
        <v>7.4999999999999997E-3</v>
      </c>
      <c r="R540">
        <v>5.0000000000000001E-3</v>
      </c>
      <c r="S540" s="101">
        <v>5.9651099999999998E-4</v>
      </c>
      <c r="T540" s="101">
        <v>3.8262499999999998E-3</v>
      </c>
      <c r="U540" s="101">
        <v>7.4999999999999997E-3</v>
      </c>
      <c r="V540" s="101">
        <v>5.0000000000000001E-3</v>
      </c>
      <c r="W540">
        <v>3.75</v>
      </c>
      <c r="X540">
        <v>3.7507625</v>
      </c>
      <c r="Y540">
        <v>3.788125</v>
      </c>
      <c r="Z540">
        <v>3.8262499999999999</v>
      </c>
      <c r="AA540" t="s">
        <v>964</v>
      </c>
      <c r="AB540" t="str">
        <f t="shared" si="22"/>
        <v>OK</v>
      </c>
      <c r="AC540" t="str">
        <f t="shared" si="23"/>
        <v>OK</v>
      </c>
      <c r="AD540" t="str">
        <f t="shared" si="24"/>
        <v>OK</v>
      </c>
      <c r="AE540" t="str">
        <f t="shared" si="25"/>
        <v>OK</v>
      </c>
    </row>
    <row r="541" spans="1:31" x14ac:dyDescent="0.25">
      <c r="A541" t="s">
        <v>348</v>
      </c>
      <c r="B541">
        <v>100</v>
      </c>
      <c r="C541">
        <v>1</v>
      </c>
      <c r="D541">
        <v>0</v>
      </c>
      <c r="E541">
        <v>1</v>
      </c>
      <c r="F541" t="s">
        <v>458</v>
      </c>
      <c r="G541" t="s">
        <v>458</v>
      </c>
      <c r="H541" t="s">
        <v>396</v>
      </c>
      <c r="I541">
        <v>0.125</v>
      </c>
      <c r="J541">
        <v>1</v>
      </c>
      <c r="K541">
        <v>5</v>
      </c>
      <c r="L541" t="s">
        <v>28</v>
      </c>
      <c r="M541" t="s">
        <v>512</v>
      </c>
      <c r="N541" t="s">
        <v>965</v>
      </c>
      <c r="O541">
        <v>6.5302199999999996E-4</v>
      </c>
      <c r="P541">
        <v>7.7726507440476185E-3</v>
      </c>
      <c r="Q541">
        <v>8.7328127499999993E-4</v>
      </c>
      <c r="R541">
        <v>8.0821875166666671E-3</v>
      </c>
      <c r="S541" s="101">
        <v>6.5302199999999996E-4</v>
      </c>
      <c r="T541" s="101">
        <v>7.7726507440476185E-3</v>
      </c>
      <c r="U541" s="101">
        <v>8.7328127499999993E-4</v>
      </c>
      <c r="V541" s="101">
        <v>8.0821875166666671E-3</v>
      </c>
      <c r="W541">
        <v>7.5</v>
      </c>
      <c r="X541">
        <v>7.5027265074404763</v>
      </c>
      <c r="Y541">
        <v>7.6363253720238102</v>
      </c>
      <c r="Z541">
        <v>7.7726507440476187</v>
      </c>
      <c r="AA541" t="s">
        <v>349</v>
      </c>
      <c r="AB541" t="str">
        <f t="shared" si="22"/>
        <v>OK</v>
      </c>
      <c r="AC541" t="str">
        <f t="shared" si="23"/>
        <v>OK</v>
      </c>
      <c r="AD541" t="str">
        <f t="shared" si="24"/>
        <v>OK</v>
      </c>
      <c r="AE541" t="str">
        <f t="shared" si="25"/>
        <v>OK</v>
      </c>
    </row>
    <row r="542" spans="1:31" x14ac:dyDescent="0.25">
      <c r="A542" t="s">
        <v>348</v>
      </c>
      <c r="B542">
        <v>100</v>
      </c>
      <c r="C542">
        <v>1</v>
      </c>
      <c r="D542">
        <v>0</v>
      </c>
      <c r="E542">
        <v>0</v>
      </c>
      <c r="F542" t="s">
        <v>679</v>
      </c>
      <c r="G542" t="s">
        <v>686</v>
      </c>
      <c r="H542" t="s">
        <v>396</v>
      </c>
      <c r="I542">
        <v>0.125</v>
      </c>
      <c r="J542">
        <v>1</v>
      </c>
      <c r="K542">
        <v>5</v>
      </c>
      <c r="L542" t="s">
        <v>28</v>
      </c>
      <c r="M542" t="s">
        <v>512</v>
      </c>
      <c r="N542" t="s">
        <v>965</v>
      </c>
      <c r="O542">
        <v>5.9651099999999998E-4</v>
      </c>
      <c r="P542">
        <v>3.8262499999999998E-3</v>
      </c>
      <c r="Q542">
        <v>2.2499999999999999E-2</v>
      </c>
      <c r="R542">
        <v>1.4999999999999999E-2</v>
      </c>
      <c r="S542" s="101">
        <v>5.9651099999999998E-4</v>
      </c>
      <c r="T542" s="101">
        <v>3.8262499999999998E-3</v>
      </c>
      <c r="U542" s="101">
        <v>2.2499999999999999E-2</v>
      </c>
      <c r="V542" s="101">
        <v>1.4999999999999999E-2</v>
      </c>
      <c r="W542">
        <v>3.75</v>
      </c>
      <c r="X542">
        <v>3.7507625</v>
      </c>
      <c r="Y542">
        <v>3.788125</v>
      </c>
      <c r="Z542">
        <v>3.8262499999999999</v>
      </c>
      <c r="AA542" t="s">
        <v>349</v>
      </c>
      <c r="AB542" t="str">
        <f t="shared" si="22"/>
        <v>OK</v>
      </c>
      <c r="AC542" t="str">
        <f t="shared" si="23"/>
        <v>OK</v>
      </c>
      <c r="AD542" t="str">
        <f t="shared" si="24"/>
        <v>OK</v>
      </c>
      <c r="AE542" t="str">
        <f t="shared" si="25"/>
        <v>OK</v>
      </c>
    </row>
    <row r="543" spans="1:31" x14ac:dyDescent="0.25">
      <c r="A543" t="s">
        <v>348</v>
      </c>
      <c r="B543">
        <v>100</v>
      </c>
      <c r="C543">
        <v>1</v>
      </c>
      <c r="D543">
        <v>0</v>
      </c>
      <c r="E543">
        <v>0</v>
      </c>
      <c r="F543" t="s">
        <v>681</v>
      </c>
      <c r="G543" t="s">
        <v>687</v>
      </c>
      <c r="H543" t="s">
        <v>396</v>
      </c>
      <c r="I543">
        <v>0.125</v>
      </c>
      <c r="J543">
        <v>1</v>
      </c>
      <c r="K543">
        <v>5</v>
      </c>
      <c r="L543" t="s">
        <v>28</v>
      </c>
      <c r="M543" t="s">
        <v>512</v>
      </c>
      <c r="N543" t="s">
        <v>965</v>
      </c>
      <c r="O543">
        <v>5.9651099999999998E-4</v>
      </c>
      <c r="P543">
        <v>3.8262499999999998E-3</v>
      </c>
      <c r="Q543">
        <v>1.125E-2</v>
      </c>
      <c r="R543">
        <v>7.4999999999999997E-3</v>
      </c>
      <c r="S543" s="101">
        <v>5.9651099999999998E-4</v>
      </c>
      <c r="T543" s="101">
        <v>3.8262499999999998E-3</v>
      </c>
      <c r="U543" s="101">
        <v>1.125E-2</v>
      </c>
      <c r="V543" s="101">
        <v>7.4999999999999997E-3</v>
      </c>
      <c r="W543">
        <v>3.75</v>
      </c>
      <c r="X543">
        <v>3.7507625</v>
      </c>
      <c r="Y543">
        <v>3.788125</v>
      </c>
      <c r="Z543">
        <v>3.8262499999999999</v>
      </c>
      <c r="AA543" t="s">
        <v>349</v>
      </c>
      <c r="AB543" t="str">
        <f t="shared" si="22"/>
        <v>OK</v>
      </c>
      <c r="AC543" t="str">
        <f t="shared" si="23"/>
        <v>OK</v>
      </c>
      <c r="AD543" t="str">
        <f t="shared" si="24"/>
        <v>OK</v>
      </c>
      <c r="AE543" t="str">
        <f t="shared" si="25"/>
        <v>OK</v>
      </c>
    </row>
    <row r="544" spans="1:31" x14ac:dyDescent="0.25">
      <c r="A544" t="s">
        <v>348</v>
      </c>
      <c r="B544">
        <v>100</v>
      </c>
      <c r="C544">
        <v>1</v>
      </c>
      <c r="D544">
        <v>0</v>
      </c>
      <c r="E544">
        <v>0</v>
      </c>
      <c r="F544" t="s">
        <v>682</v>
      </c>
      <c r="G544" t="s">
        <v>688</v>
      </c>
      <c r="H544" t="s">
        <v>396</v>
      </c>
      <c r="I544">
        <v>0.125</v>
      </c>
      <c r="J544">
        <v>1</v>
      </c>
      <c r="K544">
        <v>5</v>
      </c>
      <c r="L544" t="s">
        <v>28</v>
      </c>
      <c r="M544" t="s">
        <v>512</v>
      </c>
      <c r="N544" t="s">
        <v>965</v>
      </c>
      <c r="O544">
        <v>5.9651099999999998E-4</v>
      </c>
      <c r="P544">
        <v>3.8262499999999998E-3</v>
      </c>
      <c r="Q544">
        <v>7.4999999999999997E-3</v>
      </c>
      <c r="R544">
        <v>5.0000000000000001E-3</v>
      </c>
      <c r="S544" s="101">
        <v>5.9651099999999998E-4</v>
      </c>
      <c r="T544" s="101">
        <v>3.8262499999999998E-3</v>
      </c>
      <c r="U544" s="101">
        <v>7.4999999999999997E-3</v>
      </c>
      <c r="V544" s="101">
        <v>5.0000000000000001E-3</v>
      </c>
      <c r="W544">
        <v>3.75</v>
      </c>
      <c r="X544">
        <v>3.7507625</v>
      </c>
      <c r="Y544">
        <v>3.788125</v>
      </c>
      <c r="Z544">
        <v>3.8262499999999999</v>
      </c>
      <c r="AA544" t="s">
        <v>349</v>
      </c>
      <c r="AB544" t="str">
        <f t="shared" si="22"/>
        <v>OK</v>
      </c>
      <c r="AC544" t="str">
        <f t="shared" si="23"/>
        <v>OK</v>
      </c>
      <c r="AD544" t="str">
        <f t="shared" si="24"/>
        <v>OK</v>
      </c>
      <c r="AE544" t="str">
        <f t="shared" si="25"/>
        <v>OK</v>
      </c>
    </row>
    <row r="545" spans="1:31" x14ac:dyDescent="0.25">
      <c r="A545" t="s">
        <v>134</v>
      </c>
      <c r="B545">
        <v>100</v>
      </c>
      <c r="C545">
        <v>0</v>
      </c>
      <c r="D545">
        <v>1</v>
      </c>
      <c r="E545">
        <v>0</v>
      </c>
      <c r="F545" t="s">
        <v>458</v>
      </c>
      <c r="G545" t="s">
        <v>458</v>
      </c>
      <c r="H545" t="s">
        <v>396</v>
      </c>
      <c r="I545">
        <v>0.125</v>
      </c>
      <c r="J545">
        <v>1</v>
      </c>
      <c r="K545">
        <v>0</v>
      </c>
      <c r="L545" t="s">
        <v>28</v>
      </c>
      <c r="M545" t="s">
        <v>512</v>
      </c>
      <c r="N545" t="s">
        <v>514</v>
      </c>
      <c r="O545">
        <v>3.2510999999999994E-5</v>
      </c>
      <c r="P545">
        <v>5.497639508928572E-5</v>
      </c>
      <c r="Q545">
        <v>3.3031250281250002E-3</v>
      </c>
      <c r="R545">
        <v>4.8687500187499996E-3</v>
      </c>
      <c r="S545" s="101">
        <v>3.2510999999999994E-5</v>
      </c>
      <c r="T545" s="101">
        <v>5.497639508928572E-5</v>
      </c>
      <c r="U545" s="101">
        <v>3.3031250281250002E-3</v>
      </c>
      <c r="V545" s="101">
        <v>4.8687500187499996E-3</v>
      </c>
      <c r="W545">
        <v>0</v>
      </c>
      <c r="X545">
        <v>5.4976395089285717E-4</v>
      </c>
      <c r="Y545">
        <v>2.7488197544642861E-2</v>
      </c>
      <c r="Z545">
        <v>5.4976395089285722E-2</v>
      </c>
      <c r="AA545" t="s">
        <v>347</v>
      </c>
      <c r="AB545" t="str">
        <f t="shared" si="22"/>
        <v>OK</v>
      </c>
      <c r="AC545" t="str">
        <f t="shared" si="23"/>
        <v>OK</v>
      </c>
      <c r="AD545" t="str">
        <f t="shared" si="24"/>
        <v>OK</v>
      </c>
      <c r="AE545" t="str">
        <f t="shared" si="25"/>
        <v>OK</v>
      </c>
    </row>
    <row r="546" spans="1:31" x14ac:dyDescent="0.25">
      <c r="A546" t="s">
        <v>134</v>
      </c>
      <c r="B546">
        <v>100</v>
      </c>
      <c r="C546">
        <v>0</v>
      </c>
      <c r="D546">
        <v>1</v>
      </c>
      <c r="E546">
        <v>0</v>
      </c>
      <c r="F546" t="s">
        <v>458</v>
      </c>
      <c r="G546" t="s">
        <v>686</v>
      </c>
      <c r="H546" t="s">
        <v>396</v>
      </c>
      <c r="I546">
        <v>0.125</v>
      </c>
      <c r="J546">
        <v>1</v>
      </c>
      <c r="K546">
        <v>0</v>
      </c>
      <c r="L546" t="s">
        <v>28</v>
      </c>
      <c r="M546" t="s">
        <v>512</v>
      </c>
      <c r="N546" t="s">
        <v>514</v>
      </c>
      <c r="O546">
        <v>3.2510999999999994E-5</v>
      </c>
      <c r="P546">
        <v>5.497639508928572E-5</v>
      </c>
      <c r="Q546">
        <v>6.5031250281249999E-3</v>
      </c>
      <c r="R546">
        <v>9.6687500187499983E-3</v>
      </c>
      <c r="S546" s="101">
        <v>3.2510999999999994E-5</v>
      </c>
      <c r="T546" s="101">
        <v>5.497639508928572E-5</v>
      </c>
      <c r="U546" s="101">
        <v>6.5031250281249999E-3</v>
      </c>
      <c r="V546" s="101">
        <v>9.6687500187499983E-3</v>
      </c>
      <c r="W546">
        <v>0</v>
      </c>
      <c r="X546">
        <v>5.4976395089285717E-4</v>
      </c>
      <c r="Y546">
        <v>2.7488197544642861E-2</v>
      </c>
      <c r="Z546">
        <v>5.4976395089285722E-2</v>
      </c>
      <c r="AA546" t="s">
        <v>347</v>
      </c>
      <c r="AB546" t="str">
        <f t="shared" si="22"/>
        <v>OK</v>
      </c>
      <c r="AC546" t="str">
        <f t="shared" si="23"/>
        <v>OK</v>
      </c>
      <c r="AD546" t="str">
        <f t="shared" si="24"/>
        <v>OK</v>
      </c>
      <c r="AE546" t="str">
        <f t="shared" si="25"/>
        <v>OK</v>
      </c>
    </row>
    <row r="547" spans="1:31" x14ac:dyDescent="0.25">
      <c r="A547" t="s">
        <v>134</v>
      </c>
      <c r="B547">
        <v>100</v>
      </c>
      <c r="C547">
        <v>0</v>
      </c>
      <c r="D547">
        <v>1</v>
      </c>
      <c r="E547">
        <v>0</v>
      </c>
      <c r="F547" t="s">
        <v>458</v>
      </c>
      <c r="G547" t="s">
        <v>687</v>
      </c>
      <c r="H547" t="s">
        <v>396</v>
      </c>
      <c r="I547">
        <v>0.125</v>
      </c>
      <c r="J547">
        <v>1</v>
      </c>
      <c r="K547">
        <v>0</v>
      </c>
      <c r="L547" t="s">
        <v>28</v>
      </c>
      <c r="M547" t="s">
        <v>512</v>
      </c>
      <c r="N547" t="s">
        <v>514</v>
      </c>
      <c r="O547">
        <v>3.2510999999999994E-5</v>
      </c>
      <c r="P547">
        <v>5.497639508928572E-5</v>
      </c>
      <c r="Q547">
        <v>3.3031250281250002E-3</v>
      </c>
      <c r="R547">
        <v>4.8687500187499996E-3</v>
      </c>
      <c r="S547" s="101">
        <v>3.2510999999999994E-5</v>
      </c>
      <c r="T547" s="101">
        <v>5.497639508928572E-5</v>
      </c>
      <c r="U547" s="101">
        <v>3.3031250281250002E-3</v>
      </c>
      <c r="V547" s="101">
        <v>4.8687500187499996E-3</v>
      </c>
      <c r="W547">
        <v>0</v>
      </c>
      <c r="X547">
        <v>5.4976395089285717E-4</v>
      </c>
      <c r="Y547">
        <v>2.7488197544642861E-2</v>
      </c>
      <c r="Z547">
        <v>5.4976395089285722E-2</v>
      </c>
      <c r="AA547" t="s">
        <v>347</v>
      </c>
      <c r="AB547" t="str">
        <f t="shared" si="22"/>
        <v>OK</v>
      </c>
      <c r="AC547" t="str">
        <f t="shared" si="23"/>
        <v>OK</v>
      </c>
      <c r="AD547" t="str">
        <f t="shared" si="24"/>
        <v>OK</v>
      </c>
      <c r="AE547" t="str">
        <f t="shared" si="25"/>
        <v>OK</v>
      </c>
    </row>
    <row r="548" spans="1:31" x14ac:dyDescent="0.25">
      <c r="A548" t="s">
        <v>134</v>
      </c>
      <c r="B548">
        <v>100</v>
      </c>
      <c r="C548">
        <v>0</v>
      </c>
      <c r="D548">
        <v>1</v>
      </c>
      <c r="E548">
        <v>0</v>
      </c>
      <c r="F548" t="s">
        <v>458</v>
      </c>
      <c r="G548" t="s">
        <v>688</v>
      </c>
      <c r="H548" t="s">
        <v>396</v>
      </c>
      <c r="I548">
        <v>0.125</v>
      </c>
      <c r="J548">
        <v>1</v>
      </c>
      <c r="K548">
        <v>0</v>
      </c>
      <c r="L548" t="s">
        <v>28</v>
      </c>
      <c r="M548" t="s">
        <v>512</v>
      </c>
      <c r="N548" t="s">
        <v>514</v>
      </c>
      <c r="O548">
        <v>3.2510999999999994E-5</v>
      </c>
      <c r="P548">
        <v>5.497639508928572E-5</v>
      </c>
      <c r="Q548">
        <v>2.1031250281250001E-3</v>
      </c>
      <c r="R548">
        <v>2.4687500187499998E-3</v>
      </c>
      <c r="S548" s="101">
        <v>3.2510999999999994E-5</v>
      </c>
      <c r="T548" s="101">
        <v>5.497639508928572E-5</v>
      </c>
      <c r="U548" s="101">
        <v>2.1031250281250001E-3</v>
      </c>
      <c r="V548" s="101">
        <v>2.4687500187499998E-3</v>
      </c>
      <c r="W548">
        <v>0</v>
      </c>
      <c r="X548">
        <v>5.4976395089285717E-4</v>
      </c>
      <c r="Y548">
        <v>2.7488197544642861E-2</v>
      </c>
      <c r="Z548">
        <v>5.4976395089285722E-2</v>
      </c>
      <c r="AA548" t="s">
        <v>347</v>
      </c>
      <c r="AB548" t="str">
        <f t="shared" si="22"/>
        <v>OK</v>
      </c>
      <c r="AC548" t="str">
        <f t="shared" si="23"/>
        <v>OK</v>
      </c>
      <c r="AD548" t="str">
        <f t="shared" si="24"/>
        <v>OK</v>
      </c>
      <c r="AE548" t="str">
        <f t="shared" si="25"/>
        <v>OK</v>
      </c>
    </row>
    <row r="549" spans="1:31" x14ac:dyDescent="0.25">
      <c r="A549" t="s">
        <v>759</v>
      </c>
      <c r="B549">
        <v>100</v>
      </c>
      <c r="C549">
        <v>0</v>
      </c>
      <c r="D549">
        <v>1</v>
      </c>
      <c r="E549">
        <v>0</v>
      </c>
      <c r="F549" t="s">
        <v>458</v>
      </c>
      <c r="G549" t="s">
        <v>458</v>
      </c>
      <c r="H549" t="s">
        <v>396</v>
      </c>
      <c r="I549">
        <v>0.125</v>
      </c>
      <c r="J549">
        <v>1</v>
      </c>
      <c r="K549">
        <v>0</v>
      </c>
      <c r="L549" t="s">
        <v>28</v>
      </c>
      <c r="M549" t="s">
        <v>512</v>
      </c>
      <c r="N549" t="s">
        <v>514</v>
      </c>
      <c r="O549">
        <v>3.2510999999999994E-5</v>
      </c>
      <c r="P549">
        <v>6.3986681547619048E-5</v>
      </c>
      <c r="Q549">
        <v>6.4065624999999999E-3</v>
      </c>
      <c r="R549">
        <v>9.3043750000000001E-3</v>
      </c>
      <c r="S549" s="101">
        <v>3.2510999999999994E-5</v>
      </c>
      <c r="T549" s="101">
        <v>6.3986681547619048E-5</v>
      </c>
      <c r="U549" s="101">
        <v>6.4065624999999999E-3</v>
      </c>
      <c r="V549" s="101">
        <v>9.3043750000000001E-3</v>
      </c>
      <c r="W549">
        <v>0</v>
      </c>
      <c r="X549">
        <v>6.3986681547619048E-4</v>
      </c>
      <c r="Y549">
        <v>3.1993340773809525E-2</v>
      </c>
      <c r="Z549">
        <v>6.3986681547619051E-2</v>
      </c>
      <c r="AA549" t="s">
        <v>964</v>
      </c>
      <c r="AB549" t="str">
        <f t="shared" si="22"/>
        <v>OK</v>
      </c>
      <c r="AC549" t="str">
        <f t="shared" si="23"/>
        <v>OK</v>
      </c>
      <c r="AD549" t="str">
        <f t="shared" si="24"/>
        <v>OK</v>
      </c>
      <c r="AE549" t="str">
        <f t="shared" si="25"/>
        <v>OK</v>
      </c>
    </row>
    <row r="550" spans="1:31" x14ac:dyDescent="0.25">
      <c r="A550" t="s">
        <v>759</v>
      </c>
      <c r="B550">
        <v>100</v>
      </c>
      <c r="C550">
        <v>0</v>
      </c>
      <c r="D550">
        <v>1</v>
      </c>
      <c r="E550">
        <v>0</v>
      </c>
      <c r="F550" t="s">
        <v>458</v>
      </c>
      <c r="G550" t="s">
        <v>686</v>
      </c>
      <c r="H550" t="s">
        <v>396</v>
      </c>
      <c r="I550">
        <v>0.125</v>
      </c>
      <c r="J550">
        <v>1</v>
      </c>
      <c r="K550">
        <v>0</v>
      </c>
      <c r="L550" t="s">
        <v>28</v>
      </c>
      <c r="M550" t="s">
        <v>512</v>
      </c>
      <c r="N550" t="s">
        <v>514</v>
      </c>
      <c r="O550">
        <v>3.2510999999999994E-5</v>
      </c>
      <c r="P550">
        <v>6.3986681547619048E-5</v>
      </c>
      <c r="Q550">
        <v>1.28065625E-2</v>
      </c>
      <c r="R550">
        <v>1.5604374999999998E-2</v>
      </c>
      <c r="S550" s="101">
        <v>3.2510999999999994E-5</v>
      </c>
      <c r="T550" s="101">
        <v>6.3986681547619048E-5</v>
      </c>
      <c r="U550" s="101">
        <v>1.28065625E-2</v>
      </c>
      <c r="V550" s="101">
        <v>1.5604374999999998E-2</v>
      </c>
      <c r="W550">
        <v>0</v>
      </c>
      <c r="X550">
        <v>6.3986681547619048E-4</v>
      </c>
      <c r="Y550">
        <v>3.1993340773809525E-2</v>
      </c>
      <c r="Z550">
        <v>6.3986681547619051E-2</v>
      </c>
      <c r="AA550" t="s">
        <v>964</v>
      </c>
      <c r="AB550" t="str">
        <f t="shared" si="22"/>
        <v>OK</v>
      </c>
      <c r="AC550" t="str">
        <f t="shared" si="23"/>
        <v>OK</v>
      </c>
      <c r="AD550" t="str">
        <f t="shared" si="24"/>
        <v>OK</v>
      </c>
      <c r="AE550" t="str">
        <f t="shared" si="25"/>
        <v>OK</v>
      </c>
    </row>
    <row r="551" spans="1:31" x14ac:dyDescent="0.25">
      <c r="A551" t="s">
        <v>759</v>
      </c>
      <c r="B551">
        <v>100</v>
      </c>
      <c r="C551">
        <v>0</v>
      </c>
      <c r="D551">
        <v>1</v>
      </c>
      <c r="E551">
        <v>0</v>
      </c>
      <c r="F551" t="s">
        <v>458</v>
      </c>
      <c r="G551" t="s">
        <v>687</v>
      </c>
      <c r="H551" t="s">
        <v>396</v>
      </c>
      <c r="I551">
        <v>0.125</v>
      </c>
      <c r="J551">
        <v>1</v>
      </c>
      <c r="K551">
        <v>0</v>
      </c>
      <c r="L551" t="s">
        <v>28</v>
      </c>
      <c r="M551" t="s">
        <v>512</v>
      </c>
      <c r="N551" t="s">
        <v>514</v>
      </c>
      <c r="O551">
        <v>3.2510999999999994E-5</v>
      </c>
      <c r="P551">
        <v>6.3986681547619048E-5</v>
      </c>
      <c r="Q551">
        <v>6.4065624999999999E-3</v>
      </c>
      <c r="R551">
        <v>9.3043750000000001E-3</v>
      </c>
      <c r="S551" s="101">
        <v>3.2510999999999994E-5</v>
      </c>
      <c r="T551" s="101">
        <v>6.3986681547619048E-5</v>
      </c>
      <c r="U551" s="101">
        <v>6.4065624999999999E-3</v>
      </c>
      <c r="V551" s="101">
        <v>9.3043750000000001E-3</v>
      </c>
      <c r="W551">
        <v>0</v>
      </c>
      <c r="X551">
        <v>6.3986681547619048E-4</v>
      </c>
      <c r="Y551">
        <v>3.1993340773809525E-2</v>
      </c>
      <c r="Z551">
        <v>6.3986681547619051E-2</v>
      </c>
      <c r="AA551" t="s">
        <v>964</v>
      </c>
      <c r="AB551" t="str">
        <f t="shared" si="22"/>
        <v>OK</v>
      </c>
      <c r="AC551" t="str">
        <f t="shared" si="23"/>
        <v>OK</v>
      </c>
      <c r="AD551" t="str">
        <f t="shared" si="24"/>
        <v>OK</v>
      </c>
      <c r="AE551" t="str">
        <f t="shared" si="25"/>
        <v>OK</v>
      </c>
    </row>
    <row r="552" spans="1:31" x14ac:dyDescent="0.25">
      <c r="A552" t="s">
        <v>759</v>
      </c>
      <c r="B552">
        <v>100</v>
      </c>
      <c r="C552">
        <v>0</v>
      </c>
      <c r="D552">
        <v>1</v>
      </c>
      <c r="E552">
        <v>0</v>
      </c>
      <c r="F552" t="s">
        <v>458</v>
      </c>
      <c r="G552" t="s">
        <v>688</v>
      </c>
      <c r="H552" t="s">
        <v>396</v>
      </c>
      <c r="I552">
        <v>0.125</v>
      </c>
      <c r="J552">
        <v>1</v>
      </c>
      <c r="K552">
        <v>0</v>
      </c>
      <c r="L552" t="s">
        <v>28</v>
      </c>
      <c r="M552" t="s">
        <v>512</v>
      </c>
      <c r="N552" t="s">
        <v>514</v>
      </c>
      <c r="O552">
        <v>3.2510999999999994E-5</v>
      </c>
      <c r="P552">
        <v>6.3986681547619048E-5</v>
      </c>
      <c r="Q552">
        <v>5.2065624999999994E-3</v>
      </c>
      <c r="R552">
        <v>4.604375E-3</v>
      </c>
      <c r="S552" s="101">
        <v>3.2510999999999994E-5</v>
      </c>
      <c r="T552" s="101">
        <v>6.3986681547619048E-5</v>
      </c>
      <c r="U552" s="101">
        <v>5.2065624999999994E-3</v>
      </c>
      <c r="V552" s="101">
        <v>4.604375E-3</v>
      </c>
      <c r="W552">
        <v>0</v>
      </c>
      <c r="X552">
        <v>6.3986681547619048E-4</v>
      </c>
      <c r="Y552">
        <v>3.1993340773809525E-2</v>
      </c>
      <c r="Z552">
        <v>6.3986681547619051E-2</v>
      </c>
      <c r="AA552" t="s">
        <v>964</v>
      </c>
      <c r="AB552" t="str">
        <f t="shared" si="22"/>
        <v>OK</v>
      </c>
      <c r="AC552" t="str">
        <f t="shared" si="23"/>
        <v>OK</v>
      </c>
      <c r="AD552" t="str">
        <f t="shared" si="24"/>
        <v>OK</v>
      </c>
      <c r="AE552" t="str">
        <f t="shared" si="25"/>
        <v>OK</v>
      </c>
    </row>
    <row r="553" spans="1:31" x14ac:dyDescent="0.25">
      <c r="A553" t="s">
        <v>348</v>
      </c>
      <c r="B553">
        <v>100</v>
      </c>
      <c r="C553">
        <v>0</v>
      </c>
      <c r="D553">
        <v>1</v>
      </c>
      <c r="E553">
        <v>0</v>
      </c>
      <c r="F553" t="s">
        <v>458</v>
      </c>
      <c r="G553" t="s">
        <v>458</v>
      </c>
      <c r="H553" t="s">
        <v>396</v>
      </c>
      <c r="I553">
        <v>0.125</v>
      </c>
      <c r="J553">
        <v>1</v>
      </c>
      <c r="K553">
        <v>0</v>
      </c>
      <c r="L553" t="s">
        <v>28</v>
      </c>
      <c r="M553" t="s">
        <v>512</v>
      </c>
      <c r="N553" t="s">
        <v>514</v>
      </c>
      <c r="O553">
        <v>3.2510999999999994E-5</v>
      </c>
      <c r="P553">
        <v>1.2015074404761906E-4</v>
      </c>
      <c r="Q553">
        <v>8.6562502499999998E-4</v>
      </c>
      <c r="R553">
        <v>5.7708334999999995E-4</v>
      </c>
      <c r="S553" s="101">
        <v>3.2510999999999994E-5</v>
      </c>
      <c r="T553" s="101">
        <v>1.2015074404761906E-4</v>
      </c>
      <c r="U553" s="101">
        <v>8.6562502499999998E-4</v>
      </c>
      <c r="V553" s="101">
        <v>5.7708334999999995E-4</v>
      </c>
      <c r="W553">
        <v>0</v>
      </c>
      <c r="X553">
        <v>1.2015074404761906E-3</v>
      </c>
      <c r="Y553">
        <v>6.0075372023809526E-2</v>
      </c>
      <c r="Z553">
        <v>0.12015074404761905</v>
      </c>
      <c r="AA553" t="s">
        <v>349</v>
      </c>
      <c r="AB553" t="str">
        <f t="shared" si="22"/>
        <v>OK</v>
      </c>
      <c r="AC553" t="str">
        <f t="shared" si="23"/>
        <v>OK</v>
      </c>
      <c r="AD553" t="str">
        <f t="shared" si="24"/>
        <v>OK</v>
      </c>
      <c r="AE553" t="str">
        <f t="shared" si="25"/>
        <v>OK</v>
      </c>
    </row>
    <row r="554" spans="1:31" x14ac:dyDescent="0.25">
      <c r="A554" t="s">
        <v>348</v>
      </c>
      <c r="B554">
        <v>100</v>
      </c>
      <c r="C554">
        <v>0</v>
      </c>
      <c r="D554">
        <v>1</v>
      </c>
      <c r="E554">
        <v>0</v>
      </c>
      <c r="F554" t="s">
        <v>458</v>
      </c>
      <c r="G554" t="s">
        <v>686</v>
      </c>
      <c r="H554" t="s">
        <v>396</v>
      </c>
      <c r="I554">
        <v>0.125</v>
      </c>
      <c r="J554">
        <v>1</v>
      </c>
      <c r="K554">
        <v>0</v>
      </c>
      <c r="L554" t="s">
        <v>28</v>
      </c>
      <c r="M554" t="s">
        <v>512</v>
      </c>
      <c r="N554" t="s">
        <v>514</v>
      </c>
      <c r="O554">
        <v>3.2510999999999994E-5</v>
      </c>
      <c r="P554">
        <v>1.2015074404761906E-4</v>
      </c>
      <c r="Q554">
        <v>1.5856250249999999E-3</v>
      </c>
      <c r="R554">
        <v>8.5708335000000003E-4</v>
      </c>
      <c r="S554" s="101">
        <v>3.2510999999999994E-5</v>
      </c>
      <c r="T554" s="101">
        <v>1.2015074404761906E-4</v>
      </c>
      <c r="U554" s="101">
        <v>1.5856250249999999E-3</v>
      </c>
      <c r="V554" s="101">
        <v>8.5708335000000003E-4</v>
      </c>
      <c r="W554">
        <v>0</v>
      </c>
      <c r="X554">
        <v>1.2015074404761906E-3</v>
      </c>
      <c r="Y554">
        <v>6.0075372023809526E-2</v>
      </c>
      <c r="Z554">
        <v>0.12015074404761905</v>
      </c>
      <c r="AA554" t="s">
        <v>349</v>
      </c>
      <c r="AB554" t="str">
        <f t="shared" si="22"/>
        <v>OK</v>
      </c>
      <c r="AC554" t="str">
        <f t="shared" si="23"/>
        <v>OK</v>
      </c>
      <c r="AD554" t="str">
        <f t="shared" si="24"/>
        <v>OK</v>
      </c>
      <c r="AE554" t="str">
        <f t="shared" si="25"/>
        <v>OK</v>
      </c>
    </row>
    <row r="555" spans="1:31" x14ac:dyDescent="0.25">
      <c r="A555" t="s">
        <v>348</v>
      </c>
      <c r="B555">
        <v>100</v>
      </c>
      <c r="C555">
        <v>0</v>
      </c>
      <c r="D555">
        <v>1</v>
      </c>
      <c r="E555">
        <v>0</v>
      </c>
      <c r="F555" t="s">
        <v>458</v>
      </c>
      <c r="G555" t="s">
        <v>687</v>
      </c>
      <c r="H555" t="s">
        <v>396</v>
      </c>
      <c r="I555">
        <v>0.125</v>
      </c>
      <c r="J555">
        <v>1</v>
      </c>
      <c r="K555">
        <v>0</v>
      </c>
      <c r="L555" t="s">
        <v>28</v>
      </c>
      <c r="M555" t="s">
        <v>512</v>
      </c>
      <c r="N555" t="s">
        <v>514</v>
      </c>
      <c r="O555">
        <v>3.2510999999999994E-5</v>
      </c>
      <c r="P555">
        <v>1.2015074404761906E-4</v>
      </c>
      <c r="Q555">
        <v>8.6562502499999998E-4</v>
      </c>
      <c r="R555">
        <v>5.7708334999999995E-4</v>
      </c>
      <c r="S555" s="101">
        <v>3.2510999999999994E-5</v>
      </c>
      <c r="T555" s="101">
        <v>1.2015074404761906E-4</v>
      </c>
      <c r="U555" s="101">
        <v>8.6562502499999998E-4</v>
      </c>
      <c r="V555" s="101">
        <v>5.7708334999999995E-4</v>
      </c>
      <c r="W555">
        <v>0</v>
      </c>
      <c r="X555">
        <v>1.2015074404761906E-3</v>
      </c>
      <c r="Y555">
        <v>6.0075372023809526E-2</v>
      </c>
      <c r="Z555">
        <v>0.12015074404761905</v>
      </c>
      <c r="AA555" t="s">
        <v>349</v>
      </c>
      <c r="AB555" t="str">
        <f t="shared" si="22"/>
        <v>OK</v>
      </c>
      <c r="AC555" t="str">
        <f t="shared" si="23"/>
        <v>OK</v>
      </c>
      <c r="AD555" t="str">
        <f t="shared" si="24"/>
        <v>OK</v>
      </c>
      <c r="AE555" t="str">
        <f t="shared" si="25"/>
        <v>OK</v>
      </c>
    </row>
    <row r="556" spans="1:31" x14ac:dyDescent="0.25">
      <c r="A556" t="s">
        <v>348</v>
      </c>
      <c r="B556">
        <v>100</v>
      </c>
      <c r="C556">
        <v>0</v>
      </c>
      <c r="D556">
        <v>1</v>
      </c>
      <c r="E556">
        <v>0</v>
      </c>
      <c r="F556" t="s">
        <v>458</v>
      </c>
      <c r="G556" t="s">
        <v>688</v>
      </c>
      <c r="H556" t="s">
        <v>396</v>
      </c>
      <c r="I556">
        <v>0.125</v>
      </c>
      <c r="J556">
        <v>1</v>
      </c>
      <c r="K556">
        <v>0</v>
      </c>
      <c r="L556" t="s">
        <v>28</v>
      </c>
      <c r="M556" t="s">
        <v>512</v>
      </c>
      <c r="N556" t="s">
        <v>514</v>
      </c>
      <c r="O556">
        <v>3.2510999999999994E-5</v>
      </c>
      <c r="P556">
        <v>1.2015074404761906E-4</v>
      </c>
      <c r="Q556">
        <v>5.45625025E-4</v>
      </c>
      <c r="R556">
        <v>4.1708335000000002E-4</v>
      </c>
      <c r="S556" s="101">
        <v>3.2510999999999994E-5</v>
      </c>
      <c r="T556" s="101">
        <v>1.2015074404761906E-4</v>
      </c>
      <c r="U556" s="101">
        <v>5.45625025E-4</v>
      </c>
      <c r="V556" s="101">
        <v>4.1708335000000002E-4</v>
      </c>
      <c r="W556">
        <v>0</v>
      </c>
      <c r="X556">
        <v>1.2015074404761906E-3</v>
      </c>
      <c r="Y556">
        <v>6.0075372023809526E-2</v>
      </c>
      <c r="Z556">
        <v>0.12015074404761905</v>
      </c>
      <c r="AA556" t="s">
        <v>349</v>
      </c>
      <c r="AB556" t="str">
        <f t="shared" si="22"/>
        <v>OK</v>
      </c>
      <c r="AC556" t="str">
        <f t="shared" si="23"/>
        <v>OK</v>
      </c>
      <c r="AD556" t="str">
        <f t="shared" si="24"/>
        <v>OK</v>
      </c>
      <c r="AE556" t="str">
        <f t="shared" si="25"/>
        <v>OK</v>
      </c>
    </row>
    <row r="557" spans="1:31" x14ac:dyDescent="0.25">
      <c r="A557" t="s">
        <v>136</v>
      </c>
      <c r="B557">
        <v>100</v>
      </c>
      <c r="C557">
        <v>0</v>
      </c>
      <c r="D557">
        <v>1</v>
      </c>
      <c r="E557">
        <v>0</v>
      </c>
      <c r="F557" t="s">
        <v>458</v>
      </c>
      <c r="G557" t="s">
        <v>458</v>
      </c>
      <c r="H557" t="s">
        <v>396</v>
      </c>
      <c r="I557">
        <v>0.125</v>
      </c>
      <c r="J557">
        <v>1</v>
      </c>
      <c r="K557">
        <v>0</v>
      </c>
      <c r="L557" t="s">
        <v>28</v>
      </c>
      <c r="M557" t="s">
        <v>512</v>
      </c>
      <c r="N557" t="s">
        <v>514</v>
      </c>
      <c r="O557">
        <v>3.2510999999999994E-5</v>
      </c>
      <c r="P557">
        <v>6.1301971726190468E-5</v>
      </c>
      <c r="Q557">
        <v>3.3525000500000002E-3</v>
      </c>
      <c r="R557">
        <v>5.8847222499999992E-3</v>
      </c>
      <c r="S557" s="101">
        <v>3.2510999999999994E-5</v>
      </c>
      <c r="T557" s="101">
        <v>6.1301971726190468E-5</v>
      </c>
      <c r="U557" s="101">
        <v>3.3525000500000002E-3</v>
      </c>
      <c r="V557" s="101">
        <v>5.8847222499999992E-3</v>
      </c>
      <c r="W557">
        <v>0</v>
      </c>
      <c r="X557">
        <v>6.1301971726190462E-4</v>
      </c>
      <c r="Y557">
        <v>3.0650985863095233E-2</v>
      </c>
      <c r="Z557">
        <v>6.1301971726190466E-2</v>
      </c>
      <c r="AA557" t="s">
        <v>243</v>
      </c>
      <c r="AB557" t="str">
        <f t="shared" si="22"/>
        <v>OK</v>
      </c>
      <c r="AC557" t="str">
        <f t="shared" si="23"/>
        <v>OK</v>
      </c>
      <c r="AD557" t="str">
        <f t="shared" si="24"/>
        <v>OK</v>
      </c>
      <c r="AE557" t="str">
        <f t="shared" si="25"/>
        <v>OK</v>
      </c>
    </row>
    <row r="558" spans="1:31" x14ac:dyDescent="0.25">
      <c r="A558" t="s">
        <v>136</v>
      </c>
      <c r="B558">
        <v>100</v>
      </c>
      <c r="C558">
        <v>0</v>
      </c>
      <c r="D558">
        <v>1</v>
      </c>
      <c r="E558">
        <v>0</v>
      </c>
      <c r="F558" t="s">
        <v>458</v>
      </c>
      <c r="G558" t="s">
        <v>686</v>
      </c>
      <c r="H558" t="s">
        <v>396</v>
      </c>
      <c r="I558">
        <v>0.125</v>
      </c>
      <c r="J558">
        <v>1</v>
      </c>
      <c r="K558">
        <v>0</v>
      </c>
      <c r="L558" t="s">
        <v>28</v>
      </c>
      <c r="M558" t="s">
        <v>512</v>
      </c>
      <c r="N558" t="s">
        <v>514</v>
      </c>
      <c r="O558">
        <v>3.2510999999999994E-5</v>
      </c>
      <c r="P558">
        <v>6.1301971726190468E-5</v>
      </c>
      <c r="Q558">
        <v>6.55250005E-3</v>
      </c>
      <c r="R558">
        <v>1.128472225E-2</v>
      </c>
      <c r="S558" s="101">
        <v>3.2510999999999994E-5</v>
      </c>
      <c r="T558" s="101">
        <v>6.1301971726190468E-5</v>
      </c>
      <c r="U558" s="101">
        <v>6.55250005E-3</v>
      </c>
      <c r="V558" s="101">
        <v>1.128472225E-2</v>
      </c>
      <c r="W558">
        <v>0</v>
      </c>
      <c r="X558">
        <v>6.1301971726190462E-4</v>
      </c>
      <c r="Y558">
        <v>3.0650985863095233E-2</v>
      </c>
      <c r="Z558">
        <v>6.1301971726190466E-2</v>
      </c>
      <c r="AA558" t="s">
        <v>243</v>
      </c>
      <c r="AB558" t="str">
        <f t="shared" si="22"/>
        <v>OK</v>
      </c>
      <c r="AC558" t="str">
        <f t="shared" si="23"/>
        <v>OK</v>
      </c>
      <c r="AD558" t="str">
        <f t="shared" si="24"/>
        <v>OK</v>
      </c>
      <c r="AE558" t="str">
        <f t="shared" si="25"/>
        <v>OK</v>
      </c>
    </row>
    <row r="559" spans="1:31" x14ac:dyDescent="0.25">
      <c r="A559" t="s">
        <v>136</v>
      </c>
      <c r="B559">
        <v>100</v>
      </c>
      <c r="C559">
        <v>0</v>
      </c>
      <c r="D559">
        <v>1</v>
      </c>
      <c r="E559">
        <v>0</v>
      </c>
      <c r="F559" t="s">
        <v>458</v>
      </c>
      <c r="G559" t="s">
        <v>687</v>
      </c>
      <c r="H559" t="s">
        <v>396</v>
      </c>
      <c r="I559">
        <v>0.125</v>
      </c>
      <c r="J559">
        <v>1</v>
      </c>
      <c r="K559">
        <v>0</v>
      </c>
      <c r="L559" t="s">
        <v>28</v>
      </c>
      <c r="M559" t="s">
        <v>512</v>
      </c>
      <c r="N559" t="s">
        <v>514</v>
      </c>
      <c r="O559">
        <v>3.2510999999999994E-5</v>
      </c>
      <c r="P559">
        <v>6.1301971726190468E-5</v>
      </c>
      <c r="Q559">
        <v>3.3525000500000002E-3</v>
      </c>
      <c r="R559">
        <v>5.8847222499999992E-3</v>
      </c>
      <c r="S559" s="101">
        <v>3.2510999999999994E-5</v>
      </c>
      <c r="T559" s="101">
        <v>6.1301971726190468E-5</v>
      </c>
      <c r="U559" s="101">
        <v>3.3525000500000002E-3</v>
      </c>
      <c r="V559" s="101">
        <v>5.8847222499999992E-3</v>
      </c>
      <c r="W559">
        <v>0</v>
      </c>
      <c r="X559">
        <v>6.1301971726190462E-4</v>
      </c>
      <c r="Y559">
        <v>3.0650985863095233E-2</v>
      </c>
      <c r="Z559">
        <v>6.1301971726190466E-2</v>
      </c>
      <c r="AA559" t="s">
        <v>243</v>
      </c>
      <c r="AB559" t="str">
        <f t="shared" si="22"/>
        <v>OK</v>
      </c>
      <c r="AC559" t="str">
        <f t="shared" si="23"/>
        <v>OK</v>
      </c>
      <c r="AD559" t="str">
        <f t="shared" si="24"/>
        <v>OK</v>
      </c>
      <c r="AE559" t="str">
        <f t="shared" si="25"/>
        <v>OK</v>
      </c>
    </row>
    <row r="560" spans="1:31" x14ac:dyDescent="0.25">
      <c r="A560" t="s">
        <v>136</v>
      </c>
      <c r="B560">
        <v>100</v>
      </c>
      <c r="C560">
        <v>0</v>
      </c>
      <c r="D560">
        <v>1</v>
      </c>
      <c r="E560">
        <v>0</v>
      </c>
      <c r="F560" t="s">
        <v>458</v>
      </c>
      <c r="G560" t="s">
        <v>688</v>
      </c>
      <c r="H560" t="s">
        <v>396</v>
      </c>
      <c r="I560">
        <v>0.125</v>
      </c>
      <c r="J560">
        <v>1</v>
      </c>
      <c r="K560">
        <v>0</v>
      </c>
      <c r="L560" t="s">
        <v>28</v>
      </c>
      <c r="M560" t="s">
        <v>512</v>
      </c>
      <c r="N560" t="s">
        <v>514</v>
      </c>
      <c r="O560">
        <v>3.2510999999999994E-5</v>
      </c>
      <c r="P560">
        <v>6.1301971726190468E-5</v>
      </c>
      <c r="Q560">
        <v>2.1525000500000001E-3</v>
      </c>
      <c r="R560">
        <v>3.2847222500000002E-3</v>
      </c>
      <c r="S560" s="101">
        <v>3.2510999999999994E-5</v>
      </c>
      <c r="T560" s="101">
        <v>6.1301971726190468E-5</v>
      </c>
      <c r="U560" s="101">
        <v>2.1525000500000001E-3</v>
      </c>
      <c r="V560" s="101">
        <v>3.2847222500000002E-3</v>
      </c>
      <c r="W560">
        <v>0</v>
      </c>
      <c r="X560">
        <v>6.1301971726190462E-4</v>
      </c>
      <c r="Y560">
        <v>3.0650985863095233E-2</v>
      </c>
      <c r="Z560">
        <v>6.1301971726190466E-2</v>
      </c>
      <c r="AA560" t="s">
        <v>243</v>
      </c>
      <c r="AB560" t="str">
        <f t="shared" si="22"/>
        <v>OK</v>
      </c>
      <c r="AC560" t="str">
        <f t="shared" si="23"/>
        <v>OK</v>
      </c>
      <c r="AD560" t="str">
        <f t="shared" si="24"/>
        <v>OK</v>
      </c>
      <c r="AE560" t="str">
        <f t="shared" si="25"/>
        <v>OK</v>
      </c>
    </row>
    <row r="561" spans="1:31" x14ac:dyDescent="0.25">
      <c r="A561" t="s">
        <v>350</v>
      </c>
      <c r="B561">
        <v>100</v>
      </c>
      <c r="C561">
        <v>0</v>
      </c>
      <c r="D561">
        <v>1</v>
      </c>
      <c r="E561">
        <v>0</v>
      </c>
      <c r="F561" t="s">
        <v>458</v>
      </c>
      <c r="G561" t="s">
        <v>458</v>
      </c>
      <c r="H561" t="s">
        <v>396</v>
      </c>
      <c r="I561">
        <v>0.125</v>
      </c>
      <c r="J561">
        <v>1</v>
      </c>
      <c r="K561">
        <v>0</v>
      </c>
      <c r="L561" t="s">
        <v>28</v>
      </c>
      <c r="M561" t="s">
        <v>512</v>
      </c>
      <c r="N561" t="s">
        <v>514</v>
      </c>
      <c r="O561">
        <v>3.2510999999999994E-5</v>
      </c>
      <c r="P561">
        <v>9.4768675595238104E-5</v>
      </c>
      <c r="Q561">
        <v>6.4162499500000003E-3</v>
      </c>
      <c r="R561">
        <v>1.2209027749999999E-2</v>
      </c>
      <c r="S561" s="101">
        <v>3.2510999999999994E-5</v>
      </c>
      <c r="T561" s="101">
        <v>9.4768675595238104E-5</v>
      </c>
      <c r="U561" s="101">
        <v>6.4162499500000003E-3</v>
      </c>
      <c r="V561" s="101">
        <v>1.2209027749999999E-2</v>
      </c>
      <c r="W561">
        <v>0</v>
      </c>
      <c r="X561">
        <v>9.4768675595238109E-4</v>
      </c>
      <c r="Y561">
        <v>4.7384337797619053E-2</v>
      </c>
      <c r="Z561">
        <v>9.4768675595238105E-2</v>
      </c>
      <c r="AA561" t="s">
        <v>351</v>
      </c>
      <c r="AB561" t="str">
        <f t="shared" si="22"/>
        <v>OK</v>
      </c>
      <c r="AC561" t="str">
        <f t="shared" si="23"/>
        <v>OK</v>
      </c>
      <c r="AD561" t="str">
        <f t="shared" si="24"/>
        <v>OK</v>
      </c>
      <c r="AE561" t="str">
        <f t="shared" si="25"/>
        <v>OK</v>
      </c>
    </row>
    <row r="562" spans="1:31" x14ac:dyDescent="0.25">
      <c r="A562" t="s">
        <v>350</v>
      </c>
      <c r="B562">
        <v>100</v>
      </c>
      <c r="C562">
        <v>0</v>
      </c>
      <c r="D562">
        <v>1</v>
      </c>
      <c r="E562">
        <v>0</v>
      </c>
      <c r="F562" t="s">
        <v>458</v>
      </c>
      <c r="G562" t="s">
        <v>686</v>
      </c>
      <c r="H562" t="s">
        <v>396</v>
      </c>
      <c r="I562">
        <v>0.125</v>
      </c>
      <c r="J562">
        <v>1</v>
      </c>
      <c r="K562">
        <v>0</v>
      </c>
      <c r="L562" t="s">
        <v>28</v>
      </c>
      <c r="M562" t="s">
        <v>512</v>
      </c>
      <c r="N562" t="s">
        <v>514</v>
      </c>
      <c r="O562">
        <v>3.2510999999999994E-5</v>
      </c>
      <c r="P562">
        <v>9.4768675595238104E-5</v>
      </c>
      <c r="Q562">
        <v>1.2816249950000001E-2</v>
      </c>
      <c r="R562">
        <v>1.620902775E-2</v>
      </c>
      <c r="S562" s="101">
        <v>3.2510999999999994E-5</v>
      </c>
      <c r="T562" s="101">
        <v>9.4768675595238104E-5</v>
      </c>
      <c r="U562" s="101">
        <v>1.2816249950000001E-2</v>
      </c>
      <c r="V562" s="101">
        <v>1.620902775E-2</v>
      </c>
      <c r="W562">
        <v>0</v>
      </c>
      <c r="X562">
        <v>9.4768675595238109E-4</v>
      </c>
      <c r="Y562">
        <v>4.7384337797619053E-2</v>
      </c>
      <c r="Z562">
        <v>9.4768675595238105E-2</v>
      </c>
      <c r="AA562" t="s">
        <v>351</v>
      </c>
      <c r="AB562" t="str">
        <f t="shared" si="22"/>
        <v>OK</v>
      </c>
      <c r="AC562" t="str">
        <f t="shared" si="23"/>
        <v>OK</v>
      </c>
      <c r="AD562" t="str">
        <f t="shared" si="24"/>
        <v>OK</v>
      </c>
      <c r="AE562" t="str">
        <f t="shared" si="25"/>
        <v>OK</v>
      </c>
    </row>
    <row r="563" spans="1:31" x14ac:dyDescent="0.25">
      <c r="A563" t="s">
        <v>350</v>
      </c>
      <c r="B563">
        <v>100</v>
      </c>
      <c r="C563">
        <v>0</v>
      </c>
      <c r="D563">
        <v>1</v>
      </c>
      <c r="E563">
        <v>0</v>
      </c>
      <c r="F563" t="s">
        <v>458</v>
      </c>
      <c r="G563" t="s">
        <v>687</v>
      </c>
      <c r="H563" t="s">
        <v>396</v>
      </c>
      <c r="I563">
        <v>0.125</v>
      </c>
      <c r="J563">
        <v>1</v>
      </c>
      <c r="K563">
        <v>0</v>
      </c>
      <c r="L563" t="s">
        <v>28</v>
      </c>
      <c r="M563" t="s">
        <v>512</v>
      </c>
      <c r="N563" t="s">
        <v>514</v>
      </c>
      <c r="O563">
        <v>3.2510999999999994E-5</v>
      </c>
      <c r="P563">
        <v>9.4768675595238104E-5</v>
      </c>
      <c r="Q563">
        <v>6.4162499500000003E-3</v>
      </c>
      <c r="R563">
        <v>1.2209027749999999E-2</v>
      </c>
      <c r="S563" s="101">
        <v>3.2510999999999994E-5</v>
      </c>
      <c r="T563" s="101">
        <v>9.4768675595238104E-5</v>
      </c>
      <c r="U563" s="101">
        <v>6.4162499500000003E-3</v>
      </c>
      <c r="V563" s="101">
        <v>1.2209027749999999E-2</v>
      </c>
      <c r="W563">
        <v>0</v>
      </c>
      <c r="X563">
        <v>9.4768675595238109E-4</v>
      </c>
      <c r="Y563">
        <v>4.7384337797619053E-2</v>
      </c>
      <c r="Z563">
        <v>9.4768675595238105E-2</v>
      </c>
      <c r="AA563" t="s">
        <v>351</v>
      </c>
      <c r="AB563" t="str">
        <f t="shared" si="22"/>
        <v>OK</v>
      </c>
      <c r="AC563" t="str">
        <f t="shared" si="23"/>
        <v>OK</v>
      </c>
      <c r="AD563" t="str">
        <f t="shared" si="24"/>
        <v>OK</v>
      </c>
      <c r="AE563" t="str">
        <f t="shared" si="25"/>
        <v>OK</v>
      </c>
    </row>
    <row r="564" spans="1:31" x14ac:dyDescent="0.25">
      <c r="A564" t="s">
        <v>350</v>
      </c>
      <c r="B564">
        <v>100</v>
      </c>
      <c r="C564">
        <v>0</v>
      </c>
      <c r="D564">
        <v>1</v>
      </c>
      <c r="E564">
        <v>0</v>
      </c>
      <c r="F564" t="s">
        <v>458</v>
      </c>
      <c r="G564" t="s">
        <v>688</v>
      </c>
      <c r="H564" t="s">
        <v>396</v>
      </c>
      <c r="I564">
        <v>0.125</v>
      </c>
      <c r="J564">
        <v>1</v>
      </c>
      <c r="K564">
        <v>0</v>
      </c>
      <c r="L564" t="s">
        <v>28</v>
      </c>
      <c r="M564" t="s">
        <v>512</v>
      </c>
      <c r="N564" t="s">
        <v>514</v>
      </c>
      <c r="O564">
        <v>3.2510999999999994E-5</v>
      </c>
      <c r="P564">
        <v>9.4768675595238104E-5</v>
      </c>
      <c r="Q564">
        <v>5.2162499499999997E-3</v>
      </c>
      <c r="R564">
        <v>7.6090277499999996E-3</v>
      </c>
      <c r="S564" s="101">
        <v>3.2510999999999994E-5</v>
      </c>
      <c r="T564" s="101">
        <v>9.4768675595238104E-5</v>
      </c>
      <c r="U564" s="101">
        <v>5.2162499499999997E-3</v>
      </c>
      <c r="V564" s="101">
        <v>7.6090277499999996E-3</v>
      </c>
      <c r="W564">
        <v>0</v>
      </c>
      <c r="X564">
        <v>9.4768675595238109E-4</v>
      </c>
      <c r="Y564">
        <v>4.7384337797619053E-2</v>
      </c>
      <c r="Z564">
        <v>9.4768675595238105E-2</v>
      </c>
      <c r="AA564" t="s">
        <v>351</v>
      </c>
      <c r="AB564" t="str">
        <f t="shared" si="22"/>
        <v>OK</v>
      </c>
      <c r="AC564" t="str">
        <f t="shared" si="23"/>
        <v>OK</v>
      </c>
      <c r="AD564" t="str">
        <f t="shared" si="24"/>
        <v>OK</v>
      </c>
      <c r="AE564" t="str">
        <f t="shared" si="25"/>
        <v>OK</v>
      </c>
    </row>
    <row r="565" spans="1:31" x14ac:dyDescent="0.25">
      <c r="A565" t="s">
        <v>135</v>
      </c>
      <c r="B565">
        <v>100</v>
      </c>
      <c r="C565">
        <v>0</v>
      </c>
      <c r="D565">
        <v>1</v>
      </c>
      <c r="E565">
        <v>0</v>
      </c>
      <c r="F565" t="s">
        <v>458</v>
      </c>
      <c r="G565" t="s">
        <v>458</v>
      </c>
      <c r="H565" t="s">
        <v>396</v>
      </c>
      <c r="I565">
        <v>0.125</v>
      </c>
      <c r="J565">
        <v>1</v>
      </c>
      <c r="K565">
        <v>0</v>
      </c>
      <c r="L565" t="s">
        <v>28</v>
      </c>
      <c r="M565" t="s">
        <v>512</v>
      </c>
      <c r="N565" t="s">
        <v>514</v>
      </c>
      <c r="O565">
        <v>3.2510999999999994E-5</v>
      </c>
      <c r="P565">
        <v>8.8395665922619059E-5</v>
      </c>
      <c r="Q565">
        <v>1.1659999500000001E-3</v>
      </c>
      <c r="R565">
        <v>6.4777775000000003E-4</v>
      </c>
      <c r="S565" s="101">
        <v>3.2510999999999994E-5</v>
      </c>
      <c r="T565" s="101">
        <v>8.8395665922619059E-5</v>
      </c>
      <c r="U565" s="101">
        <v>1.1659999500000001E-3</v>
      </c>
      <c r="V565" s="101">
        <v>6.4777775000000003E-4</v>
      </c>
      <c r="W565">
        <v>0</v>
      </c>
      <c r="X565">
        <v>8.8395665922619054E-4</v>
      </c>
      <c r="Y565">
        <v>4.4197832961309531E-2</v>
      </c>
      <c r="Z565">
        <v>8.8395665922619063E-2</v>
      </c>
      <c r="AA565" t="s">
        <v>244</v>
      </c>
      <c r="AB565" t="str">
        <f t="shared" si="22"/>
        <v>OK</v>
      </c>
      <c r="AC565" t="str">
        <f t="shared" si="23"/>
        <v>OK</v>
      </c>
      <c r="AD565" t="str">
        <f t="shared" si="24"/>
        <v>OK</v>
      </c>
      <c r="AE565" t="str">
        <f t="shared" si="25"/>
        <v>OK</v>
      </c>
    </row>
    <row r="566" spans="1:31" x14ac:dyDescent="0.25">
      <c r="A566" t="s">
        <v>135</v>
      </c>
      <c r="B566">
        <v>100</v>
      </c>
      <c r="C566">
        <v>0</v>
      </c>
      <c r="D566">
        <v>1</v>
      </c>
      <c r="E566">
        <v>0</v>
      </c>
      <c r="F566" t="s">
        <v>458</v>
      </c>
      <c r="G566" t="s">
        <v>686</v>
      </c>
      <c r="H566" t="s">
        <v>396</v>
      </c>
      <c r="I566">
        <v>0.125</v>
      </c>
      <c r="J566">
        <v>1</v>
      </c>
      <c r="K566">
        <v>0</v>
      </c>
      <c r="L566" t="s">
        <v>28</v>
      </c>
      <c r="M566" t="s">
        <v>512</v>
      </c>
      <c r="N566" t="s">
        <v>514</v>
      </c>
      <c r="O566">
        <v>3.2510999999999994E-5</v>
      </c>
      <c r="P566">
        <v>8.8395665922619059E-5</v>
      </c>
      <c r="Q566">
        <v>2.1019999500000003E-3</v>
      </c>
      <c r="R566">
        <v>1.0877777499999999E-3</v>
      </c>
      <c r="S566" s="101">
        <v>3.2510999999999994E-5</v>
      </c>
      <c r="T566" s="101">
        <v>8.8395665922619059E-5</v>
      </c>
      <c r="U566" s="101">
        <v>2.1019999500000003E-3</v>
      </c>
      <c r="V566" s="101">
        <v>1.0877777499999999E-3</v>
      </c>
      <c r="W566">
        <v>0</v>
      </c>
      <c r="X566">
        <v>8.8395665922619054E-4</v>
      </c>
      <c r="Y566">
        <v>4.4197832961309531E-2</v>
      </c>
      <c r="Z566">
        <v>8.8395665922619063E-2</v>
      </c>
      <c r="AA566" t="s">
        <v>244</v>
      </c>
      <c r="AB566" t="str">
        <f t="shared" si="22"/>
        <v>OK</v>
      </c>
      <c r="AC566" t="str">
        <f t="shared" si="23"/>
        <v>OK</v>
      </c>
      <c r="AD566" t="str">
        <f t="shared" si="24"/>
        <v>OK</v>
      </c>
      <c r="AE566" t="str">
        <f t="shared" si="25"/>
        <v>OK</v>
      </c>
    </row>
    <row r="567" spans="1:31" x14ac:dyDescent="0.25">
      <c r="A567" t="s">
        <v>135</v>
      </c>
      <c r="B567">
        <v>100</v>
      </c>
      <c r="C567">
        <v>0</v>
      </c>
      <c r="D567">
        <v>1</v>
      </c>
      <c r="E567">
        <v>0</v>
      </c>
      <c r="F567" t="s">
        <v>458</v>
      </c>
      <c r="G567" t="s">
        <v>687</v>
      </c>
      <c r="H567" t="s">
        <v>396</v>
      </c>
      <c r="I567">
        <v>0.125</v>
      </c>
      <c r="J567">
        <v>1</v>
      </c>
      <c r="K567">
        <v>0</v>
      </c>
      <c r="L567" t="s">
        <v>28</v>
      </c>
      <c r="M567" t="s">
        <v>512</v>
      </c>
      <c r="N567" t="s">
        <v>514</v>
      </c>
      <c r="O567">
        <v>3.2510999999999994E-5</v>
      </c>
      <c r="P567">
        <v>8.8395665922619059E-5</v>
      </c>
      <c r="Q567">
        <v>1.1659999500000001E-3</v>
      </c>
      <c r="R567">
        <v>6.4777775000000003E-4</v>
      </c>
      <c r="S567" s="101">
        <v>3.2510999999999994E-5</v>
      </c>
      <c r="T567" s="101">
        <v>8.8395665922619059E-5</v>
      </c>
      <c r="U567" s="101">
        <v>1.1659999500000001E-3</v>
      </c>
      <c r="V567" s="101">
        <v>6.4777775000000003E-4</v>
      </c>
      <c r="W567">
        <v>0</v>
      </c>
      <c r="X567">
        <v>8.8395665922619054E-4</v>
      </c>
      <c r="Y567">
        <v>4.4197832961309531E-2</v>
      </c>
      <c r="Z567">
        <v>8.8395665922619063E-2</v>
      </c>
      <c r="AA567" t="s">
        <v>244</v>
      </c>
      <c r="AB567" t="str">
        <f t="shared" si="22"/>
        <v>OK</v>
      </c>
      <c r="AC567" t="str">
        <f t="shared" si="23"/>
        <v>OK</v>
      </c>
      <c r="AD567" t="str">
        <f t="shared" si="24"/>
        <v>OK</v>
      </c>
      <c r="AE567" t="str">
        <f t="shared" si="25"/>
        <v>OK</v>
      </c>
    </row>
    <row r="568" spans="1:31" x14ac:dyDescent="0.25">
      <c r="A568" t="s">
        <v>135</v>
      </c>
      <c r="B568">
        <v>100</v>
      </c>
      <c r="C568">
        <v>0</v>
      </c>
      <c r="D568">
        <v>1</v>
      </c>
      <c r="E568">
        <v>0</v>
      </c>
      <c r="F568" t="s">
        <v>458</v>
      </c>
      <c r="G568" t="s">
        <v>688</v>
      </c>
      <c r="H568" t="s">
        <v>396</v>
      </c>
      <c r="I568">
        <v>0.125</v>
      </c>
      <c r="J568">
        <v>1</v>
      </c>
      <c r="K568">
        <v>0</v>
      </c>
      <c r="L568" t="s">
        <v>28</v>
      </c>
      <c r="M568" t="s">
        <v>512</v>
      </c>
      <c r="N568" t="s">
        <v>514</v>
      </c>
      <c r="O568">
        <v>3.2510999999999994E-5</v>
      </c>
      <c r="P568">
        <v>8.8395665922619059E-5</v>
      </c>
      <c r="Q568">
        <v>9.2999995000000004E-4</v>
      </c>
      <c r="R568">
        <v>5.2777775000000004E-4</v>
      </c>
      <c r="S568" s="101">
        <v>3.2510999999999994E-5</v>
      </c>
      <c r="T568" s="101">
        <v>8.8395665922619059E-5</v>
      </c>
      <c r="U568" s="101">
        <v>9.2999995000000004E-4</v>
      </c>
      <c r="V568" s="101">
        <v>5.2777775000000004E-4</v>
      </c>
      <c r="W568">
        <v>0</v>
      </c>
      <c r="X568">
        <v>8.8395665922619054E-4</v>
      </c>
      <c r="Y568">
        <v>4.4197832961309531E-2</v>
      </c>
      <c r="Z568">
        <v>8.8395665922619063E-2</v>
      </c>
      <c r="AA568" t="s">
        <v>244</v>
      </c>
      <c r="AB568" t="str">
        <f t="shared" si="22"/>
        <v>OK</v>
      </c>
      <c r="AC568" t="str">
        <f t="shared" si="23"/>
        <v>OK</v>
      </c>
      <c r="AD568" t="str">
        <f t="shared" si="24"/>
        <v>OK</v>
      </c>
      <c r="AE568" t="str">
        <f t="shared" si="25"/>
        <v>OK</v>
      </c>
    </row>
    <row r="569" spans="1:31" x14ac:dyDescent="0.25">
      <c r="A569" t="s">
        <v>214</v>
      </c>
      <c r="B569">
        <v>100</v>
      </c>
      <c r="C569">
        <v>0</v>
      </c>
      <c r="D569">
        <v>1</v>
      </c>
      <c r="E569">
        <v>0</v>
      </c>
      <c r="F569" t="s">
        <v>458</v>
      </c>
      <c r="G569" t="s">
        <v>458</v>
      </c>
      <c r="H569" t="s">
        <v>396</v>
      </c>
      <c r="I569">
        <v>0.125</v>
      </c>
      <c r="J569">
        <v>1</v>
      </c>
      <c r="K569">
        <v>0</v>
      </c>
      <c r="L569" t="s">
        <v>28</v>
      </c>
      <c r="M569" t="s">
        <v>512</v>
      </c>
      <c r="N569" t="s">
        <v>514</v>
      </c>
      <c r="O569">
        <v>3.2510999999999994E-5</v>
      </c>
      <c r="P569">
        <v>3.3691666666666668E-5</v>
      </c>
      <c r="Q569">
        <v>3.7075000049999998E-3</v>
      </c>
      <c r="R569">
        <v>4.7597222250000005E-3</v>
      </c>
      <c r="S569" s="101">
        <v>3.2510999999999994E-5</v>
      </c>
      <c r="T569" s="101">
        <v>3.3691666666666668E-5</v>
      </c>
      <c r="U569" s="101">
        <v>3.7075000049999998E-3</v>
      </c>
      <c r="V569" s="101">
        <v>4.7597222250000005E-3</v>
      </c>
      <c r="W569">
        <v>0</v>
      </c>
      <c r="X569">
        <v>3.3691666666666668E-4</v>
      </c>
      <c r="Y569">
        <v>1.6845833333333334E-2</v>
      </c>
      <c r="Z569">
        <v>3.3691666666666668E-2</v>
      </c>
      <c r="AA569" t="s">
        <v>319</v>
      </c>
      <c r="AB569" t="str">
        <f t="shared" si="22"/>
        <v>OK</v>
      </c>
      <c r="AC569" t="str">
        <f t="shared" si="23"/>
        <v>OK</v>
      </c>
      <c r="AD569" t="str">
        <f t="shared" si="24"/>
        <v>OK</v>
      </c>
      <c r="AE569" t="str">
        <f t="shared" si="25"/>
        <v>OK</v>
      </c>
    </row>
    <row r="570" spans="1:31" x14ac:dyDescent="0.25">
      <c r="A570" t="s">
        <v>214</v>
      </c>
      <c r="B570">
        <v>100</v>
      </c>
      <c r="C570">
        <v>0</v>
      </c>
      <c r="D570">
        <v>1</v>
      </c>
      <c r="E570">
        <v>0</v>
      </c>
      <c r="F570" t="s">
        <v>458</v>
      </c>
      <c r="G570" t="s">
        <v>686</v>
      </c>
      <c r="H570" t="s">
        <v>396</v>
      </c>
      <c r="I570">
        <v>0.125</v>
      </c>
      <c r="J570">
        <v>1</v>
      </c>
      <c r="K570">
        <v>0</v>
      </c>
      <c r="L570" t="s">
        <v>28</v>
      </c>
      <c r="M570" t="s">
        <v>512</v>
      </c>
      <c r="N570" t="s">
        <v>514</v>
      </c>
      <c r="O570">
        <v>3.2510999999999994E-5</v>
      </c>
      <c r="P570">
        <v>3.3691666666666668E-5</v>
      </c>
      <c r="Q570">
        <v>7.3075000050000002E-3</v>
      </c>
      <c r="R570">
        <v>9.4597222249999998E-3</v>
      </c>
      <c r="S570" s="101">
        <v>3.2510999999999994E-5</v>
      </c>
      <c r="T570" s="101">
        <v>3.3691666666666668E-5</v>
      </c>
      <c r="U570" s="101">
        <v>7.3075000050000002E-3</v>
      </c>
      <c r="V570" s="101">
        <v>9.4597222249999998E-3</v>
      </c>
      <c r="W570">
        <v>0</v>
      </c>
      <c r="X570">
        <v>3.3691666666666668E-4</v>
      </c>
      <c r="Y570">
        <v>1.6845833333333334E-2</v>
      </c>
      <c r="Z570">
        <v>3.3691666666666668E-2</v>
      </c>
      <c r="AA570" t="s">
        <v>319</v>
      </c>
      <c r="AB570" t="str">
        <f t="shared" si="22"/>
        <v>OK</v>
      </c>
      <c r="AC570" t="str">
        <f t="shared" si="23"/>
        <v>OK</v>
      </c>
      <c r="AD570" t="str">
        <f t="shared" si="24"/>
        <v>OK</v>
      </c>
      <c r="AE570" t="str">
        <f t="shared" si="25"/>
        <v>OK</v>
      </c>
    </row>
    <row r="571" spans="1:31" x14ac:dyDescent="0.25">
      <c r="A571" t="s">
        <v>214</v>
      </c>
      <c r="B571">
        <v>100</v>
      </c>
      <c r="C571">
        <v>0</v>
      </c>
      <c r="D571">
        <v>1</v>
      </c>
      <c r="E571">
        <v>0</v>
      </c>
      <c r="F571" t="s">
        <v>458</v>
      </c>
      <c r="G571" t="s">
        <v>687</v>
      </c>
      <c r="H571" t="s">
        <v>396</v>
      </c>
      <c r="I571">
        <v>0.125</v>
      </c>
      <c r="J571">
        <v>1</v>
      </c>
      <c r="K571">
        <v>0</v>
      </c>
      <c r="L571" t="s">
        <v>28</v>
      </c>
      <c r="M571" t="s">
        <v>512</v>
      </c>
      <c r="N571" t="s">
        <v>514</v>
      </c>
      <c r="O571">
        <v>3.2510999999999994E-5</v>
      </c>
      <c r="P571">
        <v>3.3691666666666668E-5</v>
      </c>
      <c r="Q571">
        <v>3.7075000049999998E-3</v>
      </c>
      <c r="R571">
        <v>4.7597222250000005E-3</v>
      </c>
      <c r="S571" s="101">
        <v>3.2510999999999994E-5</v>
      </c>
      <c r="T571" s="101">
        <v>3.3691666666666668E-5</v>
      </c>
      <c r="U571" s="101">
        <v>3.7075000049999998E-3</v>
      </c>
      <c r="V571" s="101">
        <v>4.7597222250000005E-3</v>
      </c>
      <c r="W571">
        <v>0</v>
      </c>
      <c r="X571">
        <v>3.3691666666666668E-4</v>
      </c>
      <c r="Y571">
        <v>1.6845833333333334E-2</v>
      </c>
      <c r="Z571">
        <v>3.3691666666666668E-2</v>
      </c>
      <c r="AA571" t="s">
        <v>319</v>
      </c>
      <c r="AB571" t="str">
        <f t="shared" si="22"/>
        <v>OK</v>
      </c>
      <c r="AC571" t="str">
        <f t="shared" si="23"/>
        <v>OK</v>
      </c>
      <c r="AD571" t="str">
        <f t="shared" si="24"/>
        <v>OK</v>
      </c>
      <c r="AE571" t="str">
        <f t="shared" si="25"/>
        <v>OK</v>
      </c>
    </row>
    <row r="572" spans="1:31" x14ac:dyDescent="0.25">
      <c r="A572" t="s">
        <v>214</v>
      </c>
      <c r="B572">
        <v>100</v>
      </c>
      <c r="C572">
        <v>0</v>
      </c>
      <c r="D572">
        <v>1</v>
      </c>
      <c r="E572">
        <v>0</v>
      </c>
      <c r="F572" t="s">
        <v>458</v>
      </c>
      <c r="G572" t="s">
        <v>688</v>
      </c>
      <c r="H572" t="s">
        <v>396</v>
      </c>
      <c r="I572">
        <v>0.125</v>
      </c>
      <c r="J572">
        <v>1</v>
      </c>
      <c r="K572">
        <v>0</v>
      </c>
      <c r="L572" t="s">
        <v>28</v>
      </c>
      <c r="M572" t="s">
        <v>512</v>
      </c>
      <c r="N572" t="s">
        <v>514</v>
      </c>
      <c r="O572">
        <v>3.2510999999999994E-5</v>
      </c>
      <c r="P572">
        <v>3.3691666666666668E-5</v>
      </c>
      <c r="Q572">
        <v>2.3075000050000001E-3</v>
      </c>
      <c r="R572">
        <v>2.4597222249999997E-3</v>
      </c>
      <c r="S572" s="101">
        <v>3.2510999999999994E-5</v>
      </c>
      <c r="T572" s="101">
        <v>3.3691666666666668E-5</v>
      </c>
      <c r="U572" s="101">
        <v>2.3075000050000001E-3</v>
      </c>
      <c r="V572" s="101">
        <v>2.4597222249999997E-3</v>
      </c>
      <c r="W572">
        <v>0</v>
      </c>
      <c r="X572">
        <v>3.3691666666666668E-4</v>
      </c>
      <c r="Y572">
        <v>1.6845833333333334E-2</v>
      </c>
      <c r="Z572">
        <v>3.3691666666666668E-2</v>
      </c>
      <c r="AA572" t="s">
        <v>319</v>
      </c>
      <c r="AB572" t="str">
        <f t="shared" si="22"/>
        <v>OK</v>
      </c>
      <c r="AC572" t="str">
        <f t="shared" si="23"/>
        <v>OK</v>
      </c>
      <c r="AD572" t="str">
        <f t="shared" si="24"/>
        <v>OK</v>
      </c>
      <c r="AE572" t="str">
        <f t="shared" si="25"/>
        <v>OK</v>
      </c>
    </row>
    <row r="573" spans="1:31" x14ac:dyDescent="0.25">
      <c r="A573" t="s">
        <v>757</v>
      </c>
      <c r="B573">
        <v>100</v>
      </c>
      <c r="C573">
        <v>0</v>
      </c>
      <c r="D573">
        <v>1</v>
      </c>
      <c r="E573">
        <v>0</v>
      </c>
      <c r="F573" t="s">
        <v>458</v>
      </c>
      <c r="G573" t="s">
        <v>458</v>
      </c>
      <c r="H573" t="s">
        <v>396</v>
      </c>
      <c r="I573">
        <v>0.125</v>
      </c>
      <c r="J573">
        <v>1</v>
      </c>
      <c r="K573">
        <v>0</v>
      </c>
      <c r="L573" t="s">
        <v>28</v>
      </c>
      <c r="M573" t="s">
        <v>512</v>
      </c>
      <c r="N573" t="s">
        <v>514</v>
      </c>
      <c r="O573">
        <v>3.2510999999999994E-5</v>
      </c>
      <c r="P573">
        <v>8.9959207589285697E-5</v>
      </c>
      <c r="Q573">
        <v>5.5218749999999999E-3</v>
      </c>
      <c r="R573">
        <v>8.1812499999999993E-3</v>
      </c>
      <c r="S573" s="101">
        <v>3.2510999999999994E-5</v>
      </c>
      <c r="T573" s="101">
        <v>8.9959207589285697E-5</v>
      </c>
      <c r="U573" s="101">
        <v>5.5218749999999999E-3</v>
      </c>
      <c r="V573" s="101">
        <v>8.1812499999999993E-3</v>
      </c>
      <c r="W573">
        <v>0</v>
      </c>
      <c r="X573">
        <v>8.9959207589285694E-4</v>
      </c>
      <c r="Y573">
        <v>4.4979603794642851E-2</v>
      </c>
      <c r="Z573">
        <v>8.9959207589285703E-2</v>
      </c>
      <c r="AA573" t="s">
        <v>964</v>
      </c>
      <c r="AB573" t="str">
        <f t="shared" si="22"/>
        <v>OK</v>
      </c>
      <c r="AC573" t="str">
        <f t="shared" si="23"/>
        <v>OK</v>
      </c>
      <c r="AD573" t="str">
        <f t="shared" si="24"/>
        <v>OK</v>
      </c>
      <c r="AE573" t="str">
        <f t="shared" si="25"/>
        <v>OK</v>
      </c>
    </row>
    <row r="574" spans="1:31" x14ac:dyDescent="0.25">
      <c r="A574" t="s">
        <v>757</v>
      </c>
      <c r="B574">
        <v>100</v>
      </c>
      <c r="C574">
        <v>0</v>
      </c>
      <c r="D574">
        <v>1</v>
      </c>
      <c r="E574">
        <v>0</v>
      </c>
      <c r="F574" t="s">
        <v>458</v>
      </c>
      <c r="G574" t="s">
        <v>686</v>
      </c>
      <c r="H574" t="s">
        <v>396</v>
      </c>
      <c r="I574">
        <v>0.125</v>
      </c>
      <c r="J574">
        <v>1</v>
      </c>
      <c r="K574">
        <v>0</v>
      </c>
      <c r="L574" t="s">
        <v>28</v>
      </c>
      <c r="M574" t="s">
        <v>512</v>
      </c>
      <c r="N574" t="s">
        <v>514</v>
      </c>
      <c r="O574">
        <v>3.2510999999999994E-5</v>
      </c>
      <c r="P574">
        <v>8.9959207589285697E-5</v>
      </c>
      <c r="Q574">
        <v>1.0921875000000001E-2</v>
      </c>
      <c r="R574">
        <v>1.6281250000000001E-2</v>
      </c>
      <c r="S574" s="101">
        <v>3.2510999999999994E-5</v>
      </c>
      <c r="T574" s="101">
        <v>8.9959207589285697E-5</v>
      </c>
      <c r="U574" s="101">
        <v>1.0921875000000001E-2</v>
      </c>
      <c r="V574" s="101">
        <v>1.6281250000000001E-2</v>
      </c>
      <c r="W574">
        <v>0</v>
      </c>
      <c r="X574">
        <v>8.9959207589285694E-4</v>
      </c>
      <c r="Y574">
        <v>4.4979603794642851E-2</v>
      </c>
      <c r="Z574">
        <v>8.9959207589285703E-2</v>
      </c>
      <c r="AA574" t="s">
        <v>964</v>
      </c>
      <c r="AB574" t="str">
        <f t="shared" si="22"/>
        <v>OK</v>
      </c>
      <c r="AC574" t="str">
        <f t="shared" si="23"/>
        <v>OK</v>
      </c>
      <c r="AD574" t="str">
        <f t="shared" si="24"/>
        <v>OK</v>
      </c>
      <c r="AE574" t="str">
        <f t="shared" si="25"/>
        <v>OK</v>
      </c>
    </row>
    <row r="575" spans="1:31" x14ac:dyDescent="0.25">
      <c r="A575" t="s">
        <v>757</v>
      </c>
      <c r="B575">
        <v>100</v>
      </c>
      <c r="C575">
        <v>0</v>
      </c>
      <c r="D575">
        <v>1</v>
      </c>
      <c r="E575">
        <v>0</v>
      </c>
      <c r="F575" t="s">
        <v>458</v>
      </c>
      <c r="G575" t="s">
        <v>687</v>
      </c>
      <c r="H575" t="s">
        <v>396</v>
      </c>
      <c r="I575">
        <v>0.125</v>
      </c>
      <c r="J575">
        <v>1</v>
      </c>
      <c r="K575">
        <v>0</v>
      </c>
      <c r="L575" t="s">
        <v>28</v>
      </c>
      <c r="M575" t="s">
        <v>512</v>
      </c>
      <c r="N575" t="s">
        <v>514</v>
      </c>
      <c r="O575">
        <v>3.2510999999999994E-5</v>
      </c>
      <c r="P575">
        <v>8.9959207589285697E-5</v>
      </c>
      <c r="Q575">
        <v>5.5218749999999999E-3</v>
      </c>
      <c r="R575">
        <v>8.1812499999999993E-3</v>
      </c>
      <c r="S575" s="101">
        <v>3.2510999999999994E-5</v>
      </c>
      <c r="T575" s="101">
        <v>8.9959207589285697E-5</v>
      </c>
      <c r="U575" s="101">
        <v>5.5218749999999999E-3</v>
      </c>
      <c r="V575" s="101">
        <v>8.1812499999999993E-3</v>
      </c>
      <c r="W575">
        <v>0</v>
      </c>
      <c r="X575">
        <v>8.9959207589285694E-4</v>
      </c>
      <c r="Y575">
        <v>4.4979603794642851E-2</v>
      </c>
      <c r="Z575">
        <v>8.9959207589285703E-2</v>
      </c>
      <c r="AA575" t="s">
        <v>964</v>
      </c>
      <c r="AB575" t="str">
        <f t="shared" si="22"/>
        <v>OK</v>
      </c>
      <c r="AC575" t="str">
        <f t="shared" si="23"/>
        <v>OK</v>
      </c>
      <c r="AD575" t="str">
        <f t="shared" si="24"/>
        <v>OK</v>
      </c>
      <c r="AE575" t="str">
        <f t="shared" si="25"/>
        <v>OK</v>
      </c>
    </row>
    <row r="576" spans="1:31" x14ac:dyDescent="0.25">
      <c r="A576" t="s">
        <v>757</v>
      </c>
      <c r="B576">
        <v>100</v>
      </c>
      <c r="C576">
        <v>0</v>
      </c>
      <c r="D576">
        <v>1</v>
      </c>
      <c r="E576">
        <v>0</v>
      </c>
      <c r="F576" t="s">
        <v>458</v>
      </c>
      <c r="G576" t="s">
        <v>688</v>
      </c>
      <c r="H576" t="s">
        <v>396</v>
      </c>
      <c r="I576">
        <v>0.125</v>
      </c>
      <c r="J576">
        <v>1</v>
      </c>
      <c r="K576">
        <v>0</v>
      </c>
      <c r="L576" t="s">
        <v>28</v>
      </c>
      <c r="M576" t="s">
        <v>512</v>
      </c>
      <c r="N576" t="s">
        <v>514</v>
      </c>
      <c r="O576">
        <v>3.2510999999999994E-5</v>
      </c>
      <c r="P576">
        <v>8.9959207589285697E-5</v>
      </c>
      <c r="Q576">
        <v>3.921875E-3</v>
      </c>
      <c r="R576">
        <v>3.2812499999999999E-3</v>
      </c>
      <c r="S576" s="101">
        <v>3.2510999999999994E-5</v>
      </c>
      <c r="T576" s="101">
        <v>8.9959207589285697E-5</v>
      </c>
      <c r="U576" s="101">
        <v>3.921875E-3</v>
      </c>
      <c r="V576" s="101">
        <v>3.2812499999999999E-3</v>
      </c>
      <c r="W576">
        <v>0</v>
      </c>
      <c r="X576">
        <v>8.9959207589285694E-4</v>
      </c>
      <c r="Y576">
        <v>4.4979603794642851E-2</v>
      </c>
      <c r="Z576">
        <v>8.9959207589285703E-2</v>
      </c>
      <c r="AA576" t="s">
        <v>964</v>
      </c>
      <c r="AB576" t="str">
        <f t="shared" si="22"/>
        <v>OK</v>
      </c>
      <c r="AC576" t="str">
        <f t="shared" si="23"/>
        <v>OK</v>
      </c>
      <c r="AD576" t="str">
        <f t="shared" si="24"/>
        <v>OK</v>
      </c>
      <c r="AE576" t="str">
        <f t="shared" si="25"/>
        <v>OK</v>
      </c>
    </row>
    <row r="577" spans="1:31" x14ac:dyDescent="0.25">
      <c r="A577" t="s">
        <v>133</v>
      </c>
      <c r="B577">
        <v>100</v>
      </c>
      <c r="C577">
        <v>0</v>
      </c>
      <c r="D577">
        <v>1</v>
      </c>
      <c r="E577">
        <v>0</v>
      </c>
      <c r="F577" t="s">
        <v>458</v>
      </c>
      <c r="G577" t="s">
        <v>458</v>
      </c>
      <c r="H577" t="s">
        <v>396</v>
      </c>
      <c r="I577">
        <v>0.125</v>
      </c>
      <c r="J577">
        <v>1</v>
      </c>
      <c r="K577">
        <v>0</v>
      </c>
      <c r="L577" t="s">
        <v>28</v>
      </c>
      <c r="M577" t="s">
        <v>512</v>
      </c>
      <c r="N577" t="s">
        <v>514</v>
      </c>
      <c r="O577">
        <v>3.2510999999999994E-5</v>
      </c>
      <c r="P577">
        <v>3.3859356398809521E-5</v>
      </c>
      <c r="Q577">
        <v>5.4748957718750001E-3</v>
      </c>
      <c r="R577">
        <v>7.8699583087499993E-3</v>
      </c>
      <c r="S577" s="101">
        <v>3.2510999999999994E-5</v>
      </c>
      <c r="T577" s="101">
        <v>3.3859356398809521E-5</v>
      </c>
      <c r="U577" s="101">
        <v>5.4748957718750001E-3</v>
      </c>
      <c r="V577" s="101">
        <v>7.8699583087499993E-3</v>
      </c>
      <c r="W577">
        <v>0</v>
      </c>
      <c r="X577">
        <v>3.385935639880952E-4</v>
      </c>
      <c r="Y577">
        <v>1.692967819940476E-2</v>
      </c>
      <c r="Z577">
        <v>3.385935639880952E-2</v>
      </c>
      <c r="AA577" t="s">
        <v>314</v>
      </c>
      <c r="AB577" t="str">
        <f t="shared" si="22"/>
        <v>OK</v>
      </c>
      <c r="AC577" t="str">
        <f t="shared" si="23"/>
        <v>OK</v>
      </c>
      <c r="AD577" t="str">
        <f t="shared" si="24"/>
        <v>OK</v>
      </c>
      <c r="AE577" t="str">
        <f t="shared" si="25"/>
        <v>OK</v>
      </c>
    </row>
    <row r="578" spans="1:31" x14ac:dyDescent="0.25">
      <c r="A578" t="s">
        <v>133</v>
      </c>
      <c r="B578">
        <v>100</v>
      </c>
      <c r="C578">
        <v>0</v>
      </c>
      <c r="D578">
        <v>1</v>
      </c>
      <c r="E578">
        <v>0</v>
      </c>
      <c r="F578" t="s">
        <v>458</v>
      </c>
      <c r="G578" t="s">
        <v>686</v>
      </c>
      <c r="H578" t="s">
        <v>396</v>
      </c>
      <c r="I578">
        <v>0.125</v>
      </c>
      <c r="J578">
        <v>1</v>
      </c>
      <c r="K578">
        <v>0</v>
      </c>
      <c r="L578" t="s">
        <v>28</v>
      </c>
      <c r="M578" t="s">
        <v>512</v>
      </c>
      <c r="N578" t="s">
        <v>514</v>
      </c>
      <c r="O578">
        <v>3.2510999999999994E-5</v>
      </c>
      <c r="P578">
        <v>3.3859356398809521E-5</v>
      </c>
      <c r="Q578">
        <v>1.0774895771874999E-2</v>
      </c>
      <c r="R578">
        <v>1.546995830875E-2</v>
      </c>
      <c r="S578" s="101">
        <v>3.2510999999999994E-5</v>
      </c>
      <c r="T578" s="101">
        <v>3.3859356398809521E-5</v>
      </c>
      <c r="U578" s="101">
        <v>1.0774895771874999E-2</v>
      </c>
      <c r="V578" s="101">
        <v>1.546995830875E-2</v>
      </c>
      <c r="W578">
        <v>0</v>
      </c>
      <c r="X578">
        <v>3.385935639880952E-4</v>
      </c>
      <c r="Y578">
        <v>1.692967819940476E-2</v>
      </c>
      <c r="Z578">
        <v>3.385935639880952E-2</v>
      </c>
      <c r="AA578" t="s">
        <v>314</v>
      </c>
      <c r="AB578" t="str">
        <f t="shared" si="22"/>
        <v>OK</v>
      </c>
      <c r="AC578" t="str">
        <f t="shared" si="23"/>
        <v>OK</v>
      </c>
      <c r="AD578" t="str">
        <f t="shared" si="24"/>
        <v>OK</v>
      </c>
      <c r="AE578" t="str">
        <f t="shared" si="25"/>
        <v>OK</v>
      </c>
    </row>
    <row r="579" spans="1:31" x14ac:dyDescent="0.25">
      <c r="A579" t="s">
        <v>133</v>
      </c>
      <c r="B579">
        <v>100</v>
      </c>
      <c r="C579">
        <v>0</v>
      </c>
      <c r="D579">
        <v>1</v>
      </c>
      <c r="E579">
        <v>0</v>
      </c>
      <c r="F579" t="s">
        <v>458</v>
      </c>
      <c r="G579" t="s">
        <v>687</v>
      </c>
      <c r="H579" t="s">
        <v>396</v>
      </c>
      <c r="I579">
        <v>0.125</v>
      </c>
      <c r="J579">
        <v>1</v>
      </c>
      <c r="K579">
        <v>0</v>
      </c>
      <c r="L579" t="s">
        <v>28</v>
      </c>
      <c r="M579" t="s">
        <v>512</v>
      </c>
      <c r="N579" t="s">
        <v>514</v>
      </c>
      <c r="O579">
        <v>3.2510999999999994E-5</v>
      </c>
      <c r="P579">
        <v>3.3859356398809521E-5</v>
      </c>
      <c r="Q579">
        <v>5.4748957718750001E-3</v>
      </c>
      <c r="R579">
        <v>7.8699583087499993E-3</v>
      </c>
      <c r="S579" s="101">
        <v>3.2510999999999994E-5</v>
      </c>
      <c r="T579" s="101">
        <v>3.3859356398809521E-5</v>
      </c>
      <c r="U579" s="101">
        <v>5.4748957718750001E-3</v>
      </c>
      <c r="V579" s="101">
        <v>7.8699583087499993E-3</v>
      </c>
      <c r="W579">
        <v>0</v>
      </c>
      <c r="X579">
        <v>3.385935639880952E-4</v>
      </c>
      <c r="Y579">
        <v>1.692967819940476E-2</v>
      </c>
      <c r="Z579">
        <v>3.385935639880952E-2</v>
      </c>
      <c r="AA579" t="s">
        <v>314</v>
      </c>
      <c r="AB579" t="str">
        <f t="shared" si="22"/>
        <v>OK</v>
      </c>
      <c r="AC579" t="str">
        <f t="shared" si="23"/>
        <v>OK</v>
      </c>
      <c r="AD579" t="str">
        <f t="shared" si="24"/>
        <v>OK</v>
      </c>
      <c r="AE579" t="str">
        <f t="shared" si="25"/>
        <v>OK</v>
      </c>
    </row>
    <row r="580" spans="1:31" x14ac:dyDescent="0.25">
      <c r="A580" t="s">
        <v>133</v>
      </c>
      <c r="B580">
        <v>100</v>
      </c>
      <c r="C580">
        <v>0</v>
      </c>
      <c r="D580">
        <v>1</v>
      </c>
      <c r="E580">
        <v>0</v>
      </c>
      <c r="F580" t="s">
        <v>458</v>
      </c>
      <c r="G580" t="s">
        <v>688</v>
      </c>
      <c r="H580" t="s">
        <v>396</v>
      </c>
      <c r="I580">
        <v>0.125</v>
      </c>
      <c r="J580">
        <v>1</v>
      </c>
      <c r="K580">
        <v>0</v>
      </c>
      <c r="L580" t="s">
        <v>28</v>
      </c>
      <c r="M580" t="s">
        <v>512</v>
      </c>
      <c r="N580" t="s">
        <v>514</v>
      </c>
      <c r="O580">
        <v>3.2510999999999994E-5</v>
      </c>
      <c r="P580">
        <v>3.3859356398809521E-5</v>
      </c>
      <c r="Q580">
        <v>3.6748957718750002E-3</v>
      </c>
      <c r="R580">
        <v>2.9699583087499999E-3</v>
      </c>
      <c r="S580" s="101">
        <v>3.2510999999999994E-5</v>
      </c>
      <c r="T580" s="101">
        <v>3.3859356398809521E-5</v>
      </c>
      <c r="U580" s="101">
        <v>3.6748957718750002E-3</v>
      </c>
      <c r="V580" s="101">
        <v>2.9699583087499999E-3</v>
      </c>
      <c r="W580">
        <v>0</v>
      </c>
      <c r="X580">
        <v>3.385935639880952E-4</v>
      </c>
      <c r="Y580">
        <v>1.692967819940476E-2</v>
      </c>
      <c r="Z580">
        <v>3.385935639880952E-2</v>
      </c>
      <c r="AA580" t="s">
        <v>314</v>
      </c>
      <c r="AB580" t="str">
        <f t="shared" si="22"/>
        <v>OK</v>
      </c>
      <c r="AC580" t="str">
        <f t="shared" si="23"/>
        <v>OK</v>
      </c>
      <c r="AD580" t="str">
        <f t="shared" si="24"/>
        <v>OK</v>
      </c>
      <c r="AE580" t="str">
        <f t="shared" si="25"/>
        <v>OK</v>
      </c>
    </row>
    <row r="581" spans="1:31" x14ac:dyDescent="0.25">
      <c r="A581" t="s">
        <v>367</v>
      </c>
      <c r="B581">
        <v>100</v>
      </c>
      <c r="C581">
        <v>0</v>
      </c>
      <c r="D581">
        <v>1</v>
      </c>
      <c r="E581">
        <v>0</v>
      </c>
      <c r="F581" t="s">
        <v>458</v>
      </c>
      <c r="G581" t="s">
        <v>458</v>
      </c>
      <c r="H581" t="s">
        <v>396</v>
      </c>
      <c r="I581">
        <v>0.125</v>
      </c>
      <c r="J581">
        <v>1</v>
      </c>
      <c r="K581">
        <v>0</v>
      </c>
      <c r="L581" t="s">
        <v>28</v>
      </c>
      <c r="M581" t="s">
        <v>512</v>
      </c>
      <c r="N581" t="s">
        <v>514</v>
      </c>
      <c r="O581">
        <v>3.2510999999999994E-5</v>
      </c>
      <c r="P581">
        <v>7.1365364583333337E-5</v>
      </c>
      <c r="Q581">
        <v>7.8196873968750004E-3</v>
      </c>
      <c r="R581">
        <v>1.0527874958749999E-2</v>
      </c>
      <c r="S581" s="101">
        <v>3.2510999999999994E-5</v>
      </c>
      <c r="T581" s="101">
        <v>7.1365364583333337E-5</v>
      </c>
      <c r="U581" s="101">
        <v>7.8196873968750004E-3</v>
      </c>
      <c r="V581" s="101">
        <v>1.0527874958749999E-2</v>
      </c>
      <c r="W581">
        <v>0</v>
      </c>
      <c r="X581">
        <v>7.1365364583333339E-4</v>
      </c>
      <c r="Y581">
        <v>3.568268229166667E-2</v>
      </c>
      <c r="Z581">
        <v>7.1365364583333341E-2</v>
      </c>
      <c r="AA581" t="s">
        <v>368</v>
      </c>
      <c r="AB581" t="str">
        <f t="shared" si="22"/>
        <v>OK</v>
      </c>
      <c r="AC581" t="str">
        <f t="shared" si="23"/>
        <v>OK</v>
      </c>
      <c r="AD581" t="str">
        <f t="shared" si="24"/>
        <v>OK</v>
      </c>
      <c r="AE581" t="str">
        <f t="shared" si="25"/>
        <v>OK</v>
      </c>
    </row>
    <row r="582" spans="1:31" x14ac:dyDescent="0.25">
      <c r="A582" t="s">
        <v>367</v>
      </c>
      <c r="B582">
        <v>100</v>
      </c>
      <c r="C582">
        <v>0</v>
      </c>
      <c r="D582">
        <v>1</v>
      </c>
      <c r="E582">
        <v>0</v>
      </c>
      <c r="F582" t="s">
        <v>458</v>
      </c>
      <c r="G582" t="s">
        <v>686</v>
      </c>
      <c r="H582" t="s">
        <v>396</v>
      </c>
      <c r="I582">
        <v>0.125</v>
      </c>
      <c r="J582">
        <v>1</v>
      </c>
      <c r="K582">
        <v>0</v>
      </c>
      <c r="L582" t="s">
        <v>28</v>
      </c>
      <c r="M582" t="s">
        <v>512</v>
      </c>
      <c r="N582" t="s">
        <v>514</v>
      </c>
      <c r="O582">
        <v>3.2510999999999994E-5</v>
      </c>
      <c r="P582">
        <v>7.1365364583333337E-5</v>
      </c>
      <c r="Q582">
        <v>1.5319687396875E-2</v>
      </c>
      <c r="R582">
        <v>2.0927874958749999E-2</v>
      </c>
      <c r="S582" s="101">
        <v>3.2510999999999994E-5</v>
      </c>
      <c r="T582" s="101">
        <v>7.1365364583333337E-5</v>
      </c>
      <c r="U582" s="101">
        <v>1.5319687396875E-2</v>
      </c>
      <c r="V582" s="101">
        <v>2.0927874958749999E-2</v>
      </c>
      <c r="W582">
        <v>0</v>
      </c>
      <c r="X582">
        <v>7.1365364583333339E-4</v>
      </c>
      <c r="Y582">
        <v>3.568268229166667E-2</v>
      </c>
      <c r="Z582">
        <v>7.1365364583333341E-2</v>
      </c>
      <c r="AA582" t="s">
        <v>368</v>
      </c>
      <c r="AB582" t="str">
        <f t="shared" si="22"/>
        <v>OK</v>
      </c>
      <c r="AC582" t="str">
        <f t="shared" si="23"/>
        <v>OK</v>
      </c>
      <c r="AD582" t="str">
        <f t="shared" si="24"/>
        <v>OK</v>
      </c>
      <c r="AE582" t="str">
        <f t="shared" si="25"/>
        <v>OK</v>
      </c>
    </row>
    <row r="583" spans="1:31" x14ac:dyDescent="0.25">
      <c r="A583" t="s">
        <v>367</v>
      </c>
      <c r="B583">
        <v>100</v>
      </c>
      <c r="C583">
        <v>0</v>
      </c>
      <c r="D583">
        <v>1</v>
      </c>
      <c r="E583">
        <v>0</v>
      </c>
      <c r="F583" t="s">
        <v>458</v>
      </c>
      <c r="G583" t="s">
        <v>687</v>
      </c>
      <c r="H583" t="s">
        <v>396</v>
      </c>
      <c r="I583">
        <v>0.125</v>
      </c>
      <c r="J583">
        <v>1</v>
      </c>
      <c r="K583">
        <v>0</v>
      </c>
      <c r="L583" t="s">
        <v>28</v>
      </c>
      <c r="M583" t="s">
        <v>512</v>
      </c>
      <c r="N583" t="s">
        <v>514</v>
      </c>
      <c r="O583">
        <v>3.2510999999999994E-5</v>
      </c>
      <c r="P583">
        <v>7.1365364583333337E-5</v>
      </c>
      <c r="Q583">
        <v>7.8196873968750004E-3</v>
      </c>
      <c r="R583">
        <v>1.0527874958749999E-2</v>
      </c>
      <c r="S583" s="101">
        <v>3.2510999999999994E-5</v>
      </c>
      <c r="T583" s="101">
        <v>7.1365364583333337E-5</v>
      </c>
      <c r="U583" s="101">
        <v>7.8196873968750004E-3</v>
      </c>
      <c r="V583" s="101">
        <v>1.0527874958749999E-2</v>
      </c>
      <c r="W583">
        <v>0</v>
      </c>
      <c r="X583">
        <v>7.1365364583333339E-4</v>
      </c>
      <c r="Y583">
        <v>3.568268229166667E-2</v>
      </c>
      <c r="Z583">
        <v>7.1365364583333341E-2</v>
      </c>
      <c r="AA583" t="s">
        <v>368</v>
      </c>
      <c r="AB583" t="str">
        <f t="shared" si="22"/>
        <v>OK</v>
      </c>
      <c r="AC583" t="str">
        <f t="shared" si="23"/>
        <v>OK</v>
      </c>
      <c r="AD583" t="str">
        <f t="shared" si="24"/>
        <v>OK</v>
      </c>
      <c r="AE583" t="str">
        <f t="shared" si="25"/>
        <v>OK</v>
      </c>
    </row>
    <row r="584" spans="1:31" x14ac:dyDescent="0.25">
      <c r="A584" t="s">
        <v>367</v>
      </c>
      <c r="B584">
        <v>100</v>
      </c>
      <c r="C584">
        <v>0</v>
      </c>
      <c r="D584">
        <v>1</v>
      </c>
      <c r="E584">
        <v>0</v>
      </c>
      <c r="F584" t="s">
        <v>458</v>
      </c>
      <c r="G584" t="s">
        <v>688</v>
      </c>
      <c r="H584" t="s">
        <v>396</v>
      </c>
      <c r="I584">
        <v>0.125</v>
      </c>
      <c r="J584">
        <v>1</v>
      </c>
      <c r="K584">
        <v>0</v>
      </c>
      <c r="L584" t="s">
        <v>28</v>
      </c>
      <c r="M584" t="s">
        <v>512</v>
      </c>
      <c r="N584" t="s">
        <v>514</v>
      </c>
      <c r="O584">
        <v>3.2510999999999994E-5</v>
      </c>
      <c r="P584">
        <v>7.1365364583333337E-5</v>
      </c>
      <c r="Q584">
        <v>5.5196873968749996E-3</v>
      </c>
      <c r="R584">
        <v>4.327874958750001E-3</v>
      </c>
      <c r="S584" s="101">
        <v>3.2510999999999994E-5</v>
      </c>
      <c r="T584" s="101">
        <v>7.1365364583333337E-5</v>
      </c>
      <c r="U584" s="101">
        <v>5.5196873968749996E-3</v>
      </c>
      <c r="V584" s="101">
        <v>4.327874958750001E-3</v>
      </c>
      <c r="W584">
        <v>0</v>
      </c>
      <c r="X584">
        <v>7.1365364583333339E-4</v>
      </c>
      <c r="Y584">
        <v>3.568268229166667E-2</v>
      </c>
      <c r="Z584">
        <v>7.1365364583333341E-2</v>
      </c>
      <c r="AA584" t="s">
        <v>368</v>
      </c>
      <c r="AB584" t="str">
        <f t="shared" si="22"/>
        <v>OK</v>
      </c>
      <c r="AC584" t="str">
        <f t="shared" si="23"/>
        <v>OK</v>
      </c>
      <c r="AD584" t="str">
        <f t="shared" si="24"/>
        <v>OK</v>
      </c>
      <c r="AE584" t="str">
        <f t="shared" si="25"/>
        <v>OK</v>
      </c>
    </row>
    <row r="585" spans="1:31" x14ac:dyDescent="0.25">
      <c r="A585" t="s">
        <v>369</v>
      </c>
      <c r="B585">
        <v>100</v>
      </c>
      <c r="C585">
        <v>0</v>
      </c>
      <c r="D585">
        <v>1</v>
      </c>
      <c r="E585">
        <v>0</v>
      </c>
      <c r="F585" t="s">
        <v>458</v>
      </c>
      <c r="G585" t="s">
        <v>458</v>
      </c>
      <c r="H585" t="s">
        <v>396</v>
      </c>
      <c r="I585">
        <v>0.125</v>
      </c>
      <c r="J585">
        <v>1</v>
      </c>
      <c r="K585">
        <v>0</v>
      </c>
      <c r="L585" t="s">
        <v>28</v>
      </c>
      <c r="M585" t="s">
        <v>512</v>
      </c>
      <c r="N585" t="s">
        <v>514</v>
      </c>
      <c r="O585">
        <v>3.2510999999999994E-5</v>
      </c>
      <c r="P585">
        <v>3.3859356398809521E-5</v>
      </c>
      <c r="Q585">
        <v>5.5308624188749999E-3</v>
      </c>
      <c r="R585">
        <v>7.8699583087499993E-3</v>
      </c>
      <c r="S585" s="101">
        <v>3.2510999999999994E-5</v>
      </c>
      <c r="T585" s="101">
        <v>3.3859356398809521E-5</v>
      </c>
      <c r="U585" s="101">
        <v>5.5308624188749999E-3</v>
      </c>
      <c r="V585" s="101">
        <v>7.8699583087499993E-3</v>
      </c>
      <c r="W585">
        <v>0</v>
      </c>
      <c r="X585">
        <v>3.385935639880952E-4</v>
      </c>
      <c r="Y585">
        <v>1.692967819940476E-2</v>
      </c>
      <c r="Z585">
        <v>3.385935639880952E-2</v>
      </c>
      <c r="AA585" t="s">
        <v>371</v>
      </c>
      <c r="AB585" t="str">
        <f t="shared" si="22"/>
        <v>OK</v>
      </c>
      <c r="AC585" t="str">
        <f t="shared" si="23"/>
        <v>OK</v>
      </c>
      <c r="AD585" t="str">
        <f t="shared" si="24"/>
        <v>OK</v>
      </c>
      <c r="AE585" t="str">
        <f t="shared" si="25"/>
        <v>OK</v>
      </c>
    </row>
    <row r="586" spans="1:31" x14ac:dyDescent="0.25">
      <c r="A586" t="s">
        <v>369</v>
      </c>
      <c r="B586">
        <v>100</v>
      </c>
      <c r="C586">
        <v>0</v>
      </c>
      <c r="D586">
        <v>1</v>
      </c>
      <c r="E586">
        <v>0</v>
      </c>
      <c r="F586" t="s">
        <v>458</v>
      </c>
      <c r="G586" t="s">
        <v>686</v>
      </c>
      <c r="H586" t="s">
        <v>396</v>
      </c>
      <c r="I586">
        <v>0.125</v>
      </c>
      <c r="J586">
        <v>1</v>
      </c>
      <c r="K586">
        <v>0</v>
      </c>
      <c r="L586" t="s">
        <v>28</v>
      </c>
      <c r="M586" t="s">
        <v>512</v>
      </c>
      <c r="N586" t="s">
        <v>514</v>
      </c>
      <c r="O586">
        <v>3.2510999999999994E-5</v>
      </c>
      <c r="P586">
        <v>3.3859356398809521E-5</v>
      </c>
      <c r="Q586">
        <v>1.0830862418875001E-2</v>
      </c>
      <c r="R586">
        <v>1.546995830875E-2</v>
      </c>
      <c r="S586" s="101">
        <v>3.2510999999999994E-5</v>
      </c>
      <c r="T586" s="101">
        <v>3.3859356398809521E-5</v>
      </c>
      <c r="U586" s="101">
        <v>1.0830862418875001E-2</v>
      </c>
      <c r="V586" s="101">
        <v>1.546995830875E-2</v>
      </c>
      <c r="W586">
        <v>0</v>
      </c>
      <c r="X586">
        <v>3.385935639880952E-4</v>
      </c>
      <c r="Y586">
        <v>1.692967819940476E-2</v>
      </c>
      <c r="Z586">
        <v>3.385935639880952E-2</v>
      </c>
      <c r="AA586" t="s">
        <v>371</v>
      </c>
      <c r="AB586" t="str">
        <f t="shared" si="22"/>
        <v>OK</v>
      </c>
      <c r="AC586" t="str">
        <f t="shared" si="23"/>
        <v>OK</v>
      </c>
      <c r="AD586" t="str">
        <f t="shared" si="24"/>
        <v>OK</v>
      </c>
      <c r="AE586" t="str">
        <f t="shared" si="25"/>
        <v>OK</v>
      </c>
    </row>
    <row r="587" spans="1:31" x14ac:dyDescent="0.25">
      <c r="A587" t="s">
        <v>369</v>
      </c>
      <c r="B587">
        <v>100</v>
      </c>
      <c r="C587">
        <v>0</v>
      </c>
      <c r="D587">
        <v>1</v>
      </c>
      <c r="E587">
        <v>0</v>
      </c>
      <c r="F587" t="s">
        <v>458</v>
      </c>
      <c r="G587" t="s">
        <v>687</v>
      </c>
      <c r="H587" t="s">
        <v>396</v>
      </c>
      <c r="I587">
        <v>0.125</v>
      </c>
      <c r="J587">
        <v>1</v>
      </c>
      <c r="K587">
        <v>0</v>
      </c>
      <c r="L587" t="s">
        <v>28</v>
      </c>
      <c r="M587" t="s">
        <v>512</v>
      </c>
      <c r="N587" t="s">
        <v>514</v>
      </c>
      <c r="O587">
        <v>3.2510999999999994E-5</v>
      </c>
      <c r="P587">
        <v>3.3859356398809521E-5</v>
      </c>
      <c r="Q587">
        <v>5.5308624188749999E-3</v>
      </c>
      <c r="R587">
        <v>7.8699583087499993E-3</v>
      </c>
      <c r="S587" s="101">
        <v>3.2510999999999994E-5</v>
      </c>
      <c r="T587" s="101">
        <v>3.3859356398809521E-5</v>
      </c>
      <c r="U587" s="101">
        <v>5.5308624188749999E-3</v>
      </c>
      <c r="V587" s="101">
        <v>7.8699583087499993E-3</v>
      </c>
      <c r="W587">
        <v>0</v>
      </c>
      <c r="X587">
        <v>3.385935639880952E-4</v>
      </c>
      <c r="Y587">
        <v>1.692967819940476E-2</v>
      </c>
      <c r="Z587">
        <v>3.385935639880952E-2</v>
      </c>
      <c r="AA587" t="s">
        <v>371</v>
      </c>
      <c r="AB587" t="str">
        <f t="shared" si="22"/>
        <v>OK</v>
      </c>
      <c r="AC587" t="str">
        <f t="shared" si="23"/>
        <v>OK</v>
      </c>
      <c r="AD587" t="str">
        <f t="shared" si="24"/>
        <v>OK</v>
      </c>
      <c r="AE587" t="str">
        <f t="shared" si="25"/>
        <v>OK</v>
      </c>
    </row>
    <row r="588" spans="1:31" x14ac:dyDescent="0.25">
      <c r="A588" t="s">
        <v>369</v>
      </c>
      <c r="B588">
        <v>100</v>
      </c>
      <c r="C588">
        <v>0</v>
      </c>
      <c r="D588">
        <v>1</v>
      </c>
      <c r="E588">
        <v>0</v>
      </c>
      <c r="F588" t="s">
        <v>458</v>
      </c>
      <c r="G588" t="s">
        <v>688</v>
      </c>
      <c r="H588" t="s">
        <v>396</v>
      </c>
      <c r="I588">
        <v>0.125</v>
      </c>
      <c r="J588">
        <v>1</v>
      </c>
      <c r="K588">
        <v>0</v>
      </c>
      <c r="L588" t="s">
        <v>28</v>
      </c>
      <c r="M588" t="s">
        <v>512</v>
      </c>
      <c r="N588" t="s">
        <v>514</v>
      </c>
      <c r="O588">
        <v>3.2510999999999994E-5</v>
      </c>
      <c r="P588">
        <v>3.3859356398809521E-5</v>
      </c>
      <c r="Q588">
        <v>3.7308624188749999E-3</v>
      </c>
      <c r="R588">
        <v>2.8699583087500001E-3</v>
      </c>
      <c r="S588" s="101">
        <v>3.2510999999999994E-5</v>
      </c>
      <c r="T588" s="101">
        <v>3.3859356398809521E-5</v>
      </c>
      <c r="U588" s="101">
        <v>3.7308624188749999E-3</v>
      </c>
      <c r="V588" s="101">
        <v>2.8699583087500001E-3</v>
      </c>
      <c r="W588">
        <v>0</v>
      </c>
      <c r="X588">
        <v>3.385935639880952E-4</v>
      </c>
      <c r="Y588">
        <v>1.692967819940476E-2</v>
      </c>
      <c r="Z588">
        <v>3.385935639880952E-2</v>
      </c>
      <c r="AA588" t="s">
        <v>371</v>
      </c>
      <c r="AB588" t="str">
        <f t="shared" si="22"/>
        <v>OK</v>
      </c>
      <c r="AC588" t="str">
        <f t="shared" si="23"/>
        <v>OK</v>
      </c>
      <c r="AD588" t="str">
        <f t="shared" si="24"/>
        <v>OK</v>
      </c>
      <c r="AE588" t="str">
        <f t="shared" si="25"/>
        <v>OK</v>
      </c>
    </row>
    <row r="589" spans="1:31" x14ac:dyDescent="0.25">
      <c r="A589" t="s">
        <v>370</v>
      </c>
      <c r="B589">
        <v>100</v>
      </c>
      <c r="C589">
        <v>0</v>
      </c>
      <c r="D589">
        <v>1</v>
      </c>
      <c r="E589">
        <v>0</v>
      </c>
      <c r="F589" t="s">
        <v>458</v>
      </c>
      <c r="G589" t="s">
        <v>458</v>
      </c>
      <c r="H589" t="s">
        <v>396</v>
      </c>
      <c r="I589">
        <v>0.125</v>
      </c>
      <c r="J589">
        <v>1</v>
      </c>
      <c r="K589">
        <v>0</v>
      </c>
      <c r="L589" t="s">
        <v>28</v>
      </c>
      <c r="M589" t="s">
        <v>512</v>
      </c>
      <c r="N589" t="s">
        <v>514</v>
      </c>
      <c r="O589">
        <v>3.2510999999999994E-5</v>
      </c>
      <c r="P589">
        <v>7.1365364583333337E-5</v>
      </c>
      <c r="Q589">
        <v>7.9219873638749997E-3</v>
      </c>
      <c r="R589">
        <v>1.0527874958749999E-2</v>
      </c>
      <c r="S589" s="101">
        <v>3.2510999999999994E-5</v>
      </c>
      <c r="T589" s="101">
        <v>7.1365364583333337E-5</v>
      </c>
      <c r="U589" s="101">
        <v>7.9219873638749997E-3</v>
      </c>
      <c r="V589" s="101">
        <v>1.0527874958749999E-2</v>
      </c>
      <c r="W589">
        <v>0</v>
      </c>
      <c r="X589">
        <v>7.1365364583333339E-4</v>
      </c>
      <c r="Y589">
        <v>3.568268229166667E-2</v>
      </c>
      <c r="Z589">
        <v>7.1365364583333341E-2</v>
      </c>
      <c r="AA589" t="s">
        <v>372</v>
      </c>
      <c r="AB589" t="str">
        <f t="shared" si="22"/>
        <v>OK</v>
      </c>
      <c r="AC589" t="str">
        <f t="shared" si="23"/>
        <v>OK</v>
      </c>
      <c r="AD589" t="str">
        <f t="shared" si="24"/>
        <v>OK</v>
      </c>
      <c r="AE589" t="str">
        <f t="shared" si="25"/>
        <v>OK</v>
      </c>
    </row>
    <row r="590" spans="1:31" x14ac:dyDescent="0.25">
      <c r="A590" t="s">
        <v>370</v>
      </c>
      <c r="B590">
        <v>100</v>
      </c>
      <c r="C590">
        <v>0</v>
      </c>
      <c r="D590">
        <v>1</v>
      </c>
      <c r="E590">
        <v>0</v>
      </c>
      <c r="F590" t="s">
        <v>458</v>
      </c>
      <c r="G590" t="s">
        <v>686</v>
      </c>
      <c r="H590" t="s">
        <v>396</v>
      </c>
      <c r="I590">
        <v>0.125</v>
      </c>
      <c r="J590">
        <v>1</v>
      </c>
      <c r="K590">
        <v>0</v>
      </c>
      <c r="L590" t="s">
        <v>28</v>
      </c>
      <c r="M590" t="s">
        <v>512</v>
      </c>
      <c r="N590" t="s">
        <v>514</v>
      </c>
      <c r="O590">
        <v>3.2510999999999994E-5</v>
      </c>
      <c r="P590">
        <v>7.1365364583333337E-5</v>
      </c>
      <c r="Q590">
        <v>1.5421987363874999E-2</v>
      </c>
      <c r="R590">
        <v>2.0927874958749999E-2</v>
      </c>
      <c r="S590" s="101">
        <v>3.2510999999999994E-5</v>
      </c>
      <c r="T590" s="101">
        <v>7.1365364583333337E-5</v>
      </c>
      <c r="U590" s="101">
        <v>1.5421987363874999E-2</v>
      </c>
      <c r="V590" s="101">
        <v>2.0927874958749999E-2</v>
      </c>
      <c r="W590">
        <v>0</v>
      </c>
      <c r="X590">
        <v>7.1365364583333339E-4</v>
      </c>
      <c r="Y590">
        <v>3.568268229166667E-2</v>
      </c>
      <c r="Z590">
        <v>7.1365364583333341E-2</v>
      </c>
      <c r="AA590" t="s">
        <v>372</v>
      </c>
      <c r="AB590" t="str">
        <f t="shared" si="22"/>
        <v>OK</v>
      </c>
      <c r="AC590" t="str">
        <f t="shared" si="23"/>
        <v>OK</v>
      </c>
      <c r="AD590" t="str">
        <f t="shared" si="24"/>
        <v>OK</v>
      </c>
      <c r="AE590" t="str">
        <f t="shared" si="25"/>
        <v>OK</v>
      </c>
    </row>
    <row r="591" spans="1:31" x14ac:dyDescent="0.25">
      <c r="A591" t="s">
        <v>370</v>
      </c>
      <c r="B591">
        <v>100</v>
      </c>
      <c r="C591">
        <v>0</v>
      </c>
      <c r="D591">
        <v>1</v>
      </c>
      <c r="E591">
        <v>0</v>
      </c>
      <c r="F591" t="s">
        <v>458</v>
      </c>
      <c r="G591" t="s">
        <v>687</v>
      </c>
      <c r="H591" t="s">
        <v>396</v>
      </c>
      <c r="I591">
        <v>0.125</v>
      </c>
      <c r="J591">
        <v>1</v>
      </c>
      <c r="K591">
        <v>0</v>
      </c>
      <c r="L591" t="s">
        <v>28</v>
      </c>
      <c r="M591" t="s">
        <v>512</v>
      </c>
      <c r="N591" t="s">
        <v>514</v>
      </c>
      <c r="O591">
        <v>3.2510999999999994E-5</v>
      </c>
      <c r="P591">
        <v>7.1365364583333337E-5</v>
      </c>
      <c r="Q591">
        <v>7.9219873638749997E-3</v>
      </c>
      <c r="R591">
        <v>1.0527874958749999E-2</v>
      </c>
      <c r="S591" s="101">
        <v>3.2510999999999994E-5</v>
      </c>
      <c r="T591" s="101">
        <v>7.1365364583333337E-5</v>
      </c>
      <c r="U591" s="101">
        <v>7.9219873638749997E-3</v>
      </c>
      <c r="V591" s="101">
        <v>1.0527874958749999E-2</v>
      </c>
      <c r="W591">
        <v>0</v>
      </c>
      <c r="X591">
        <v>7.1365364583333339E-4</v>
      </c>
      <c r="Y591">
        <v>3.568268229166667E-2</v>
      </c>
      <c r="Z591">
        <v>7.1365364583333341E-2</v>
      </c>
      <c r="AA591" t="s">
        <v>372</v>
      </c>
      <c r="AB591" t="str">
        <f t="shared" si="22"/>
        <v>OK</v>
      </c>
      <c r="AC591" t="str">
        <f t="shared" si="23"/>
        <v>OK</v>
      </c>
      <c r="AD591" t="str">
        <f t="shared" si="24"/>
        <v>OK</v>
      </c>
      <c r="AE591" t="str">
        <f t="shared" si="25"/>
        <v>OK</v>
      </c>
    </row>
    <row r="592" spans="1:31" x14ac:dyDescent="0.25">
      <c r="A592" t="s">
        <v>370</v>
      </c>
      <c r="B592">
        <v>100</v>
      </c>
      <c r="C592">
        <v>0</v>
      </c>
      <c r="D592">
        <v>1</v>
      </c>
      <c r="E592">
        <v>0</v>
      </c>
      <c r="F592" t="s">
        <v>458</v>
      </c>
      <c r="G592" t="s">
        <v>688</v>
      </c>
      <c r="H592" t="s">
        <v>396</v>
      </c>
      <c r="I592">
        <v>0.125</v>
      </c>
      <c r="J592">
        <v>1</v>
      </c>
      <c r="K592">
        <v>0</v>
      </c>
      <c r="L592" t="s">
        <v>28</v>
      </c>
      <c r="M592" t="s">
        <v>512</v>
      </c>
      <c r="N592" t="s">
        <v>514</v>
      </c>
      <c r="O592">
        <v>3.2510999999999994E-5</v>
      </c>
      <c r="P592">
        <v>7.1365364583333337E-5</v>
      </c>
      <c r="Q592">
        <v>5.6219873638749997E-3</v>
      </c>
      <c r="R592">
        <v>3.5278749587499998E-3</v>
      </c>
      <c r="S592" s="101">
        <v>3.2510999999999994E-5</v>
      </c>
      <c r="T592" s="101">
        <v>7.1365364583333337E-5</v>
      </c>
      <c r="U592" s="101">
        <v>5.6219873638749997E-3</v>
      </c>
      <c r="V592" s="101">
        <v>3.5278749587499998E-3</v>
      </c>
      <c r="W592">
        <v>0</v>
      </c>
      <c r="X592">
        <v>7.1365364583333339E-4</v>
      </c>
      <c r="Y592">
        <v>3.568268229166667E-2</v>
      </c>
      <c r="Z592">
        <v>7.1365364583333341E-2</v>
      </c>
      <c r="AA592" t="s">
        <v>372</v>
      </c>
      <c r="AB592" t="str">
        <f t="shared" ref="AB592:AB655" si="26">IF($O592-$S592 &gt; 0, "ERROR","OK")</f>
        <v>OK</v>
      </c>
      <c r="AC592" t="str">
        <f t="shared" ref="AC592:AC655" si="27">IF($P592-$T592 &gt; 0, "ERROR","OK")</f>
        <v>OK</v>
      </c>
      <c r="AD592" t="str">
        <f t="shared" ref="AD592:AD655" si="28">IF($Q592-$U592 &gt; 0, "ERROR","OK")</f>
        <v>OK</v>
      </c>
      <c r="AE592" t="str">
        <f t="shared" ref="AE592:AE655" si="29">IF($R592-$V592 &gt; 0, "ERROR","OK")</f>
        <v>OK</v>
      </c>
    </row>
    <row r="593" spans="1:31" x14ac:dyDescent="0.25">
      <c r="A593" t="s">
        <v>373</v>
      </c>
      <c r="B593">
        <v>200</v>
      </c>
      <c r="C593">
        <v>0</v>
      </c>
      <c r="D593">
        <v>0</v>
      </c>
      <c r="E593">
        <v>1</v>
      </c>
      <c r="F593" t="s">
        <v>458</v>
      </c>
      <c r="G593" t="s">
        <v>458</v>
      </c>
      <c r="H593" t="s">
        <v>396</v>
      </c>
      <c r="I593">
        <v>0.125</v>
      </c>
      <c r="J593">
        <v>1</v>
      </c>
      <c r="K593">
        <v>5</v>
      </c>
      <c r="L593" t="s">
        <v>116</v>
      </c>
      <c r="M593" t="s">
        <v>512</v>
      </c>
      <c r="N593" t="s">
        <v>514</v>
      </c>
      <c r="O593">
        <v>8.1563999999999994E-5</v>
      </c>
      <c r="P593">
        <v>2.8231250000000001E-3</v>
      </c>
      <c r="Q593">
        <v>2.9755803507499998E-2</v>
      </c>
      <c r="R593">
        <v>9.3881222750000007E-3</v>
      </c>
      <c r="S593" s="101">
        <v>8.1563999999999994E-5</v>
      </c>
      <c r="T593" s="101">
        <v>2.8231250000000001E-3</v>
      </c>
      <c r="U593" s="101">
        <v>2.9755803507499998E-2</v>
      </c>
      <c r="V593" s="101">
        <v>9.3881222750000007E-3</v>
      </c>
      <c r="W593">
        <v>2.8</v>
      </c>
      <c r="X593">
        <v>2.8001156250000001</v>
      </c>
      <c r="Y593">
        <v>2.8057812499999999</v>
      </c>
      <c r="Z593">
        <v>2.8115625</v>
      </c>
      <c r="AA593" t="s">
        <v>365</v>
      </c>
      <c r="AB593" t="str">
        <f t="shared" si="26"/>
        <v>OK</v>
      </c>
      <c r="AC593" t="str">
        <f t="shared" si="27"/>
        <v>OK</v>
      </c>
      <c r="AD593" t="str">
        <f t="shared" si="28"/>
        <v>OK</v>
      </c>
      <c r="AE593" t="str">
        <f t="shared" si="29"/>
        <v>OK</v>
      </c>
    </row>
    <row r="594" spans="1:31" x14ac:dyDescent="0.25">
      <c r="A594" t="s">
        <v>196</v>
      </c>
      <c r="B594">
        <v>200</v>
      </c>
      <c r="C594">
        <v>0</v>
      </c>
      <c r="D594">
        <v>0</v>
      </c>
      <c r="E594">
        <v>1</v>
      </c>
      <c r="F594" t="s">
        <v>458</v>
      </c>
      <c r="G594" t="s">
        <v>458</v>
      </c>
      <c r="H594" t="s">
        <v>396</v>
      </c>
      <c r="I594">
        <v>1</v>
      </c>
      <c r="J594">
        <v>1</v>
      </c>
      <c r="K594">
        <v>5</v>
      </c>
      <c r="L594" t="s">
        <v>116</v>
      </c>
      <c r="M594" t="s">
        <v>512</v>
      </c>
      <c r="N594" t="s">
        <v>514</v>
      </c>
      <c r="O594">
        <v>3.1315199999999992E-4</v>
      </c>
      <c r="P594">
        <v>1.6952386904500001E-3</v>
      </c>
      <c r="Q594">
        <v>3.1040000000000009E-2</v>
      </c>
      <c r="R594">
        <v>1.2416000000000003E-2</v>
      </c>
      <c r="S594" s="101">
        <v>3.1315199999999992E-4</v>
      </c>
      <c r="T594" s="101">
        <v>1.6952386904500001E-3</v>
      </c>
      <c r="U594" s="101">
        <v>3.1040000000000009E-2</v>
      </c>
      <c r="V594" s="101">
        <v>1.2416000000000003E-2</v>
      </c>
      <c r="W594">
        <v>0</v>
      </c>
      <c r="X594">
        <v>8.4761934522500013E-3</v>
      </c>
      <c r="Y594">
        <v>0.42380967261250002</v>
      </c>
      <c r="Z594">
        <v>0.84761934522500004</v>
      </c>
      <c r="AA594" t="s">
        <v>275</v>
      </c>
      <c r="AB594" t="str">
        <f t="shared" si="26"/>
        <v>OK</v>
      </c>
      <c r="AC594" t="str">
        <f t="shared" si="27"/>
        <v>OK</v>
      </c>
      <c r="AD594" t="str">
        <f t="shared" si="28"/>
        <v>OK</v>
      </c>
      <c r="AE594" t="str">
        <f t="shared" si="29"/>
        <v>OK</v>
      </c>
    </row>
    <row r="595" spans="1:31" x14ac:dyDescent="0.25">
      <c r="A595" t="s">
        <v>164</v>
      </c>
      <c r="B595">
        <v>200</v>
      </c>
      <c r="C595">
        <v>0</v>
      </c>
      <c r="D595">
        <v>0</v>
      </c>
      <c r="E595">
        <v>1</v>
      </c>
      <c r="F595" t="s">
        <v>458</v>
      </c>
      <c r="G595" t="s">
        <v>458</v>
      </c>
      <c r="H595" t="s">
        <v>396</v>
      </c>
      <c r="I595">
        <v>1</v>
      </c>
      <c r="J595">
        <v>1</v>
      </c>
      <c r="K595">
        <v>5</v>
      </c>
      <c r="L595" t="s">
        <v>116</v>
      </c>
      <c r="M595" t="s">
        <v>774</v>
      </c>
      <c r="N595" t="s">
        <v>514</v>
      </c>
      <c r="O595">
        <v>7.6435199999999994E-4</v>
      </c>
      <c r="P595">
        <v>1.6952386904500001E-3</v>
      </c>
      <c r="Q595">
        <v>3.2459333333333326E-2</v>
      </c>
      <c r="R595">
        <v>1.298373333333333E-2</v>
      </c>
      <c r="S595" s="101">
        <v>7.6435199999999994E-4</v>
      </c>
      <c r="T595" s="101">
        <v>1.6952386904500001E-3</v>
      </c>
      <c r="U595" s="101">
        <v>3.2459333333333326E-2</v>
      </c>
      <c r="V595" s="101">
        <v>1.298373333333333E-2</v>
      </c>
      <c r="W595">
        <v>0</v>
      </c>
      <c r="X595">
        <v>8.4761934522500013E-3</v>
      </c>
      <c r="Y595">
        <v>0.42380967261250002</v>
      </c>
      <c r="Z595">
        <v>0.84761934522500004</v>
      </c>
      <c r="AA595" t="s">
        <v>276</v>
      </c>
      <c r="AB595" t="str">
        <f t="shared" si="26"/>
        <v>OK</v>
      </c>
      <c r="AC595" t="str">
        <f t="shared" si="27"/>
        <v>OK</v>
      </c>
      <c r="AD595" t="str">
        <f t="shared" si="28"/>
        <v>OK</v>
      </c>
      <c r="AE595" t="str">
        <f t="shared" si="29"/>
        <v>OK</v>
      </c>
    </row>
    <row r="596" spans="1:31" x14ac:dyDescent="0.25">
      <c r="A596" t="s">
        <v>196</v>
      </c>
      <c r="B596">
        <v>200</v>
      </c>
      <c r="C596">
        <v>0</v>
      </c>
      <c r="D596">
        <v>0</v>
      </c>
      <c r="E596">
        <v>1</v>
      </c>
      <c r="F596" t="s">
        <v>458</v>
      </c>
      <c r="G596" t="s">
        <v>458</v>
      </c>
      <c r="H596" t="s">
        <v>396</v>
      </c>
      <c r="I596">
        <v>1</v>
      </c>
      <c r="J596">
        <v>1</v>
      </c>
      <c r="K596">
        <v>5</v>
      </c>
      <c r="L596" t="s">
        <v>116</v>
      </c>
      <c r="M596" t="s">
        <v>512</v>
      </c>
      <c r="N596" t="s">
        <v>514</v>
      </c>
      <c r="O596">
        <v>3.1315199999999992E-4</v>
      </c>
      <c r="P596">
        <v>1.6952386904500001E-3</v>
      </c>
      <c r="Q596">
        <v>3.1040000000000009E-2</v>
      </c>
      <c r="R596">
        <v>1.2416000000000003E-2</v>
      </c>
      <c r="S596" s="101">
        <v>3.1315199999999992E-4</v>
      </c>
      <c r="T596" s="101">
        <v>1.6952386904500001E-3</v>
      </c>
      <c r="U596" s="101">
        <v>3.1040000000000009E-2</v>
      </c>
      <c r="V596" s="101">
        <v>1.2416000000000003E-2</v>
      </c>
      <c r="W596">
        <v>0</v>
      </c>
      <c r="X596">
        <v>8.4761934522500013E-3</v>
      </c>
      <c r="Y596">
        <v>0.42380967261250002</v>
      </c>
      <c r="Z596">
        <v>0.84761934522500004</v>
      </c>
      <c r="AA596" t="s">
        <v>275</v>
      </c>
      <c r="AB596" t="str">
        <f t="shared" si="26"/>
        <v>OK</v>
      </c>
      <c r="AC596" t="str">
        <f t="shared" si="27"/>
        <v>OK</v>
      </c>
      <c r="AD596" t="str">
        <f t="shared" si="28"/>
        <v>OK</v>
      </c>
      <c r="AE596" t="str">
        <f t="shared" si="29"/>
        <v>OK</v>
      </c>
    </row>
    <row r="597" spans="1:31" x14ac:dyDescent="0.25">
      <c r="A597" t="s">
        <v>196</v>
      </c>
      <c r="B597">
        <v>200</v>
      </c>
      <c r="C597">
        <v>0</v>
      </c>
      <c r="D597">
        <v>0</v>
      </c>
      <c r="E597">
        <v>1</v>
      </c>
      <c r="F597" t="s">
        <v>458</v>
      </c>
      <c r="G597" t="s">
        <v>458</v>
      </c>
      <c r="H597" t="s">
        <v>396</v>
      </c>
      <c r="I597">
        <v>1</v>
      </c>
      <c r="J597">
        <v>1</v>
      </c>
      <c r="K597">
        <v>5</v>
      </c>
      <c r="L597" t="s">
        <v>116</v>
      </c>
      <c r="M597" t="s">
        <v>512</v>
      </c>
      <c r="N597" t="s">
        <v>965</v>
      </c>
      <c r="O597">
        <v>1.0811519999999999E-3</v>
      </c>
      <c r="P597">
        <v>6.2352386904499998E-3</v>
      </c>
      <c r="Q597">
        <v>3.1040000000000009E-2</v>
      </c>
      <c r="R597">
        <v>1.2416000000000003E-2</v>
      </c>
      <c r="S597" s="101">
        <v>1.0811519999999999E-3</v>
      </c>
      <c r="T597" s="101">
        <v>6.2352386904499998E-3</v>
      </c>
      <c r="U597" s="101">
        <v>3.1040000000000009E-2</v>
      </c>
      <c r="V597" s="101">
        <v>1.2416000000000003E-2</v>
      </c>
      <c r="W597">
        <v>2.1</v>
      </c>
      <c r="X597">
        <v>2.1206761934522502</v>
      </c>
      <c r="Y597">
        <v>3.1338096726124998</v>
      </c>
      <c r="Z597">
        <v>4.1676193452249999</v>
      </c>
      <c r="AA597" t="s">
        <v>275</v>
      </c>
      <c r="AB597" t="str">
        <f t="shared" si="26"/>
        <v>OK</v>
      </c>
      <c r="AC597" t="str">
        <f t="shared" si="27"/>
        <v>OK</v>
      </c>
      <c r="AD597" t="str">
        <f t="shared" si="28"/>
        <v>OK</v>
      </c>
      <c r="AE597" t="str">
        <f t="shared" si="29"/>
        <v>OK</v>
      </c>
    </row>
    <row r="598" spans="1:31" x14ac:dyDescent="0.25">
      <c r="A598" t="s">
        <v>196</v>
      </c>
      <c r="B598">
        <v>100</v>
      </c>
      <c r="C598">
        <v>1</v>
      </c>
      <c r="D598">
        <v>0</v>
      </c>
      <c r="E598">
        <v>0</v>
      </c>
      <c r="F598" t="s">
        <v>458</v>
      </c>
      <c r="G598" t="s">
        <v>458</v>
      </c>
      <c r="H598" t="s">
        <v>396</v>
      </c>
      <c r="I598">
        <v>1</v>
      </c>
      <c r="J598">
        <v>1</v>
      </c>
      <c r="K598">
        <v>0</v>
      </c>
      <c r="L598" t="s">
        <v>116</v>
      </c>
      <c r="M598" t="s">
        <v>512</v>
      </c>
      <c r="N598" t="s">
        <v>514</v>
      </c>
      <c r="O598">
        <v>1.5657599999999996E-4</v>
      </c>
      <c r="P598">
        <v>0</v>
      </c>
      <c r="Q598">
        <v>0</v>
      </c>
      <c r="R598">
        <v>0</v>
      </c>
      <c r="S598" s="101">
        <v>1.5657599999999996E-4</v>
      </c>
      <c r="T598" s="101">
        <v>0</v>
      </c>
      <c r="U598" s="101">
        <v>0</v>
      </c>
      <c r="V598" s="101">
        <v>0</v>
      </c>
      <c r="W598">
        <v>0</v>
      </c>
      <c r="X598">
        <v>0</v>
      </c>
      <c r="Y598">
        <v>0</v>
      </c>
      <c r="Z598">
        <v>0</v>
      </c>
      <c r="AA598" t="s">
        <v>275</v>
      </c>
      <c r="AB598" t="str">
        <f t="shared" si="26"/>
        <v>OK</v>
      </c>
      <c r="AC598" t="str">
        <f t="shared" si="27"/>
        <v>OK</v>
      </c>
      <c r="AD598" t="str">
        <f t="shared" si="28"/>
        <v>OK</v>
      </c>
      <c r="AE598" t="str">
        <f t="shared" si="29"/>
        <v>OK</v>
      </c>
    </row>
    <row r="599" spans="1:31" x14ac:dyDescent="0.25">
      <c r="A599" t="s">
        <v>196</v>
      </c>
      <c r="B599">
        <v>100</v>
      </c>
      <c r="C599">
        <v>1</v>
      </c>
      <c r="D599">
        <v>0</v>
      </c>
      <c r="E599">
        <v>0</v>
      </c>
      <c r="F599" t="s">
        <v>458</v>
      </c>
      <c r="G599" t="s">
        <v>458</v>
      </c>
      <c r="H599" t="s">
        <v>396</v>
      </c>
      <c r="I599">
        <v>1</v>
      </c>
      <c r="J599">
        <v>1</v>
      </c>
      <c r="K599">
        <v>0</v>
      </c>
      <c r="L599" t="s">
        <v>116</v>
      </c>
      <c r="M599" t="s">
        <v>774</v>
      </c>
      <c r="N599" t="s">
        <v>514</v>
      </c>
      <c r="O599">
        <v>2.8209599999999996E-4</v>
      </c>
      <c r="P599">
        <v>0</v>
      </c>
      <c r="Q599">
        <v>0</v>
      </c>
      <c r="R599">
        <v>0</v>
      </c>
      <c r="S599" s="101">
        <v>2.8209599999999996E-4</v>
      </c>
      <c r="T599" s="101">
        <v>0</v>
      </c>
      <c r="U599" s="101">
        <v>0</v>
      </c>
      <c r="V599" s="101">
        <v>0</v>
      </c>
      <c r="W599">
        <v>0</v>
      </c>
      <c r="X599">
        <v>0</v>
      </c>
      <c r="Y599">
        <v>0</v>
      </c>
      <c r="Z599">
        <v>0</v>
      </c>
      <c r="AA599" t="s">
        <v>275</v>
      </c>
      <c r="AB599" t="str">
        <f t="shared" si="26"/>
        <v>OK</v>
      </c>
      <c r="AC599" t="str">
        <f t="shared" si="27"/>
        <v>OK</v>
      </c>
      <c r="AD599" t="str">
        <f t="shared" si="28"/>
        <v>OK</v>
      </c>
      <c r="AE599" t="str">
        <f t="shared" si="29"/>
        <v>OK</v>
      </c>
    </row>
    <row r="600" spans="1:31" x14ac:dyDescent="0.25">
      <c r="A600" t="s">
        <v>196</v>
      </c>
      <c r="B600">
        <v>100</v>
      </c>
      <c r="C600">
        <v>1</v>
      </c>
      <c r="D600">
        <v>0</v>
      </c>
      <c r="E600">
        <v>0</v>
      </c>
      <c r="F600" t="s">
        <v>458</v>
      </c>
      <c r="G600" t="s">
        <v>458</v>
      </c>
      <c r="H600" t="s">
        <v>396</v>
      </c>
      <c r="I600">
        <v>1</v>
      </c>
      <c r="J600">
        <v>1</v>
      </c>
      <c r="K600">
        <v>0</v>
      </c>
      <c r="L600" t="s">
        <v>28</v>
      </c>
      <c r="M600" t="s">
        <v>512</v>
      </c>
      <c r="N600" t="s">
        <v>514</v>
      </c>
      <c r="O600">
        <v>9.0407999999999979E-5</v>
      </c>
      <c r="P600">
        <v>0</v>
      </c>
      <c r="Q600">
        <v>0</v>
      </c>
      <c r="R600">
        <v>0</v>
      </c>
      <c r="S600" s="101">
        <v>9.0407999999999979E-5</v>
      </c>
      <c r="T600" s="101">
        <v>0</v>
      </c>
      <c r="U600" s="101">
        <v>0</v>
      </c>
      <c r="V600" s="101">
        <v>0</v>
      </c>
      <c r="W600">
        <v>0</v>
      </c>
      <c r="X600">
        <v>0</v>
      </c>
      <c r="Y600">
        <v>0</v>
      </c>
      <c r="Z600">
        <v>0</v>
      </c>
      <c r="AA600" t="s">
        <v>275</v>
      </c>
      <c r="AB600" t="str">
        <f t="shared" si="26"/>
        <v>OK</v>
      </c>
      <c r="AC600" t="str">
        <f t="shared" si="27"/>
        <v>OK</v>
      </c>
      <c r="AD600" t="str">
        <f t="shared" si="28"/>
        <v>OK</v>
      </c>
      <c r="AE600" t="str">
        <f t="shared" si="29"/>
        <v>OK</v>
      </c>
    </row>
    <row r="601" spans="1:31" x14ac:dyDescent="0.25">
      <c r="A601" t="s">
        <v>196</v>
      </c>
      <c r="B601">
        <v>100</v>
      </c>
      <c r="C601">
        <v>1</v>
      </c>
      <c r="D601">
        <v>0</v>
      </c>
      <c r="E601">
        <v>0</v>
      </c>
      <c r="F601" t="s">
        <v>458</v>
      </c>
      <c r="G601" t="s">
        <v>458</v>
      </c>
      <c r="H601" t="s">
        <v>396</v>
      </c>
      <c r="I601">
        <v>1</v>
      </c>
      <c r="J601">
        <v>1</v>
      </c>
      <c r="K601">
        <v>0</v>
      </c>
      <c r="L601" t="s">
        <v>28</v>
      </c>
      <c r="M601" t="s">
        <v>774</v>
      </c>
      <c r="N601" t="s">
        <v>514</v>
      </c>
      <c r="O601">
        <v>1.5316799999999997E-4</v>
      </c>
      <c r="P601">
        <v>0</v>
      </c>
      <c r="Q601">
        <v>0</v>
      </c>
      <c r="R601">
        <v>0</v>
      </c>
      <c r="S601" s="101">
        <v>1.5316799999999997E-4</v>
      </c>
      <c r="T601" s="101">
        <v>0</v>
      </c>
      <c r="U601" s="101">
        <v>0</v>
      </c>
      <c r="V601" s="101">
        <v>0</v>
      </c>
      <c r="W601">
        <v>0</v>
      </c>
      <c r="X601">
        <v>0</v>
      </c>
      <c r="Y601">
        <v>0</v>
      </c>
      <c r="Z601">
        <v>0</v>
      </c>
      <c r="AA601" t="s">
        <v>275</v>
      </c>
      <c r="AB601" t="str">
        <f t="shared" si="26"/>
        <v>OK</v>
      </c>
      <c r="AC601" t="str">
        <f t="shared" si="27"/>
        <v>OK</v>
      </c>
      <c r="AD601" t="str">
        <f t="shared" si="28"/>
        <v>OK</v>
      </c>
      <c r="AE601" t="str">
        <f t="shared" si="29"/>
        <v>OK</v>
      </c>
    </row>
    <row r="602" spans="1:31" x14ac:dyDescent="0.25">
      <c r="A602" t="s">
        <v>196</v>
      </c>
      <c r="B602">
        <v>100</v>
      </c>
      <c r="C602">
        <v>0</v>
      </c>
      <c r="D602">
        <v>1</v>
      </c>
      <c r="E602">
        <v>0</v>
      </c>
      <c r="F602" t="s">
        <v>458</v>
      </c>
      <c r="G602" t="s">
        <v>458</v>
      </c>
      <c r="H602" t="s">
        <v>396</v>
      </c>
      <c r="I602">
        <v>1</v>
      </c>
      <c r="J602">
        <v>1</v>
      </c>
      <c r="K602">
        <v>0</v>
      </c>
      <c r="L602" t="s">
        <v>28</v>
      </c>
      <c r="M602" t="s">
        <v>512</v>
      </c>
      <c r="N602" t="s">
        <v>514</v>
      </c>
      <c r="O602">
        <v>9.0407999999999979E-5</v>
      </c>
      <c r="P602">
        <v>4.2380967261250002E-4</v>
      </c>
      <c r="Q602">
        <v>6.1975000000000016E-3</v>
      </c>
      <c r="R602">
        <v>2.4790000000000007E-3</v>
      </c>
      <c r="S602" s="101">
        <v>9.0407999999999979E-5</v>
      </c>
      <c r="T602" s="101">
        <v>4.2380967261250002E-4</v>
      </c>
      <c r="U602" s="101">
        <v>6.1975000000000016E-3</v>
      </c>
      <c r="V602" s="101">
        <v>2.4790000000000007E-3</v>
      </c>
      <c r="W602">
        <v>0</v>
      </c>
      <c r="X602">
        <v>4.2380967261250006E-3</v>
      </c>
      <c r="Y602">
        <v>0.21190483630625001</v>
      </c>
      <c r="Z602">
        <v>0.42380967261250002</v>
      </c>
      <c r="AA602" t="s">
        <v>275</v>
      </c>
      <c r="AB602" t="str">
        <f t="shared" si="26"/>
        <v>OK</v>
      </c>
      <c r="AC602" t="str">
        <f t="shared" si="27"/>
        <v>OK</v>
      </c>
      <c r="AD602" t="str">
        <f t="shared" si="28"/>
        <v>OK</v>
      </c>
      <c r="AE602" t="str">
        <f t="shared" si="29"/>
        <v>OK</v>
      </c>
    </row>
    <row r="603" spans="1:31" x14ac:dyDescent="0.25">
      <c r="A603" t="s">
        <v>196</v>
      </c>
      <c r="B603">
        <v>100</v>
      </c>
      <c r="C603">
        <v>0</v>
      </c>
      <c r="D603">
        <v>1</v>
      </c>
      <c r="E603">
        <v>0</v>
      </c>
      <c r="F603" t="s">
        <v>458</v>
      </c>
      <c r="G603" t="s">
        <v>458</v>
      </c>
      <c r="H603" t="s">
        <v>396</v>
      </c>
      <c r="I603">
        <v>1</v>
      </c>
      <c r="J603">
        <v>1</v>
      </c>
      <c r="K603">
        <v>0</v>
      </c>
      <c r="L603" t="s">
        <v>28</v>
      </c>
      <c r="M603" t="s">
        <v>774</v>
      </c>
      <c r="N603" t="s">
        <v>514</v>
      </c>
      <c r="O603">
        <v>2.0320799999999997E-4</v>
      </c>
      <c r="P603">
        <v>4.2380967261250002E-4</v>
      </c>
      <c r="Q603">
        <v>6.1975000000000016E-3</v>
      </c>
      <c r="R603">
        <v>2.4790000000000007E-3</v>
      </c>
      <c r="S603" s="101">
        <v>2.0320799999999997E-4</v>
      </c>
      <c r="T603" s="101">
        <v>4.2380967261250002E-4</v>
      </c>
      <c r="U603" s="101">
        <v>6.1975000000000016E-3</v>
      </c>
      <c r="V603" s="101">
        <v>2.4790000000000007E-3</v>
      </c>
      <c r="W603">
        <v>0</v>
      </c>
      <c r="X603">
        <v>4.2380967261250006E-3</v>
      </c>
      <c r="Y603">
        <v>0.21190483630625001</v>
      </c>
      <c r="Z603">
        <v>0.42380967261250002</v>
      </c>
      <c r="AA603" t="s">
        <v>275</v>
      </c>
      <c r="AB603" t="str">
        <f t="shared" si="26"/>
        <v>OK</v>
      </c>
      <c r="AC603" t="str">
        <f t="shared" si="27"/>
        <v>OK</v>
      </c>
      <c r="AD603" t="str">
        <f t="shared" si="28"/>
        <v>OK</v>
      </c>
      <c r="AE603" t="str">
        <f t="shared" si="29"/>
        <v>OK</v>
      </c>
    </row>
    <row r="604" spans="1:31" x14ac:dyDescent="0.25">
      <c r="A604" t="s">
        <v>196</v>
      </c>
      <c r="B604">
        <v>100</v>
      </c>
      <c r="C604">
        <v>1</v>
      </c>
      <c r="D604">
        <v>0</v>
      </c>
      <c r="E604">
        <v>0</v>
      </c>
      <c r="F604" t="s">
        <v>458</v>
      </c>
      <c r="G604" t="s">
        <v>458</v>
      </c>
      <c r="H604" t="s">
        <v>396</v>
      </c>
      <c r="I604">
        <v>1</v>
      </c>
      <c r="J604">
        <v>1</v>
      </c>
      <c r="K604">
        <v>0</v>
      </c>
      <c r="L604" t="s">
        <v>28</v>
      </c>
      <c r="M604" t="s">
        <v>512</v>
      </c>
      <c r="N604" t="s">
        <v>514</v>
      </c>
      <c r="O604">
        <v>9.0407999999999979E-5</v>
      </c>
      <c r="P604">
        <v>0</v>
      </c>
      <c r="Q604">
        <v>0</v>
      </c>
      <c r="R604">
        <v>0</v>
      </c>
      <c r="S604" s="101">
        <v>9.0407999999999979E-5</v>
      </c>
      <c r="T604" s="101">
        <v>0</v>
      </c>
      <c r="U604" s="101">
        <v>0</v>
      </c>
      <c r="V604" s="101">
        <v>0</v>
      </c>
      <c r="W604">
        <v>0</v>
      </c>
      <c r="X604">
        <v>0</v>
      </c>
      <c r="Y604">
        <v>0</v>
      </c>
      <c r="Z604">
        <v>0</v>
      </c>
      <c r="AA604" t="s">
        <v>275</v>
      </c>
      <c r="AB604" t="str">
        <f t="shared" si="26"/>
        <v>OK</v>
      </c>
      <c r="AC604" t="str">
        <f t="shared" si="27"/>
        <v>OK</v>
      </c>
      <c r="AD604" t="str">
        <f t="shared" si="28"/>
        <v>OK</v>
      </c>
      <c r="AE604" t="str">
        <f t="shared" si="29"/>
        <v>OK</v>
      </c>
    </row>
    <row r="605" spans="1:31" x14ac:dyDescent="0.25">
      <c r="A605" t="s">
        <v>196</v>
      </c>
      <c r="B605">
        <v>100</v>
      </c>
      <c r="C605">
        <v>1</v>
      </c>
      <c r="D605">
        <v>0</v>
      </c>
      <c r="E605">
        <v>0</v>
      </c>
      <c r="F605" t="s">
        <v>458</v>
      </c>
      <c r="G605" t="s">
        <v>458</v>
      </c>
      <c r="H605" t="s">
        <v>396</v>
      </c>
      <c r="I605">
        <v>1</v>
      </c>
      <c r="J605">
        <v>1</v>
      </c>
      <c r="K605">
        <v>0</v>
      </c>
      <c r="L605" t="s">
        <v>28</v>
      </c>
      <c r="M605" t="s">
        <v>512</v>
      </c>
      <c r="N605" t="s">
        <v>965</v>
      </c>
      <c r="O605">
        <v>2.8240799999999994E-4</v>
      </c>
      <c r="P605">
        <v>2.7100000000000002E-3</v>
      </c>
      <c r="Q605">
        <v>0</v>
      </c>
      <c r="R605">
        <v>0</v>
      </c>
      <c r="S605" s="101">
        <v>2.8240799999999994E-4</v>
      </c>
      <c r="T605" s="101">
        <v>2.7100000000000002E-3</v>
      </c>
      <c r="U605" s="101">
        <v>0</v>
      </c>
      <c r="V605" s="101">
        <v>0</v>
      </c>
      <c r="W605">
        <v>2.1</v>
      </c>
      <c r="X605">
        <v>2.1061000000000001</v>
      </c>
      <c r="Y605">
        <v>2.4049999999999998</v>
      </c>
      <c r="Z605">
        <v>2.71</v>
      </c>
      <c r="AA605" t="s">
        <v>275</v>
      </c>
      <c r="AB605" t="str">
        <f t="shared" si="26"/>
        <v>OK</v>
      </c>
      <c r="AC605" t="str">
        <f t="shared" si="27"/>
        <v>OK</v>
      </c>
      <c r="AD605" t="str">
        <f t="shared" si="28"/>
        <v>OK</v>
      </c>
      <c r="AE605" t="str">
        <f t="shared" si="29"/>
        <v>OK</v>
      </c>
    </row>
    <row r="606" spans="1:31" x14ac:dyDescent="0.25">
      <c r="A606" t="s">
        <v>196</v>
      </c>
      <c r="B606">
        <v>100</v>
      </c>
      <c r="C606">
        <v>0</v>
      </c>
      <c r="D606">
        <v>1</v>
      </c>
      <c r="E606">
        <v>0</v>
      </c>
      <c r="F606" t="s">
        <v>458</v>
      </c>
      <c r="G606" t="s">
        <v>458</v>
      </c>
      <c r="H606" t="s">
        <v>396</v>
      </c>
      <c r="I606">
        <v>1</v>
      </c>
      <c r="J606">
        <v>1</v>
      </c>
      <c r="K606">
        <v>0</v>
      </c>
      <c r="L606" t="s">
        <v>28</v>
      </c>
      <c r="M606" t="s">
        <v>512</v>
      </c>
      <c r="N606" t="s">
        <v>514</v>
      </c>
      <c r="O606">
        <v>9.0407999999999979E-5</v>
      </c>
      <c r="P606">
        <v>4.2380967261250002E-4</v>
      </c>
      <c r="Q606">
        <v>6.1975000000000016E-3</v>
      </c>
      <c r="R606">
        <v>2.4790000000000007E-3</v>
      </c>
      <c r="S606" s="101">
        <v>9.0407999999999979E-5</v>
      </c>
      <c r="T606" s="101">
        <v>4.2380967261250002E-4</v>
      </c>
      <c r="U606" s="101">
        <v>6.1975000000000016E-3</v>
      </c>
      <c r="V606" s="101">
        <v>2.4790000000000007E-3</v>
      </c>
      <c r="W606">
        <v>0</v>
      </c>
      <c r="X606">
        <v>4.2380967261250006E-3</v>
      </c>
      <c r="Y606">
        <v>0.21190483630625001</v>
      </c>
      <c r="Z606">
        <v>0.42380967261250002</v>
      </c>
      <c r="AA606" t="s">
        <v>275</v>
      </c>
      <c r="AB606" t="str">
        <f t="shared" si="26"/>
        <v>OK</v>
      </c>
      <c r="AC606" t="str">
        <f t="shared" si="27"/>
        <v>OK</v>
      </c>
      <c r="AD606" t="str">
        <f t="shared" si="28"/>
        <v>OK</v>
      </c>
      <c r="AE606" t="str">
        <f t="shared" si="29"/>
        <v>OK</v>
      </c>
    </row>
    <row r="607" spans="1:31" x14ac:dyDescent="0.25">
      <c r="A607" t="s">
        <v>196</v>
      </c>
      <c r="B607">
        <v>100</v>
      </c>
      <c r="C607">
        <v>0</v>
      </c>
      <c r="D607">
        <v>1</v>
      </c>
      <c r="E607">
        <v>0</v>
      </c>
      <c r="F607" t="s">
        <v>458</v>
      </c>
      <c r="G607" t="s">
        <v>458</v>
      </c>
      <c r="H607" t="s">
        <v>396</v>
      </c>
      <c r="I607">
        <v>1</v>
      </c>
      <c r="J607">
        <v>1</v>
      </c>
      <c r="K607">
        <v>0</v>
      </c>
      <c r="L607" t="s">
        <v>28</v>
      </c>
      <c r="M607" t="s">
        <v>512</v>
      </c>
      <c r="N607" t="s">
        <v>965</v>
      </c>
      <c r="O607">
        <v>9.0407999999999979E-5</v>
      </c>
      <c r="P607">
        <v>3.1338096726125E-3</v>
      </c>
      <c r="Q607">
        <v>6.1975000000000016E-3</v>
      </c>
      <c r="R607">
        <v>2.4790000000000007E-3</v>
      </c>
      <c r="S607" s="101">
        <v>9.0407999999999979E-5</v>
      </c>
      <c r="T607" s="101">
        <v>3.1338096726125E-3</v>
      </c>
      <c r="U607" s="101">
        <v>6.1975000000000016E-3</v>
      </c>
      <c r="V607" s="101">
        <v>2.4790000000000007E-3</v>
      </c>
      <c r="W607">
        <v>2.1</v>
      </c>
      <c r="X607">
        <v>2.1103380967261249</v>
      </c>
      <c r="Y607">
        <v>2.6169048363062499</v>
      </c>
      <c r="Z607">
        <v>3.1338096726124998</v>
      </c>
      <c r="AA607" t="s">
        <v>275</v>
      </c>
      <c r="AB607" t="str">
        <f t="shared" si="26"/>
        <v>OK</v>
      </c>
      <c r="AC607" t="str">
        <f t="shared" si="27"/>
        <v>OK</v>
      </c>
      <c r="AD607" t="str">
        <f t="shared" si="28"/>
        <v>OK</v>
      </c>
      <c r="AE607" t="str">
        <f t="shared" si="29"/>
        <v>OK</v>
      </c>
    </row>
    <row r="608" spans="1:31" x14ac:dyDescent="0.25">
      <c r="A608" t="s">
        <v>196</v>
      </c>
      <c r="B608">
        <v>100</v>
      </c>
      <c r="C608">
        <v>0</v>
      </c>
      <c r="D608">
        <v>1</v>
      </c>
      <c r="E608">
        <v>0</v>
      </c>
      <c r="F608" t="s">
        <v>458</v>
      </c>
      <c r="G608" t="s">
        <v>458</v>
      </c>
      <c r="H608" t="s">
        <v>396</v>
      </c>
      <c r="I608">
        <v>0.25</v>
      </c>
      <c r="J608">
        <v>1</v>
      </c>
      <c r="K608">
        <v>0</v>
      </c>
      <c r="L608" t="s">
        <v>28</v>
      </c>
      <c r="M608" t="s">
        <v>512</v>
      </c>
      <c r="N608" t="s">
        <v>514</v>
      </c>
      <c r="O608">
        <v>4.0781999999999997E-5</v>
      </c>
      <c r="P608">
        <v>1.05952418153125E-4</v>
      </c>
      <c r="Q608">
        <v>1.5493750000000004E-3</v>
      </c>
      <c r="R608">
        <v>6.1975000000000018E-4</v>
      </c>
      <c r="S608" s="101">
        <v>4.0781999999999997E-5</v>
      </c>
      <c r="T608" s="101">
        <v>1.05952418153125E-4</v>
      </c>
      <c r="U608" s="101">
        <v>1.5493750000000004E-3</v>
      </c>
      <c r="V608" s="101">
        <v>6.1975000000000018E-4</v>
      </c>
      <c r="W608">
        <v>0</v>
      </c>
      <c r="X608">
        <v>1.0595241815312502E-3</v>
      </c>
      <c r="Y608">
        <v>5.2976209076562503E-2</v>
      </c>
      <c r="Z608">
        <v>0.10595241815312501</v>
      </c>
      <c r="AA608" t="s">
        <v>275</v>
      </c>
      <c r="AB608" t="str">
        <f t="shared" si="26"/>
        <v>OK</v>
      </c>
      <c r="AC608" t="str">
        <f t="shared" si="27"/>
        <v>OK</v>
      </c>
      <c r="AD608" t="str">
        <f t="shared" si="28"/>
        <v>OK</v>
      </c>
      <c r="AE608" t="str">
        <f t="shared" si="29"/>
        <v>OK</v>
      </c>
    </row>
    <row r="609" spans="1:31" x14ac:dyDescent="0.25">
      <c r="A609" t="s">
        <v>196</v>
      </c>
      <c r="B609">
        <v>100</v>
      </c>
      <c r="C609">
        <v>0</v>
      </c>
      <c r="D609">
        <v>1</v>
      </c>
      <c r="E609">
        <v>0</v>
      </c>
      <c r="F609" t="s">
        <v>458</v>
      </c>
      <c r="G609" t="s">
        <v>458</v>
      </c>
      <c r="H609" t="s">
        <v>396</v>
      </c>
      <c r="I609">
        <v>0.5</v>
      </c>
      <c r="J609">
        <v>1</v>
      </c>
      <c r="K609">
        <v>0</v>
      </c>
      <c r="L609" t="s">
        <v>28</v>
      </c>
      <c r="M609" t="s">
        <v>512</v>
      </c>
      <c r="N609" t="s">
        <v>514</v>
      </c>
      <c r="O609">
        <v>5.7323999999999989E-5</v>
      </c>
      <c r="P609">
        <v>2.1190483630625001E-4</v>
      </c>
      <c r="Q609">
        <v>3.0987500000000008E-3</v>
      </c>
      <c r="R609">
        <v>1.2395000000000004E-3</v>
      </c>
      <c r="S609" s="101">
        <v>5.7323999999999989E-5</v>
      </c>
      <c r="T609" s="101">
        <v>2.1190483630625001E-4</v>
      </c>
      <c r="U609" s="101">
        <v>3.0987500000000008E-3</v>
      </c>
      <c r="V609" s="101">
        <v>1.2395000000000004E-3</v>
      </c>
      <c r="W609">
        <v>0</v>
      </c>
      <c r="X609">
        <v>2.1190483630625003E-3</v>
      </c>
      <c r="Y609">
        <v>0.10595241815312501</v>
      </c>
      <c r="Z609">
        <v>0.21190483630625001</v>
      </c>
      <c r="AA609" t="s">
        <v>275</v>
      </c>
      <c r="AB609" t="str">
        <f t="shared" si="26"/>
        <v>OK</v>
      </c>
      <c r="AC609" t="str">
        <f t="shared" si="27"/>
        <v>OK</v>
      </c>
      <c r="AD609" t="str">
        <f t="shared" si="28"/>
        <v>OK</v>
      </c>
      <c r="AE609" t="str">
        <f t="shared" si="29"/>
        <v>OK</v>
      </c>
    </row>
    <row r="610" spans="1:31" x14ac:dyDescent="0.25">
      <c r="A610" t="s">
        <v>196</v>
      </c>
      <c r="B610">
        <v>100</v>
      </c>
      <c r="C610">
        <v>0</v>
      </c>
      <c r="D610">
        <v>1</v>
      </c>
      <c r="E610">
        <v>0</v>
      </c>
      <c r="F610" t="s">
        <v>458</v>
      </c>
      <c r="G610" t="s">
        <v>458</v>
      </c>
      <c r="H610" t="s">
        <v>396</v>
      </c>
      <c r="I610">
        <v>0.75</v>
      </c>
      <c r="J610">
        <v>1</v>
      </c>
      <c r="K610">
        <v>0</v>
      </c>
      <c r="L610" t="s">
        <v>28</v>
      </c>
      <c r="M610" t="s">
        <v>512</v>
      </c>
      <c r="N610" t="s">
        <v>514</v>
      </c>
      <c r="O610">
        <v>7.3865999999999987E-5</v>
      </c>
      <c r="P610">
        <v>3.1785725445937501E-4</v>
      </c>
      <c r="Q610">
        <v>4.6481250000000012E-3</v>
      </c>
      <c r="R610">
        <v>1.8592500000000004E-3</v>
      </c>
      <c r="S610" s="101">
        <v>7.3865999999999987E-5</v>
      </c>
      <c r="T610" s="101">
        <v>3.1785725445937501E-4</v>
      </c>
      <c r="U610" s="101">
        <v>4.6481250000000012E-3</v>
      </c>
      <c r="V610" s="101">
        <v>1.8592500000000004E-3</v>
      </c>
      <c r="W610">
        <v>0</v>
      </c>
      <c r="X610">
        <v>3.17857254459375E-3</v>
      </c>
      <c r="Y610">
        <v>0.15892862722968751</v>
      </c>
      <c r="Z610">
        <v>0.31785725445937502</v>
      </c>
      <c r="AA610" t="s">
        <v>275</v>
      </c>
      <c r="AB610" t="str">
        <f t="shared" si="26"/>
        <v>OK</v>
      </c>
      <c r="AC610" t="str">
        <f t="shared" si="27"/>
        <v>OK</v>
      </c>
      <c r="AD610" t="str">
        <f t="shared" si="28"/>
        <v>OK</v>
      </c>
      <c r="AE610" t="str">
        <f t="shared" si="29"/>
        <v>OK</v>
      </c>
    </row>
    <row r="611" spans="1:31" x14ac:dyDescent="0.25">
      <c r="A611" t="s">
        <v>196</v>
      </c>
      <c r="B611">
        <v>100</v>
      </c>
      <c r="C611">
        <v>0</v>
      </c>
      <c r="D611">
        <v>1</v>
      </c>
      <c r="E611">
        <v>0</v>
      </c>
      <c r="F611" t="s">
        <v>458</v>
      </c>
      <c r="G611" t="s">
        <v>458</v>
      </c>
      <c r="H611" t="s">
        <v>396</v>
      </c>
      <c r="I611">
        <v>1</v>
      </c>
      <c r="J611">
        <v>1</v>
      </c>
      <c r="K611">
        <v>0</v>
      </c>
      <c r="L611" t="s">
        <v>28</v>
      </c>
      <c r="M611" t="s">
        <v>512</v>
      </c>
      <c r="N611" t="s">
        <v>514</v>
      </c>
      <c r="O611">
        <v>9.0407999999999979E-5</v>
      </c>
      <c r="P611">
        <v>4.2380967261250002E-4</v>
      </c>
      <c r="Q611">
        <v>6.1975000000000016E-3</v>
      </c>
      <c r="R611">
        <v>2.4790000000000007E-3</v>
      </c>
      <c r="S611" s="101">
        <v>9.0407999999999979E-5</v>
      </c>
      <c r="T611" s="101">
        <v>4.2380967261250002E-4</v>
      </c>
      <c r="U611" s="101">
        <v>6.1975000000000016E-3</v>
      </c>
      <c r="V611" s="101">
        <v>2.4790000000000007E-3</v>
      </c>
      <c r="W611">
        <v>0</v>
      </c>
      <c r="X611">
        <v>4.2380967261250006E-3</v>
      </c>
      <c r="Y611">
        <v>0.21190483630625001</v>
      </c>
      <c r="Z611">
        <v>0.42380967261250002</v>
      </c>
      <c r="AA611" t="s">
        <v>275</v>
      </c>
      <c r="AB611" t="str">
        <f t="shared" si="26"/>
        <v>OK</v>
      </c>
      <c r="AC611" t="str">
        <f t="shared" si="27"/>
        <v>OK</v>
      </c>
      <c r="AD611" t="str">
        <f t="shared" si="28"/>
        <v>OK</v>
      </c>
      <c r="AE611" t="str">
        <f t="shared" si="29"/>
        <v>OK</v>
      </c>
    </row>
    <row r="612" spans="1:31" x14ac:dyDescent="0.25">
      <c r="A612" t="s">
        <v>196</v>
      </c>
      <c r="B612">
        <v>100</v>
      </c>
      <c r="C612">
        <v>1</v>
      </c>
      <c r="D612">
        <v>0</v>
      </c>
      <c r="E612">
        <v>0</v>
      </c>
      <c r="F612" t="s">
        <v>458</v>
      </c>
      <c r="G612" t="s">
        <v>458</v>
      </c>
      <c r="H612" t="s">
        <v>396</v>
      </c>
      <c r="I612">
        <v>0.25</v>
      </c>
      <c r="J612">
        <v>1</v>
      </c>
      <c r="K612">
        <v>0</v>
      </c>
      <c r="L612" t="s">
        <v>28</v>
      </c>
      <c r="M612" t="s">
        <v>512</v>
      </c>
      <c r="N612" t="s">
        <v>514</v>
      </c>
      <c r="O612">
        <v>4.0781999999999997E-5</v>
      </c>
      <c r="P612">
        <v>0</v>
      </c>
      <c r="Q612">
        <v>0</v>
      </c>
      <c r="R612">
        <v>0</v>
      </c>
      <c r="S612" s="101">
        <v>4.0781999999999997E-5</v>
      </c>
      <c r="T612" s="101">
        <v>0</v>
      </c>
      <c r="U612" s="101">
        <v>0</v>
      </c>
      <c r="V612" s="101">
        <v>0</v>
      </c>
      <c r="W612">
        <v>0</v>
      </c>
      <c r="X612">
        <v>0</v>
      </c>
      <c r="Y612">
        <v>0</v>
      </c>
      <c r="Z612">
        <v>0</v>
      </c>
      <c r="AA612" t="s">
        <v>275</v>
      </c>
      <c r="AB612" t="str">
        <f t="shared" si="26"/>
        <v>OK</v>
      </c>
      <c r="AC612" t="str">
        <f t="shared" si="27"/>
        <v>OK</v>
      </c>
      <c r="AD612" t="str">
        <f t="shared" si="28"/>
        <v>OK</v>
      </c>
      <c r="AE612" t="str">
        <f t="shared" si="29"/>
        <v>OK</v>
      </c>
    </row>
    <row r="613" spans="1:31" x14ac:dyDescent="0.25">
      <c r="A613" t="s">
        <v>196</v>
      </c>
      <c r="B613">
        <v>100</v>
      </c>
      <c r="C613">
        <v>1</v>
      </c>
      <c r="D613">
        <v>0</v>
      </c>
      <c r="E613">
        <v>0</v>
      </c>
      <c r="F613" t="s">
        <v>458</v>
      </c>
      <c r="G613" t="s">
        <v>458</v>
      </c>
      <c r="H613" t="s">
        <v>396</v>
      </c>
      <c r="I613">
        <v>0.5</v>
      </c>
      <c r="J613">
        <v>1</v>
      </c>
      <c r="K613">
        <v>0</v>
      </c>
      <c r="L613" t="s">
        <v>28</v>
      </c>
      <c r="M613" t="s">
        <v>512</v>
      </c>
      <c r="N613" t="s">
        <v>514</v>
      </c>
      <c r="O613">
        <v>5.7323999999999989E-5</v>
      </c>
      <c r="P613">
        <v>0</v>
      </c>
      <c r="Q613">
        <v>0</v>
      </c>
      <c r="R613">
        <v>0</v>
      </c>
      <c r="S613" s="101">
        <v>5.7323999999999989E-5</v>
      </c>
      <c r="T613" s="101">
        <v>0</v>
      </c>
      <c r="U613" s="101">
        <v>0</v>
      </c>
      <c r="V613" s="101">
        <v>0</v>
      </c>
      <c r="W613">
        <v>0</v>
      </c>
      <c r="X613">
        <v>0</v>
      </c>
      <c r="Y613">
        <v>0</v>
      </c>
      <c r="Z613">
        <v>0</v>
      </c>
      <c r="AA613" t="s">
        <v>275</v>
      </c>
      <c r="AB613" t="str">
        <f t="shared" si="26"/>
        <v>OK</v>
      </c>
      <c r="AC613" t="str">
        <f t="shared" si="27"/>
        <v>OK</v>
      </c>
      <c r="AD613" t="str">
        <f t="shared" si="28"/>
        <v>OK</v>
      </c>
      <c r="AE613" t="str">
        <f t="shared" si="29"/>
        <v>OK</v>
      </c>
    </row>
    <row r="614" spans="1:31" x14ac:dyDescent="0.25">
      <c r="A614" t="s">
        <v>196</v>
      </c>
      <c r="B614">
        <v>100</v>
      </c>
      <c r="C614">
        <v>1</v>
      </c>
      <c r="D614">
        <v>0</v>
      </c>
      <c r="E614">
        <v>0</v>
      </c>
      <c r="F614" t="s">
        <v>458</v>
      </c>
      <c r="G614" t="s">
        <v>458</v>
      </c>
      <c r="H614" t="s">
        <v>396</v>
      </c>
      <c r="I614">
        <v>0.75</v>
      </c>
      <c r="J614">
        <v>1</v>
      </c>
      <c r="K614">
        <v>0</v>
      </c>
      <c r="L614" t="s">
        <v>28</v>
      </c>
      <c r="M614" t="s">
        <v>512</v>
      </c>
      <c r="N614" t="s">
        <v>514</v>
      </c>
      <c r="O614">
        <v>7.3865999999999987E-5</v>
      </c>
      <c r="P614">
        <v>0</v>
      </c>
      <c r="Q614">
        <v>0</v>
      </c>
      <c r="R614">
        <v>0</v>
      </c>
      <c r="S614" s="101">
        <v>7.3865999999999987E-5</v>
      </c>
      <c r="T614" s="101">
        <v>0</v>
      </c>
      <c r="U614" s="101">
        <v>0</v>
      </c>
      <c r="V614" s="101">
        <v>0</v>
      </c>
      <c r="W614">
        <v>0</v>
      </c>
      <c r="X614">
        <v>0</v>
      </c>
      <c r="Y614">
        <v>0</v>
      </c>
      <c r="Z614">
        <v>0</v>
      </c>
      <c r="AA614" t="s">
        <v>275</v>
      </c>
      <c r="AB614" t="str">
        <f t="shared" si="26"/>
        <v>OK</v>
      </c>
      <c r="AC614" t="str">
        <f t="shared" si="27"/>
        <v>OK</v>
      </c>
      <c r="AD614" t="str">
        <f t="shared" si="28"/>
        <v>OK</v>
      </c>
      <c r="AE614" t="str">
        <f t="shared" si="29"/>
        <v>OK</v>
      </c>
    </row>
    <row r="615" spans="1:31" x14ac:dyDescent="0.25">
      <c r="A615" t="s">
        <v>196</v>
      </c>
      <c r="B615">
        <v>100</v>
      </c>
      <c r="C615">
        <v>1</v>
      </c>
      <c r="D615">
        <v>0</v>
      </c>
      <c r="E615">
        <v>0</v>
      </c>
      <c r="F615" t="s">
        <v>458</v>
      </c>
      <c r="G615" t="s">
        <v>458</v>
      </c>
      <c r="H615" t="s">
        <v>396</v>
      </c>
      <c r="I615">
        <v>1</v>
      </c>
      <c r="J615">
        <v>1</v>
      </c>
      <c r="K615">
        <v>0</v>
      </c>
      <c r="L615" t="s">
        <v>28</v>
      </c>
      <c r="M615" t="s">
        <v>512</v>
      </c>
      <c r="N615" t="s">
        <v>514</v>
      </c>
      <c r="O615">
        <v>9.0407999999999979E-5</v>
      </c>
      <c r="P615">
        <v>0</v>
      </c>
      <c r="Q615">
        <v>0</v>
      </c>
      <c r="R615">
        <v>0</v>
      </c>
      <c r="S615" s="101">
        <v>9.0407999999999979E-5</v>
      </c>
      <c r="T615" s="101">
        <v>0</v>
      </c>
      <c r="U615" s="101">
        <v>0</v>
      </c>
      <c r="V615" s="101">
        <v>0</v>
      </c>
      <c r="W615">
        <v>0</v>
      </c>
      <c r="X615">
        <v>0</v>
      </c>
      <c r="Y615">
        <v>0</v>
      </c>
      <c r="Z615">
        <v>0</v>
      </c>
      <c r="AA615" t="s">
        <v>275</v>
      </c>
      <c r="AB615" t="str">
        <f t="shared" si="26"/>
        <v>OK</v>
      </c>
      <c r="AC615" t="str">
        <f t="shared" si="27"/>
        <v>OK</v>
      </c>
      <c r="AD615" t="str">
        <f t="shared" si="28"/>
        <v>OK</v>
      </c>
      <c r="AE615" t="str">
        <f t="shared" si="29"/>
        <v>OK</v>
      </c>
    </row>
    <row r="616" spans="1:31" x14ac:dyDescent="0.25">
      <c r="A616" t="s">
        <v>196</v>
      </c>
      <c r="B616">
        <v>100</v>
      </c>
      <c r="C616">
        <v>0</v>
      </c>
      <c r="D616">
        <v>1</v>
      </c>
      <c r="E616">
        <v>0</v>
      </c>
      <c r="F616" t="s">
        <v>458</v>
      </c>
      <c r="G616" t="s">
        <v>458</v>
      </c>
      <c r="H616" t="s">
        <v>396</v>
      </c>
      <c r="I616">
        <v>1</v>
      </c>
      <c r="J616">
        <v>0.25</v>
      </c>
      <c r="K616">
        <v>0</v>
      </c>
      <c r="L616" t="s">
        <v>28</v>
      </c>
      <c r="M616" t="s">
        <v>512</v>
      </c>
      <c r="N616" t="s">
        <v>514</v>
      </c>
      <c r="O616">
        <v>9.0407999999999979E-5</v>
      </c>
      <c r="P616">
        <v>1.05952418153125E-4</v>
      </c>
      <c r="Q616">
        <v>1.5493750000000004E-3</v>
      </c>
      <c r="R616">
        <v>6.1975000000000018E-4</v>
      </c>
      <c r="S616" s="101">
        <v>9.0407999999999979E-5</v>
      </c>
      <c r="T616" s="101">
        <v>1.05952418153125E-4</v>
      </c>
      <c r="U616" s="101">
        <v>1.5493750000000004E-3</v>
      </c>
      <c r="V616" s="101">
        <v>6.1975000000000018E-4</v>
      </c>
      <c r="W616">
        <v>0</v>
      </c>
      <c r="X616">
        <v>1.0595241815312502E-3</v>
      </c>
      <c r="Y616">
        <v>5.2976209076562503E-2</v>
      </c>
      <c r="Z616">
        <v>0.10595241815312501</v>
      </c>
      <c r="AA616" t="s">
        <v>275</v>
      </c>
      <c r="AB616" t="str">
        <f t="shared" si="26"/>
        <v>OK</v>
      </c>
      <c r="AC616" t="str">
        <f t="shared" si="27"/>
        <v>OK</v>
      </c>
      <c r="AD616" t="str">
        <f t="shared" si="28"/>
        <v>OK</v>
      </c>
      <c r="AE616" t="str">
        <f t="shared" si="29"/>
        <v>OK</v>
      </c>
    </row>
    <row r="617" spans="1:31" x14ac:dyDescent="0.25">
      <c r="A617" t="s">
        <v>196</v>
      </c>
      <c r="B617">
        <v>100</v>
      </c>
      <c r="C617">
        <v>0</v>
      </c>
      <c r="D617">
        <v>1</v>
      </c>
      <c r="E617">
        <v>0</v>
      </c>
      <c r="F617" t="s">
        <v>458</v>
      </c>
      <c r="G617" t="s">
        <v>458</v>
      </c>
      <c r="H617" t="s">
        <v>396</v>
      </c>
      <c r="I617">
        <v>1</v>
      </c>
      <c r="J617">
        <v>0.5</v>
      </c>
      <c r="K617">
        <v>0</v>
      </c>
      <c r="L617" t="s">
        <v>28</v>
      </c>
      <c r="M617" t="s">
        <v>512</v>
      </c>
      <c r="N617" t="s">
        <v>514</v>
      </c>
      <c r="O617">
        <v>9.0407999999999979E-5</v>
      </c>
      <c r="P617">
        <v>2.1190483630625001E-4</v>
      </c>
      <c r="Q617">
        <v>3.0987500000000008E-3</v>
      </c>
      <c r="R617">
        <v>1.2395000000000004E-3</v>
      </c>
      <c r="S617" s="101">
        <v>9.0407999999999979E-5</v>
      </c>
      <c r="T617" s="101">
        <v>2.1190483630625001E-4</v>
      </c>
      <c r="U617" s="101">
        <v>3.0987500000000008E-3</v>
      </c>
      <c r="V617" s="101">
        <v>1.2395000000000004E-3</v>
      </c>
      <c r="W617">
        <v>0</v>
      </c>
      <c r="X617">
        <v>2.1190483630625003E-3</v>
      </c>
      <c r="Y617">
        <v>0.10595241815312501</v>
      </c>
      <c r="Z617">
        <v>0.21190483630625001</v>
      </c>
      <c r="AA617" t="s">
        <v>275</v>
      </c>
      <c r="AB617" t="str">
        <f t="shared" si="26"/>
        <v>OK</v>
      </c>
      <c r="AC617" t="str">
        <f t="shared" si="27"/>
        <v>OK</v>
      </c>
      <c r="AD617" t="str">
        <f t="shared" si="28"/>
        <v>OK</v>
      </c>
      <c r="AE617" t="str">
        <f t="shared" si="29"/>
        <v>OK</v>
      </c>
    </row>
    <row r="618" spans="1:31" x14ac:dyDescent="0.25">
      <c r="A618" t="s">
        <v>196</v>
      </c>
      <c r="B618">
        <v>100</v>
      </c>
      <c r="C618">
        <v>0</v>
      </c>
      <c r="D618">
        <v>1</v>
      </c>
      <c r="E618">
        <v>0</v>
      </c>
      <c r="F618" t="s">
        <v>458</v>
      </c>
      <c r="G618" t="s">
        <v>458</v>
      </c>
      <c r="H618" t="s">
        <v>396</v>
      </c>
      <c r="I618">
        <v>1</v>
      </c>
      <c r="J618">
        <v>0.75</v>
      </c>
      <c r="K618">
        <v>0</v>
      </c>
      <c r="L618" t="s">
        <v>28</v>
      </c>
      <c r="M618" t="s">
        <v>512</v>
      </c>
      <c r="N618" t="s">
        <v>514</v>
      </c>
      <c r="O618">
        <v>9.0407999999999979E-5</v>
      </c>
      <c r="P618">
        <v>3.1785725445937501E-4</v>
      </c>
      <c r="Q618">
        <v>4.6481250000000021E-3</v>
      </c>
      <c r="R618">
        <v>1.8592500000000009E-3</v>
      </c>
      <c r="S618" s="101">
        <v>9.0407999999999979E-5</v>
      </c>
      <c r="T618" s="101">
        <v>3.1785725445937501E-4</v>
      </c>
      <c r="U618" s="101">
        <v>4.6481250000000021E-3</v>
      </c>
      <c r="V618" s="101">
        <v>1.8592500000000009E-3</v>
      </c>
      <c r="W618">
        <v>0</v>
      </c>
      <c r="X618">
        <v>3.17857254459375E-3</v>
      </c>
      <c r="Y618">
        <v>0.15892862722968751</v>
      </c>
      <c r="Z618">
        <v>0.31785725445937502</v>
      </c>
      <c r="AA618" t="s">
        <v>275</v>
      </c>
      <c r="AB618" t="str">
        <f t="shared" si="26"/>
        <v>OK</v>
      </c>
      <c r="AC618" t="str">
        <f t="shared" si="27"/>
        <v>OK</v>
      </c>
      <c r="AD618" t="str">
        <f t="shared" si="28"/>
        <v>OK</v>
      </c>
      <c r="AE618" t="str">
        <f t="shared" si="29"/>
        <v>OK</v>
      </c>
    </row>
    <row r="619" spans="1:31" x14ac:dyDescent="0.25">
      <c r="A619" t="s">
        <v>196</v>
      </c>
      <c r="B619">
        <v>100</v>
      </c>
      <c r="C619">
        <v>0</v>
      </c>
      <c r="D619">
        <v>1</v>
      </c>
      <c r="E619">
        <v>0</v>
      </c>
      <c r="F619" t="s">
        <v>458</v>
      </c>
      <c r="G619" t="s">
        <v>458</v>
      </c>
      <c r="H619" t="s">
        <v>396</v>
      </c>
      <c r="I619">
        <v>1</v>
      </c>
      <c r="J619">
        <v>1</v>
      </c>
      <c r="K619">
        <v>0</v>
      </c>
      <c r="L619" t="s">
        <v>28</v>
      </c>
      <c r="M619" t="s">
        <v>512</v>
      </c>
      <c r="N619" t="s">
        <v>514</v>
      </c>
      <c r="O619">
        <v>9.0407999999999979E-5</v>
      </c>
      <c r="P619">
        <v>4.2380967261250002E-4</v>
      </c>
      <c r="Q619">
        <v>6.1975000000000016E-3</v>
      </c>
      <c r="R619">
        <v>2.4790000000000007E-3</v>
      </c>
      <c r="S619" s="101">
        <v>9.0407999999999979E-5</v>
      </c>
      <c r="T619" s="101">
        <v>4.2380967261250002E-4</v>
      </c>
      <c r="U619" s="101">
        <v>6.1975000000000016E-3</v>
      </c>
      <c r="V619" s="101">
        <v>2.4790000000000007E-3</v>
      </c>
      <c r="W619">
        <v>0</v>
      </c>
      <c r="X619">
        <v>4.2380967261250006E-3</v>
      </c>
      <c r="Y619">
        <v>0.21190483630625001</v>
      </c>
      <c r="Z619">
        <v>0.42380967261250002</v>
      </c>
      <c r="AA619" t="s">
        <v>275</v>
      </c>
      <c r="AB619" t="str">
        <f t="shared" si="26"/>
        <v>OK</v>
      </c>
      <c r="AC619" t="str">
        <f t="shared" si="27"/>
        <v>OK</v>
      </c>
      <c r="AD619" t="str">
        <f t="shared" si="28"/>
        <v>OK</v>
      </c>
      <c r="AE619" t="str">
        <f t="shared" si="29"/>
        <v>OK</v>
      </c>
    </row>
    <row r="620" spans="1:31" x14ac:dyDescent="0.25">
      <c r="A620" t="s">
        <v>196</v>
      </c>
      <c r="B620">
        <v>100</v>
      </c>
      <c r="C620">
        <v>0</v>
      </c>
      <c r="D620">
        <v>0</v>
      </c>
      <c r="E620">
        <v>1</v>
      </c>
      <c r="F620" t="s">
        <v>458</v>
      </c>
      <c r="G620" t="s">
        <v>458</v>
      </c>
      <c r="H620" t="s">
        <v>396</v>
      </c>
      <c r="I620">
        <v>1</v>
      </c>
      <c r="J620">
        <v>0.25</v>
      </c>
      <c r="K620">
        <v>0</v>
      </c>
      <c r="L620" t="s">
        <v>28</v>
      </c>
      <c r="M620" t="s">
        <v>512</v>
      </c>
      <c r="N620" t="s">
        <v>514</v>
      </c>
      <c r="O620">
        <v>9.0407999999999979E-5</v>
      </c>
      <c r="P620">
        <v>1.05952418153125E-4</v>
      </c>
      <c r="Q620">
        <v>1.5493750000000004E-3</v>
      </c>
      <c r="R620">
        <v>6.1975000000000018E-4</v>
      </c>
      <c r="S620" s="101">
        <v>9.0407999999999979E-5</v>
      </c>
      <c r="T620" s="101">
        <v>1.05952418153125E-4</v>
      </c>
      <c r="U620" s="101">
        <v>1.5493750000000004E-3</v>
      </c>
      <c r="V620" s="101">
        <v>6.1975000000000018E-4</v>
      </c>
      <c r="W620">
        <v>0</v>
      </c>
      <c r="X620">
        <v>1.0595241815312502E-3</v>
      </c>
      <c r="Y620">
        <v>5.2976209076562503E-2</v>
      </c>
      <c r="Z620">
        <v>0.10595241815312501</v>
      </c>
      <c r="AA620" t="s">
        <v>275</v>
      </c>
      <c r="AB620" t="str">
        <f t="shared" si="26"/>
        <v>OK</v>
      </c>
      <c r="AC620" t="str">
        <f t="shared" si="27"/>
        <v>OK</v>
      </c>
      <c r="AD620" t="str">
        <f t="shared" si="28"/>
        <v>OK</v>
      </c>
      <c r="AE620" t="str">
        <f t="shared" si="29"/>
        <v>OK</v>
      </c>
    </row>
    <row r="621" spans="1:31" x14ac:dyDescent="0.25">
      <c r="A621" t="s">
        <v>196</v>
      </c>
      <c r="B621">
        <v>100</v>
      </c>
      <c r="C621">
        <v>0</v>
      </c>
      <c r="D621">
        <v>0</v>
      </c>
      <c r="E621">
        <v>1</v>
      </c>
      <c r="F621" t="s">
        <v>458</v>
      </c>
      <c r="G621" t="s">
        <v>458</v>
      </c>
      <c r="H621" t="s">
        <v>396</v>
      </c>
      <c r="I621">
        <v>1</v>
      </c>
      <c r="J621">
        <v>0.5</v>
      </c>
      <c r="K621">
        <v>0</v>
      </c>
      <c r="L621" t="s">
        <v>28</v>
      </c>
      <c r="M621" t="s">
        <v>512</v>
      </c>
      <c r="N621" t="s">
        <v>514</v>
      </c>
      <c r="O621">
        <v>9.0407999999999979E-5</v>
      </c>
      <c r="P621">
        <v>2.1190483630625001E-4</v>
      </c>
      <c r="Q621">
        <v>3.0987500000000008E-3</v>
      </c>
      <c r="R621">
        <v>1.2395000000000004E-3</v>
      </c>
      <c r="S621" s="101">
        <v>9.0407999999999979E-5</v>
      </c>
      <c r="T621" s="101">
        <v>2.1190483630625001E-4</v>
      </c>
      <c r="U621" s="101">
        <v>3.0987500000000008E-3</v>
      </c>
      <c r="V621" s="101">
        <v>1.2395000000000004E-3</v>
      </c>
      <c r="W621">
        <v>0</v>
      </c>
      <c r="X621">
        <v>2.1190483630625003E-3</v>
      </c>
      <c r="Y621">
        <v>0.10595241815312501</v>
      </c>
      <c r="Z621">
        <v>0.21190483630625001</v>
      </c>
      <c r="AA621" t="s">
        <v>275</v>
      </c>
      <c r="AB621" t="str">
        <f t="shared" si="26"/>
        <v>OK</v>
      </c>
      <c r="AC621" t="str">
        <f t="shared" si="27"/>
        <v>OK</v>
      </c>
      <c r="AD621" t="str">
        <f t="shared" si="28"/>
        <v>OK</v>
      </c>
      <c r="AE621" t="str">
        <f t="shared" si="29"/>
        <v>OK</v>
      </c>
    </row>
    <row r="622" spans="1:31" x14ac:dyDescent="0.25">
      <c r="A622" t="s">
        <v>196</v>
      </c>
      <c r="B622">
        <v>100</v>
      </c>
      <c r="C622">
        <v>0</v>
      </c>
      <c r="D622">
        <v>0</v>
      </c>
      <c r="E622">
        <v>1</v>
      </c>
      <c r="F622" t="s">
        <v>458</v>
      </c>
      <c r="G622" t="s">
        <v>458</v>
      </c>
      <c r="H622" t="s">
        <v>396</v>
      </c>
      <c r="I622">
        <v>1</v>
      </c>
      <c r="J622">
        <v>0.75</v>
      </c>
      <c r="K622">
        <v>0</v>
      </c>
      <c r="L622" t="s">
        <v>28</v>
      </c>
      <c r="M622" t="s">
        <v>512</v>
      </c>
      <c r="N622" t="s">
        <v>514</v>
      </c>
      <c r="O622">
        <v>9.0407999999999979E-5</v>
      </c>
      <c r="P622">
        <v>3.1785725445937501E-4</v>
      </c>
      <c r="Q622">
        <v>4.6481250000000021E-3</v>
      </c>
      <c r="R622">
        <v>1.8592500000000009E-3</v>
      </c>
      <c r="S622" s="101">
        <v>9.0407999999999979E-5</v>
      </c>
      <c r="T622" s="101">
        <v>3.1785725445937501E-4</v>
      </c>
      <c r="U622" s="101">
        <v>4.6481250000000021E-3</v>
      </c>
      <c r="V622" s="101">
        <v>1.8592500000000009E-3</v>
      </c>
      <c r="W622">
        <v>0</v>
      </c>
      <c r="X622">
        <v>3.17857254459375E-3</v>
      </c>
      <c r="Y622">
        <v>0.15892862722968751</v>
      </c>
      <c r="Z622">
        <v>0.31785725445937502</v>
      </c>
      <c r="AA622" t="s">
        <v>275</v>
      </c>
      <c r="AB622" t="str">
        <f t="shared" si="26"/>
        <v>OK</v>
      </c>
      <c r="AC622" t="str">
        <f t="shared" si="27"/>
        <v>OK</v>
      </c>
      <c r="AD622" t="str">
        <f t="shared" si="28"/>
        <v>OK</v>
      </c>
      <c r="AE622" t="str">
        <f t="shared" si="29"/>
        <v>OK</v>
      </c>
    </row>
    <row r="623" spans="1:31" x14ac:dyDescent="0.25">
      <c r="A623" t="s">
        <v>196</v>
      </c>
      <c r="B623">
        <v>100</v>
      </c>
      <c r="C623">
        <v>0</v>
      </c>
      <c r="D623">
        <v>0</v>
      </c>
      <c r="E623">
        <v>1</v>
      </c>
      <c r="F623" t="s">
        <v>458</v>
      </c>
      <c r="G623" t="s">
        <v>458</v>
      </c>
      <c r="H623" t="s">
        <v>396</v>
      </c>
      <c r="I623">
        <v>1</v>
      </c>
      <c r="J623">
        <v>1</v>
      </c>
      <c r="K623">
        <v>0</v>
      </c>
      <c r="L623" t="s">
        <v>28</v>
      </c>
      <c r="M623" t="s">
        <v>512</v>
      </c>
      <c r="N623" t="s">
        <v>514</v>
      </c>
      <c r="O623">
        <v>9.0407999999999979E-5</v>
      </c>
      <c r="P623">
        <v>4.2380967261250002E-4</v>
      </c>
      <c r="Q623">
        <v>6.1975000000000016E-3</v>
      </c>
      <c r="R623">
        <v>2.4790000000000007E-3</v>
      </c>
      <c r="S623" s="101">
        <v>9.0407999999999979E-5</v>
      </c>
      <c r="T623" s="101">
        <v>4.2380967261250002E-4</v>
      </c>
      <c r="U623" s="101">
        <v>6.1975000000000016E-3</v>
      </c>
      <c r="V623" s="101">
        <v>2.4790000000000007E-3</v>
      </c>
      <c r="W623">
        <v>0</v>
      </c>
      <c r="X623">
        <v>4.2380967261250006E-3</v>
      </c>
      <c r="Y623">
        <v>0.21190483630625001</v>
      </c>
      <c r="Z623">
        <v>0.42380967261250002</v>
      </c>
      <c r="AA623" t="s">
        <v>275</v>
      </c>
      <c r="AB623" t="str">
        <f t="shared" si="26"/>
        <v>OK</v>
      </c>
      <c r="AC623" t="str">
        <f t="shared" si="27"/>
        <v>OK</v>
      </c>
      <c r="AD623" t="str">
        <f t="shared" si="28"/>
        <v>OK</v>
      </c>
      <c r="AE623" t="str">
        <f t="shared" si="29"/>
        <v>OK</v>
      </c>
    </row>
    <row r="624" spans="1:31" x14ac:dyDescent="0.25">
      <c r="A624" t="s">
        <v>488</v>
      </c>
      <c r="B624">
        <v>100</v>
      </c>
      <c r="C624">
        <v>1</v>
      </c>
      <c r="D624">
        <v>0</v>
      </c>
      <c r="E624">
        <v>0</v>
      </c>
      <c r="F624" t="s">
        <v>458</v>
      </c>
      <c r="G624" t="s">
        <v>458</v>
      </c>
      <c r="H624" t="s">
        <v>396</v>
      </c>
      <c r="I624">
        <v>1</v>
      </c>
      <c r="J624">
        <v>1</v>
      </c>
      <c r="K624">
        <v>0</v>
      </c>
      <c r="L624" t="s">
        <v>28</v>
      </c>
      <c r="M624" t="s">
        <v>512</v>
      </c>
      <c r="N624" t="s">
        <v>514</v>
      </c>
      <c r="O624">
        <v>9.6640799999999987E-4</v>
      </c>
      <c r="P624">
        <v>4.9500000000000004E-3</v>
      </c>
      <c r="Q624">
        <v>0</v>
      </c>
      <c r="R624">
        <v>0</v>
      </c>
      <c r="S624" s="101">
        <v>9.6640799999999987E-4</v>
      </c>
      <c r="T624" s="101">
        <v>4.9500000000000004E-3</v>
      </c>
      <c r="U624" s="101">
        <v>0</v>
      </c>
      <c r="V624" s="101">
        <v>0</v>
      </c>
      <c r="W624">
        <v>4.95</v>
      </c>
      <c r="X624">
        <v>4.95</v>
      </c>
      <c r="Y624">
        <v>4.95</v>
      </c>
      <c r="Z624">
        <v>4.95</v>
      </c>
      <c r="AA624" t="s">
        <v>473</v>
      </c>
      <c r="AB624" t="str">
        <f t="shared" si="26"/>
        <v>OK</v>
      </c>
      <c r="AC624" t="str">
        <f t="shared" si="27"/>
        <v>OK</v>
      </c>
      <c r="AD624" t="str">
        <f t="shared" si="28"/>
        <v>OK</v>
      </c>
      <c r="AE624" t="str">
        <f t="shared" si="29"/>
        <v>OK</v>
      </c>
    </row>
    <row r="625" spans="1:31" x14ac:dyDescent="0.25">
      <c r="A625" t="s">
        <v>488</v>
      </c>
      <c r="B625">
        <v>100</v>
      </c>
      <c r="C625">
        <v>1</v>
      </c>
      <c r="D625">
        <v>0</v>
      </c>
      <c r="E625">
        <v>0</v>
      </c>
      <c r="F625" t="s">
        <v>679</v>
      </c>
      <c r="G625" t="s">
        <v>458</v>
      </c>
      <c r="H625" t="s">
        <v>396</v>
      </c>
      <c r="I625">
        <v>1</v>
      </c>
      <c r="J625">
        <v>1</v>
      </c>
      <c r="K625">
        <v>0</v>
      </c>
      <c r="L625" t="s">
        <v>28</v>
      </c>
      <c r="M625" t="s">
        <v>512</v>
      </c>
      <c r="N625" t="s">
        <v>514</v>
      </c>
      <c r="O625">
        <v>9.6640799999999987E-4</v>
      </c>
      <c r="P625">
        <v>4.9500000000000004E-3</v>
      </c>
      <c r="Q625">
        <v>0</v>
      </c>
      <c r="R625">
        <v>0</v>
      </c>
      <c r="S625" s="101">
        <v>9.6640799999999987E-4</v>
      </c>
      <c r="T625" s="101">
        <v>4.9500000000000004E-3</v>
      </c>
      <c r="U625" s="101">
        <v>0</v>
      </c>
      <c r="V625" s="101">
        <v>0</v>
      </c>
      <c r="W625">
        <v>4.95</v>
      </c>
      <c r="X625">
        <v>4.95</v>
      </c>
      <c r="Y625">
        <v>4.95</v>
      </c>
      <c r="Z625">
        <v>4.95</v>
      </c>
      <c r="AA625" t="s">
        <v>473</v>
      </c>
      <c r="AB625" t="str">
        <f t="shared" si="26"/>
        <v>OK</v>
      </c>
      <c r="AC625" t="str">
        <f t="shared" si="27"/>
        <v>OK</v>
      </c>
      <c r="AD625" t="str">
        <f t="shared" si="28"/>
        <v>OK</v>
      </c>
      <c r="AE625" t="str">
        <f t="shared" si="29"/>
        <v>OK</v>
      </c>
    </row>
    <row r="626" spans="1:31" x14ac:dyDescent="0.25">
      <c r="A626" t="s">
        <v>488</v>
      </c>
      <c r="B626">
        <v>100</v>
      </c>
      <c r="C626">
        <v>1</v>
      </c>
      <c r="D626">
        <v>0</v>
      </c>
      <c r="E626">
        <v>0</v>
      </c>
      <c r="F626" t="s">
        <v>681</v>
      </c>
      <c r="G626" t="s">
        <v>458</v>
      </c>
      <c r="H626" t="s">
        <v>396</v>
      </c>
      <c r="I626">
        <v>1</v>
      </c>
      <c r="J626">
        <v>1</v>
      </c>
      <c r="K626">
        <v>0</v>
      </c>
      <c r="L626" t="s">
        <v>28</v>
      </c>
      <c r="M626" t="s">
        <v>512</v>
      </c>
      <c r="N626" t="s">
        <v>514</v>
      </c>
      <c r="O626">
        <v>9.6640799999999987E-4</v>
      </c>
      <c r="P626">
        <v>4.9500000000000004E-3</v>
      </c>
      <c r="Q626">
        <v>0</v>
      </c>
      <c r="R626">
        <v>0</v>
      </c>
      <c r="S626" s="101">
        <v>9.6640799999999987E-4</v>
      </c>
      <c r="T626" s="101">
        <v>4.9500000000000004E-3</v>
      </c>
      <c r="U626" s="101">
        <v>0</v>
      </c>
      <c r="V626" s="101">
        <v>0</v>
      </c>
      <c r="W626">
        <v>4.95</v>
      </c>
      <c r="X626">
        <v>4.95</v>
      </c>
      <c r="Y626">
        <v>4.95</v>
      </c>
      <c r="Z626">
        <v>4.95</v>
      </c>
      <c r="AA626" t="s">
        <v>473</v>
      </c>
      <c r="AB626" t="str">
        <f t="shared" si="26"/>
        <v>OK</v>
      </c>
      <c r="AC626" t="str">
        <f t="shared" si="27"/>
        <v>OK</v>
      </c>
      <c r="AD626" t="str">
        <f t="shared" si="28"/>
        <v>OK</v>
      </c>
      <c r="AE626" t="str">
        <f t="shared" si="29"/>
        <v>OK</v>
      </c>
    </row>
    <row r="627" spans="1:31" x14ac:dyDescent="0.25">
      <c r="A627" t="s">
        <v>488</v>
      </c>
      <c r="B627">
        <v>100</v>
      </c>
      <c r="C627">
        <v>1</v>
      </c>
      <c r="D627">
        <v>0</v>
      </c>
      <c r="E627">
        <v>0</v>
      </c>
      <c r="F627" t="s">
        <v>682</v>
      </c>
      <c r="G627" t="s">
        <v>458</v>
      </c>
      <c r="H627" t="s">
        <v>396</v>
      </c>
      <c r="I627">
        <v>1</v>
      </c>
      <c r="J627">
        <v>1</v>
      </c>
      <c r="K627">
        <v>0</v>
      </c>
      <c r="L627" t="s">
        <v>28</v>
      </c>
      <c r="M627" t="s">
        <v>512</v>
      </c>
      <c r="N627" t="s">
        <v>514</v>
      </c>
      <c r="O627">
        <v>9.6640799999999987E-4</v>
      </c>
      <c r="P627">
        <v>4.9500000000000004E-3</v>
      </c>
      <c r="Q627">
        <v>0</v>
      </c>
      <c r="R627">
        <v>0</v>
      </c>
      <c r="S627" s="101">
        <v>9.6640799999999987E-4</v>
      </c>
      <c r="T627" s="101">
        <v>4.9500000000000004E-3</v>
      </c>
      <c r="U627" s="101">
        <v>0</v>
      </c>
      <c r="V627" s="101">
        <v>0</v>
      </c>
      <c r="W627">
        <v>4.95</v>
      </c>
      <c r="X627">
        <v>4.95</v>
      </c>
      <c r="Y627">
        <v>4.95</v>
      </c>
      <c r="Z627">
        <v>4.95</v>
      </c>
      <c r="AA627" t="s">
        <v>473</v>
      </c>
      <c r="AB627" t="str">
        <f t="shared" si="26"/>
        <v>OK</v>
      </c>
      <c r="AC627" t="str">
        <f t="shared" si="27"/>
        <v>OK</v>
      </c>
      <c r="AD627" t="str">
        <f t="shared" si="28"/>
        <v>OK</v>
      </c>
      <c r="AE627" t="str">
        <f t="shared" si="29"/>
        <v>OK</v>
      </c>
    </row>
    <row r="628" spans="1:31" x14ac:dyDescent="0.25">
      <c r="A628" t="s">
        <v>488</v>
      </c>
      <c r="B628">
        <v>100</v>
      </c>
      <c r="C628">
        <v>0</v>
      </c>
      <c r="D628">
        <v>1</v>
      </c>
      <c r="E628">
        <v>0</v>
      </c>
      <c r="F628" t="s">
        <v>458</v>
      </c>
      <c r="G628" t="s">
        <v>458</v>
      </c>
      <c r="H628" t="s">
        <v>396</v>
      </c>
      <c r="I628">
        <v>0.125</v>
      </c>
      <c r="J628">
        <v>1</v>
      </c>
      <c r="K628">
        <v>0</v>
      </c>
      <c r="L628" t="s">
        <v>28</v>
      </c>
      <c r="M628" t="s">
        <v>512</v>
      </c>
      <c r="N628" t="s">
        <v>514</v>
      </c>
      <c r="O628">
        <v>3.2510999999999994E-5</v>
      </c>
      <c r="P628">
        <v>6.1301971726190468E-5</v>
      </c>
      <c r="Q628">
        <v>6.7050001000000005E-3</v>
      </c>
      <c r="R628">
        <v>1.1769444499999998E-2</v>
      </c>
      <c r="S628" s="101">
        <v>3.2510999999999994E-5</v>
      </c>
      <c r="T628" s="101">
        <v>6.1301971726190468E-5</v>
      </c>
      <c r="U628" s="101">
        <v>6.7050001000000005E-3</v>
      </c>
      <c r="V628" s="101">
        <v>1.1769444499999998E-2</v>
      </c>
      <c r="W628">
        <v>0</v>
      </c>
      <c r="X628">
        <v>6.1301971726190462E-4</v>
      </c>
      <c r="Y628">
        <v>3.0650985863095233E-2</v>
      </c>
      <c r="Z628">
        <v>6.1301971726190466E-2</v>
      </c>
      <c r="AA628" t="s">
        <v>473</v>
      </c>
      <c r="AB628" t="str">
        <f t="shared" si="26"/>
        <v>OK</v>
      </c>
      <c r="AC628" t="str">
        <f t="shared" si="27"/>
        <v>OK</v>
      </c>
      <c r="AD628" t="str">
        <f t="shared" si="28"/>
        <v>OK</v>
      </c>
      <c r="AE628" t="str">
        <f t="shared" si="29"/>
        <v>OK</v>
      </c>
    </row>
    <row r="629" spans="1:31" x14ac:dyDescent="0.25">
      <c r="A629" t="s">
        <v>488</v>
      </c>
      <c r="B629">
        <v>100</v>
      </c>
      <c r="C629">
        <v>0</v>
      </c>
      <c r="D629">
        <v>1</v>
      </c>
      <c r="E629">
        <v>0</v>
      </c>
      <c r="F629" t="s">
        <v>458</v>
      </c>
      <c r="G629" t="s">
        <v>686</v>
      </c>
      <c r="H629" t="s">
        <v>396</v>
      </c>
      <c r="I629">
        <v>0.125</v>
      </c>
      <c r="J629">
        <v>1</v>
      </c>
      <c r="K629">
        <v>0</v>
      </c>
      <c r="L629" t="s">
        <v>28</v>
      </c>
      <c r="M629" t="s">
        <v>512</v>
      </c>
      <c r="N629" t="s">
        <v>514</v>
      </c>
      <c r="O629">
        <v>3.2510999999999994E-5</v>
      </c>
      <c r="P629">
        <v>6.1301971726190468E-5</v>
      </c>
      <c r="Q629">
        <v>1.31050001E-2</v>
      </c>
      <c r="R629">
        <v>2.2569444500000001E-2</v>
      </c>
      <c r="S629" s="101">
        <v>3.2510999999999994E-5</v>
      </c>
      <c r="T629" s="101">
        <v>6.1301971726190468E-5</v>
      </c>
      <c r="U629" s="101">
        <v>1.31050001E-2</v>
      </c>
      <c r="V629" s="101">
        <v>2.2569444500000001E-2</v>
      </c>
      <c r="W629">
        <v>0</v>
      </c>
      <c r="X629">
        <v>6.1301971726190462E-4</v>
      </c>
      <c r="Y629">
        <v>3.0650985863095233E-2</v>
      </c>
      <c r="Z629">
        <v>6.1301971726190466E-2</v>
      </c>
      <c r="AA629" t="s">
        <v>473</v>
      </c>
      <c r="AB629" t="str">
        <f t="shared" si="26"/>
        <v>OK</v>
      </c>
      <c r="AC629" t="str">
        <f t="shared" si="27"/>
        <v>OK</v>
      </c>
      <c r="AD629" t="str">
        <f t="shared" si="28"/>
        <v>OK</v>
      </c>
      <c r="AE629" t="str">
        <f t="shared" si="29"/>
        <v>OK</v>
      </c>
    </row>
    <row r="630" spans="1:31" x14ac:dyDescent="0.25">
      <c r="A630" t="s">
        <v>488</v>
      </c>
      <c r="B630">
        <v>100</v>
      </c>
      <c r="C630">
        <v>0</v>
      </c>
      <c r="D630">
        <v>1</v>
      </c>
      <c r="E630">
        <v>0</v>
      </c>
      <c r="F630" t="s">
        <v>458</v>
      </c>
      <c r="G630" t="s">
        <v>687</v>
      </c>
      <c r="H630" t="s">
        <v>396</v>
      </c>
      <c r="I630">
        <v>0.125</v>
      </c>
      <c r="J630">
        <v>1</v>
      </c>
      <c r="K630">
        <v>0</v>
      </c>
      <c r="L630" t="s">
        <v>28</v>
      </c>
      <c r="M630" t="s">
        <v>512</v>
      </c>
      <c r="N630" t="s">
        <v>514</v>
      </c>
      <c r="O630">
        <v>3.2510999999999994E-5</v>
      </c>
      <c r="P630">
        <v>6.1301971726190468E-5</v>
      </c>
      <c r="Q630">
        <v>6.7050001000000005E-3</v>
      </c>
      <c r="R630">
        <v>1.1769444499999998E-2</v>
      </c>
      <c r="S630" s="101">
        <v>3.2510999999999994E-5</v>
      </c>
      <c r="T630" s="101">
        <v>6.1301971726190468E-5</v>
      </c>
      <c r="U630" s="101">
        <v>6.7050001000000005E-3</v>
      </c>
      <c r="V630" s="101">
        <v>1.1769444499999998E-2</v>
      </c>
      <c r="W630">
        <v>0</v>
      </c>
      <c r="X630">
        <v>6.1301971726190462E-4</v>
      </c>
      <c r="Y630">
        <v>3.0650985863095233E-2</v>
      </c>
      <c r="Z630">
        <v>6.1301971726190466E-2</v>
      </c>
      <c r="AA630" t="s">
        <v>473</v>
      </c>
      <c r="AB630" t="str">
        <f t="shared" si="26"/>
        <v>OK</v>
      </c>
      <c r="AC630" t="str">
        <f t="shared" si="27"/>
        <v>OK</v>
      </c>
      <c r="AD630" t="str">
        <f t="shared" si="28"/>
        <v>OK</v>
      </c>
      <c r="AE630" t="str">
        <f t="shared" si="29"/>
        <v>OK</v>
      </c>
    </row>
    <row r="631" spans="1:31" x14ac:dyDescent="0.25">
      <c r="A631" t="s">
        <v>488</v>
      </c>
      <c r="B631">
        <v>100</v>
      </c>
      <c r="C631">
        <v>0</v>
      </c>
      <c r="D631">
        <v>1</v>
      </c>
      <c r="E631">
        <v>0</v>
      </c>
      <c r="F631" t="s">
        <v>458</v>
      </c>
      <c r="G631" t="s">
        <v>688</v>
      </c>
      <c r="H631" t="s">
        <v>396</v>
      </c>
      <c r="I631">
        <v>0.125</v>
      </c>
      <c r="J631">
        <v>1</v>
      </c>
      <c r="K631">
        <v>0</v>
      </c>
      <c r="L631" t="s">
        <v>28</v>
      </c>
      <c r="M631" t="s">
        <v>512</v>
      </c>
      <c r="N631" t="s">
        <v>514</v>
      </c>
      <c r="O631">
        <v>3.2510999999999994E-5</v>
      </c>
      <c r="P631">
        <v>6.1301971726190468E-5</v>
      </c>
      <c r="Q631">
        <v>4.5050001000000008E-3</v>
      </c>
      <c r="R631">
        <v>6.5694445000000004E-3</v>
      </c>
      <c r="S631" s="101">
        <v>3.2510999999999994E-5</v>
      </c>
      <c r="T631" s="101">
        <v>6.1301971726190468E-5</v>
      </c>
      <c r="U631" s="101">
        <v>4.5050001000000008E-3</v>
      </c>
      <c r="V631" s="101">
        <v>6.5694445000000004E-3</v>
      </c>
      <c r="W631">
        <v>0</v>
      </c>
      <c r="X631">
        <v>6.1301971726190462E-4</v>
      </c>
      <c r="Y631">
        <v>3.0650985863095233E-2</v>
      </c>
      <c r="Z631">
        <v>6.1301971726190466E-2</v>
      </c>
      <c r="AA631" t="s">
        <v>473</v>
      </c>
      <c r="AB631" t="str">
        <f t="shared" si="26"/>
        <v>OK</v>
      </c>
      <c r="AC631" t="str">
        <f t="shared" si="27"/>
        <v>OK</v>
      </c>
      <c r="AD631" t="str">
        <f t="shared" si="28"/>
        <v>OK</v>
      </c>
      <c r="AE631" t="str">
        <f t="shared" si="29"/>
        <v>OK</v>
      </c>
    </row>
    <row r="632" spans="1:31" x14ac:dyDescent="0.25">
      <c r="A632" t="s">
        <v>948</v>
      </c>
      <c r="B632">
        <v>100</v>
      </c>
      <c r="C632">
        <v>0</v>
      </c>
      <c r="D632">
        <v>1</v>
      </c>
      <c r="E632">
        <v>0</v>
      </c>
      <c r="F632" t="s">
        <v>458</v>
      </c>
      <c r="G632" t="s">
        <v>458</v>
      </c>
      <c r="H632" t="s">
        <v>396</v>
      </c>
      <c r="I632">
        <v>0.125</v>
      </c>
      <c r="J632">
        <v>1</v>
      </c>
      <c r="K632">
        <v>0</v>
      </c>
      <c r="L632" t="s">
        <v>28</v>
      </c>
      <c r="M632" t="s">
        <v>512</v>
      </c>
      <c r="N632" t="s">
        <v>514</v>
      </c>
      <c r="O632">
        <v>3.2510999999999994E-5</v>
      </c>
      <c r="P632">
        <v>5.497639508928572E-5</v>
      </c>
      <c r="Q632">
        <v>6.6062500562500005E-3</v>
      </c>
      <c r="R632">
        <v>9.7375000374999993E-3</v>
      </c>
      <c r="S632" s="101">
        <v>3.2510999999999994E-5</v>
      </c>
      <c r="T632" s="101">
        <v>5.497639508928572E-5</v>
      </c>
      <c r="U632" s="101">
        <v>6.6062500562500005E-3</v>
      </c>
      <c r="V632" s="101">
        <v>9.7375000374999993E-3</v>
      </c>
      <c r="W632">
        <v>0</v>
      </c>
      <c r="X632">
        <v>5.4976395089285717E-4</v>
      </c>
      <c r="Y632">
        <v>2.7488197544642861E-2</v>
      </c>
      <c r="Z632">
        <v>5.4976395089285722E-2</v>
      </c>
      <c r="AA632" t="s">
        <v>964</v>
      </c>
      <c r="AB632" t="str">
        <f t="shared" si="26"/>
        <v>OK</v>
      </c>
      <c r="AC632" t="str">
        <f t="shared" si="27"/>
        <v>OK</v>
      </c>
      <c r="AD632" t="str">
        <f t="shared" si="28"/>
        <v>OK</v>
      </c>
      <c r="AE632" t="str">
        <f t="shared" si="29"/>
        <v>OK</v>
      </c>
    </row>
    <row r="633" spans="1:31" x14ac:dyDescent="0.25">
      <c r="A633" t="s">
        <v>948</v>
      </c>
      <c r="B633">
        <v>100</v>
      </c>
      <c r="C633">
        <v>0</v>
      </c>
      <c r="D633">
        <v>1</v>
      </c>
      <c r="E633">
        <v>0</v>
      </c>
      <c r="F633" t="s">
        <v>458</v>
      </c>
      <c r="G633" t="s">
        <v>686</v>
      </c>
      <c r="H633" t="s">
        <v>396</v>
      </c>
      <c r="I633">
        <v>0.125</v>
      </c>
      <c r="J633">
        <v>1</v>
      </c>
      <c r="K633">
        <v>0</v>
      </c>
      <c r="L633" t="s">
        <v>28</v>
      </c>
      <c r="M633" t="s">
        <v>512</v>
      </c>
      <c r="N633" t="s">
        <v>514</v>
      </c>
      <c r="O633">
        <v>3.2510999999999994E-5</v>
      </c>
      <c r="P633">
        <v>5.497639508928572E-5</v>
      </c>
      <c r="Q633">
        <v>1.300625005625E-2</v>
      </c>
      <c r="R633">
        <v>1.9337500037499997E-2</v>
      </c>
      <c r="S633" s="101">
        <v>3.2510999999999994E-5</v>
      </c>
      <c r="T633" s="101">
        <v>5.497639508928572E-5</v>
      </c>
      <c r="U633" s="101">
        <v>1.300625005625E-2</v>
      </c>
      <c r="V633" s="101">
        <v>1.9337500037499997E-2</v>
      </c>
      <c r="W633">
        <v>0</v>
      </c>
      <c r="X633">
        <v>5.4976395089285717E-4</v>
      </c>
      <c r="Y633">
        <v>2.7488197544642861E-2</v>
      </c>
      <c r="Z633">
        <v>5.4976395089285722E-2</v>
      </c>
      <c r="AA633" t="s">
        <v>964</v>
      </c>
      <c r="AB633" t="str">
        <f t="shared" si="26"/>
        <v>OK</v>
      </c>
      <c r="AC633" t="str">
        <f t="shared" si="27"/>
        <v>OK</v>
      </c>
      <c r="AD633" t="str">
        <f t="shared" si="28"/>
        <v>OK</v>
      </c>
      <c r="AE633" t="str">
        <f t="shared" si="29"/>
        <v>OK</v>
      </c>
    </row>
    <row r="634" spans="1:31" x14ac:dyDescent="0.25">
      <c r="A634" t="s">
        <v>948</v>
      </c>
      <c r="B634">
        <v>100</v>
      </c>
      <c r="C634">
        <v>0</v>
      </c>
      <c r="D634">
        <v>1</v>
      </c>
      <c r="E634">
        <v>0</v>
      </c>
      <c r="F634" t="s">
        <v>458</v>
      </c>
      <c r="G634" t="s">
        <v>687</v>
      </c>
      <c r="H634" t="s">
        <v>396</v>
      </c>
      <c r="I634">
        <v>0.125</v>
      </c>
      <c r="J634">
        <v>1</v>
      </c>
      <c r="K634">
        <v>0</v>
      </c>
      <c r="L634" t="s">
        <v>28</v>
      </c>
      <c r="M634" t="s">
        <v>512</v>
      </c>
      <c r="N634" t="s">
        <v>514</v>
      </c>
      <c r="O634">
        <v>3.2510999999999994E-5</v>
      </c>
      <c r="P634">
        <v>5.497639508928572E-5</v>
      </c>
      <c r="Q634">
        <v>6.6062500562500005E-3</v>
      </c>
      <c r="R634">
        <v>9.7375000374999993E-3</v>
      </c>
      <c r="S634" s="101">
        <v>3.2510999999999994E-5</v>
      </c>
      <c r="T634" s="101">
        <v>5.497639508928572E-5</v>
      </c>
      <c r="U634" s="101">
        <v>6.6062500562500005E-3</v>
      </c>
      <c r="V634" s="101">
        <v>9.7375000374999993E-3</v>
      </c>
      <c r="W634">
        <v>0</v>
      </c>
      <c r="X634">
        <v>5.4976395089285717E-4</v>
      </c>
      <c r="Y634">
        <v>2.7488197544642861E-2</v>
      </c>
      <c r="Z634">
        <v>5.4976395089285722E-2</v>
      </c>
      <c r="AA634" t="s">
        <v>964</v>
      </c>
      <c r="AB634" t="str">
        <f t="shared" si="26"/>
        <v>OK</v>
      </c>
      <c r="AC634" t="str">
        <f t="shared" si="27"/>
        <v>OK</v>
      </c>
      <c r="AD634" t="str">
        <f t="shared" si="28"/>
        <v>OK</v>
      </c>
      <c r="AE634" t="str">
        <f t="shared" si="29"/>
        <v>OK</v>
      </c>
    </row>
    <row r="635" spans="1:31" x14ac:dyDescent="0.25">
      <c r="A635" t="s">
        <v>948</v>
      </c>
      <c r="B635">
        <v>100</v>
      </c>
      <c r="C635">
        <v>0</v>
      </c>
      <c r="D635">
        <v>1</v>
      </c>
      <c r="E635">
        <v>0</v>
      </c>
      <c r="F635" t="s">
        <v>458</v>
      </c>
      <c r="G635" t="s">
        <v>688</v>
      </c>
      <c r="H635" t="s">
        <v>396</v>
      </c>
      <c r="I635">
        <v>0.125</v>
      </c>
      <c r="J635">
        <v>1</v>
      </c>
      <c r="K635">
        <v>0</v>
      </c>
      <c r="L635" t="s">
        <v>28</v>
      </c>
      <c r="M635" t="s">
        <v>512</v>
      </c>
      <c r="N635" t="s">
        <v>514</v>
      </c>
      <c r="O635">
        <v>3.2510999999999994E-5</v>
      </c>
      <c r="P635">
        <v>5.497639508928572E-5</v>
      </c>
      <c r="Q635">
        <v>4.4062500562500008E-3</v>
      </c>
      <c r="R635">
        <v>4.9375000374999997E-3</v>
      </c>
      <c r="S635" s="101">
        <v>3.2510999999999994E-5</v>
      </c>
      <c r="T635" s="101">
        <v>5.497639508928572E-5</v>
      </c>
      <c r="U635" s="101">
        <v>4.4062500562500008E-3</v>
      </c>
      <c r="V635" s="101">
        <v>4.9375000374999997E-3</v>
      </c>
      <c r="W635">
        <v>0</v>
      </c>
      <c r="X635">
        <v>5.4976395089285717E-4</v>
      </c>
      <c r="Y635">
        <v>2.7488197544642861E-2</v>
      </c>
      <c r="Z635">
        <v>5.4976395089285722E-2</v>
      </c>
      <c r="AA635" t="s">
        <v>964</v>
      </c>
      <c r="AB635" t="str">
        <f t="shared" si="26"/>
        <v>OK</v>
      </c>
      <c r="AC635" t="str">
        <f t="shared" si="27"/>
        <v>OK</v>
      </c>
      <c r="AD635" t="str">
        <f t="shared" si="28"/>
        <v>OK</v>
      </c>
      <c r="AE635" t="str">
        <f t="shared" si="29"/>
        <v>OK</v>
      </c>
    </row>
    <row r="636" spans="1:31" x14ac:dyDescent="0.25">
      <c r="A636" t="s">
        <v>196</v>
      </c>
      <c r="B636">
        <v>100</v>
      </c>
      <c r="C636">
        <v>0</v>
      </c>
      <c r="D636">
        <v>1</v>
      </c>
      <c r="E636">
        <v>0</v>
      </c>
      <c r="F636" t="s">
        <v>458</v>
      </c>
      <c r="G636" t="s">
        <v>458</v>
      </c>
      <c r="H636" t="s">
        <v>396</v>
      </c>
      <c r="I636">
        <v>0.125</v>
      </c>
      <c r="J636">
        <v>1</v>
      </c>
      <c r="K636">
        <v>0</v>
      </c>
      <c r="L636" t="s">
        <v>28</v>
      </c>
      <c r="M636" t="s">
        <v>512</v>
      </c>
      <c r="N636" t="s">
        <v>514</v>
      </c>
      <c r="O636">
        <v>3.2510999999999994E-5</v>
      </c>
      <c r="P636">
        <v>5.2976209076562502E-5</v>
      </c>
      <c r="Q636">
        <v>7.746875000000002E-4</v>
      </c>
      <c r="R636">
        <v>3.0987500000000009E-4</v>
      </c>
      <c r="S636" s="101">
        <v>3.2510999999999994E-5</v>
      </c>
      <c r="T636" s="101">
        <v>5.2976209076562502E-5</v>
      </c>
      <c r="U636" s="101">
        <v>7.746875000000002E-4</v>
      </c>
      <c r="V636" s="101">
        <v>3.0987500000000009E-4</v>
      </c>
      <c r="W636">
        <v>0</v>
      </c>
      <c r="X636">
        <v>5.2976209076562508E-4</v>
      </c>
      <c r="Y636">
        <v>2.6488104538281251E-2</v>
      </c>
      <c r="Z636">
        <v>5.2976209076562503E-2</v>
      </c>
      <c r="AA636" t="s">
        <v>275</v>
      </c>
      <c r="AB636" t="str">
        <f t="shared" si="26"/>
        <v>OK</v>
      </c>
      <c r="AC636" t="str">
        <f t="shared" si="27"/>
        <v>OK</v>
      </c>
      <c r="AD636" t="str">
        <f t="shared" si="28"/>
        <v>OK</v>
      </c>
      <c r="AE636" t="str">
        <f t="shared" si="29"/>
        <v>OK</v>
      </c>
    </row>
    <row r="637" spans="1:31" x14ac:dyDescent="0.25">
      <c r="A637" t="s">
        <v>196</v>
      </c>
      <c r="B637">
        <v>100</v>
      </c>
      <c r="C637">
        <v>0</v>
      </c>
      <c r="D637">
        <v>1</v>
      </c>
      <c r="E637">
        <v>0</v>
      </c>
      <c r="F637" t="s">
        <v>458</v>
      </c>
      <c r="G637" t="s">
        <v>458</v>
      </c>
      <c r="H637" t="s">
        <v>396</v>
      </c>
      <c r="I637">
        <v>0.125</v>
      </c>
      <c r="J637">
        <v>1</v>
      </c>
      <c r="K637">
        <v>10</v>
      </c>
      <c r="L637" t="s">
        <v>28</v>
      </c>
      <c r="M637" t="s">
        <v>512</v>
      </c>
      <c r="N637" t="s">
        <v>514</v>
      </c>
      <c r="O637">
        <v>3.2510999999999994E-5</v>
      </c>
      <c r="P637">
        <v>5.2976209076562502E-5</v>
      </c>
      <c r="Q637">
        <v>1.1653125000000003E-3</v>
      </c>
      <c r="R637">
        <v>4.6612500000000012E-4</v>
      </c>
      <c r="S637" s="101">
        <v>3.2510999999999994E-5</v>
      </c>
      <c r="T637" s="101">
        <v>5.2976209076562502E-5</v>
      </c>
      <c r="U637" s="101">
        <v>1.1653125000000003E-3</v>
      </c>
      <c r="V637" s="101">
        <v>4.6612500000000012E-4</v>
      </c>
      <c r="W637">
        <v>0</v>
      </c>
      <c r="X637">
        <v>5.2976209076562508E-4</v>
      </c>
      <c r="Y637">
        <v>2.6488104538281251E-2</v>
      </c>
      <c r="Z637">
        <v>5.2976209076562503E-2</v>
      </c>
      <c r="AA637" t="s">
        <v>275</v>
      </c>
      <c r="AB637" t="str">
        <f t="shared" si="26"/>
        <v>OK</v>
      </c>
      <c r="AC637" t="str">
        <f t="shared" si="27"/>
        <v>OK</v>
      </c>
      <c r="AD637" t="str">
        <f t="shared" si="28"/>
        <v>OK</v>
      </c>
      <c r="AE637" t="str">
        <f t="shared" si="29"/>
        <v>OK</v>
      </c>
    </row>
    <row r="638" spans="1:31" x14ac:dyDescent="0.25">
      <c r="A638" t="s">
        <v>137</v>
      </c>
      <c r="B638">
        <v>100</v>
      </c>
      <c r="C638">
        <v>0</v>
      </c>
      <c r="D638">
        <v>0</v>
      </c>
      <c r="E638">
        <v>1</v>
      </c>
      <c r="F638" t="s">
        <v>458</v>
      </c>
      <c r="G638" t="s">
        <v>458</v>
      </c>
      <c r="H638" t="s">
        <v>396</v>
      </c>
      <c r="I638">
        <v>0.125</v>
      </c>
      <c r="J638">
        <v>1</v>
      </c>
      <c r="K638">
        <v>0</v>
      </c>
      <c r="L638" t="s">
        <v>28</v>
      </c>
      <c r="M638" t="s">
        <v>512</v>
      </c>
      <c r="N638" t="s">
        <v>514</v>
      </c>
      <c r="O638">
        <v>3.2510999999999994E-5</v>
      </c>
      <c r="P638">
        <v>6.5307812499999993E-3</v>
      </c>
      <c r="Q638">
        <v>2.1864073046874998E-2</v>
      </c>
      <c r="R638">
        <v>9.2356292187499994E-3</v>
      </c>
      <c r="S638" s="101">
        <v>3.2510999999999994E-5</v>
      </c>
      <c r="T638" s="101">
        <v>6.5307812499999993E-3</v>
      </c>
      <c r="U638" s="101">
        <v>2.1864073046874998E-2</v>
      </c>
      <c r="V638" s="101">
        <v>9.2356292187499994E-3</v>
      </c>
      <c r="W638">
        <v>6.5250000000000004</v>
      </c>
      <c r="X638">
        <v>6.5250578124999992</v>
      </c>
      <c r="Y638">
        <v>6.5278906250000004</v>
      </c>
      <c r="Z638">
        <v>6.5307812500000004</v>
      </c>
      <c r="AA638" t="s">
        <v>295</v>
      </c>
      <c r="AB638" t="str">
        <f t="shared" si="26"/>
        <v>OK</v>
      </c>
      <c r="AC638" t="str">
        <f t="shared" si="27"/>
        <v>OK</v>
      </c>
      <c r="AD638" t="str">
        <f t="shared" si="28"/>
        <v>OK</v>
      </c>
      <c r="AE638" t="str">
        <f t="shared" si="29"/>
        <v>OK</v>
      </c>
    </row>
    <row r="639" spans="1:31" x14ac:dyDescent="0.25">
      <c r="A639" t="s">
        <v>401</v>
      </c>
      <c r="B639">
        <v>100</v>
      </c>
      <c r="C639">
        <v>0</v>
      </c>
      <c r="D639">
        <v>0</v>
      </c>
      <c r="E639">
        <v>1</v>
      </c>
      <c r="F639" t="s">
        <v>458</v>
      </c>
      <c r="G639" t="s">
        <v>458</v>
      </c>
      <c r="H639" t="s">
        <v>396</v>
      </c>
      <c r="I639">
        <v>0.125</v>
      </c>
      <c r="J639">
        <v>1</v>
      </c>
      <c r="K639">
        <v>10</v>
      </c>
      <c r="L639" t="s">
        <v>28</v>
      </c>
      <c r="M639" t="s">
        <v>512</v>
      </c>
      <c r="N639" t="s">
        <v>514</v>
      </c>
      <c r="O639">
        <v>3.2510999999999994E-5</v>
      </c>
      <c r="P639">
        <v>6.5307812499999993E-3</v>
      </c>
      <c r="Q639">
        <v>2.9290200876874999E-2</v>
      </c>
      <c r="R639">
        <v>9.2470305687500001E-3</v>
      </c>
      <c r="S639" s="101">
        <v>3.2510999999999994E-5</v>
      </c>
      <c r="T639" s="101">
        <v>6.5307812499999993E-3</v>
      </c>
      <c r="U639" s="101">
        <v>2.9290200876874999E-2</v>
      </c>
      <c r="V639" s="101">
        <v>9.2470305687500001E-3</v>
      </c>
      <c r="W639">
        <v>6.5250000000000004</v>
      </c>
      <c r="X639">
        <v>6.5250578124999992</v>
      </c>
      <c r="Y639">
        <v>6.5278906250000004</v>
      </c>
      <c r="Z639">
        <v>6.5307812500000004</v>
      </c>
      <c r="AA639" t="s">
        <v>377</v>
      </c>
      <c r="AB639" t="str">
        <f t="shared" si="26"/>
        <v>OK</v>
      </c>
      <c r="AC639" t="str">
        <f t="shared" si="27"/>
        <v>OK</v>
      </c>
      <c r="AD639" t="str">
        <f t="shared" si="28"/>
        <v>OK</v>
      </c>
      <c r="AE639" t="str">
        <f t="shared" si="29"/>
        <v>OK</v>
      </c>
    </row>
    <row r="640" spans="1:31" x14ac:dyDescent="0.25">
      <c r="A640" t="s">
        <v>178</v>
      </c>
      <c r="B640">
        <v>100</v>
      </c>
      <c r="C640">
        <v>0</v>
      </c>
      <c r="D640">
        <v>0</v>
      </c>
      <c r="E640">
        <v>1</v>
      </c>
      <c r="F640" t="s">
        <v>458</v>
      </c>
      <c r="G640" t="s">
        <v>458</v>
      </c>
      <c r="H640" t="s">
        <v>396</v>
      </c>
      <c r="I640">
        <v>0.125</v>
      </c>
      <c r="J640">
        <v>1</v>
      </c>
      <c r="K640">
        <v>0</v>
      </c>
      <c r="L640" t="s">
        <v>28</v>
      </c>
      <c r="M640" t="s">
        <v>512</v>
      </c>
      <c r="N640" t="s">
        <v>514</v>
      </c>
      <c r="O640">
        <v>3.2510999999999994E-5</v>
      </c>
      <c r="P640">
        <v>6.678309151785715E-5</v>
      </c>
      <c r="Q640">
        <v>1.1570624999999997E-3</v>
      </c>
      <c r="R640">
        <v>3.5062499999999992E-4</v>
      </c>
      <c r="S640" s="101">
        <v>3.2510999999999994E-5</v>
      </c>
      <c r="T640" s="101">
        <v>6.678309151785715E-5</v>
      </c>
      <c r="U640" s="101">
        <v>1.1570624999999997E-3</v>
      </c>
      <c r="V640" s="101">
        <v>3.5062499999999992E-4</v>
      </c>
      <c r="W640">
        <v>0</v>
      </c>
      <c r="X640">
        <v>6.678309151785715E-4</v>
      </c>
      <c r="Y640">
        <v>3.3391545758928574E-2</v>
      </c>
      <c r="Z640">
        <v>6.6783091517857149E-2</v>
      </c>
      <c r="AA640" t="s">
        <v>305</v>
      </c>
      <c r="AB640" t="str">
        <f t="shared" si="26"/>
        <v>OK</v>
      </c>
      <c r="AC640" t="str">
        <f t="shared" si="27"/>
        <v>OK</v>
      </c>
      <c r="AD640" t="str">
        <f t="shared" si="28"/>
        <v>OK</v>
      </c>
      <c r="AE640" t="str">
        <f t="shared" si="29"/>
        <v>OK</v>
      </c>
    </row>
    <row r="641" spans="1:31" x14ac:dyDescent="0.25">
      <c r="A641" t="s">
        <v>482</v>
      </c>
      <c r="B641">
        <v>100</v>
      </c>
      <c r="C641">
        <v>0</v>
      </c>
      <c r="D641">
        <v>0</v>
      </c>
      <c r="E641">
        <v>1</v>
      </c>
      <c r="F641" t="s">
        <v>458</v>
      </c>
      <c r="G641" t="s">
        <v>458</v>
      </c>
      <c r="H641" t="s">
        <v>396</v>
      </c>
      <c r="I641">
        <v>0.125</v>
      </c>
      <c r="J641">
        <v>1</v>
      </c>
      <c r="K641">
        <v>0</v>
      </c>
      <c r="L641" t="s">
        <v>28</v>
      </c>
      <c r="M641" t="s">
        <v>512</v>
      </c>
      <c r="N641" t="s">
        <v>514</v>
      </c>
      <c r="O641">
        <v>3.2510999999999994E-5</v>
      </c>
      <c r="P641">
        <v>6.8057812500000011E-3</v>
      </c>
      <c r="Q641">
        <v>3.1770520703124999E-2</v>
      </c>
      <c r="R641">
        <v>1.4958208281249998E-2</v>
      </c>
      <c r="S641" s="101">
        <v>3.2510999999999994E-5</v>
      </c>
      <c r="T641" s="101">
        <v>6.8057812500000011E-3</v>
      </c>
      <c r="U641" s="101">
        <v>3.1770520703124999E-2</v>
      </c>
      <c r="V641" s="101">
        <v>1.4958208281249998E-2</v>
      </c>
      <c r="W641">
        <v>6.8</v>
      </c>
      <c r="X641">
        <v>6.8000578125000004</v>
      </c>
      <c r="Y641">
        <v>6.8028906249999999</v>
      </c>
      <c r="Z641">
        <v>6.8057812499999999</v>
      </c>
      <c r="AA641" t="s">
        <v>296</v>
      </c>
      <c r="AB641" t="str">
        <f t="shared" si="26"/>
        <v>OK</v>
      </c>
      <c r="AC641" t="str">
        <f t="shared" si="27"/>
        <v>OK</v>
      </c>
      <c r="AD641" t="str">
        <f t="shared" si="28"/>
        <v>OK</v>
      </c>
      <c r="AE641" t="str">
        <f t="shared" si="29"/>
        <v>OK</v>
      </c>
    </row>
    <row r="642" spans="1:31" x14ac:dyDescent="0.25">
      <c r="A642" t="s">
        <v>485</v>
      </c>
      <c r="B642">
        <v>100</v>
      </c>
      <c r="C642">
        <v>0</v>
      </c>
      <c r="D642">
        <v>0</v>
      </c>
      <c r="E642">
        <v>1</v>
      </c>
      <c r="F642" t="s">
        <v>458</v>
      </c>
      <c r="G642" t="s">
        <v>458</v>
      </c>
      <c r="H642" t="s">
        <v>396</v>
      </c>
      <c r="I642">
        <v>0.125</v>
      </c>
      <c r="J642">
        <v>1</v>
      </c>
      <c r="K642">
        <v>0</v>
      </c>
      <c r="L642" t="s">
        <v>28</v>
      </c>
      <c r="M642" t="s">
        <v>512</v>
      </c>
      <c r="N642" t="s">
        <v>514</v>
      </c>
      <c r="O642">
        <v>3.2510999999999994E-5</v>
      </c>
      <c r="P642">
        <v>6.5307812499999993E-3</v>
      </c>
      <c r="Q642">
        <v>2.1864073046874998E-2</v>
      </c>
      <c r="R642">
        <v>9.2356292187499994E-3</v>
      </c>
      <c r="S642" s="101">
        <v>3.2510999999999994E-5</v>
      </c>
      <c r="T642" s="101">
        <v>6.5307812499999993E-3</v>
      </c>
      <c r="U642" s="101">
        <v>2.1864073046874998E-2</v>
      </c>
      <c r="V642" s="101">
        <v>9.2356292187499994E-3</v>
      </c>
      <c r="W642">
        <v>6.5250000000000004</v>
      </c>
      <c r="X642">
        <v>6.5250578124999992</v>
      </c>
      <c r="Y642">
        <v>6.5278906250000004</v>
      </c>
      <c r="Z642">
        <v>6.5307812500000004</v>
      </c>
      <c r="AA642" t="s">
        <v>375</v>
      </c>
      <c r="AB642" t="str">
        <f t="shared" si="26"/>
        <v>OK</v>
      </c>
      <c r="AC642" t="str">
        <f t="shared" si="27"/>
        <v>OK</v>
      </c>
      <c r="AD642" t="str">
        <f t="shared" si="28"/>
        <v>OK</v>
      </c>
      <c r="AE642" t="str">
        <f t="shared" si="29"/>
        <v>OK</v>
      </c>
    </row>
    <row r="643" spans="1:31" x14ac:dyDescent="0.25">
      <c r="A643" t="s">
        <v>486</v>
      </c>
      <c r="B643">
        <v>100</v>
      </c>
      <c r="C643">
        <v>0</v>
      </c>
      <c r="D643">
        <v>0</v>
      </c>
      <c r="E643">
        <v>1</v>
      </c>
      <c r="F643" t="s">
        <v>458</v>
      </c>
      <c r="G643" t="s">
        <v>458</v>
      </c>
      <c r="H643" t="s">
        <v>396</v>
      </c>
      <c r="I643">
        <v>0.125</v>
      </c>
      <c r="J643">
        <v>1</v>
      </c>
      <c r="K643">
        <v>0</v>
      </c>
      <c r="L643" t="s">
        <v>28</v>
      </c>
      <c r="M643" t="s">
        <v>512</v>
      </c>
      <c r="N643" t="s">
        <v>514</v>
      </c>
      <c r="O643">
        <v>3.2510999999999994E-5</v>
      </c>
      <c r="P643">
        <v>6.5307812499999993E-3</v>
      </c>
      <c r="Q643">
        <v>2.9290200876874999E-2</v>
      </c>
      <c r="R643">
        <v>9.2470305687500001E-3</v>
      </c>
      <c r="S643" s="101">
        <v>3.2510999999999994E-5</v>
      </c>
      <c r="T643" s="101">
        <v>6.5307812499999993E-3</v>
      </c>
      <c r="U643" s="101">
        <v>2.9290200876874999E-2</v>
      </c>
      <c r="V643" s="101">
        <v>9.2470305687500001E-3</v>
      </c>
      <c r="W643">
        <v>6.5250000000000004</v>
      </c>
      <c r="X643">
        <v>6.5250578124999992</v>
      </c>
      <c r="Y643">
        <v>6.5278906250000004</v>
      </c>
      <c r="Z643">
        <v>6.5307812500000004</v>
      </c>
      <c r="AA643" t="s">
        <v>376</v>
      </c>
      <c r="AB643" t="str">
        <f t="shared" si="26"/>
        <v>OK</v>
      </c>
      <c r="AC643" t="str">
        <f t="shared" si="27"/>
        <v>OK</v>
      </c>
      <c r="AD643" t="str">
        <f t="shared" si="28"/>
        <v>OK</v>
      </c>
      <c r="AE643" t="str">
        <f t="shared" si="29"/>
        <v>OK</v>
      </c>
    </row>
    <row r="644" spans="1:31" x14ac:dyDescent="0.25">
      <c r="A644" t="s">
        <v>497</v>
      </c>
      <c r="B644">
        <v>100</v>
      </c>
      <c r="C644">
        <v>0</v>
      </c>
      <c r="D644">
        <v>0</v>
      </c>
      <c r="E644">
        <v>1</v>
      </c>
      <c r="F644" t="s">
        <v>458</v>
      </c>
      <c r="G644" t="s">
        <v>458</v>
      </c>
      <c r="H644" t="s">
        <v>396</v>
      </c>
      <c r="I644">
        <v>0.125</v>
      </c>
      <c r="J644">
        <v>1</v>
      </c>
      <c r="K644">
        <v>0</v>
      </c>
      <c r="L644" t="s">
        <v>28</v>
      </c>
      <c r="M644" t="s">
        <v>512</v>
      </c>
      <c r="N644" t="s">
        <v>514</v>
      </c>
      <c r="O644">
        <v>3.2510999999999994E-5</v>
      </c>
      <c r="P644">
        <v>8.7987127976190459E-5</v>
      </c>
      <c r="Q644">
        <v>1.0243753368749996E-3</v>
      </c>
      <c r="R644">
        <v>3.104167687499999E-4</v>
      </c>
      <c r="S644" s="101">
        <v>3.2510999999999994E-5</v>
      </c>
      <c r="T644" s="101">
        <v>8.7987127976190459E-5</v>
      </c>
      <c r="U644" s="101">
        <v>1.0243753368749996E-3</v>
      </c>
      <c r="V644" s="101">
        <v>3.104167687499999E-4</v>
      </c>
      <c r="W644">
        <v>0</v>
      </c>
      <c r="X644">
        <v>8.7987127976190457E-4</v>
      </c>
      <c r="Y644">
        <v>4.399356398809523E-2</v>
      </c>
      <c r="Z644">
        <v>8.798712797619046E-2</v>
      </c>
      <c r="AA644" t="s">
        <v>311</v>
      </c>
      <c r="AB644" t="str">
        <f t="shared" si="26"/>
        <v>OK</v>
      </c>
      <c r="AC644" t="str">
        <f t="shared" si="27"/>
        <v>OK</v>
      </c>
      <c r="AD644" t="str">
        <f t="shared" si="28"/>
        <v>OK</v>
      </c>
      <c r="AE644" t="str">
        <f t="shared" si="29"/>
        <v>OK</v>
      </c>
    </row>
    <row r="645" spans="1:31" x14ac:dyDescent="0.25">
      <c r="A645" t="s">
        <v>498</v>
      </c>
      <c r="B645">
        <v>100</v>
      </c>
      <c r="C645">
        <v>0</v>
      </c>
      <c r="D645">
        <v>0</v>
      </c>
      <c r="E645">
        <v>1</v>
      </c>
      <c r="F645" t="s">
        <v>458</v>
      </c>
      <c r="G645" t="s">
        <v>458</v>
      </c>
      <c r="H645" t="s">
        <v>396</v>
      </c>
      <c r="I645">
        <v>0.125</v>
      </c>
      <c r="J645">
        <v>1</v>
      </c>
      <c r="K645">
        <v>0</v>
      </c>
      <c r="L645" t="s">
        <v>28</v>
      </c>
      <c r="M645" t="s">
        <v>512</v>
      </c>
      <c r="N645" t="s">
        <v>514</v>
      </c>
      <c r="O645">
        <v>3.2510999999999994E-5</v>
      </c>
      <c r="P645">
        <v>8.7952790178571434E-5</v>
      </c>
      <c r="Q645">
        <v>1.0172709731250001E-3</v>
      </c>
      <c r="R645">
        <v>3.0826393125000005E-4</v>
      </c>
      <c r="S645" s="101">
        <v>3.2510999999999994E-5</v>
      </c>
      <c r="T645" s="101">
        <v>8.7952790178571434E-5</v>
      </c>
      <c r="U645" s="101">
        <v>1.0172709731250001E-3</v>
      </c>
      <c r="V645" s="101">
        <v>3.0826393125000005E-4</v>
      </c>
      <c r="W645">
        <v>0</v>
      </c>
      <c r="X645">
        <v>8.7952790178571431E-4</v>
      </c>
      <c r="Y645">
        <v>4.3976395089285719E-2</v>
      </c>
      <c r="Z645">
        <v>8.7952790178571438E-2</v>
      </c>
      <c r="AA645" t="s">
        <v>312</v>
      </c>
      <c r="AB645" t="str">
        <f t="shared" si="26"/>
        <v>OK</v>
      </c>
      <c r="AC645" t="str">
        <f t="shared" si="27"/>
        <v>OK</v>
      </c>
      <c r="AD645" t="str">
        <f t="shared" si="28"/>
        <v>OK</v>
      </c>
      <c r="AE645" t="str">
        <f t="shared" si="29"/>
        <v>OK</v>
      </c>
    </row>
    <row r="646" spans="1:31" x14ac:dyDescent="0.25">
      <c r="A646" t="s">
        <v>360</v>
      </c>
      <c r="B646">
        <v>100</v>
      </c>
      <c r="C646">
        <v>0</v>
      </c>
      <c r="D646">
        <v>0</v>
      </c>
      <c r="E646">
        <v>1</v>
      </c>
      <c r="F646" t="s">
        <v>458</v>
      </c>
      <c r="G646" t="s">
        <v>458</v>
      </c>
      <c r="H646" t="s">
        <v>396</v>
      </c>
      <c r="I646">
        <v>0.125</v>
      </c>
      <c r="J646">
        <v>1</v>
      </c>
      <c r="K646">
        <v>0</v>
      </c>
      <c r="L646" t="s">
        <v>28</v>
      </c>
      <c r="M646" t="s">
        <v>512</v>
      </c>
      <c r="N646" t="s">
        <v>514</v>
      </c>
      <c r="O646">
        <v>3.2510999999999994E-5</v>
      </c>
      <c r="P646">
        <v>6.5307812499999993E-3</v>
      </c>
      <c r="Q646">
        <v>2.1864073046874998E-2</v>
      </c>
      <c r="R646">
        <v>9.2356292187499994E-3</v>
      </c>
      <c r="S646" s="101">
        <v>3.2510999999999994E-5</v>
      </c>
      <c r="T646" s="101">
        <v>6.5307812499999993E-3</v>
      </c>
      <c r="U646" s="101">
        <v>2.1864073046874998E-2</v>
      </c>
      <c r="V646" s="101">
        <v>9.2356292187499994E-3</v>
      </c>
      <c r="W646">
        <v>6.5250000000000004</v>
      </c>
      <c r="X646">
        <v>6.5250578124999992</v>
      </c>
      <c r="Y646">
        <v>6.5278906250000004</v>
      </c>
      <c r="Z646">
        <v>6.5307812500000004</v>
      </c>
      <c r="AA646" t="s">
        <v>363</v>
      </c>
      <c r="AB646" t="str">
        <f t="shared" si="26"/>
        <v>OK</v>
      </c>
      <c r="AC646" t="str">
        <f t="shared" si="27"/>
        <v>OK</v>
      </c>
      <c r="AD646" t="str">
        <f t="shared" si="28"/>
        <v>OK</v>
      </c>
      <c r="AE646" t="str">
        <f t="shared" si="29"/>
        <v>OK</v>
      </c>
    </row>
    <row r="647" spans="1:31" x14ac:dyDescent="0.25">
      <c r="A647" t="s">
        <v>361</v>
      </c>
      <c r="B647">
        <v>100</v>
      </c>
      <c r="C647">
        <v>0</v>
      </c>
      <c r="D647">
        <v>0</v>
      </c>
      <c r="E647">
        <v>1</v>
      </c>
      <c r="F647" t="s">
        <v>458</v>
      </c>
      <c r="G647" t="s">
        <v>458</v>
      </c>
      <c r="H647" t="s">
        <v>396</v>
      </c>
      <c r="I647">
        <v>0.125</v>
      </c>
      <c r="J647">
        <v>1</v>
      </c>
      <c r="K647">
        <v>0</v>
      </c>
      <c r="L647" t="s">
        <v>28</v>
      </c>
      <c r="M647" t="s">
        <v>512</v>
      </c>
      <c r="N647" t="s">
        <v>514</v>
      </c>
      <c r="O647">
        <v>3.2510999999999994E-5</v>
      </c>
      <c r="P647">
        <v>6.5307812499999993E-3</v>
      </c>
      <c r="Q647">
        <v>2.9290200876874999E-2</v>
      </c>
      <c r="R647">
        <v>9.2470305687500001E-3</v>
      </c>
      <c r="S647" s="101">
        <v>3.2510999999999994E-5</v>
      </c>
      <c r="T647" s="101">
        <v>6.5307812499999993E-3</v>
      </c>
      <c r="U647" s="101">
        <v>2.9290200876874999E-2</v>
      </c>
      <c r="V647" s="101">
        <v>9.2470305687500001E-3</v>
      </c>
      <c r="W647">
        <v>6.5250000000000004</v>
      </c>
      <c r="X647">
        <v>6.5250578124999992</v>
      </c>
      <c r="Y647">
        <v>6.5278906250000004</v>
      </c>
      <c r="Z647">
        <v>6.5307812500000004</v>
      </c>
      <c r="AA647" t="s">
        <v>364</v>
      </c>
      <c r="AB647" t="str">
        <f t="shared" si="26"/>
        <v>OK</v>
      </c>
      <c r="AC647" t="str">
        <f t="shared" si="27"/>
        <v>OK</v>
      </c>
      <c r="AD647" t="str">
        <f t="shared" si="28"/>
        <v>OK</v>
      </c>
      <c r="AE647" t="str">
        <f t="shared" si="29"/>
        <v>OK</v>
      </c>
    </row>
    <row r="648" spans="1:31" x14ac:dyDescent="0.25">
      <c r="A648" t="s">
        <v>404</v>
      </c>
      <c r="B648">
        <v>100</v>
      </c>
      <c r="C648">
        <v>0</v>
      </c>
      <c r="D648">
        <v>0</v>
      </c>
      <c r="E648">
        <v>1</v>
      </c>
      <c r="F648" t="s">
        <v>458</v>
      </c>
      <c r="G648" t="s">
        <v>458</v>
      </c>
      <c r="H648" t="s">
        <v>396</v>
      </c>
      <c r="I648">
        <v>0.125</v>
      </c>
      <c r="J648">
        <v>1</v>
      </c>
      <c r="K648">
        <v>0</v>
      </c>
      <c r="L648" t="s">
        <v>28</v>
      </c>
      <c r="M648" t="s">
        <v>512</v>
      </c>
      <c r="N648" t="s">
        <v>514</v>
      </c>
      <c r="O648">
        <v>3.2510999999999994E-5</v>
      </c>
      <c r="P648">
        <v>6.5307812499999993E-3</v>
      </c>
      <c r="Q648">
        <v>2.9290200876874999E-2</v>
      </c>
      <c r="R648">
        <v>9.2470305687500001E-3</v>
      </c>
      <c r="S648" s="101">
        <v>3.2510999999999994E-5</v>
      </c>
      <c r="T648" s="101">
        <v>6.5307812499999993E-3</v>
      </c>
      <c r="U648" s="101">
        <v>2.9290200876874999E-2</v>
      </c>
      <c r="V648" s="101">
        <v>9.2470305687500001E-3</v>
      </c>
      <c r="W648">
        <v>6.5250000000000004</v>
      </c>
      <c r="X648">
        <v>6.5250578124999992</v>
      </c>
      <c r="Y648">
        <v>6.5278906250000004</v>
      </c>
      <c r="Z648">
        <v>6.5307812500000004</v>
      </c>
      <c r="AA648" t="s">
        <v>362</v>
      </c>
      <c r="AB648" t="str">
        <f t="shared" si="26"/>
        <v>OK</v>
      </c>
      <c r="AC648" t="str">
        <f t="shared" si="27"/>
        <v>OK</v>
      </c>
      <c r="AD648" t="str">
        <f t="shared" si="28"/>
        <v>OK</v>
      </c>
      <c r="AE648" t="str">
        <f t="shared" si="29"/>
        <v>OK</v>
      </c>
    </row>
    <row r="649" spans="1:31" x14ac:dyDescent="0.25">
      <c r="A649" t="s">
        <v>212</v>
      </c>
      <c r="B649">
        <v>100</v>
      </c>
      <c r="C649">
        <v>0</v>
      </c>
      <c r="D649">
        <v>0</v>
      </c>
      <c r="E649">
        <v>1</v>
      </c>
      <c r="F649" t="s">
        <v>458</v>
      </c>
      <c r="G649" t="s">
        <v>458</v>
      </c>
      <c r="H649" t="s">
        <v>396</v>
      </c>
      <c r="I649">
        <v>0.125</v>
      </c>
      <c r="J649">
        <v>1</v>
      </c>
      <c r="K649">
        <v>0</v>
      </c>
      <c r="L649" t="s">
        <v>28</v>
      </c>
      <c r="M649" t="s">
        <v>512</v>
      </c>
      <c r="N649" t="s">
        <v>514</v>
      </c>
      <c r="O649">
        <v>3.2510999999999994E-5</v>
      </c>
      <c r="P649">
        <v>6.5307812499999993E-3</v>
      </c>
      <c r="Q649">
        <v>3.3795520703124998E-2</v>
      </c>
      <c r="R649">
        <v>1.4958208281249998E-2</v>
      </c>
      <c r="S649" s="101">
        <v>3.2510999999999994E-5</v>
      </c>
      <c r="T649" s="101">
        <v>6.5307812499999993E-3</v>
      </c>
      <c r="U649" s="101">
        <v>3.3795520703124998E-2</v>
      </c>
      <c r="V649" s="101">
        <v>1.4958208281249998E-2</v>
      </c>
      <c r="W649">
        <v>6.5250000000000004</v>
      </c>
      <c r="X649">
        <v>6.5250578124999992</v>
      </c>
      <c r="Y649">
        <v>6.5278906250000004</v>
      </c>
      <c r="Z649">
        <v>6.5307812500000004</v>
      </c>
      <c r="AA649" t="s">
        <v>242</v>
      </c>
      <c r="AB649" t="str">
        <f t="shared" si="26"/>
        <v>OK</v>
      </c>
      <c r="AC649" t="str">
        <f t="shared" si="27"/>
        <v>OK</v>
      </c>
      <c r="AD649" t="str">
        <f t="shared" si="28"/>
        <v>OK</v>
      </c>
      <c r="AE649" t="str">
        <f t="shared" si="29"/>
        <v>OK</v>
      </c>
    </row>
    <row r="650" spans="1:31" x14ac:dyDescent="0.25">
      <c r="A650" t="s">
        <v>373</v>
      </c>
      <c r="B650">
        <v>100</v>
      </c>
      <c r="C650">
        <v>0</v>
      </c>
      <c r="D650">
        <v>0</v>
      </c>
      <c r="E650">
        <v>1</v>
      </c>
      <c r="F650" t="s">
        <v>458</v>
      </c>
      <c r="G650" t="s">
        <v>458</v>
      </c>
      <c r="H650" t="s">
        <v>396</v>
      </c>
      <c r="I650">
        <v>0.125</v>
      </c>
      <c r="J650">
        <v>1</v>
      </c>
      <c r="K650">
        <v>0</v>
      </c>
      <c r="L650" t="s">
        <v>28</v>
      </c>
      <c r="M650" t="s">
        <v>512</v>
      </c>
      <c r="N650" t="s">
        <v>514</v>
      </c>
      <c r="O650">
        <v>3.2510999999999994E-5</v>
      </c>
      <c r="P650">
        <v>2.8057812499999997E-3</v>
      </c>
      <c r="Q650">
        <v>2.9290200876874999E-2</v>
      </c>
      <c r="R650">
        <v>9.2470305687500001E-3</v>
      </c>
      <c r="S650" s="101">
        <v>3.2510999999999994E-5</v>
      </c>
      <c r="T650" s="101">
        <v>2.8057812499999997E-3</v>
      </c>
      <c r="U650" s="101">
        <v>2.9290200876874999E-2</v>
      </c>
      <c r="V650" s="101">
        <v>9.2470305687500001E-3</v>
      </c>
      <c r="W650">
        <v>2.8</v>
      </c>
      <c r="X650">
        <v>2.8000578125000004</v>
      </c>
      <c r="Y650">
        <v>2.8028906249999999</v>
      </c>
      <c r="Z650">
        <v>2.8057812499999999</v>
      </c>
      <c r="AA650" t="s">
        <v>365</v>
      </c>
      <c r="AB650" t="str">
        <f t="shared" si="26"/>
        <v>OK</v>
      </c>
      <c r="AC650" t="str">
        <f t="shared" si="27"/>
        <v>OK</v>
      </c>
      <c r="AD650" t="str">
        <f t="shared" si="28"/>
        <v>OK</v>
      </c>
      <c r="AE650" t="str">
        <f t="shared" si="29"/>
        <v>OK</v>
      </c>
    </row>
    <row r="651" spans="1:31" x14ac:dyDescent="0.25">
      <c r="A651" t="s">
        <v>196</v>
      </c>
      <c r="B651">
        <v>0</v>
      </c>
      <c r="C651">
        <v>0</v>
      </c>
      <c r="D651">
        <v>0</v>
      </c>
      <c r="E651">
        <v>1</v>
      </c>
      <c r="F651" t="s">
        <v>458</v>
      </c>
      <c r="G651" t="s">
        <v>458</v>
      </c>
      <c r="H651" t="s">
        <v>396</v>
      </c>
      <c r="I651">
        <v>0.125</v>
      </c>
      <c r="J651">
        <v>1</v>
      </c>
      <c r="K651">
        <v>10</v>
      </c>
      <c r="L651" t="s">
        <v>28</v>
      </c>
      <c r="M651" t="s">
        <v>512</v>
      </c>
      <c r="N651" t="s">
        <v>514</v>
      </c>
      <c r="O651">
        <v>0</v>
      </c>
      <c r="P651">
        <v>0</v>
      </c>
      <c r="Q651">
        <v>0</v>
      </c>
      <c r="R651">
        <v>0</v>
      </c>
      <c r="S651" s="101">
        <v>0</v>
      </c>
      <c r="T651" s="101">
        <v>0</v>
      </c>
      <c r="U651" s="101">
        <v>0</v>
      </c>
      <c r="V651" s="101">
        <v>0</v>
      </c>
      <c r="W651">
        <v>0</v>
      </c>
      <c r="X651">
        <v>5.2976209076562508E-4</v>
      </c>
      <c r="Y651">
        <v>2.6488104538281251E-2</v>
      </c>
      <c r="Z651">
        <v>5.2976209076562503E-2</v>
      </c>
      <c r="AA651" t="s">
        <v>275</v>
      </c>
      <c r="AB651" t="str">
        <f t="shared" si="26"/>
        <v>OK</v>
      </c>
      <c r="AC651" t="str">
        <f t="shared" si="27"/>
        <v>OK</v>
      </c>
      <c r="AD651" t="str">
        <f t="shared" si="28"/>
        <v>OK</v>
      </c>
      <c r="AE651" t="str">
        <f t="shared" si="29"/>
        <v>OK</v>
      </c>
    </row>
    <row r="652" spans="1:31" x14ac:dyDescent="0.25">
      <c r="A652" t="s">
        <v>196</v>
      </c>
      <c r="B652">
        <v>100</v>
      </c>
      <c r="C652">
        <v>0</v>
      </c>
      <c r="D652">
        <v>0</v>
      </c>
      <c r="E652">
        <v>1</v>
      </c>
      <c r="F652" t="s">
        <v>458</v>
      </c>
      <c r="G652" t="s">
        <v>458</v>
      </c>
      <c r="H652" t="s">
        <v>396</v>
      </c>
      <c r="I652">
        <v>0.125</v>
      </c>
      <c r="J652">
        <v>1</v>
      </c>
      <c r="K652">
        <v>10</v>
      </c>
      <c r="L652" t="s">
        <v>28</v>
      </c>
      <c r="M652" t="s">
        <v>512</v>
      </c>
      <c r="N652" t="s">
        <v>514</v>
      </c>
      <c r="O652">
        <v>3.2510999999999994E-5</v>
      </c>
      <c r="P652">
        <v>5.2976209076562502E-5</v>
      </c>
      <c r="Q652">
        <v>1.1653125000000003E-3</v>
      </c>
      <c r="R652">
        <v>4.6612500000000012E-4</v>
      </c>
      <c r="S652" s="101">
        <v>3.2510999999999994E-5</v>
      </c>
      <c r="T652" s="101">
        <v>5.2976209076562502E-5</v>
      </c>
      <c r="U652" s="101">
        <v>1.1653125000000003E-3</v>
      </c>
      <c r="V652" s="101">
        <v>4.6612500000000012E-4</v>
      </c>
      <c r="W652">
        <v>0</v>
      </c>
      <c r="X652">
        <v>5.2976209076562508E-4</v>
      </c>
      <c r="Y652">
        <v>2.6488104538281251E-2</v>
      </c>
      <c r="Z652">
        <v>5.2976209076562503E-2</v>
      </c>
      <c r="AA652" t="s">
        <v>275</v>
      </c>
      <c r="AB652" t="str">
        <f t="shared" si="26"/>
        <v>OK</v>
      </c>
      <c r="AC652" t="str">
        <f t="shared" si="27"/>
        <v>OK</v>
      </c>
      <c r="AD652" t="str">
        <f t="shared" si="28"/>
        <v>OK</v>
      </c>
      <c r="AE652" t="str">
        <f t="shared" si="29"/>
        <v>OK</v>
      </c>
    </row>
    <row r="653" spans="1:31" x14ac:dyDescent="0.25">
      <c r="A653" t="s">
        <v>196</v>
      </c>
      <c r="B653">
        <v>200</v>
      </c>
      <c r="C653">
        <v>0</v>
      </c>
      <c r="D653">
        <v>0</v>
      </c>
      <c r="E653">
        <v>1</v>
      </c>
      <c r="F653" t="s">
        <v>458</v>
      </c>
      <c r="G653" t="s">
        <v>458</v>
      </c>
      <c r="H653" t="s">
        <v>396</v>
      </c>
      <c r="I653">
        <v>0.125</v>
      </c>
      <c r="J653">
        <v>1</v>
      </c>
      <c r="K653">
        <v>10</v>
      </c>
      <c r="L653" t="s">
        <v>28</v>
      </c>
      <c r="M653" t="s">
        <v>512</v>
      </c>
      <c r="N653" t="s">
        <v>514</v>
      </c>
      <c r="O653">
        <v>6.5021999999999988E-5</v>
      </c>
      <c r="P653">
        <v>1.05952418153125E-4</v>
      </c>
      <c r="Q653">
        <v>2.3306250000000007E-3</v>
      </c>
      <c r="R653">
        <v>9.3225000000000024E-4</v>
      </c>
      <c r="S653" s="101">
        <v>6.5021999999999988E-5</v>
      </c>
      <c r="T653" s="101">
        <v>1.05952418153125E-4</v>
      </c>
      <c r="U653" s="101">
        <v>2.3306250000000007E-3</v>
      </c>
      <c r="V653" s="101">
        <v>9.3225000000000024E-4</v>
      </c>
      <c r="W653">
        <v>0</v>
      </c>
      <c r="X653">
        <v>5.2976209076562508E-4</v>
      </c>
      <c r="Y653">
        <v>2.6488104538281251E-2</v>
      </c>
      <c r="Z653">
        <v>5.2976209076562503E-2</v>
      </c>
      <c r="AA653" t="s">
        <v>275</v>
      </c>
      <c r="AB653" t="str">
        <f t="shared" si="26"/>
        <v>OK</v>
      </c>
      <c r="AC653" t="str">
        <f t="shared" si="27"/>
        <v>OK</v>
      </c>
      <c r="AD653" t="str">
        <f t="shared" si="28"/>
        <v>OK</v>
      </c>
      <c r="AE653" t="str">
        <f t="shared" si="29"/>
        <v>OK</v>
      </c>
    </row>
    <row r="654" spans="1:31" x14ac:dyDescent="0.25">
      <c r="A654" t="s">
        <v>196</v>
      </c>
      <c r="B654">
        <v>300</v>
      </c>
      <c r="C654">
        <v>0</v>
      </c>
      <c r="D654">
        <v>0</v>
      </c>
      <c r="E654">
        <v>1</v>
      </c>
      <c r="F654" t="s">
        <v>458</v>
      </c>
      <c r="G654" t="s">
        <v>458</v>
      </c>
      <c r="H654" t="s">
        <v>396</v>
      </c>
      <c r="I654">
        <v>0.125</v>
      </c>
      <c r="J654">
        <v>1</v>
      </c>
      <c r="K654">
        <v>10</v>
      </c>
      <c r="L654" t="s">
        <v>28</v>
      </c>
      <c r="M654" t="s">
        <v>512</v>
      </c>
      <c r="N654" t="s">
        <v>514</v>
      </c>
      <c r="O654">
        <v>9.7532999999999989E-5</v>
      </c>
      <c r="P654">
        <v>1.5892862722968751E-4</v>
      </c>
      <c r="Q654">
        <v>3.4959375000000008E-3</v>
      </c>
      <c r="R654">
        <v>1.3983750000000003E-3</v>
      </c>
      <c r="S654" s="101">
        <v>9.7532999999999989E-5</v>
      </c>
      <c r="T654" s="101">
        <v>1.5892862722968751E-4</v>
      </c>
      <c r="U654" s="101">
        <v>3.4959375000000008E-3</v>
      </c>
      <c r="V654" s="101">
        <v>1.3983750000000003E-3</v>
      </c>
      <c r="W654">
        <v>0</v>
      </c>
      <c r="X654">
        <v>5.2976209076562508E-4</v>
      </c>
      <c r="Y654">
        <v>2.6488104538281251E-2</v>
      </c>
      <c r="Z654">
        <v>5.2976209076562503E-2</v>
      </c>
      <c r="AA654" t="s">
        <v>275</v>
      </c>
      <c r="AB654" t="str">
        <f t="shared" si="26"/>
        <v>OK</v>
      </c>
      <c r="AC654" t="str">
        <f t="shared" si="27"/>
        <v>OK</v>
      </c>
      <c r="AD654" t="str">
        <f t="shared" si="28"/>
        <v>OK</v>
      </c>
      <c r="AE654" t="str">
        <f t="shared" si="29"/>
        <v>OK</v>
      </c>
    </row>
    <row r="655" spans="1:31" x14ac:dyDescent="0.25">
      <c r="A655" t="s">
        <v>196</v>
      </c>
      <c r="B655">
        <v>400</v>
      </c>
      <c r="C655">
        <v>0</v>
      </c>
      <c r="D655">
        <v>0</v>
      </c>
      <c r="E655">
        <v>1</v>
      </c>
      <c r="F655" t="s">
        <v>458</v>
      </c>
      <c r="G655" t="s">
        <v>458</v>
      </c>
      <c r="H655" t="s">
        <v>396</v>
      </c>
      <c r="I655">
        <v>0.125</v>
      </c>
      <c r="J655">
        <v>1</v>
      </c>
      <c r="K655">
        <v>10</v>
      </c>
      <c r="L655" t="s">
        <v>28</v>
      </c>
      <c r="M655" t="s">
        <v>512</v>
      </c>
      <c r="N655" t="s">
        <v>514</v>
      </c>
      <c r="O655">
        <v>1.3004399999999998E-4</v>
      </c>
      <c r="P655">
        <v>2.1190483630625001E-4</v>
      </c>
      <c r="Q655">
        <v>4.6612500000000013E-3</v>
      </c>
      <c r="R655">
        <v>1.8645000000000005E-3</v>
      </c>
      <c r="S655" s="101">
        <v>1.3004399999999998E-4</v>
      </c>
      <c r="T655" s="101">
        <v>2.1190483630625001E-4</v>
      </c>
      <c r="U655" s="101">
        <v>4.6612500000000013E-3</v>
      </c>
      <c r="V655" s="101">
        <v>1.8645000000000005E-3</v>
      </c>
      <c r="W655">
        <v>0</v>
      </c>
      <c r="X655">
        <v>5.2976209076562508E-4</v>
      </c>
      <c r="Y655">
        <v>2.6488104538281251E-2</v>
      </c>
      <c r="Z655">
        <v>5.2976209076562503E-2</v>
      </c>
      <c r="AA655" t="s">
        <v>275</v>
      </c>
      <c r="AB655" t="str">
        <f t="shared" si="26"/>
        <v>OK</v>
      </c>
      <c r="AC655" t="str">
        <f t="shared" si="27"/>
        <v>OK</v>
      </c>
      <c r="AD655" t="str">
        <f t="shared" si="28"/>
        <v>OK</v>
      </c>
      <c r="AE655" t="str">
        <f t="shared" si="29"/>
        <v>OK</v>
      </c>
    </row>
    <row r="656" spans="1:31" x14ac:dyDescent="0.25">
      <c r="A656" t="s">
        <v>196</v>
      </c>
      <c r="B656">
        <v>500</v>
      </c>
      <c r="C656">
        <v>0</v>
      </c>
      <c r="D656">
        <v>0</v>
      </c>
      <c r="E656">
        <v>1</v>
      </c>
      <c r="F656" t="s">
        <v>458</v>
      </c>
      <c r="G656" t="s">
        <v>458</v>
      </c>
      <c r="H656" t="s">
        <v>396</v>
      </c>
      <c r="I656">
        <v>0.125</v>
      </c>
      <c r="J656">
        <v>1</v>
      </c>
      <c r="K656">
        <v>10</v>
      </c>
      <c r="L656" t="s">
        <v>28</v>
      </c>
      <c r="M656" t="s">
        <v>512</v>
      </c>
      <c r="N656" t="s">
        <v>514</v>
      </c>
      <c r="O656">
        <v>1.6255499999999999E-4</v>
      </c>
      <c r="P656">
        <v>2.6488104538281254E-4</v>
      </c>
      <c r="Q656">
        <v>5.8265625000000019E-3</v>
      </c>
      <c r="R656">
        <v>2.3306250000000007E-3</v>
      </c>
      <c r="S656" s="101">
        <v>1.6255499999999999E-4</v>
      </c>
      <c r="T656" s="101">
        <v>2.6488104538281254E-4</v>
      </c>
      <c r="U656" s="101">
        <v>5.8265625000000019E-3</v>
      </c>
      <c r="V656" s="101">
        <v>2.3306250000000007E-3</v>
      </c>
      <c r="W656">
        <v>0</v>
      </c>
      <c r="X656">
        <v>5.2976209076562508E-4</v>
      </c>
      <c r="Y656">
        <v>2.6488104538281251E-2</v>
      </c>
      <c r="Z656">
        <v>5.2976209076562503E-2</v>
      </c>
      <c r="AA656" t="s">
        <v>275</v>
      </c>
      <c r="AB656" t="str">
        <f>IF($O656-$S656 &gt; 0, "ERROR","OK")</f>
        <v>OK</v>
      </c>
      <c r="AC656" t="str">
        <f>IF($P656-$T656 &gt; 0, "ERROR","OK")</f>
        <v>OK</v>
      </c>
      <c r="AD656" t="str">
        <f>IF($Q656-$U656 &gt; 0, "ERROR","OK")</f>
        <v>OK</v>
      </c>
      <c r="AE656" t="str">
        <f>IF($R656-$V656 &gt; 0, "ERROR","OK")</f>
        <v>OK</v>
      </c>
    </row>
    <row r="657" spans="1:31" x14ac:dyDescent="0.25">
      <c r="A657" t="s">
        <v>196</v>
      </c>
      <c r="B657">
        <v>600</v>
      </c>
      <c r="C657">
        <v>0</v>
      </c>
      <c r="D657">
        <v>0</v>
      </c>
      <c r="E657">
        <v>1</v>
      </c>
      <c r="F657" t="s">
        <v>458</v>
      </c>
      <c r="G657" t="s">
        <v>458</v>
      </c>
      <c r="H657" t="s">
        <v>396</v>
      </c>
      <c r="I657">
        <v>0.125</v>
      </c>
      <c r="J657">
        <v>1</v>
      </c>
      <c r="K657">
        <v>10</v>
      </c>
      <c r="L657" t="s">
        <v>28</v>
      </c>
      <c r="M657" t="s">
        <v>512</v>
      </c>
      <c r="N657" t="s">
        <v>514</v>
      </c>
      <c r="O657">
        <v>1.9506599999999998E-4</v>
      </c>
      <c r="P657">
        <v>3.1785725445937501E-4</v>
      </c>
      <c r="Q657">
        <v>6.9918750000000016E-3</v>
      </c>
      <c r="R657">
        <v>2.7967500000000006E-3</v>
      </c>
      <c r="S657" s="101">
        <v>1.9506599999999998E-4</v>
      </c>
      <c r="T657" s="101">
        <v>3.1785725445937501E-4</v>
      </c>
      <c r="U657" s="101">
        <v>6.9918750000000016E-3</v>
      </c>
      <c r="V657" s="101">
        <v>2.7967500000000006E-3</v>
      </c>
      <c r="W657">
        <v>0</v>
      </c>
      <c r="X657">
        <v>5.2976209076562508E-4</v>
      </c>
      <c r="Y657">
        <v>2.6488104538281251E-2</v>
      </c>
      <c r="Z657">
        <v>5.2976209076562503E-2</v>
      </c>
      <c r="AA657" t="s">
        <v>275</v>
      </c>
      <c r="AB657" t="str">
        <f>IF($O657-$S657 &gt; 0, "ERROR","OK")</f>
        <v>OK</v>
      </c>
      <c r="AC657" t="str">
        <f>IF($P657-$T657 &gt; 0, "ERROR","OK")</f>
        <v>OK</v>
      </c>
      <c r="AD657" t="str">
        <f>IF($Q657-$U657 &gt; 0, "ERROR","OK")</f>
        <v>OK</v>
      </c>
      <c r="AE657" t="str">
        <f>IF($R657-$V657 &gt; 0, "ERROR","OK")</f>
        <v>OK</v>
      </c>
    </row>
    <row r="658" spans="1:31" x14ac:dyDescent="0.25">
      <c r="A658" t="s">
        <v>196</v>
      </c>
      <c r="B658">
        <v>700</v>
      </c>
      <c r="C658">
        <v>0</v>
      </c>
      <c r="D658">
        <v>0</v>
      </c>
      <c r="E658">
        <v>1</v>
      </c>
      <c r="F658" t="s">
        <v>458</v>
      </c>
      <c r="G658" t="s">
        <v>458</v>
      </c>
      <c r="H658" t="s">
        <v>396</v>
      </c>
      <c r="I658">
        <v>0.125</v>
      </c>
      <c r="J658">
        <v>1</v>
      </c>
      <c r="K658">
        <v>10</v>
      </c>
      <c r="L658" t="s">
        <v>28</v>
      </c>
      <c r="M658" t="s">
        <v>512</v>
      </c>
      <c r="N658" t="s">
        <v>514</v>
      </c>
      <c r="O658">
        <v>2.2757699999999997E-4</v>
      </c>
      <c r="P658">
        <v>3.7083346353593754E-4</v>
      </c>
      <c r="Q658">
        <v>8.1571875000000012E-3</v>
      </c>
      <c r="R658">
        <v>3.2628750000000006E-3</v>
      </c>
      <c r="S658" s="101">
        <v>2.2757699999999997E-4</v>
      </c>
      <c r="T658" s="101">
        <v>3.7083346353593754E-4</v>
      </c>
      <c r="U658" s="101">
        <v>8.1571875000000012E-3</v>
      </c>
      <c r="V658" s="101">
        <v>3.2628750000000006E-3</v>
      </c>
      <c r="W658">
        <v>0</v>
      </c>
      <c r="X658">
        <v>5.2976209076562508E-4</v>
      </c>
      <c r="Y658">
        <v>2.6488104538281251E-2</v>
      </c>
      <c r="Z658">
        <v>5.2976209076562503E-2</v>
      </c>
      <c r="AA658" t="s">
        <v>275</v>
      </c>
      <c r="AB658" t="str">
        <f>IF($O658-$S658 &gt; 0, "ERROR","OK")</f>
        <v>OK</v>
      </c>
      <c r="AC658" t="str">
        <f>IF($P658-$T658 &gt; 0, "ERROR","OK")</f>
        <v>OK</v>
      </c>
      <c r="AD658" t="str">
        <f>IF($Q658-$U658 &gt; 0, "ERROR","OK")</f>
        <v>OK</v>
      </c>
      <c r="AE658" t="str">
        <f>IF($R658-$V658 &gt; 0, "ERROR","OK")</f>
        <v>OK</v>
      </c>
    </row>
    <row r="659" spans="1:31" x14ac:dyDescent="0.25">
      <c r="A659" t="s">
        <v>196</v>
      </c>
      <c r="B659">
        <v>800</v>
      </c>
      <c r="C659">
        <v>0</v>
      </c>
      <c r="D659">
        <v>0</v>
      </c>
      <c r="E659">
        <v>1</v>
      </c>
      <c r="F659" t="s">
        <v>458</v>
      </c>
      <c r="G659" t="s">
        <v>458</v>
      </c>
      <c r="H659" t="s">
        <v>396</v>
      </c>
      <c r="I659">
        <v>0.125</v>
      </c>
      <c r="J659">
        <v>1</v>
      </c>
      <c r="K659">
        <v>10</v>
      </c>
      <c r="L659" t="s">
        <v>28</v>
      </c>
      <c r="M659" t="s">
        <v>512</v>
      </c>
      <c r="N659" t="s">
        <v>514</v>
      </c>
      <c r="O659">
        <v>2.6008799999999995E-4</v>
      </c>
      <c r="P659">
        <v>4.2380967261250002E-4</v>
      </c>
      <c r="Q659">
        <v>9.3225000000000027E-3</v>
      </c>
      <c r="R659">
        <v>3.729000000000001E-3</v>
      </c>
      <c r="S659" s="101">
        <v>2.6008799999999995E-4</v>
      </c>
      <c r="T659" s="101">
        <v>4.2380967261250002E-4</v>
      </c>
      <c r="U659" s="101">
        <v>9.3225000000000027E-3</v>
      </c>
      <c r="V659" s="101">
        <v>3.729000000000001E-3</v>
      </c>
      <c r="W659">
        <v>0</v>
      </c>
      <c r="X659">
        <v>5.2976209076562508E-4</v>
      </c>
      <c r="Y659">
        <v>2.6488104538281251E-2</v>
      </c>
      <c r="Z659">
        <v>5.2976209076562503E-2</v>
      </c>
      <c r="AA659" t="s">
        <v>275</v>
      </c>
      <c r="AB659" t="str">
        <f>IF($O659-$S659 &gt; 0, "ERROR","OK")</f>
        <v>OK</v>
      </c>
      <c r="AC659" t="str">
        <f>IF($P659-$T659 &gt; 0, "ERROR","OK")</f>
        <v>OK</v>
      </c>
      <c r="AD659" t="str">
        <f>IF($Q659-$U659 &gt; 0, "ERROR","OK")</f>
        <v>OK</v>
      </c>
      <c r="AE659" t="str">
        <f>IF($R659-$V659 &gt; 0, "ERROR","OK")</f>
        <v>OK</v>
      </c>
    </row>
    <row r="661" spans="1:31" x14ac:dyDescent="0.25">
      <c r="A661" s="7" t="s">
        <v>1038</v>
      </c>
      <c r="B661" t="s">
        <v>1039</v>
      </c>
      <c r="C661" t="s">
        <v>105</v>
      </c>
      <c r="D661" t="s">
        <v>1040</v>
      </c>
      <c r="E661" t="s">
        <v>1041</v>
      </c>
      <c r="F661" t="s">
        <v>1042</v>
      </c>
      <c r="G661" t="s">
        <v>1043</v>
      </c>
      <c r="H661" t="s">
        <v>988</v>
      </c>
      <c r="I661" t="s">
        <v>1044</v>
      </c>
      <c r="J661" t="s">
        <v>51</v>
      </c>
      <c r="K661" t="s">
        <v>1045</v>
      </c>
      <c r="L661" t="s">
        <v>1046</v>
      </c>
      <c r="M661" t="s">
        <v>1047</v>
      </c>
      <c r="N661" t="s">
        <v>1048</v>
      </c>
    </row>
    <row r="662" spans="1:31" x14ac:dyDescent="0.25">
      <c r="A662" t="s">
        <v>1051</v>
      </c>
      <c r="B662">
        <v>2</v>
      </c>
      <c r="C662" t="s">
        <v>578</v>
      </c>
      <c r="D662" t="s">
        <v>774</v>
      </c>
      <c r="E662">
        <v>1.25</v>
      </c>
      <c r="F662">
        <v>1</v>
      </c>
      <c r="G662">
        <v>1</v>
      </c>
      <c r="H662">
        <v>10</v>
      </c>
      <c r="I662">
        <v>1000</v>
      </c>
      <c r="J662">
        <v>9.4199999999999992E-2</v>
      </c>
      <c r="K662">
        <v>9.6862199999999996E-2</v>
      </c>
      <c r="L662">
        <v>6.8851199999999987E-2</v>
      </c>
      <c r="M662">
        <v>7.1954400000000002E-2</v>
      </c>
      <c r="N662">
        <v>3.27E-2</v>
      </c>
    </row>
    <row r="663" spans="1:31" x14ac:dyDescent="0.25">
      <c r="A663" t="s">
        <v>1052</v>
      </c>
      <c r="B663">
        <v>2</v>
      </c>
      <c r="C663" t="s">
        <v>1049</v>
      </c>
      <c r="D663" t="s">
        <v>774</v>
      </c>
      <c r="E663">
        <v>1.25</v>
      </c>
      <c r="F663">
        <v>1</v>
      </c>
      <c r="G663">
        <v>1</v>
      </c>
      <c r="H663">
        <v>10</v>
      </c>
      <c r="I663">
        <v>1000</v>
      </c>
      <c r="J663">
        <v>9.4199999999999992E-2</v>
      </c>
      <c r="K663">
        <v>4.8431099999999998E-2</v>
      </c>
      <c r="L663">
        <v>6.8851199999999987E-2</v>
      </c>
      <c r="M663">
        <v>7.1954400000000002E-2</v>
      </c>
      <c r="N663">
        <v>0</v>
      </c>
    </row>
    <row r="664" spans="1:31" x14ac:dyDescent="0.25">
      <c r="A664" t="s">
        <v>1053</v>
      </c>
      <c r="B664">
        <v>2</v>
      </c>
      <c r="C664" t="s">
        <v>1050</v>
      </c>
      <c r="D664" t="s">
        <v>774</v>
      </c>
      <c r="E664">
        <v>1.25</v>
      </c>
      <c r="F664">
        <v>1</v>
      </c>
      <c r="G664">
        <v>1</v>
      </c>
      <c r="H664">
        <v>10</v>
      </c>
      <c r="I664">
        <v>1000</v>
      </c>
      <c r="J664">
        <v>9.4199999999999992E-2</v>
      </c>
      <c r="K664">
        <v>4.8431099999999998E-2</v>
      </c>
      <c r="L664">
        <v>6.8851199999999987E-2</v>
      </c>
      <c r="M664">
        <v>0</v>
      </c>
      <c r="N664">
        <v>3.27E-2</v>
      </c>
    </row>
    <row r="665" spans="1:31" x14ac:dyDescent="0.25">
      <c r="A665" t="s">
        <v>1054</v>
      </c>
      <c r="B665">
        <v>2</v>
      </c>
      <c r="C665" t="s">
        <v>578</v>
      </c>
      <c r="D665" t="s">
        <v>774</v>
      </c>
      <c r="E665">
        <v>1.35</v>
      </c>
      <c r="F665">
        <v>1</v>
      </c>
      <c r="G665">
        <v>1</v>
      </c>
      <c r="H665">
        <v>10</v>
      </c>
      <c r="I665">
        <v>1000</v>
      </c>
      <c r="J665">
        <v>0.10173599999999999</v>
      </c>
      <c r="K665">
        <v>9.960419999999999E-2</v>
      </c>
      <c r="L665">
        <v>7.4359295999999991E-2</v>
      </c>
      <c r="M665">
        <v>7.1954400000000002E-2</v>
      </c>
      <c r="N665">
        <v>3.27E-2</v>
      </c>
    </row>
    <row r="666" spans="1:31" x14ac:dyDescent="0.25">
      <c r="A666" t="s">
        <v>1055</v>
      </c>
      <c r="B666">
        <v>2</v>
      </c>
      <c r="C666" t="s">
        <v>578</v>
      </c>
      <c r="D666" t="s">
        <v>512</v>
      </c>
      <c r="E666">
        <v>1.35</v>
      </c>
      <c r="F666">
        <v>1</v>
      </c>
      <c r="G666">
        <v>1</v>
      </c>
      <c r="H666">
        <v>10</v>
      </c>
      <c r="I666">
        <v>1000</v>
      </c>
      <c r="J666">
        <v>0.10173599999999999</v>
      </c>
      <c r="K666">
        <v>9.960419999999999E-2</v>
      </c>
      <c r="L666">
        <v>9.1320600000000002E-2</v>
      </c>
      <c r="M666">
        <v>7.1954400000000002E-2</v>
      </c>
      <c r="N666">
        <v>3.27E-2</v>
      </c>
    </row>
    <row r="667" spans="1:31" x14ac:dyDescent="0.25">
      <c r="A667" t="s">
        <v>1056</v>
      </c>
      <c r="B667">
        <v>1</v>
      </c>
      <c r="C667" t="s">
        <v>578</v>
      </c>
      <c r="D667" t="s">
        <v>512</v>
      </c>
      <c r="E667">
        <v>1.35</v>
      </c>
      <c r="F667">
        <v>1</v>
      </c>
      <c r="G667">
        <v>1</v>
      </c>
      <c r="H667">
        <v>10</v>
      </c>
      <c r="I667">
        <v>1000</v>
      </c>
      <c r="J667">
        <v>5.0867999999999997E-2</v>
      </c>
      <c r="K667">
        <v>4.9802099999999995E-2</v>
      </c>
      <c r="L667">
        <v>7.4359295999999991E-2</v>
      </c>
      <c r="M667">
        <v>3.5977200000000001E-2</v>
      </c>
      <c r="N667">
        <v>1.635E-2</v>
      </c>
    </row>
    <row r="668" spans="1:31" x14ac:dyDescent="0.25">
      <c r="A668" t="s">
        <v>1057</v>
      </c>
      <c r="B668">
        <v>2</v>
      </c>
      <c r="C668" t="s">
        <v>578</v>
      </c>
      <c r="D668" t="s">
        <v>774</v>
      </c>
      <c r="E668">
        <v>1.25</v>
      </c>
      <c r="F668">
        <v>2</v>
      </c>
      <c r="G668">
        <v>1</v>
      </c>
      <c r="H668">
        <v>10</v>
      </c>
      <c r="I668">
        <v>1000</v>
      </c>
      <c r="J668">
        <v>9.4199999999999992E-2</v>
      </c>
      <c r="K668">
        <v>9.6862199999999996E-2</v>
      </c>
      <c r="L668">
        <v>6.8851199999999987E-2</v>
      </c>
      <c r="M668">
        <v>7.1954400000000002E-2</v>
      </c>
      <c r="N668">
        <v>3.27E-2</v>
      </c>
    </row>
    <row r="669" spans="1:31" x14ac:dyDescent="0.25">
      <c r="A669" t="s">
        <v>1058</v>
      </c>
      <c r="B669">
        <v>2</v>
      </c>
      <c r="C669" t="s">
        <v>578</v>
      </c>
      <c r="D669" t="s">
        <v>774</v>
      </c>
      <c r="E669">
        <v>1.25</v>
      </c>
      <c r="F669">
        <v>1</v>
      </c>
      <c r="G669">
        <v>2</v>
      </c>
      <c r="H669">
        <v>10</v>
      </c>
      <c r="I669">
        <v>1000</v>
      </c>
      <c r="J669">
        <v>9.4199999999999992E-2</v>
      </c>
      <c r="K669">
        <v>9.6862199999999996E-2</v>
      </c>
      <c r="L669">
        <v>6.8851199999999987E-2</v>
      </c>
      <c r="M669">
        <v>7.1954400000000002E-2</v>
      </c>
      <c r="N669">
        <v>3.27E-2</v>
      </c>
    </row>
    <row r="670" spans="1:31" x14ac:dyDescent="0.25">
      <c r="A670" t="s">
        <v>1059</v>
      </c>
      <c r="B670">
        <v>2</v>
      </c>
      <c r="C670" t="s">
        <v>578</v>
      </c>
      <c r="D670" t="s">
        <v>774</v>
      </c>
      <c r="E670">
        <v>1.25</v>
      </c>
      <c r="F670">
        <v>1</v>
      </c>
      <c r="G670">
        <v>1</v>
      </c>
      <c r="H670">
        <v>8</v>
      </c>
      <c r="I670">
        <v>1000</v>
      </c>
      <c r="J670">
        <v>0.11774999999999999</v>
      </c>
      <c r="K670">
        <v>9.6862199999999996E-2</v>
      </c>
      <c r="L670">
        <v>6.8851199999999987E-2</v>
      </c>
      <c r="M670">
        <v>7.1954400000000002E-2</v>
      </c>
      <c r="N670">
        <v>3.27E-2</v>
      </c>
    </row>
    <row r="671" spans="1:31" x14ac:dyDescent="0.25">
      <c r="A671" t="s">
        <v>1060</v>
      </c>
      <c r="B671">
        <v>2</v>
      </c>
      <c r="C671" t="s">
        <v>578</v>
      </c>
      <c r="D671" t="s">
        <v>774</v>
      </c>
      <c r="E671">
        <v>1.25</v>
      </c>
      <c r="F671">
        <v>1</v>
      </c>
      <c r="G671">
        <v>1</v>
      </c>
      <c r="H671">
        <v>8</v>
      </c>
      <c r="I671">
        <v>200</v>
      </c>
      <c r="J671">
        <v>0.11774999999999999</v>
      </c>
      <c r="K671">
        <v>9.6862199999999996E-2</v>
      </c>
      <c r="L671">
        <v>6.8851199999999987E-2</v>
      </c>
      <c r="M671">
        <v>2.1899999999999999E-2</v>
      </c>
      <c r="N671">
        <v>3.27E-2</v>
      </c>
    </row>
    <row r="672" spans="1:31" x14ac:dyDescent="0.25">
      <c r="A672" t="s">
        <v>1061</v>
      </c>
      <c r="B672">
        <v>2</v>
      </c>
      <c r="C672" t="s">
        <v>578</v>
      </c>
      <c r="D672" t="s">
        <v>774</v>
      </c>
      <c r="E672">
        <v>1.25</v>
      </c>
      <c r="F672">
        <v>1</v>
      </c>
      <c r="G672">
        <v>1</v>
      </c>
      <c r="H672">
        <v>8</v>
      </c>
      <c r="I672">
        <v>1600</v>
      </c>
      <c r="J672">
        <v>0.11774999999999999</v>
      </c>
      <c r="K672">
        <v>9.6862199999999996E-2</v>
      </c>
      <c r="L672">
        <v>6.8851199999999987E-2</v>
      </c>
      <c r="M672">
        <v>0.11575199999999999</v>
      </c>
      <c r="N672">
        <v>3.27E-2</v>
      </c>
    </row>
  </sheetData>
  <mergeCells count="33">
    <mergeCell ref="J385:K385"/>
    <mergeCell ref="L385:M385"/>
    <mergeCell ref="N385:O385"/>
    <mergeCell ref="B386:C386"/>
    <mergeCell ref="B385:C385"/>
    <mergeCell ref="D385:E385"/>
    <mergeCell ref="F385:G385"/>
    <mergeCell ref="H385:I385"/>
    <mergeCell ref="J375:K375"/>
    <mergeCell ref="L375:M375"/>
    <mergeCell ref="N375:O375"/>
    <mergeCell ref="B376:C376"/>
    <mergeCell ref="B375:C375"/>
    <mergeCell ref="D375:E375"/>
    <mergeCell ref="F375:G375"/>
    <mergeCell ref="H375:I375"/>
    <mergeCell ref="AC324:AD324"/>
    <mergeCell ref="I342:L342"/>
    <mergeCell ref="C324:H324"/>
    <mergeCell ref="I324:K324"/>
    <mergeCell ref="L324:M324"/>
    <mergeCell ref="M342:N342"/>
    <mergeCell ref="R324:S324"/>
    <mergeCell ref="X324:Y324"/>
    <mergeCell ref="T324:U324"/>
    <mergeCell ref="V324:W324"/>
    <mergeCell ref="N324:O324"/>
    <mergeCell ref="P324:Q324"/>
    <mergeCell ref="C130:E130"/>
    <mergeCell ref="F130:H130"/>
    <mergeCell ref="I130:K130"/>
    <mergeCell ref="L130:N130"/>
    <mergeCell ref="AA324:AB324"/>
  </mergeCells>
  <phoneticPr fontId="2" type="noConversion"/>
  <conditionalFormatting sqref="C132 C134 C136 C138 C140">
    <cfRule type="expression" dxfId="5" priority="1" stopIfTrue="1">
      <formula>(INT($C132+0.5)&lt;&gt;$I132)</formula>
    </cfRule>
  </conditionalFormatting>
  <conditionalFormatting sqref="D133 D135 D137 D139 D141">
    <cfRule type="expression" dxfId="4" priority="2" stopIfTrue="1">
      <formula>(INT($D133+0.5)&lt;&gt;$J133)</formula>
    </cfRule>
  </conditionalFormatting>
  <conditionalFormatting sqref="E133 E135 E137 E139 E141">
    <cfRule type="expression" dxfId="3" priority="4" stopIfTrue="1">
      <formula>(INT($E133+0.5)&lt;&gt;$K133)</formula>
    </cfRule>
  </conditionalFormatting>
  <conditionalFormatting sqref="F132 F134 F136 F138 F140">
    <cfRule type="expression" dxfId="2" priority="3" stopIfTrue="1">
      <formula>(INT($F132+0.5)&lt;&gt;$L132)</formula>
    </cfRule>
  </conditionalFormatting>
  <conditionalFormatting sqref="G133 G135 G137 G139 G141">
    <cfRule type="expression" dxfId="1" priority="5" stopIfTrue="1">
      <formula>(INT($G133+0.5)&lt;&gt;$M133)</formula>
    </cfRule>
  </conditionalFormatting>
  <conditionalFormatting sqref="H133 H135 H137 H139 H141">
    <cfRule type="expression" dxfId="0" priority="6" stopIfTrue="1">
      <formula>(INT($H133+0.5)&lt;&gt;$N133)</formula>
    </cfRule>
  </conditionalFormatting>
  <pageMargins left="0.75" right="0.75" top="1" bottom="1" header="0.5" footer="0.5"/>
  <pageSetup orientation="portrait" horizontalDpi="300" verticalDpi="300"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6"/>
  <dimension ref="A1:P1"/>
  <sheetViews>
    <sheetView workbookViewId="0">
      <selection activeCell="A2" sqref="A2"/>
    </sheetView>
  </sheetViews>
  <sheetFormatPr baseColWidth="10" defaultColWidth="9" defaultRowHeight="13.2" x14ac:dyDescent="0.25"/>
  <sheetData>
    <row r="1" spans="1:16" x14ac:dyDescent="0.25">
      <c r="A1" s="943" t="s">
        <v>456</v>
      </c>
      <c r="B1" s="944"/>
      <c r="C1" s="944"/>
      <c r="D1" s="944"/>
      <c r="E1" s="944"/>
      <c r="F1" s="944"/>
      <c r="G1" s="944"/>
      <c r="H1" s="944"/>
      <c r="I1" s="944"/>
      <c r="J1" s="944"/>
      <c r="K1" s="944"/>
      <c r="L1" s="944"/>
      <c r="M1" s="944"/>
      <c r="N1" s="944"/>
      <c r="O1" s="944"/>
      <c r="P1" s="10"/>
    </row>
  </sheetData>
  <mergeCells count="1">
    <mergeCell ref="A1:O1"/>
  </mergeCells>
  <phoneticPr fontId="2" type="noConversion"/>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2"/>
  <dimension ref="A1:AE100"/>
  <sheetViews>
    <sheetView workbookViewId="0">
      <selection activeCell="C1" sqref="C1"/>
    </sheetView>
  </sheetViews>
  <sheetFormatPr baseColWidth="10" defaultColWidth="9" defaultRowHeight="13.2" x14ac:dyDescent="0.25"/>
  <sheetData>
    <row r="1" spans="1:31" x14ac:dyDescent="0.25">
      <c r="A1" s="21"/>
      <c r="B1" s="21"/>
      <c r="C1" s="21"/>
      <c r="D1" s="21"/>
      <c r="E1" s="21"/>
      <c r="F1" s="21"/>
      <c r="G1" s="21"/>
      <c r="H1" s="21"/>
      <c r="I1" s="21"/>
      <c r="J1" s="21"/>
      <c r="K1" s="21"/>
      <c r="L1" s="21"/>
      <c r="M1" s="21"/>
      <c r="N1" s="21"/>
      <c r="O1" s="21"/>
      <c r="P1" s="21"/>
      <c r="Q1" s="5"/>
      <c r="R1" s="5"/>
      <c r="S1" s="5"/>
      <c r="T1" s="5"/>
      <c r="U1" s="5"/>
      <c r="V1" s="5"/>
      <c r="W1" s="5"/>
      <c r="X1" s="5"/>
      <c r="Y1" s="5"/>
      <c r="Z1" s="5"/>
      <c r="AA1" s="5"/>
      <c r="AB1" s="5"/>
      <c r="AC1" s="5"/>
      <c r="AD1" s="5"/>
      <c r="AE1" s="5"/>
    </row>
    <row r="2" spans="1:31" x14ac:dyDescent="0.25">
      <c r="A2" s="21"/>
      <c r="B2" s="26"/>
      <c r="C2" s="26"/>
      <c r="D2" s="26"/>
      <c r="E2" s="26"/>
      <c r="F2" s="26"/>
      <c r="G2" s="26"/>
      <c r="H2" s="21"/>
      <c r="I2" s="21"/>
      <c r="J2" s="21"/>
      <c r="K2" s="21"/>
      <c r="L2" s="21"/>
      <c r="M2" s="21"/>
      <c r="N2" s="21"/>
      <c r="O2" s="21"/>
      <c r="P2" s="21"/>
      <c r="Q2" s="5"/>
      <c r="R2" s="5"/>
      <c r="S2" s="5"/>
      <c r="T2" s="5"/>
      <c r="U2" s="5"/>
      <c r="V2" s="5"/>
      <c r="W2" s="5"/>
      <c r="X2" s="5"/>
      <c r="Y2" s="5"/>
      <c r="Z2" s="5"/>
      <c r="AA2" s="5"/>
      <c r="AB2" s="5"/>
      <c r="AC2" s="5"/>
      <c r="AD2" s="5"/>
      <c r="AE2" s="5"/>
    </row>
    <row r="3" spans="1:31" x14ac:dyDescent="0.25">
      <c r="A3" s="21"/>
      <c r="B3" s="26"/>
      <c r="C3" s="26"/>
      <c r="D3" s="26"/>
      <c r="E3" s="26"/>
      <c r="F3" s="26"/>
      <c r="G3" s="26"/>
      <c r="H3" s="21"/>
      <c r="I3" s="21"/>
      <c r="J3" s="21"/>
      <c r="K3" s="21"/>
      <c r="L3" s="21"/>
      <c r="M3" s="21"/>
      <c r="N3" s="21"/>
      <c r="O3" s="21"/>
      <c r="P3" s="21"/>
      <c r="Q3" s="5"/>
      <c r="R3" s="5"/>
      <c r="S3" s="5"/>
      <c r="T3" s="5"/>
      <c r="U3" s="5"/>
      <c r="V3" s="5"/>
      <c r="W3" s="5"/>
      <c r="X3" s="5"/>
      <c r="Y3" s="5"/>
      <c r="Z3" s="5"/>
      <c r="AA3" s="5"/>
      <c r="AB3" s="5"/>
      <c r="AC3" s="5"/>
      <c r="AD3" s="5"/>
      <c r="AE3" s="5"/>
    </row>
    <row r="4" spans="1:31" x14ac:dyDescent="0.25">
      <c r="A4" s="21"/>
      <c r="B4" s="26"/>
      <c r="C4" s="26"/>
      <c r="D4" s="26"/>
      <c r="E4" s="26"/>
      <c r="F4" s="26"/>
      <c r="G4" s="26"/>
      <c r="H4" s="21"/>
      <c r="I4" s="21"/>
      <c r="J4" s="21"/>
      <c r="K4" s="21"/>
      <c r="L4" s="21"/>
      <c r="M4" s="21"/>
      <c r="N4" s="21"/>
      <c r="O4" s="21"/>
      <c r="P4" s="21"/>
      <c r="Q4" s="5"/>
      <c r="R4" s="5"/>
      <c r="S4" s="5"/>
      <c r="T4" s="5"/>
      <c r="U4" s="5"/>
      <c r="V4" s="5"/>
      <c r="W4" s="5"/>
      <c r="X4" s="5"/>
      <c r="Y4" s="5"/>
      <c r="Z4" s="5"/>
      <c r="AA4" s="5"/>
      <c r="AB4" s="5"/>
      <c r="AC4" s="5"/>
      <c r="AD4" s="5"/>
      <c r="AE4" s="5"/>
    </row>
    <row r="5" spans="1:31" x14ac:dyDescent="0.25">
      <c r="A5" s="21"/>
      <c r="B5" s="26"/>
      <c r="C5" s="26"/>
      <c r="D5" s="26"/>
      <c r="E5" s="26"/>
      <c r="F5" s="26"/>
      <c r="G5" s="26"/>
      <c r="H5" s="21"/>
      <c r="I5" s="21"/>
      <c r="J5" s="21"/>
      <c r="K5" s="21"/>
      <c r="L5" s="21"/>
      <c r="M5" s="21"/>
      <c r="N5" s="21"/>
      <c r="O5" s="21"/>
      <c r="P5" s="21"/>
      <c r="Q5" s="5"/>
      <c r="R5" s="5"/>
      <c r="S5" s="5"/>
      <c r="T5" s="5"/>
      <c r="U5" s="5"/>
      <c r="V5" s="5"/>
      <c r="W5" s="5"/>
      <c r="X5" s="5"/>
      <c r="Y5" s="5"/>
      <c r="Z5" s="5"/>
      <c r="AA5" s="5"/>
      <c r="AB5" s="5"/>
      <c r="AC5" s="5"/>
      <c r="AD5" s="5"/>
      <c r="AE5" s="5"/>
    </row>
    <row r="6" spans="1:31" x14ac:dyDescent="0.25">
      <c r="A6" s="21"/>
      <c r="B6" s="26"/>
      <c r="C6" s="26"/>
      <c r="D6" s="26"/>
      <c r="E6" s="26"/>
      <c r="F6" s="26"/>
      <c r="G6" s="26"/>
      <c r="H6" s="21"/>
      <c r="I6" s="21"/>
      <c r="J6" s="21"/>
      <c r="K6" s="21"/>
      <c r="L6" s="21"/>
      <c r="M6" s="21"/>
      <c r="N6" s="21"/>
      <c r="O6" s="21"/>
      <c r="P6" s="21"/>
      <c r="Q6" s="5"/>
      <c r="R6" s="5"/>
      <c r="S6" s="5"/>
      <c r="T6" s="5"/>
      <c r="U6" s="5"/>
      <c r="V6" s="5"/>
      <c r="W6" s="5"/>
      <c r="X6" s="5"/>
      <c r="Y6" s="5"/>
      <c r="Z6" s="5"/>
      <c r="AA6" s="5"/>
      <c r="AB6" s="5"/>
      <c r="AC6" s="5"/>
      <c r="AD6" s="5"/>
      <c r="AE6" s="5"/>
    </row>
    <row r="7" spans="1:31" x14ac:dyDescent="0.25">
      <c r="A7" s="21"/>
      <c r="B7" s="26"/>
      <c r="C7" s="26"/>
      <c r="D7" s="26"/>
      <c r="E7" s="26"/>
      <c r="F7" s="26"/>
      <c r="G7" s="26"/>
      <c r="H7" s="21"/>
      <c r="I7" s="21"/>
      <c r="J7" s="21"/>
      <c r="K7" s="21"/>
      <c r="L7" s="21"/>
      <c r="M7" s="21"/>
      <c r="N7" s="21"/>
      <c r="O7" s="21"/>
      <c r="P7" s="21"/>
      <c r="Q7" s="5"/>
      <c r="R7" s="5"/>
      <c r="S7" s="5"/>
      <c r="T7" s="5"/>
      <c r="U7" s="5"/>
      <c r="V7" s="5"/>
      <c r="W7" s="5"/>
      <c r="X7" s="5"/>
      <c r="Y7" s="5"/>
      <c r="Z7" s="5"/>
      <c r="AA7" s="5"/>
      <c r="AB7" s="5"/>
      <c r="AC7" s="5"/>
      <c r="AD7" s="5"/>
      <c r="AE7" s="5"/>
    </row>
    <row r="8" spans="1:31" x14ac:dyDescent="0.25">
      <c r="A8" s="21"/>
      <c r="B8" s="26"/>
      <c r="C8" s="26"/>
      <c r="D8" s="26"/>
      <c r="E8" s="26"/>
      <c r="F8" s="26"/>
      <c r="G8" s="26"/>
      <c r="H8" s="21"/>
      <c r="I8" s="21"/>
      <c r="J8" s="21"/>
      <c r="K8" s="21"/>
      <c r="L8" s="21"/>
      <c r="M8" s="21"/>
      <c r="N8" s="21"/>
      <c r="O8" s="21"/>
      <c r="P8" s="21"/>
      <c r="Q8" s="5"/>
      <c r="R8" s="5"/>
      <c r="S8" s="5"/>
      <c r="T8" s="5"/>
      <c r="U8" s="5"/>
      <c r="V8" s="5"/>
      <c r="W8" s="5"/>
      <c r="X8" s="5"/>
      <c r="Y8" s="5"/>
      <c r="Z8" s="5"/>
      <c r="AA8" s="5"/>
      <c r="AB8" s="5"/>
      <c r="AC8" s="5"/>
      <c r="AD8" s="5"/>
      <c r="AE8" s="5"/>
    </row>
    <row r="9" spans="1:31" x14ac:dyDescent="0.25">
      <c r="A9" s="21"/>
      <c r="B9" s="26"/>
      <c r="C9" s="26"/>
      <c r="D9" s="26"/>
      <c r="E9" s="26"/>
      <c r="F9" s="26"/>
      <c r="G9" s="26"/>
      <c r="H9" s="21"/>
      <c r="I9" s="21"/>
      <c r="J9" s="21"/>
      <c r="K9" s="21"/>
      <c r="L9" s="21"/>
      <c r="M9" s="21"/>
      <c r="N9" s="21"/>
      <c r="O9" s="21"/>
      <c r="P9" s="21"/>
      <c r="Q9" s="5"/>
      <c r="R9" s="5"/>
      <c r="S9" s="5"/>
      <c r="T9" s="5"/>
      <c r="U9" s="5"/>
      <c r="V9" s="5"/>
      <c r="W9" s="5"/>
      <c r="X9" s="5"/>
      <c r="Y9" s="5"/>
      <c r="Z9" s="5"/>
      <c r="AA9" s="5"/>
      <c r="AB9" s="5"/>
      <c r="AC9" s="5"/>
      <c r="AD9" s="5"/>
      <c r="AE9" s="5"/>
    </row>
    <row r="10" spans="1:31" x14ac:dyDescent="0.25">
      <c r="A10" s="21"/>
      <c r="B10" s="26"/>
      <c r="C10" s="26"/>
      <c r="D10" s="26"/>
      <c r="E10" s="26"/>
      <c r="F10" s="26"/>
      <c r="G10" s="26"/>
      <c r="H10" s="21"/>
      <c r="I10" s="21"/>
      <c r="J10" s="21"/>
      <c r="K10" s="21"/>
      <c r="L10" s="21"/>
      <c r="M10" s="21"/>
      <c r="N10" s="21"/>
      <c r="O10" s="21"/>
      <c r="P10" s="21"/>
      <c r="Q10" s="5"/>
      <c r="R10" s="5"/>
      <c r="S10" s="5"/>
      <c r="T10" s="5"/>
      <c r="U10" s="5"/>
      <c r="V10" s="5"/>
      <c r="W10" s="5"/>
      <c r="X10" s="5"/>
      <c r="Y10" s="5"/>
      <c r="Z10" s="5"/>
      <c r="AA10" s="5"/>
      <c r="AB10" s="5"/>
      <c r="AC10" s="5"/>
      <c r="AD10" s="5"/>
      <c r="AE10" s="5"/>
    </row>
    <row r="11" spans="1:31" x14ac:dyDescent="0.25">
      <c r="A11" s="21"/>
      <c r="B11" s="21"/>
      <c r="C11" s="21"/>
      <c r="D11" s="21"/>
      <c r="E11" s="21"/>
      <c r="F11" s="21"/>
      <c r="G11" s="21"/>
      <c r="H11" s="21"/>
      <c r="I11" s="21"/>
      <c r="J11" s="21"/>
      <c r="K11" s="21"/>
      <c r="L11" s="21"/>
      <c r="M11" s="21"/>
      <c r="N11" s="21"/>
      <c r="O11" s="21"/>
      <c r="P11" s="21"/>
      <c r="Q11" s="5"/>
      <c r="R11" s="5"/>
      <c r="S11" s="5"/>
      <c r="T11" s="5"/>
      <c r="U11" s="5"/>
      <c r="V11" s="5"/>
      <c r="W11" s="5"/>
      <c r="X11" s="5"/>
      <c r="Y11" s="5"/>
      <c r="Z11" s="5"/>
      <c r="AA11" s="5"/>
      <c r="AB11" s="5"/>
      <c r="AC11" s="5"/>
      <c r="AD11" s="5"/>
      <c r="AE11" s="5"/>
    </row>
    <row r="12" spans="1:31" x14ac:dyDescent="0.25">
      <c r="A12" s="21"/>
      <c r="B12" s="21"/>
      <c r="C12" s="21"/>
      <c r="D12" s="21"/>
      <c r="E12" s="21"/>
      <c r="F12" s="21"/>
      <c r="G12" s="21"/>
      <c r="H12" s="21"/>
      <c r="I12" s="21"/>
      <c r="J12" s="21"/>
      <c r="K12" s="21"/>
      <c r="L12" s="21"/>
      <c r="M12" s="21"/>
      <c r="N12" s="21"/>
      <c r="O12" s="21"/>
      <c r="P12" s="21"/>
      <c r="Q12" s="5"/>
      <c r="R12" s="5"/>
      <c r="S12" s="5"/>
      <c r="T12" s="5"/>
      <c r="U12" s="5"/>
      <c r="V12" s="5"/>
      <c r="W12" s="5"/>
      <c r="X12" s="5"/>
      <c r="Y12" s="5"/>
      <c r="Z12" s="5"/>
      <c r="AA12" s="5"/>
      <c r="AB12" s="5"/>
      <c r="AC12" s="5"/>
      <c r="AD12" s="5"/>
      <c r="AE12" s="5"/>
    </row>
    <row r="13" spans="1:31" x14ac:dyDescent="0.25">
      <c r="A13" s="21"/>
      <c r="B13" s="21"/>
      <c r="C13" s="21"/>
      <c r="D13" s="21"/>
      <c r="E13" s="21"/>
      <c r="F13" s="21"/>
      <c r="G13" s="21"/>
      <c r="H13" s="21"/>
      <c r="I13" s="21"/>
      <c r="J13" s="21"/>
      <c r="K13" s="21"/>
      <c r="L13" s="21"/>
      <c r="M13" s="21"/>
      <c r="N13" s="21"/>
      <c r="O13" s="21"/>
      <c r="P13" s="21"/>
      <c r="Q13" s="5"/>
      <c r="R13" s="5"/>
      <c r="S13" s="5"/>
      <c r="T13" s="5"/>
      <c r="U13" s="5"/>
      <c r="V13" s="5"/>
      <c r="W13" s="5"/>
      <c r="X13" s="5"/>
      <c r="Y13" s="5"/>
      <c r="Z13" s="5"/>
      <c r="AA13" s="5"/>
      <c r="AB13" s="5"/>
      <c r="AC13" s="5"/>
      <c r="AD13" s="5"/>
      <c r="AE13" s="5"/>
    </row>
    <row r="14" spans="1:31" x14ac:dyDescent="0.25">
      <c r="A14" s="21"/>
      <c r="B14" s="21"/>
      <c r="C14" s="21"/>
      <c r="D14" s="21"/>
      <c r="E14" s="21"/>
      <c r="F14" s="21"/>
      <c r="G14" s="21"/>
      <c r="H14" s="21"/>
      <c r="I14" s="21"/>
      <c r="J14" s="21"/>
      <c r="K14" s="21"/>
      <c r="L14" s="21"/>
      <c r="M14" s="21"/>
      <c r="N14" s="21"/>
      <c r="O14" s="21"/>
      <c r="P14" s="21"/>
      <c r="Q14" s="5"/>
      <c r="R14" s="5"/>
      <c r="S14" s="5"/>
      <c r="T14" s="5"/>
      <c r="U14" s="5"/>
      <c r="V14" s="5"/>
      <c r="W14" s="5"/>
      <c r="X14" s="5"/>
      <c r="Y14" s="5"/>
      <c r="Z14" s="5"/>
      <c r="AA14" s="5"/>
      <c r="AB14" s="5"/>
      <c r="AC14" s="5"/>
      <c r="AD14" s="5"/>
      <c r="AE14" s="5"/>
    </row>
    <row r="15" spans="1:31" x14ac:dyDescent="0.25">
      <c r="A15" s="21"/>
      <c r="B15" s="21"/>
      <c r="C15" s="21"/>
      <c r="D15" s="21"/>
      <c r="E15" s="21"/>
      <c r="F15" s="21"/>
      <c r="G15" s="21"/>
      <c r="H15" s="21"/>
      <c r="I15" s="21"/>
      <c r="J15" s="21"/>
      <c r="K15" s="21"/>
      <c r="L15" s="21"/>
      <c r="M15" s="21"/>
      <c r="N15" s="21"/>
      <c r="O15" s="21"/>
      <c r="P15" s="21"/>
      <c r="Q15" s="5"/>
      <c r="R15" s="5"/>
      <c r="S15" s="5"/>
      <c r="T15" s="5"/>
      <c r="U15" s="5"/>
      <c r="V15" s="5"/>
      <c r="W15" s="5"/>
      <c r="X15" s="5"/>
      <c r="Y15" s="5"/>
      <c r="Z15" s="5"/>
      <c r="AA15" s="5"/>
      <c r="AB15" s="5"/>
      <c r="AC15" s="5"/>
      <c r="AD15" s="5"/>
      <c r="AE15" s="5"/>
    </row>
    <row r="16" spans="1:31" x14ac:dyDescent="0.25">
      <c r="A16" s="21"/>
      <c r="B16" s="21"/>
      <c r="C16" s="21"/>
      <c r="D16" s="21"/>
      <c r="E16" s="21"/>
      <c r="F16" s="21"/>
      <c r="G16" s="21"/>
      <c r="H16" s="21"/>
      <c r="I16" s="21"/>
      <c r="J16" s="21"/>
      <c r="K16" s="21"/>
      <c r="L16" s="21"/>
      <c r="M16" s="21"/>
      <c r="N16" s="21"/>
      <c r="O16" s="21"/>
      <c r="P16" s="21"/>
      <c r="Q16" s="5"/>
      <c r="R16" s="5"/>
      <c r="S16" s="5"/>
      <c r="T16" s="5"/>
      <c r="U16" s="5"/>
      <c r="V16" s="5"/>
      <c r="W16" s="5"/>
      <c r="X16" s="5"/>
      <c r="Y16" s="5"/>
      <c r="Z16" s="5"/>
      <c r="AA16" s="5"/>
      <c r="AB16" s="5"/>
      <c r="AC16" s="5"/>
      <c r="AD16" s="5"/>
      <c r="AE16" s="5"/>
    </row>
    <row r="17" spans="1:31" x14ac:dyDescent="0.25">
      <c r="A17" s="21"/>
      <c r="B17" s="21"/>
      <c r="C17" s="21"/>
      <c r="D17" s="21"/>
      <c r="E17" s="21"/>
      <c r="F17" s="21"/>
      <c r="G17" s="21"/>
      <c r="H17" s="21"/>
      <c r="I17" s="21"/>
      <c r="J17" s="21"/>
      <c r="K17" s="21"/>
      <c r="L17" s="21"/>
      <c r="M17" s="21"/>
      <c r="N17" s="21"/>
      <c r="O17" s="21"/>
      <c r="P17" s="21"/>
      <c r="Q17" s="5"/>
      <c r="R17" s="5"/>
      <c r="S17" s="5"/>
      <c r="T17" s="5"/>
      <c r="U17" s="5"/>
      <c r="V17" s="5"/>
      <c r="W17" s="5"/>
      <c r="X17" s="5"/>
      <c r="Y17" s="5"/>
      <c r="Z17" s="5"/>
      <c r="AA17" s="5"/>
      <c r="AB17" s="5"/>
      <c r="AC17" s="5"/>
      <c r="AD17" s="5"/>
      <c r="AE17" s="5"/>
    </row>
    <row r="18" spans="1:31" x14ac:dyDescent="0.25">
      <c r="A18" s="21"/>
      <c r="B18" s="21"/>
      <c r="C18" s="5"/>
      <c r="D18" s="5"/>
      <c r="E18" s="5"/>
      <c r="F18" s="21"/>
      <c r="G18" s="21"/>
      <c r="H18" s="21"/>
      <c r="I18" s="21"/>
      <c r="J18" s="21"/>
      <c r="K18" s="21"/>
      <c r="L18" s="21"/>
      <c r="M18" s="21"/>
      <c r="N18" s="21"/>
      <c r="O18" s="21"/>
      <c r="P18" s="21"/>
      <c r="Q18" s="5"/>
      <c r="R18" s="5"/>
      <c r="S18" s="5"/>
      <c r="T18" s="5"/>
      <c r="U18" s="5"/>
      <c r="V18" s="5"/>
      <c r="W18" s="5"/>
      <c r="X18" s="5"/>
      <c r="Y18" s="5"/>
      <c r="Z18" s="5"/>
      <c r="AA18" s="5"/>
      <c r="AB18" s="5"/>
      <c r="AC18" s="5"/>
      <c r="AD18" s="5"/>
      <c r="AE18" s="5"/>
    </row>
    <row r="19" spans="1:31" x14ac:dyDescent="0.25">
      <c r="A19" s="21"/>
      <c r="B19" s="21"/>
      <c r="C19" s="5"/>
      <c r="D19" s="5"/>
      <c r="E19" s="5"/>
      <c r="F19" s="21"/>
      <c r="G19" s="21"/>
      <c r="H19" s="21"/>
      <c r="I19" s="21"/>
      <c r="J19" s="21"/>
      <c r="K19" s="21"/>
      <c r="L19" s="21"/>
      <c r="M19" s="21"/>
      <c r="N19" s="21"/>
      <c r="O19" s="21"/>
      <c r="P19" s="21"/>
      <c r="Q19" s="5"/>
      <c r="R19" s="5"/>
      <c r="S19" s="5"/>
      <c r="T19" s="5"/>
      <c r="U19" s="5"/>
      <c r="V19" s="5"/>
      <c r="W19" s="5"/>
      <c r="X19" s="5"/>
      <c r="Y19" s="5"/>
      <c r="Z19" s="5"/>
      <c r="AA19" s="5"/>
      <c r="AB19" s="5"/>
      <c r="AC19" s="5"/>
      <c r="AD19" s="5"/>
      <c r="AE19" s="5"/>
    </row>
    <row r="20" spans="1:31" x14ac:dyDescent="0.25">
      <c r="A20" s="21"/>
      <c r="B20" s="21"/>
      <c r="C20" s="5"/>
      <c r="D20" s="5"/>
      <c r="E20" s="5"/>
      <c r="F20" s="21"/>
      <c r="G20" s="21"/>
      <c r="H20" s="21"/>
      <c r="I20" s="21"/>
      <c r="J20" s="21"/>
      <c r="K20" s="21"/>
      <c r="L20" s="21"/>
      <c r="M20" s="21"/>
      <c r="N20" s="21"/>
      <c r="O20" s="21"/>
      <c r="P20" s="21"/>
      <c r="Q20" s="5"/>
      <c r="R20" s="5"/>
      <c r="S20" s="5"/>
      <c r="T20" s="5"/>
      <c r="U20" s="5"/>
      <c r="V20" s="5"/>
      <c r="W20" s="5"/>
      <c r="X20" s="5"/>
      <c r="Y20" s="5"/>
      <c r="Z20" s="5"/>
      <c r="AA20" s="5"/>
      <c r="AB20" s="5"/>
      <c r="AC20" s="5"/>
      <c r="AD20" s="5"/>
      <c r="AE20" s="5"/>
    </row>
    <row r="21" spans="1:31" x14ac:dyDescent="0.25">
      <c r="A21" s="21"/>
      <c r="B21" s="21"/>
      <c r="C21" s="5"/>
      <c r="D21" s="5"/>
      <c r="E21" s="5"/>
      <c r="F21" s="21"/>
      <c r="G21" s="21"/>
      <c r="H21" s="21"/>
      <c r="I21" s="21"/>
      <c r="J21" s="21"/>
      <c r="K21" s="21"/>
      <c r="L21" s="21"/>
      <c r="M21" s="21"/>
      <c r="N21" s="21"/>
      <c r="O21" s="21"/>
      <c r="P21" s="21"/>
      <c r="Q21" s="5"/>
      <c r="R21" s="5"/>
      <c r="S21" s="5"/>
      <c r="T21" s="5"/>
      <c r="U21" s="5"/>
      <c r="V21" s="5"/>
      <c r="W21" s="5"/>
      <c r="X21" s="5"/>
      <c r="Y21" s="5"/>
      <c r="Z21" s="5"/>
      <c r="AA21" s="5"/>
      <c r="AB21" s="5"/>
      <c r="AC21" s="5"/>
      <c r="AD21" s="5"/>
      <c r="AE21" s="5"/>
    </row>
    <row r="22" spans="1:31" x14ac:dyDescent="0.25">
      <c r="A22" s="21"/>
      <c r="B22" s="21"/>
      <c r="C22" s="5"/>
      <c r="D22" s="5"/>
      <c r="E22" s="5"/>
      <c r="F22" s="21"/>
      <c r="G22" s="21"/>
      <c r="H22" s="21"/>
      <c r="I22" s="21"/>
      <c r="J22" s="21"/>
      <c r="K22" s="21"/>
      <c r="L22" s="21"/>
      <c r="M22" s="21"/>
      <c r="N22" s="21"/>
      <c r="O22" s="21"/>
      <c r="P22" s="21"/>
      <c r="Q22" s="5"/>
      <c r="R22" s="5"/>
      <c r="S22" s="5"/>
      <c r="T22" s="5"/>
      <c r="U22" s="5"/>
      <c r="V22" s="5"/>
      <c r="W22" s="5"/>
      <c r="X22" s="5"/>
      <c r="Y22" s="5"/>
      <c r="Z22" s="5"/>
      <c r="AA22" s="5"/>
      <c r="AB22" s="5"/>
      <c r="AC22" s="5"/>
      <c r="AD22" s="5"/>
      <c r="AE22" s="5"/>
    </row>
    <row r="23" spans="1:31" x14ac:dyDescent="0.25">
      <c r="A23" s="21"/>
      <c r="B23" s="21"/>
      <c r="C23" s="5"/>
      <c r="D23" s="5"/>
      <c r="E23" s="5"/>
      <c r="F23" s="21"/>
      <c r="G23" s="21"/>
      <c r="H23" s="21"/>
      <c r="I23" s="21"/>
      <c r="J23" s="21"/>
      <c r="K23" s="21"/>
      <c r="L23" s="21"/>
      <c r="M23" s="21"/>
      <c r="N23" s="21"/>
      <c r="O23" s="21"/>
      <c r="P23" s="21"/>
      <c r="Q23" s="5"/>
      <c r="R23" s="5"/>
      <c r="S23" s="5"/>
      <c r="T23" s="5"/>
      <c r="U23" s="5"/>
      <c r="V23" s="5"/>
      <c r="W23" s="5"/>
      <c r="X23" s="5"/>
      <c r="Y23" s="5"/>
      <c r="Z23" s="5"/>
      <c r="AA23" s="5"/>
      <c r="AB23" s="5"/>
      <c r="AC23" s="5"/>
      <c r="AD23" s="5"/>
      <c r="AE23" s="5"/>
    </row>
    <row r="24" spans="1:31" x14ac:dyDescent="0.25">
      <c r="A24" s="21"/>
      <c r="B24" s="21"/>
      <c r="C24" s="5"/>
      <c r="D24" s="5"/>
      <c r="E24" s="5"/>
      <c r="F24" s="21"/>
      <c r="G24" s="21"/>
      <c r="H24" s="21"/>
      <c r="I24" s="21"/>
      <c r="J24" s="21"/>
      <c r="K24" s="21"/>
      <c r="L24" s="21"/>
      <c r="M24" s="21"/>
      <c r="N24" s="21"/>
      <c r="O24" s="21"/>
      <c r="P24" s="21"/>
      <c r="Q24" s="5"/>
      <c r="R24" s="5"/>
      <c r="S24" s="5"/>
      <c r="T24" s="5"/>
      <c r="U24" s="5"/>
      <c r="V24" s="5"/>
      <c r="W24" s="5"/>
      <c r="X24" s="5"/>
      <c r="Y24" s="5"/>
      <c r="Z24" s="5"/>
      <c r="AA24" s="5"/>
      <c r="AB24" s="5"/>
      <c r="AC24" s="5"/>
      <c r="AD24" s="5"/>
      <c r="AE24" s="5"/>
    </row>
    <row r="25" spans="1:31" x14ac:dyDescent="0.25">
      <c r="A25" s="21"/>
      <c r="B25" s="21"/>
      <c r="C25" s="5"/>
      <c r="D25" s="5"/>
      <c r="E25" s="5"/>
      <c r="F25" s="21"/>
      <c r="G25" s="21"/>
      <c r="H25" s="21"/>
      <c r="I25" s="21"/>
      <c r="J25" s="21"/>
      <c r="K25" s="21"/>
      <c r="L25" s="21"/>
      <c r="M25" s="21"/>
      <c r="N25" s="21"/>
      <c r="O25" s="21"/>
      <c r="P25" s="21"/>
      <c r="Q25" s="5"/>
      <c r="R25" s="5"/>
      <c r="S25" s="5"/>
      <c r="T25" s="5"/>
      <c r="U25" s="5"/>
      <c r="V25" s="5"/>
      <c r="W25" s="5"/>
      <c r="X25" s="5"/>
      <c r="Y25" s="5"/>
      <c r="Z25" s="5"/>
      <c r="AA25" s="5"/>
      <c r="AB25" s="5"/>
      <c r="AC25" s="5"/>
      <c r="AD25" s="5"/>
      <c r="AE25" s="5"/>
    </row>
    <row r="26" spans="1:31" x14ac:dyDescent="0.25">
      <c r="A26" s="21"/>
      <c r="B26" s="21"/>
      <c r="C26" s="5"/>
      <c r="D26" s="5"/>
      <c r="E26" s="5"/>
      <c r="F26" s="21"/>
      <c r="G26" s="21"/>
      <c r="H26" s="21"/>
      <c r="I26" s="21"/>
      <c r="J26" s="21"/>
      <c r="K26" s="21"/>
      <c r="L26" s="21"/>
      <c r="M26" s="21"/>
      <c r="N26" s="21"/>
      <c r="O26" s="21"/>
      <c r="P26" s="21"/>
      <c r="Q26" s="5"/>
      <c r="R26" s="5"/>
      <c r="S26" s="5"/>
      <c r="T26" s="5"/>
      <c r="U26" s="5"/>
      <c r="V26" s="5"/>
      <c r="W26" s="5"/>
      <c r="X26" s="5"/>
      <c r="Y26" s="5"/>
      <c r="Z26" s="5"/>
      <c r="AA26" s="5"/>
      <c r="AB26" s="5"/>
      <c r="AC26" s="5"/>
      <c r="AD26" s="5"/>
      <c r="AE26" s="5"/>
    </row>
    <row r="27" spans="1:31" x14ac:dyDescent="0.25">
      <c r="A27" s="21"/>
      <c r="B27" s="21"/>
      <c r="C27" s="5"/>
      <c r="D27" s="5"/>
      <c r="E27" s="5"/>
      <c r="F27" s="21"/>
      <c r="G27" s="21"/>
      <c r="H27" s="21"/>
      <c r="I27" s="21"/>
      <c r="J27" s="21"/>
      <c r="K27" s="21"/>
      <c r="L27" s="21"/>
      <c r="M27" s="21"/>
      <c r="N27" s="21"/>
      <c r="O27" s="21"/>
      <c r="P27" s="21"/>
      <c r="Q27" s="5"/>
      <c r="R27" s="5"/>
      <c r="S27" s="5"/>
      <c r="T27" s="5"/>
      <c r="U27" s="5"/>
      <c r="V27" s="5"/>
      <c r="W27" s="5"/>
      <c r="X27" s="5"/>
      <c r="Y27" s="5"/>
      <c r="Z27" s="5"/>
      <c r="AA27" s="5"/>
      <c r="AB27" s="5"/>
      <c r="AC27" s="5"/>
      <c r="AD27" s="5"/>
      <c r="AE27" s="5"/>
    </row>
    <row r="28" spans="1:31" x14ac:dyDescent="0.25">
      <c r="A28" s="21"/>
      <c r="B28" s="21"/>
      <c r="C28" s="5"/>
      <c r="D28" s="5"/>
      <c r="E28" s="5"/>
      <c r="F28" s="21"/>
      <c r="G28" s="21"/>
      <c r="H28" s="21"/>
      <c r="I28" s="21"/>
      <c r="J28" s="21"/>
      <c r="K28" s="21"/>
      <c r="L28" s="21"/>
      <c r="M28" s="21"/>
      <c r="N28" s="21"/>
      <c r="O28" s="21"/>
      <c r="P28" s="21"/>
      <c r="Q28" s="5"/>
      <c r="R28" s="5"/>
      <c r="S28" s="5"/>
      <c r="T28" s="5"/>
      <c r="U28" s="5"/>
      <c r="V28" s="5"/>
      <c r="W28" s="5"/>
      <c r="X28" s="5"/>
      <c r="Y28" s="5"/>
      <c r="Z28" s="5"/>
      <c r="AA28" s="5"/>
      <c r="AB28" s="5"/>
      <c r="AC28" s="5"/>
      <c r="AD28" s="5"/>
      <c r="AE28" s="5"/>
    </row>
    <row r="29" spans="1:31" x14ac:dyDescent="0.25">
      <c r="A29" s="21"/>
      <c r="B29" s="21"/>
      <c r="C29" s="21"/>
      <c r="D29" s="21"/>
      <c r="E29" s="21"/>
      <c r="F29" s="21"/>
      <c r="G29" s="21"/>
      <c r="H29" s="21"/>
      <c r="I29" s="21"/>
      <c r="J29" s="21"/>
      <c r="K29" s="21"/>
      <c r="L29" s="21"/>
      <c r="M29" s="21"/>
      <c r="N29" s="21"/>
      <c r="O29" s="21"/>
      <c r="P29" s="21"/>
      <c r="Q29" s="5"/>
      <c r="R29" s="5"/>
      <c r="S29" s="5"/>
      <c r="T29" s="5"/>
      <c r="U29" s="5"/>
      <c r="V29" s="5"/>
      <c r="W29" s="5"/>
      <c r="X29" s="5"/>
      <c r="Y29" s="5"/>
      <c r="Z29" s="5"/>
      <c r="AA29" s="5"/>
      <c r="AB29" s="5"/>
      <c r="AC29" s="5"/>
      <c r="AD29" s="5"/>
      <c r="AE29" s="5"/>
    </row>
    <row r="30" spans="1:31" x14ac:dyDescent="0.25">
      <c r="A30" s="21"/>
      <c r="B30" s="21"/>
      <c r="C30" s="21"/>
      <c r="D30" s="21"/>
      <c r="E30" s="21"/>
      <c r="F30" s="21"/>
      <c r="G30" s="21"/>
      <c r="H30" s="21"/>
      <c r="I30" s="21"/>
      <c r="J30" s="21"/>
      <c r="K30" s="21"/>
      <c r="L30" s="21"/>
      <c r="M30" s="21"/>
      <c r="N30" s="21"/>
      <c r="O30" s="21"/>
      <c r="P30" s="21"/>
      <c r="Q30" s="5"/>
      <c r="R30" s="5"/>
      <c r="S30" s="5"/>
      <c r="T30" s="5"/>
      <c r="U30" s="5"/>
      <c r="V30" s="5"/>
      <c r="W30" s="5"/>
      <c r="X30" s="5"/>
      <c r="Y30" s="5"/>
      <c r="Z30" s="5"/>
      <c r="AA30" s="5"/>
      <c r="AB30" s="5"/>
      <c r="AC30" s="5"/>
      <c r="AD30" s="5"/>
      <c r="AE30" s="5"/>
    </row>
    <row r="31" spans="1:31" x14ac:dyDescent="0.25">
      <c r="A31" s="21"/>
      <c r="B31" s="21"/>
      <c r="C31" s="21"/>
      <c r="D31" s="21"/>
      <c r="E31" s="21"/>
      <c r="F31" s="21"/>
      <c r="G31" s="21"/>
      <c r="H31" s="21"/>
      <c r="I31" s="21"/>
      <c r="J31" s="21"/>
      <c r="K31" s="21"/>
      <c r="L31" s="21"/>
      <c r="M31" s="21"/>
      <c r="N31" s="21"/>
      <c r="O31" s="21"/>
      <c r="P31" s="21"/>
      <c r="Q31" s="5"/>
      <c r="R31" s="5"/>
      <c r="S31" s="5"/>
      <c r="T31" s="5"/>
      <c r="U31" s="5"/>
      <c r="V31" s="5"/>
      <c r="W31" s="5"/>
      <c r="X31" s="5"/>
      <c r="Y31" s="5"/>
      <c r="Z31" s="5"/>
      <c r="AA31" s="5"/>
      <c r="AB31" s="5"/>
      <c r="AC31" s="5"/>
      <c r="AD31" s="5"/>
      <c r="AE31" s="5"/>
    </row>
    <row r="32" spans="1:31" x14ac:dyDescent="0.25">
      <c r="A32" s="21"/>
      <c r="B32" s="21"/>
      <c r="C32" s="21"/>
      <c r="D32" s="21"/>
      <c r="E32" s="21"/>
      <c r="F32" s="21"/>
      <c r="G32" s="21"/>
      <c r="H32" s="21"/>
      <c r="I32" s="21"/>
      <c r="J32" s="21"/>
      <c r="K32" s="21"/>
      <c r="L32" s="21"/>
      <c r="M32" s="21"/>
      <c r="N32" s="21"/>
      <c r="O32" s="21"/>
      <c r="P32" s="21"/>
      <c r="Q32" s="5"/>
      <c r="R32" s="5"/>
      <c r="S32" s="5"/>
      <c r="T32" s="5"/>
      <c r="U32" s="5"/>
      <c r="V32" s="5"/>
      <c r="W32" s="5"/>
      <c r="X32" s="5"/>
      <c r="Y32" s="5"/>
      <c r="Z32" s="5"/>
      <c r="AA32" s="5"/>
      <c r="AB32" s="5"/>
      <c r="AC32" s="5"/>
      <c r="AD32" s="5"/>
      <c r="AE32" s="5"/>
    </row>
    <row r="33" spans="1:31" x14ac:dyDescent="0.25">
      <c r="A33" s="21"/>
      <c r="B33" s="21"/>
      <c r="C33" s="21"/>
      <c r="D33" s="21"/>
      <c r="E33" s="21"/>
      <c r="F33" s="21"/>
      <c r="G33" s="21"/>
      <c r="H33" s="21"/>
      <c r="I33" s="21"/>
      <c r="J33" s="21"/>
      <c r="K33" s="21"/>
      <c r="L33" s="21"/>
      <c r="M33" s="21"/>
      <c r="N33" s="21"/>
      <c r="O33" s="21"/>
      <c r="P33" s="21"/>
      <c r="Q33" s="5"/>
      <c r="R33" s="5"/>
      <c r="S33" s="5"/>
      <c r="T33" s="5"/>
      <c r="U33" s="5"/>
      <c r="V33" s="5"/>
      <c r="W33" s="5"/>
      <c r="X33" s="5"/>
      <c r="Y33" s="5"/>
      <c r="Z33" s="5"/>
      <c r="AA33" s="5"/>
      <c r="AB33" s="5"/>
      <c r="AC33" s="5"/>
      <c r="AD33" s="5"/>
      <c r="AE33" s="5"/>
    </row>
    <row r="34" spans="1:31" x14ac:dyDescent="0.25">
      <c r="A34" s="21"/>
      <c r="B34" s="21"/>
      <c r="C34" s="21"/>
      <c r="D34" s="21"/>
      <c r="E34" s="21"/>
      <c r="F34" s="21"/>
      <c r="G34" s="21"/>
      <c r="H34" s="21"/>
      <c r="I34" s="21"/>
      <c r="J34" s="21"/>
      <c r="K34" s="21"/>
      <c r="L34" s="21"/>
      <c r="M34" s="21"/>
      <c r="N34" s="21"/>
      <c r="O34" s="21"/>
      <c r="P34" s="21"/>
      <c r="Q34" s="5"/>
      <c r="R34" s="5"/>
      <c r="S34" s="5"/>
      <c r="T34" s="5"/>
      <c r="U34" s="5"/>
      <c r="V34" s="5"/>
      <c r="W34" s="5"/>
      <c r="X34" s="5"/>
      <c r="Y34" s="5"/>
      <c r="Z34" s="5"/>
      <c r="AA34" s="5"/>
      <c r="AB34" s="5"/>
      <c r="AC34" s="5"/>
      <c r="AD34" s="5"/>
      <c r="AE34" s="5"/>
    </row>
    <row r="35" spans="1:31" x14ac:dyDescent="0.25">
      <c r="A35" s="21"/>
      <c r="B35" s="21"/>
      <c r="C35" s="21"/>
      <c r="D35" s="21"/>
      <c r="E35" s="21"/>
      <c r="F35" s="21"/>
      <c r="G35" s="21"/>
      <c r="H35" s="21"/>
      <c r="I35" s="21"/>
      <c r="J35" s="21"/>
      <c r="K35" s="21"/>
      <c r="L35" s="21"/>
      <c r="M35" s="21"/>
      <c r="N35" s="21"/>
      <c r="O35" s="21"/>
      <c r="P35" s="21"/>
      <c r="Q35" s="5"/>
      <c r="R35" s="5"/>
      <c r="S35" s="5"/>
      <c r="T35" s="5"/>
      <c r="U35" s="5"/>
      <c r="V35" s="5"/>
      <c r="W35" s="5"/>
      <c r="X35" s="5"/>
      <c r="Y35" s="5"/>
      <c r="Z35" s="5"/>
      <c r="AA35" s="5"/>
      <c r="AB35" s="5"/>
      <c r="AC35" s="5"/>
      <c r="AD35" s="5"/>
      <c r="AE35" s="5"/>
    </row>
    <row r="36" spans="1:31" x14ac:dyDescent="0.25">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spans="1:31" x14ac:dyDescent="0.25">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spans="1:31" x14ac:dyDescent="0.25">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spans="1:31" x14ac:dyDescent="0.25">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spans="1:31" x14ac:dyDescent="0.25">
      <c r="A40" s="528"/>
      <c r="B40" s="528"/>
      <c r="C40" s="528"/>
      <c r="D40" s="528"/>
      <c r="E40" s="528"/>
      <c r="F40" s="528"/>
      <c r="G40" s="528"/>
      <c r="H40" s="5"/>
      <c r="I40" s="5"/>
      <c r="J40" s="5"/>
      <c r="K40" s="5"/>
      <c r="L40" s="5"/>
      <c r="M40" s="5"/>
      <c r="N40" s="5"/>
      <c r="O40" s="5"/>
      <c r="P40" s="5"/>
      <c r="Q40" s="5"/>
      <c r="R40" s="5"/>
      <c r="S40" s="5"/>
      <c r="T40" s="5"/>
      <c r="U40" s="5"/>
      <c r="V40" s="5"/>
      <c r="W40" s="5"/>
      <c r="X40" s="5"/>
      <c r="Y40" s="5"/>
      <c r="Z40" s="5"/>
      <c r="AA40" s="5"/>
      <c r="AB40" s="5"/>
      <c r="AC40" s="5"/>
      <c r="AD40" s="5"/>
      <c r="AE40" s="5"/>
    </row>
    <row r="41" spans="1:31" x14ac:dyDescent="0.25">
      <c r="A41" s="528"/>
      <c r="B41" s="528" t="str">
        <f ca="1">"On-Chip Power over Vccint - (" &amp; PROCESS &amp; ", " &amp; INT(JUNCTION_TEMP)&amp; "C)"</f>
        <v>On-Chip Power over Vccint - (Typical, 30C)</v>
      </c>
      <c r="C41" s="528"/>
      <c r="D41" s="528"/>
      <c r="E41" s="528"/>
      <c r="F41" s="528"/>
      <c r="G41" s="528"/>
      <c r="H41" s="5"/>
      <c r="I41" s="5"/>
      <c r="J41" s="5"/>
      <c r="K41" s="5"/>
      <c r="L41" s="5"/>
      <c r="M41" s="5"/>
      <c r="N41" s="5"/>
      <c r="O41" s="5"/>
      <c r="P41" s="5"/>
      <c r="Q41" s="5"/>
      <c r="R41" s="5"/>
      <c r="S41" s="5"/>
      <c r="T41" s="5"/>
      <c r="U41" s="5"/>
      <c r="V41" s="5"/>
      <c r="W41" s="5"/>
      <c r="X41" s="5"/>
      <c r="Y41" s="5"/>
      <c r="Z41" s="5"/>
      <c r="AA41" s="5"/>
      <c r="AB41" s="5"/>
      <c r="AC41" s="5"/>
      <c r="AD41" s="5"/>
      <c r="AE41" s="5"/>
    </row>
    <row r="42" spans="1:31" x14ac:dyDescent="0.25">
      <c r="A42" s="528"/>
      <c r="B42" s="528" t="str">
        <f>"On-Chip Power over Temperature - (" &amp; PROCESS &amp; ", " &amp; VCCINT &amp; "V)"</f>
        <v>On-Chip Power over Temperature - (Typical, 1.2V)</v>
      </c>
      <c r="C42" s="528"/>
      <c r="D42" s="528"/>
      <c r="E42" s="528"/>
      <c r="F42" s="528"/>
      <c r="G42" s="528"/>
      <c r="H42" s="5"/>
      <c r="I42" s="5"/>
      <c r="J42" s="5"/>
      <c r="K42" s="5"/>
      <c r="L42" s="5"/>
      <c r="M42" s="5"/>
      <c r="N42" s="5"/>
      <c r="O42" s="5"/>
      <c r="P42" s="5"/>
      <c r="Q42" s="5"/>
      <c r="R42" s="5"/>
      <c r="S42" s="5"/>
      <c r="T42" s="5"/>
      <c r="U42" s="5"/>
      <c r="V42" s="5"/>
      <c r="W42" s="5"/>
      <c r="X42" s="5"/>
      <c r="Y42" s="5"/>
      <c r="Z42" s="5"/>
      <c r="AA42" s="5"/>
      <c r="AB42" s="5"/>
      <c r="AC42" s="5"/>
      <c r="AD42" s="5"/>
      <c r="AE42" s="5"/>
    </row>
    <row r="43" spans="1:31" x14ac:dyDescent="0.25">
      <c r="A43" s="528"/>
      <c r="B43" s="528" t="str">
        <f ca="1">"On-Chip Power by Function - (" &amp; PROCESS &amp; ", " &amp; VCCINT &amp; "V, " &amp; INT(JUNCTION_TEMP) &amp; "C)"</f>
        <v>On-Chip Power by Function - (Typical, 1.2V, 30C)</v>
      </c>
      <c r="C43" s="528"/>
      <c r="D43" s="528"/>
      <c r="E43" s="528"/>
      <c r="F43" s="528"/>
      <c r="G43" s="528"/>
      <c r="H43" s="5"/>
      <c r="I43" s="5"/>
      <c r="J43" s="5"/>
      <c r="K43" s="5"/>
      <c r="L43" s="5"/>
      <c r="M43" s="5"/>
      <c r="N43" s="5"/>
      <c r="O43" s="5"/>
      <c r="P43" s="5"/>
      <c r="Q43" s="5"/>
      <c r="R43" s="5"/>
      <c r="S43" s="5"/>
      <c r="T43" s="5"/>
      <c r="U43" s="5"/>
      <c r="V43" s="5"/>
      <c r="W43" s="5"/>
      <c r="X43" s="5"/>
      <c r="Y43" s="5"/>
      <c r="Z43" s="5"/>
      <c r="AA43" s="5"/>
      <c r="AB43" s="5"/>
      <c r="AC43" s="5"/>
      <c r="AD43" s="5"/>
      <c r="AE43" s="5"/>
    </row>
    <row r="44" spans="1:31" x14ac:dyDescent="0.25">
      <c r="A44" s="528"/>
      <c r="B44" s="528"/>
      <c r="C44" s="528"/>
      <c r="D44" s="528"/>
      <c r="E44" s="528"/>
      <c r="F44" s="528"/>
      <c r="G44" s="528"/>
      <c r="H44" s="5"/>
      <c r="I44" s="5"/>
      <c r="J44" s="5"/>
      <c r="K44" s="5"/>
      <c r="L44" s="5"/>
      <c r="M44" s="5"/>
      <c r="N44" s="5"/>
      <c r="O44" s="5"/>
      <c r="P44" s="5"/>
      <c r="Q44" s="5"/>
      <c r="R44" s="5"/>
      <c r="S44" s="5"/>
      <c r="T44" s="5"/>
      <c r="U44" s="5"/>
      <c r="V44" s="5"/>
      <c r="W44" s="5"/>
      <c r="X44" s="5"/>
      <c r="Y44" s="5"/>
      <c r="Z44" s="5"/>
      <c r="AA44" s="5"/>
      <c r="AB44" s="5"/>
      <c r="AC44" s="5"/>
      <c r="AD44" s="5"/>
      <c r="AE44" s="5"/>
    </row>
    <row r="45" spans="1:31" x14ac:dyDescent="0.25">
      <c r="A45" s="528"/>
      <c r="B45" s="528"/>
      <c r="C45" s="528"/>
      <c r="D45" s="528"/>
      <c r="E45" s="528"/>
      <c r="F45" s="528"/>
      <c r="G45" s="528"/>
      <c r="H45" s="5"/>
      <c r="I45" s="5"/>
      <c r="J45" s="5"/>
      <c r="K45" s="5"/>
      <c r="L45" s="5"/>
      <c r="M45" s="5"/>
      <c r="N45" s="5"/>
      <c r="O45" s="5"/>
      <c r="P45" s="5"/>
      <c r="Q45" s="5"/>
      <c r="R45" s="5"/>
      <c r="S45" s="5"/>
      <c r="T45" s="5"/>
      <c r="U45" s="5"/>
      <c r="V45" s="5"/>
      <c r="W45" s="5"/>
      <c r="X45" s="5"/>
      <c r="Y45" s="5"/>
      <c r="Z45" s="5"/>
      <c r="AA45" s="5"/>
      <c r="AB45" s="5"/>
      <c r="AC45" s="5"/>
      <c r="AD45" s="5"/>
      <c r="AE45" s="5"/>
    </row>
    <row r="46" spans="1:31" x14ac:dyDescent="0.25">
      <c r="A46" s="528"/>
      <c r="B46" s="528"/>
      <c r="C46" s="528"/>
      <c r="D46" s="528"/>
      <c r="E46" s="528"/>
      <c r="F46" s="528"/>
      <c r="G46" s="528"/>
      <c r="H46" s="5"/>
      <c r="I46" s="5"/>
      <c r="J46" s="5"/>
      <c r="K46" s="5"/>
      <c r="L46" s="5"/>
      <c r="M46" s="5"/>
      <c r="N46" s="5"/>
      <c r="O46" s="5"/>
      <c r="P46" s="5"/>
      <c r="Q46" s="5"/>
      <c r="R46" s="5"/>
      <c r="S46" s="5"/>
      <c r="T46" s="5"/>
      <c r="U46" s="5"/>
      <c r="V46" s="5"/>
      <c r="W46" s="5"/>
      <c r="X46" s="5"/>
      <c r="Y46" s="5"/>
      <c r="Z46" s="5"/>
      <c r="AA46" s="5"/>
      <c r="AB46" s="5"/>
      <c r="AC46" s="5"/>
      <c r="AD46" s="5"/>
      <c r="AE46" s="5"/>
    </row>
    <row r="47" spans="1:31" x14ac:dyDescent="0.25">
      <c r="A47" s="528"/>
      <c r="B47" s="528"/>
      <c r="C47" s="528"/>
      <c r="D47" s="528"/>
      <c r="E47" s="528"/>
      <c r="F47" s="528"/>
      <c r="G47" s="528"/>
      <c r="H47" s="5"/>
      <c r="I47" s="5"/>
      <c r="J47" s="5"/>
      <c r="K47" s="5"/>
      <c r="L47" s="5"/>
      <c r="M47" s="5"/>
      <c r="N47" s="5"/>
      <c r="O47" s="5"/>
      <c r="P47" s="5"/>
      <c r="Q47" s="5"/>
      <c r="R47" s="5"/>
      <c r="S47" s="5"/>
      <c r="T47" s="5"/>
      <c r="U47" s="5"/>
      <c r="V47" s="5"/>
      <c r="W47" s="5"/>
      <c r="X47" s="5"/>
      <c r="Y47" s="5"/>
      <c r="Z47" s="5"/>
      <c r="AA47" s="5"/>
      <c r="AB47" s="5"/>
      <c r="AC47" s="5"/>
      <c r="AD47" s="5"/>
      <c r="AE47" s="5"/>
    </row>
    <row r="48" spans="1:31" x14ac:dyDescent="0.25">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spans="1:31" x14ac:dyDescent="0.2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spans="1:31" x14ac:dyDescent="0.2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spans="1:31" x14ac:dyDescent="0.2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spans="1:31" x14ac:dyDescent="0.2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spans="1:31" x14ac:dyDescent="0.2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spans="1:31" x14ac:dyDescent="0.2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spans="1:31" x14ac:dyDescent="0.2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spans="1:31" x14ac:dyDescent="0.2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spans="1:31" x14ac:dyDescent="0.2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spans="1:31" x14ac:dyDescent="0.2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spans="1:31" x14ac:dyDescent="0.2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spans="1:31" x14ac:dyDescent="0.2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spans="1:31" x14ac:dyDescent="0.2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spans="1:31" x14ac:dyDescent="0.2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spans="1:31" x14ac:dyDescent="0.2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spans="1:31" x14ac:dyDescent="0.2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spans="1:31" x14ac:dyDescent="0.2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spans="1:31" x14ac:dyDescent="0.2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spans="1:31" x14ac:dyDescent="0.2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spans="1:31" x14ac:dyDescent="0.2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spans="1:31" x14ac:dyDescent="0.2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spans="1:31" x14ac:dyDescent="0.2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spans="1:31" x14ac:dyDescent="0.2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spans="1:31" x14ac:dyDescent="0.2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spans="1:31" x14ac:dyDescent="0.2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spans="1:31" x14ac:dyDescent="0.2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spans="1:31" x14ac:dyDescent="0.2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spans="1:31" x14ac:dyDescent="0.2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spans="1:31" x14ac:dyDescent="0.2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spans="1:31" x14ac:dyDescent="0.2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spans="1:31" x14ac:dyDescent="0.2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spans="1:31" x14ac:dyDescent="0.2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spans="1:31" x14ac:dyDescent="0.2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spans="1:31" x14ac:dyDescent="0.2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spans="1:31" x14ac:dyDescent="0.2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spans="1:31" x14ac:dyDescent="0.2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spans="1:31" x14ac:dyDescent="0.2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spans="1:31" x14ac:dyDescent="0.2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spans="1:31" x14ac:dyDescent="0.2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spans="1:31" x14ac:dyDescent="0.2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spans="1:31" x14ac:dyDescent="0.2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spans="1:31" x14ac:dyDescent="0.2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spans="1:31" x14ac:dyDescent="0.2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spans="1:31" x14ac:dyDescent="0.2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spans="1:31" x14ac:dyDescent="0.2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spans="1:31" x14ac:dyDescent="0.2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spans="1:31" x14ac:dyDescent="0.2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spans="1:31" x14ac:dyDescent="0.2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spans="1:31" x14ac:dyDescent="0.2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spans="1:31" x14ac:dyDescent="0.2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spans="1:31" x14ac:dyDescent="0.2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spans="1:31" x14ac:dyDescent="0.2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sheetData>
  <sheetProtection password="CF7D" sheet="1" objects="1" scenarios="1"/>
  <phoneticPr fontId="2" type="noConversion"/>
  <pageMargins left="0.75" right="0.75" top="1" bottom="1" header="0.5" footer="0.5"/>
  <pageSetup orientation="portrait" horizontalDpi="300" verticalDpi="300" r:id="rId1"/>
  <headerFooter alignWithMargins="0"/>
  <drawing r:id="rId2"/>
  <legacyDrawing r:id="rId3"/>
  <controls>
    <mc:AlternateContent xmlns:mc="http://schemas.openxmlformats.org/markup-compatibility/2006">
      <mc:Choice Requires="x14">
        <control shapeId="14340" r:id="rId4" name="CommandButton1">
          <controlPr defaultSize="0" autoLine="0" r:id="rId5">
            <anchor moveWithCells="1">
              <from>
                <xdr:col>0</xdr:col>
                <xdr:colOff>38100</xdr:colOff>
                <xdr:row>0</xdr:row>
                <xdr:rowOff>30480</xdr:rowOff>
              </from>
              <to>
                <xdr:col>1</xdr:col>
                <xdr:colOff>533400</xdr:colOff>
                <xdr:row>1</xdr:row>
                <xdr:rowOff>137160</xdr:rowOff>
              </to>
            </anchor>
          </controlPr>
        </control>
      </mc:Choice>
      <mc:Fallback>
        <control shapeId="14340" r:id="rId4" name="CommandButton1"/>
      </mc:Fallback>
    </mc:AlternateContent>
  </control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L73"/>
  <sheetViews>
    <sheetView workbookViewId="0">
      <selection activeCell="A3" sqref="A3"/>
    </sheetView>
  </sheetViews>
  <sheetFormatPr baseColWidth="10" defaultColWidth="9" defaultRowHeight="13.2" x14ac:dyDescent="0.25"/>
  <cols>
    <col min="1" max="1" width="11.77734375" customWidth="1"/>
    <col min="2" max="2" width="11" customWidth="1"/>
  </cols>
  <sheetData>
    <row r="1" spans="1:10" ht="32.25" customHeight="1" x14ac:dyDescent="0.25">
      <c r="A1" s="945" t="str">
        <f>Summary!$E1</f>
        <v>Xilinx Power Estimator (XPE) - 14.3</v>
      </c>
      <c r="B1" s="945"/>
      <c r="C1" s="945"/>
      <c r="D1" s="945"/>
      <c r="E1" s="945"/>
      <c r="F1" s="945"/>
      <c r="G1" s="945"/>
      <c r="H1" s="945"/>
      <c r="I1" s="945"/>
      <c r="J1" s="945"/>
    </row>
    <row r="2" spans="1:10" x14ac:dyDescent="0.25">
      <c r="A2" s="3" t="s">
        <v>209</v>
      </c>
      <c r="B2" s="3" t="s">
        <v>210</v>
      </c>
      <c r="C2" s="29" t="s">
        <v>211</v>
      </c>
      <c r="D2" s="29"/>
      <c r="E2" s="29"/>
      <c r="F2" s="29"/>
      <c r="G2" s="29"/>
      <c r="H2" s="29"/>
      <c r="I2" s="29"/>
      <c r="J2" s="29"/>
    </row>
    <row r="3" spans="1:10" x14ac:dyDescent="0.25">
      <c r="A3" s="114">
        <v>41198</v>
      </c>
      <c r="B3" s="15">
        <v>14.3</v>
      </c>
      <c r="C3" s="6" t="s">
        <v>1359</v>
      </c>
      <c r="D3" s="3"/>
      <c r="E3" s="3"/>
      <c r="F3" s="3"/>
      <c r="G3" s="3"/>
      <c r="H3" s="3"/>
      <c r="I3" s="3"/>
      <c r="J3" s="3"/>
    </row>
    <row r="4" spans="1:10" x14ac:dyDescent="0.25">
      <c r="A4" s="114"/>
      <c r="B4" s="15"/>
      <c r="C4" s="6" t="s">
        <v>1357</v>
      </c>
      <c r="D4" s="3"/>
      <c r="E4" s="3"/>
      <c r="F4" s="3"/>
      <c r="G4" s="3"/>
      <c r="H4" s="3"/>
      <c r="I4" s="3"/>
      <c r="J4" s="3"/>
    </row>
    <row r="5" spans="1:10" x14ac:dyDescent="0.25">
      <c r="A5" s="114">
        <v>41037</v>
      </c>
      <c r="B5" s="15">
        <v>14.1</v>
      </c>
      <c r="C5" s="6" t="s">
        <v>1330</v>
      </c>
      <c r="D5" s="3"/>
      <c r="E5" s="3"/>
      <c r="F5" s="3"/>
      <c r="G5" s="3"/>
      <c r="H5" s="3"/>
      <c r="I5" s="3"/>
      <c r="J5" s="3"/>
    </row>
    <row r="6" spans="1:10" x14ac:dyDescent="0.25">
      <c r="A6" s="114"/>
      <c r="B6" s="15"/>
      <c r="C6" s="6" t="s">
        <v>1357</v>
      </c>
      <c r="D6" s="3"/>
      <c r="E6" s="3"/>
      <c r="F6" s="3"/>
      <c r="G6" s="3"/>
      <c r="H6" s="3"/>
      <c r="I6" s="3"/>
      <c r="J6" s="3"/>
    </row>
    <row r="7" spans="1:10" x14ac:dyDescent="0.25">
      <c r="A7" s="114">
        <v>40842</v>
      </c>
      <c r="B7" s="15">
        <v>13.3</v>
      </c>
      <c r="C7" s="6" t="s">
        <v>1330</v>
      </c>
      <c r="D7" s="3"/>
      <c r="E7" s="3"/>
      <c r="F7" s="3"/>
      <c r="G7" s="3"/>
      <c r="H7" s="3"/>
      <c r="I7" s="3"/>
      <c r="J7" s="3"/>
    </row>
    <row r="8" spans="1:10" x14ac:dyDescent="0.25">
      <c r="A8" s="114"/>
      <c r="B8" s="15"/>
      <c r="C8" s="6" t="s">
        <v>1333</v>
      </c>
      <c r="D8" s="3"/>
      <c r="E8" s="3"/>
      <c r="F8" s="3"/>
      <c r="G8" s="3"/>
      <c r="H8" s="3"/>
      <c r="I8" s="3"/>
      <c r="J8" s="3"/>
    </row>
    <row r="9" spans="1:10" x14ac:dyDescent="0.25">
      <c r="A9" s="114">
        <v>40730</v>
      </c>
      <c r="B9" s="15">
        <v>13.2</v>
      </c>
      <c r="C9" s="6" t="s">
        <v>1329</v>
      </c>
      <c r="D9" s="3"/>
      <c r="E9" s="3"/>
      <c r="F9" s="3"/>
      <c r="G9" s="3"/>
      <c r="H9" s="3"/>
      <c r="I9" s="3"/>
      <c r="J9" s="3"/>
    </row>
    <row r="10" spans="1:10" x14ac:dyDescent="0.25">
      <c r="A10" s="114"/>
      <c r="B10" s="15"/>
      <c r="C10" s="6" t="s">
        <v>1302</v>
      </c>
      <c r="D10" s="3"/>
      <c r="E10" s="3"/>
      <c r="F10" s="3"/>
      <c r="G10" s="3"/>
      <c r="H10" s="3"/>
      <c r="I10" s="3"/>
      <c r="J10" s="3"/>
    </row>
    <row r="11" spans="1:10" x14ac:dyDescent="0.25">
      <c r="A11" s="114">
        <v>40603</v>
      </c>
      <c r="B11" s="15">
        <v>13.1</v>
      </c>
      <c r="C11" s="6" t="s">
        <v>1299</v>
      </c>
      <c r="D11" s="3"/>
      <c r="E11" s="3"/>
      <c r="F11" s="3"/>
      <c r="G11" s="3"/>
      <c r="H11" s="3"/>
      <c r="I11" s="3"/>
      <c r="J11" s="3"/>
    </row>
    <row r="12" spans="1:10" x14ac:dyDescent="0.25">
      <c r="A12" s="114"/>
      <c r="B12" s="15"/>
      <c r="C12" s="6" t="s">
        <v>1274</v>
      </c>
      <c r="D12" s="3"/>
      <c r="E12" s="3"/>
      <c r="F12" s="3"/>
      <c r="G12" s="3"/>
      <c r="H12" s="3"/>
      <c r="I12" s="3"/>
      <c r="J12" s="3"/>
    </row>
    <row r="13" spans="1:10" x14ac:dyDescent="0.25">
      <c r="A13" s="114">
        <v>40533</v>
      </c>
      <c r="B13" s="15">
        <v>12.4</v>
      </c>
      <c r="C13" s="6" t="s">
        <v>1284</v>
      </c>
      <c r="D13" s="3"/>
      <c r="E13" s="3"/>
      <c r="F13" s="3"/>
      <c r="G13" s="3"/>
      <c r="H13" s="3"/>
      <c r="I13" s="3"/>
      <c r="J13" s="3"/>
    </row>
    <row r="14" spans="1:10" x14ac:dyDescent="0.25">
      <c r="A14" s="114"/>
      <c r="B14" s="15"/>
      <c r="C14" s="6" t="s">
        <v>1274</v>
      </c>
      <c r="D14" s="3"/>
      <c r="E14" s="3"/>
      <c r="F14" s="3"/>
      <c r="G14" s="3"/>
      <c r="H14" s="3"/>
      <c r="I14" s="3"/>
      <c r="J14" s="3"/>
    </row>
    <row r="15" spans="1:10" x14ac:dyDescent="0.25">
      <c r="A15" s="114">
        <v>40499</v>
      </c>
      <c r="B15" s="15" t="s">
        <v>1287</v>
      </c>
      <c r="C15" s="6" t="s">
        <v>1284</v>
      </c>
      <c r="D15" s="3"/>
      <c r="E15" s="3"/>
      <c r="F15" s="3"/>
      <c r="G15" s="3"/>
      <c r="H15" s="3"/>
      <c r="I15" s="3"/>
      <c r="J15" s="3"/>
    </row>
    <row r="16" spans="1:10" x14ac:dyDescent="0.25">
      <c r="A16" s="114"/>
      <c r="B16" s="15"/>
      <c r="C16" s="6" t="s">
        <v>1288</v>
      </c>
      <c r="D16" s="3"/>
      <c r="E16" s="3"/>
      <c r="F16" s="3"/>
      <c r="G16" s="3"/>
      <c r="H16" s="3"/>
      <c r="I16" s="3"/>
      <c r="J16" s="3"/>
    </row>
    <row r="17" spans="1:10" x14ac:dyDescent="0.25">
      <c r="A17" s="114">
        <v>40429</v>
      </c>
      <c r="B17" s="15">
        <v>12.3</v>
      </c>
      <c r="C17" s="6" t="s">
        <v>1284</v>
      </c>
      <c r="D17" s="3"/>
      <c r="E17" s="3"/>
      <c r="F17" s="3"/>
      <c r="G17" s="3"/>
      <c r="H17" s="3"/>
      <c r="I17" s="3"/>
      <c r="J17" s="3"/>
    </row>
    <row r="18" spans="1:10" x14ac:dyDescent="0.25">
      <c r="A18" s="114"/>
      <c r="B18" s="15"/>
      <c r="C18" s="6" t="s">
        <v>1105</v>
      </c>
      <c r="D18" s="3"/>
      <c r="E18" s="3"/>
      <c r="F18" s="3"/>
      <c r="G18" s="3"/>
      <c r="H18" s="3"/>
      <c r="I18" s="3"/>
      <c r="J18" s="3"/>
    </row>
    <row r="19" spans="1:10" x14ac:dyDescent="0.25">
      <c r="A19" s="114"/>
      <c r="B19" s="15"/>
      <c r="C19" s="6" t="s">
        <v>1274</v>
      </c>
      <c r="D19" s="3"/>
      <c r="E19" s="3"/>
      <c r="F19" s="3"/>
      <c r="G19" s="3"/>
      <c r="H19" s="3"/>
      <c r="I19" s="3"/>
      <c r="J19" s="3"/>
    </row>
    <row r="20" spans="1:10" x14ac:dyDescent="0.25">
      <c r="A20" s="114">
        <v>40380</v>
      </c>
      <c r="B20" s="15">
        <v>12.2</v>
      </c>
      <c r="C20" s="6" t="s">
        <v>1275</v>
      </c>
      <c r="D20" s="3"/>
      <c r="E20" s="3"/>
      <c r="F20" s="3"/>
      <c r="G20" s="3"/>
      <c r="H20" s="3"/>
      <c r="I20" s="3"/>
      <c r="J20" s="3"/>
    </row>
    <row r="21" spans="1:10" x14ac:dyDescent="0.25">
      <c r="A21" s="114"/>
      <c r="B21" s="15"/>
      <c r="C21" s="6" t="s">
        <v>1105</v>
      </c>
      <c r="D21" s="3"/>
      <c r="E21" s="3"/>
      <c r="F21" s="3"/>
      <c r="G21" s="3"/>
      <c r="H21" s="3"/>
      <c r="I21" s="3"/>
      <c r="J21" s="3"/>
    </row>
    <row r="22" spans="1:10" x14ac:dyDescent="0.25">
      <c r="A22" s="114"/>
      <c r="B22" s="15"/>
      <c r="C22" s="6" t="s">
        <v>1278</v>
      </c>
      <c r="D22" s="3"/>
      <c r="E22" s="3"/>
      <c r="F22" s="3"/>
      <c r="G22" s="3"/>
      <c r="H22" s="3"/>
      <c r="I22" s="3"/>
      <c r="J22" s="3"/>
    </row>
    <row r="23" spans="1:10" x14ac:dyDescent="0.25">
      <c r="A23" s="114">
        <v>40326</v>
      </c>
      <c r="B23" s="15" t="s">
        <v>1273</v>
      </c>
      <c r="C23" s="6" t="s">
        <v>1275</v>
      </c>
      <c r="D23" s="3"/>
      <c r="E23" s="3"/>
      <c r="F23" s="3"/>
      <c r="G23" s="3"/>
      <c r="H23" s="3"/>
      <c r="I23" s="3"/>
      <c r="J23" s="3"/>
    </row>
    <row r="24" spans="1:10" x14ac:dyDescent="0.25">
      <c r="A24" s="114"/>
      <c r="B24" s="3"/>
      <c r="C24" s="6" t="s">
        <v>1105</v>
      </c>
      <c r="D24" s="3"/>
      <c r="E24" s="3"/>
      <c r="F24" s="3"/>
      <c r="G24" s="3"/>
      <c r="H24" s="3"/>
      <c r="I24" s="3"/>
      <c r="J24" s="3"/>
    </row>
    <row r="25" spans="1:10" x14ac:dyDescent="0.25">
      <c r="A25" s="114"/>
      <c r="B25" s="3"/>
      <c r="C25" s="6" t="s">
        <v>1274</v>
      </c>
      <c r="D25" s="3"/>
      <c r="E25" s="3"/>
      <c r="F25" s="3"/>
      <c r="G25" s="3"/>
      <c r="H25" s="3"/>
      <c r="I25" s="3"/>
      <c r="J25" s="3"/>
    </row>
    <row r="26" spans="1:10" x14ac:dyDescent="0.25">
      <c r="A26" s="114">
        <v>40295</v>
      </c>
      <c r="B26" s="3">
        <v>12.1</v>
      </c>
      <c r="C26" s="6" t="s">
        <v>1228</v>
      </c>
      <c r="D26" s="3"/>
      <c r="E26" s="3"/>
      <c r="F26" s="3"/>
      <c r="G26" s="3"/>
      <c r="H26" s="3"/>
      <c r="I26" s="3"/>
      <c r="J26" s="3"/>
    </row>
    <row r="27" spans="1:10" x14ac:dyDescent="0.25">
      <c r="A27" s="114"/>
      <c r="B27" s="3"/>
      <c r="C27" s="6" t="s">
        <v>1105</v>
      </c>
      <c r="D27" s="3"/>
      <c r="E27" s="3"/>
      <c r="F27" s="3"/>
      <c r="G27" s="3"/>
      <c r="H27" s="3"/>
      <c r="I27" s="3"/>
      <c r="J27" s="3"/>
    </row>
    <row r="28" spans="1:10" x14ac:dyDescent="0.25">
      <c r="A28" s="114"/>
      <c r="B28" s="3"/>
      <c r="C28" s="6" t="s">
        <v>1229</v>
      </c>
      <c r="D28" s="3"/>
      <c r="E28" s="3"/>
      <c r="F28" s="3"/>
      <c r="G28" s="3"/>
      <c r="H28" s="3"/>
      <c r="I28" s="3"/>
      <c r="J28" s="3"/>
    </row>
    <row r="29" spans="1:10" x14ac:dyDescent="0.25">
      <c r="A29" s="114">
        <v>40246</v>
      </c>
      <c r="B29" s="3">
        <v>11.5</v>
      </c>
      <c r="C29" s="6" t="s">
        <v>1114</v>
      </c>
      <c r="D29" s="3"/>
      <c r="E29" s="3"/>
      <c r="F29" s="3"/>
      <c r="G29" s="3"/>
      <c r="H29" s="3"/>
      <c r="I29" s="3"/>
      <c r="J29" s="3"/>
    </row>
    <row r="30" spans="1:10" x14ac:dyDescent="0.25">
      <c r="A30" s="114"/>
      <c r="B30" s="3"/>
      <c r="C30" s="6" t="s">
        <v>1105</v>
      </c>
      <c r="D30" s="3"/>
      <c r="E30" s="3"/>
      <c r="F30" s="3"/>
      <c r="G30" s="3"/>
      <c r="H30" s="3"/>
      <c r="I30" s="3"/>
      <c r="J30" s="3"/>
    </row>
    <row r="31" spans="1:10" x14ac:dyDescent="0.25">
      <c r="A31" s="114">
        <v>40147</v>
      </c>
      <c r="B31" s="3">
        <v>11.4</v>
      </c>
      <c r="C31" s="27" t="s">
        <v>1019</v>
      </c>
      <c r="D31" s="3"/>
      <c r="E31" s="3"/>
      <c r="F31" s="3"/>
      <c r="G31" s="3"/>
      <c r="H31" s="3"/>
      <c r="I31" s="3"/>
      <c r="J31" s="3"/>
    </row>
    <row r="32" spans="1:10" x14ac:dyDescent="0.25">
      <c r="A32" s="3"/>
      <c r="B32" s="3"/>
      <c r="C32" s="62" t="s">
        <v>1095</v>
      </c>
      <c r="D32" s="27"/>
      <c r="E32" s="3"/>
      <c r="F32" s="3"/>
      <c r="G32" s="3"/>
      <c r="H32" s="3"/>
      <c r="I32" s="3"/>
      <c r="J32" s="3"/>
    </row>
    <row r="33" spans="1:10" x14ac:dyDescent="0.25">
      <c r="A33" s="114">
        <v>40070</v>
      </c>
      <c r="B33" s="3">
        <v>11.3</v>
      </c>
      <c r="C33" s="27" t="s">
        <v>1019</v>
      </c>
      <c r="D33" s="27"/>
      <c r="E33" s="3"/>
      <c r="F33" s="3"/>
      <c r="G33" s="3"/>
      <c r="H33" s="3"/>
      <c r="I33" s="3"/>
      <c r="J33" s="3"/>
    </row>
    <row r="34" spans="1:10" x14ac:dyDescent="0.25">
      <c r="A34" s="114"/>
      <c r="B34" s="3"/>
      <c r="C34" s="62" t="s">
        <v>1018</v>
      </c>
      <c r="D34" s="27"/>
      <c r="E34" s="3"/>
      <c r="F34" s="3"/>
      <c r="G34" s="3"/>
      <c r="H34" s="3"/>
      <c r="I34" s="3"/>
      <c r="J34" s="3"/>
    </row>
    <row r="35" spans="1:10" x14ac:dyDescent="0.25">
      <c r="A35" s="114">
        <v>39982</v>
      </c>
      <c r="B35" s="3">
        <v>11.2</v>
      </c>
      <c r="C35" s="27" t="s">
        <v>1019</v>
      </c>
      <c r="D35" s="27"/>
      <c r="E35" s="3"/>
      <c r="F35" s="3"/>
      <c r="G35" s="3"/>
      <c r="H35" s="3"/>
      <c r="I35" s="3"/>
      <c r="J35" s="3"/>
    </row>
    <row r="36" spans="1:10" x14ac:dyDescent="0.25">
      <c r="A36" s="114"/>
      <c r="B36" s="3"/>
      <c r="C36" s="62" t="s">
        <v>994</v>
      </c>
      <c r="D36" s="27"/>
      <c r="E36" s="3"/>
      <c r="F36" s="3"/>
      <c r="G36" s="3"/>
      <c r="H36" s="3"/>
      <c r="I36" s="3"/>
      <c r="J36" s="3"/>
    </row>
    <row r="37" spans="1:10" x14ac:dyDescent="0.25">
      <c r="A37" s="114"/>
      <c r="B37" s="3"/>
      <c r="C37" s="62" t="s">
        <v>993</v>
      </c>
      <c r="D37" s="27"/>
      <c r="E37" s="3"/>
      <c r="F37" s="3"/>
      <c r="G37" s="3"/>
      <c r="H37" s="3"/>
      <c r="I37" s="3"/>
      <c r="J37" s="3"/>
    </row>
    <row r="38" spans="1:10" x14ac:dyDescent="0.25">
      <c r="A38" s="114">
        <v>39906</v>
      </c>
      <c r="B38" s="3" t="s">
        <v>740</v>
      </c>
      <c r="C38" s="27" t="s">
        <v>1020</v>
      </c>
      <c r="D38" s="27"/>
      <c r="E38" s="3"/>
      <c r="F38" s="3"/>
      <c r="G38" s="3"/>
      <c r="H38" s="3"/>
      <c r="I38" s="3"/>
      <c r="J38" s="3"/>
    </row>
    <row r="39" spans="1:10" x14ac:dyDescent="0.25">
      <c r="A39" s="114"/>
      <c r="B39" s="3"/>
      <c r="C39" s="62" t="s">
        <v>995</v>
      </c>
      <c r="D39" s="27"/>
      <c r="E39" s="3"/>
      <c r="F39" s="3"/>
      <c r="G39" s="3"/>
      <c r="H39" s="3"/>
      <c r="I39" s="3"/>
      <c r="J39" s="3"/>
    </row>
    <row r="40" spans="1:10" x14ac:dyDescent="0.25">
      <c r="A40" s="114">
        <v>39793</v>
      </c>
      <c r="B40" s="3" t="s">
        <v>559</v>
      </c>
      <c r="C40" s="27" t="s">
        <v>1020</v>
      </c>
      <c r="D40" s="3"/>
      <c r="E40" s="3"/>
      <c r="F40" s="3"/>
      <c r="G40" s="3"/>
      <c r="H40" s="3"/>
      <c r="I40" s="3"/>
      <c r="J40" s="3"/>
    </row>
    <row r="41" spans="1:10" x14ac:dyDescent="0.25">
      <c r="A41" s="114"/>
      <c r="B41" s="3"/>
      <c r="C41" s="62" t="s">
        <v>996</v>
      </c>
      <c r="D41" s="3"/>
      <c r="E41" s="3"/>
      <c r="F41" s="3"/>
      <c r="G41" s="3"/>
      <c r="H41" s="3"/>
      <c r="I41" s="3"/>
      <c r="J41" s="3"/>
    </row>
    <row r="42" spans="1:10" x14ac:dyDescent="0.25">
      <c r="A42" s="114"/>
      <c r="B42" s="3"/>
      <c r="C42" s="62" t="s">
        <v>997</v>
      </c>
      <c r="D42" s="3"/>
      <c r="E42" s="3"/>
      <c r="F42" s="3"/>
      <c r="G42" s="3"/>
      <c r="H42" s="3"/>
      <c r="I42" s="3"/>
      <c r="J42" s="3"/>
    </row>
    <row r="43" spans="1:10" x14ac:dyDescent="0.25">
      <c r="A43" s="114">
        <v>39611</v>
      </c>
      <c r="B43" s="3">
        <v>10.1</v>
      </c>
      <c r="C43" s="34" t="s">
        <v>1020</v>
      </c>
      <c r="D43" s="3"/>
      <c r="E43" s="27"/>
      <c r="F43" s="27"/>
      <c r="G43" s="27"/>
      <c r="H43" s="27"/>
      <c r="I43" s="27"/>
      <c r="J43" s="27"/>
    </row>
    <row r="44" spans="1:10" x14ac:dyDescent="0.25">
      <c r="A44" s="114"/>
      <c r="B44" s="3"/>
      <c r="C44" s="34" t="s">
        <v>998</v>
      </c>
      <c r="D44" s="3"/>
      <c r="E44" s="27"/>
      <c r="F44" s="27"/>
      <c r="G44" s="27"/>
      <c r="H44" s="27"/>
      <c r="I44" s="27"/>
      <c r="J44" s="27"/>
    </row>
    <row r="45" spans="1:10" x14ac:dyDescent="0.25">
      <c r="A45" s="114"/>
      <c r="B45" s="3"/>
      <c r="C45" s="34" t="s">
        <v>999</v>
      </c>
      <c r="D45" s="3"/>
    </row>
    <row r="46" spans="1:10" x14ac:dyDescent="0.25">
      <c r="A46" s="114">
        <v>39485</v>
      </c>
      <c r="B46" s="3" t="s">
        <v>433</v>
      </c>
      <c r="C46" s="34" t="s">
        <v>1021</v>
      </c>
      <c r="D46" s="3"/>
    </row>
    <row r="47" spans="1:10" x14ac:dyDescent="0.25">
      <c r="A47" s="114"/>
      <c r="B47" s="3"/>
      <c r="C47" s="36" t="s">
        <v>1000</v>
      </c>
      <c r="D47" s="3"/>
    </row>
    <row r="48" spans="1:10" x14ac:dyDescent="0.25">
      <c r="A48" s="114">
        <v>39224</v>
      </c>
      <c r="B48" s="3" t="s">
        <v>402</v>
      </c>
      <c r="C48" s="34" t="s">
        <v>1021</v>
      </c>
      <c r="D48" s="3"/>
    </row>
    <row r="49" spans="1:12" x14ac:dyDescent="0.25">
      <c r="A49" s="114"/>
      <c r="B49" s="3"/>
      <c r="C49" s="36" t="s">
        <v>1001</v>
      </c>
      <c r="D49" s="3"/>
    </row>
    <row r="50" spans="1:12" x14ac:dyDescent="0.25">
      <c r="A50" s="114"/>
      <c r="B50" s="3"/>
      <c r="C50" s="36" t="s">
        <v>1002</v>
      </c>
      <c r="D50" s="3"/>
    </row>
    <row r="51" spans="1:12" x14ac:dyDescent="0.25">
      <c r="A51" s="114">
        <v>39169</v>
      </c>
      <c r="B51" s="3" t="s">
        <v>395</v>
      </c>
      <c r="C51" s="34" t="s">
        <v>1021</v>
      </c>
      <c r="D51" s="3"/>
    </row>
    <row r="52" spans="1:12" x14ac:dyDescent="0.25">
      <c r="A52" s="114"/>
      <c r="B52" s="3"/>
      <c r="C52" s="36" t="s">
        <v>1003</v>
      </c>
      <c r="D52" s="3"/>
    </row>
    <row r="53" spans="1:12" x14ac:dyDescent="0.25">
      <c r="A53" s="114"/>
      <c r="B53" s="3"/>
      <c r="C53" s="36" t="s">
        <v>394</v>
      </c>
      <c r="D53" s="3"/>
    </row>
    <row r="54" spans="1:12" x14ac:dyDescent="0.25">
      <c r="A54" s="114">
        <v>39087</v>
      </c>
      <c r="B54" s="3">
        <v>8.1999999999999993</v>
      </c>
      <c r="C54" s="34" t="s">
        <v>1022</v>
      </c>
      <c r="D54" s="27"/>
    </row>
    <row r="55" spans="1:12" x14ac:dyDescent="0.25">
      <c r="A55" s="3"/>
      <c r="B55" s="3"/>
      <c r="C55" s="34" t="s">
        <v>1004</v>
      </c>
      <c r="D55" s="27"/>
    </row>
    <row r="56" spans="1:12" ht="12.75" customHeight="1" x14ac:dyDescent="0.25">
      <c r="A56" s="3"/>
      <c r="B56" s="3"/>
      <c r="C56" s="34" t="s">
        <v>1005</v>
      </c>
    </row>
    <row r="57" spans="1:12" ht="12.75" customHeight="1" x14ac:dyDescent="0.25">
      <c r="A57" s="28"/>
      <c r="B57" s="3"/>
      <c r="C57" s="34"/>
      <c r="K57" s="1"/>
      <c r="L57" s="1"/>
    </row>
    <row r="58" spans="1:12" x14ac:dyDescent="0.25">
      <c r="A58" s="28"/>
      <c r="B58" s="3"/>
      <c r="C58" s="33"/>
    </row>
    <row r="59" spans="1:12" x14ac:dyDescent="0.25">
      <c r="A59" s="28"/>
      <c r="B59" s="3"/>
    </row>
    <row r="60" spans="1:12" x14ac:dyDescent="0.25">
      <c r="A60" s="28"/>
      <c r="B60" s="3"/>
    </row>
    <row r="61" spans="1:12" x14ac:dyDescent="0.25">
      <c r="A61" s="28"/>
      <c r="B61" s="3"/>
    </row>
    <row r="62" spans="1:12" x14ac:dyDescent="0.25">
      <c r="A62" s="28"/>
      <c r="B62" s="3"/>
    </row>
    <row r="63" spans="1:12" x14ac:dyDescent="0.25">
      <c r="A63" s="28"/>
      <c r="B63" s="3"/>
    </row>
    <row r="64" spans="1:12" x14ac:dyDescent="0.25">
      <c r="A64" s="28"/>
      <c r="B64" s="3"/>
    </row>
    <row r="65" spans="1:2" x14ac:dyDescent="0.25">
      <c r="A65" s="28"/>
      <c r="B65" s="3"/>
    </row>
    <row r="66" spans="1:2" x14ac:dyDescent="0.25">
      <c r="A66" s="28"/>
      <c r="B66" s="3"/>
    </row>
    <row r="67" spans="1:2" x14ac:dyDescent="0.25">
      <c r="A67" s="28"/>
      <c r="B67" s="3"/>
    </row>
    <row r="68" spans="1:2" x14ac:dyDescent="0.25">
      <c r="A68" s="28"/>
      <c r="B68" s="3"/>
    </row>
    <row r="69" spans="1:2" x14ac:dyDescent="0.25">
      <c r="A69" s="28"/>
      <c r="B69" s="3"/>
    </row>
    <row r="70" spans="1:2" x14ac:dyDescent="0.25">
      <c r="A70" s="28"/>
      <c r="B70" s="3"/>
    </row>
    <row r="71" spans="1:2" x14ac:dyDescent="0.25">
      <c r="A71" s="28"/>
      <c r="B71" s="3"/>
    </row>
    <row r="72" spans="1:2" x14ac:dyDescent="0.25">
      <c r="B72" s="3"/>
    </row>
    <row r="73" spans="1:2" x14ac:dyDescent="0.25">
      <c r="B73" s="3"/>
    </row>
  </sheetData>
  <sheetProtection password="CF7D" sheet="1"/>
  <mergeCells count="1">
    <mergeCell ref="A1:J1"/>
  </mergeCells>
  <phoneticPr fontId="2" type="noConversion"/>
  <pageMargins left="0.75" right="0.75" top="1" bottom="1" header="0.5" footer="0.5"/>
  <pageSetup orientation="portrait" r:id="rId1"/>
  <headerFooter alignWithMargins="0"/>
  <drawing r:id="rId2"/>
  <legacyDrawing r:id="rId3"/>
  <controls>
    <mc:AlternateContent xmlns:mc="http://schemas.openxmlformats.org/markup-compatibility/2006">
      <mc:Choice Requires="x14">
        <control shapeId="26625" r:id="rId4" name="Summary">
          <controlPr defaultSize="0" autoLine="0" r:id="rId5">
            <anchor moveWithCells="1">
              <from>
                <xdr:col>0</xdr:col>
                <xdr:colOff>38100</xdr:colOff>
                <xdr:row>0</xdr:row>
                <xdr:rowOff>38100</xdr:rowOff>
              </from>
              <to>
                <xdr:col>1</xdr:col>
                <xdr:colOff>342900</xdr:colOff>
                <xdr:row>0</xdr:row>
                <xdr:rowOff>312420</xdr:rowOff>
              </to>
            </anchor>
          </controlPr>
        </control>
      </mc:Choice>
      <mc:Fallback>
        <control shapeId="26625" r:id="rId4" name="Summary"/>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D52680DDC5B64ABD1953747724676D" ma:contentTypeVersion="2" ma:contentTypeDescription="Create a new document." ma:contentTypeScope="" ma:versionID="1d9675db1c60ceb4c48bad6086973ab4">
  <xsd:schema xmlns:xsd="http://www.w3.org/2001/XMLSchema" xmlns:xs="http://www.w3.org/2001/XMLSchema" xmlns:p="http://schemas.microsoft.com/office/2006/metadata/properties" xmlns:ns2="8026D5B5-C5DD-4AB6-BD19-53747724676D" xmlns:ns3="http://schemas.microsoft.com/sharepoint/v3/fields" targetNamespace="http://schemas.microsoft.com/office/2006/metadata/properties" ma:root="true" ma:fieldsID="f5effad6a656f65bbda0277e6748145b" ns2:_="" ns3:_="">
    <xsd:import namespace="8026D5B5-C5DD-4AB6-BD19-53747724676D"/>
    <xsd:import namespace="http://schemas.microsoft.com/sharepoint/v3/fields"/>
    <xsd:element name="properties">
      <xsd:complexType>
        <xsd:sequence>
          <xsd:element name="documentManagement">
            <xsd:complexType>
              <xsd:all>
                <xsd:element ref="ns2:Description0" minOccurs="0"/>
                <xsd:element ref="ns3:_DCDateModifi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6D5B5-C5DD-4AB6-BD19-53747724676D" elementFormDefault="qualified">
    <xsd:import namespace="http://schemas.microsoft.com/office/2006/documentManagement/types"/>
    <xsd:import namespace="http://schemas.microsoft.com/office/infopath/2007/PartnerControls"/>
    <xsd:element name="Description0" ma:index="8" nillable="true" ma:displayName="Description" ma:description="Document Description" ma:internalName="Description0">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11" nillable="true" ma:displayName="Date Modified" ma:description="The date on which this resource was last modified" ma:format="DateTime" ma:internalName="_DCDateModifi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Description0 xmlns="8026D5B5-C5DD-4AB6-BD19-53747724676D"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A1683-6C33-4208-8C0A-0EBDACAE10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6D5B5-C5DD-4AB6-BD19-53747724676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00E822-8EFA-44EB-AD4C-0A37A03CE903}">
  <ds:schemaRefs>
    <ds:schemaRef ds:uri="http://schemas.microsoft.com/office/2006/metadata/properties"/>
    <ds:schemaRef ds:uri="http://schemas.microsoft.com/office/infopath/2007/PartnerControls"/>
    <ds:schemaRef ds:uri="http://schemas.microsoft.com/sharepoint/v3/fields"/>
    <ds:schemaRef ds:uri="8026D5B5-C5DD-4AB6-BD19-53747724676D"/>
  </ds:schemaRefs>
</ds:datastoreItem>
</file>

<file path=customXml/itemProps3.xml><?xml version="1.0" encoding="utf-8"?>
<ds:datastoreItem xmlns:ds="http://schemas.openxmlformats.org/officeDocument/2006/customXml" ds:itemID="{2522E6CD-66EF-4DA4-8EE6-E1221BC56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17</vt:i4>
      </vt:variant>
      <vt:variant>
        <vt:lpstr>Plages nommées</vt:lpstr>
      </vt:variant>
      <vt:variant>
        <vt:i4>206</vt:i4>
      </vt:variant>
    </vt:vector>
  </HeadingPairs>
  <TitlesOfParts>
    <vt:vector size="223" baseType="lpstr">
      <vt:lpstr>Summary</vt:lpstr>
      <vt:lpstr>CLOCK</vt:lpstr>
      <vt:lpstr>LOGIC</vt:lpstr>
      <vt:lpstr>IO</vt:lpstr>
      <vt:lpstr>BRAM</vt:lpstr>
      <vt:lpstr>DSP</vt:lpstr>
      <vt:lpstr>MULT</vt:lpstr>
      <vt:lpstr>DCM</vt:lpstr>
      <vt:lpstr>PLL</vt:lpstr>
      <vt:lpstr>GTP</vt:lpstr>
      <vt:lpstr>PCIE</vt:lpstr>
      <vt:lpstr>MCB</vt:lpstr>
      <vt:lpstr>Data</vt:lpstr>
      <vt:lpstr>Test</vt:lpstr>
      <vt:lpstr>User</vt:lpstr>
      <vt:lpstr>Graphs</vt:lpstr>
      <vt:lpstr>Release</vt:lpstr>
      <vt:lpstr>AICC</vt:lpstr>
      <vt:lpstr>AICCPLL</vt:lpstr>
      <vt:lpstr>AICCPLLQ</vt:lpstr>
      <vt:lpstr>AICCQ</vt:lpstr>
      <vt:lpstr>AICCRX</vt:lpstr>
      <vt:lpstr>AICCRXQ</vt:lpstr>
      <vt:lpstr>AIRFLOW</vt:lpstr>
      <vt:lpstr>AITTRX</vt:lpstr>
      <vt:lpstr>AITTTX</vt:lpstr>
      <vt:lpstr>AMBIENT_TEMP</vt:lpstr>
      <vt:lpstr>AVCC</vt:lpstr>
      <vt:lpstr>AVCCPLL</vt:lpstr>
      <vt:lpstr>AVCCPLLQ</vt:lpstr>
      <vt:lpstr>AVCCPLLQ_MAX</vt:lpstr>
      <vt:lpstr>AVCCQ</vt:lpstr>
      <vt:lpstr>AVCCTX</vt:lpstr>
      <vt:lpstr>AVCCTXQ</vt:lpstr>
      <vt:lpstr>AVTTRX</vt:lpstr>
      <vt:lpstr>AVTTRXQ</vt:lpstr>
      <vt:lpstr>AVTTTX</vt:lpstr>
      <vt:lpstr>AVTTTXQ</vt:lpstr>
      <vt:lpstr>BANK_LIST</vt:lpstr>
      <vt:lpstr>BRAM_COUNT</vt:lpstr>
      <vt:lpstr>BRAM_DESIGN_TEST</vt:lpstr>
      <vt:lpstr>BRAM_DESIGN_TEST_CLOCK</vt:lpstr>
      <vt:lpstr>BRAM_DESIGN_TEST_LOGIC</vt:lpstr>
      <vt:lpstr>BRAM_MODE_LIST</vt:lpstr>
      <vt:lpstr>BRAM_POWER</vt:lpstr>
      <vt:lpstr>BRAM_TABLE</vt:lpstr>
      <vt:lpstr>BRAM_TEST</vt:lpstr>
      <vt:lpstr>BRAM_WIDTH_LIST</vt:lpstr>
      <vt:lpstr>CHARACTERIZATION</vt:lpstr>
      <vt:lpstr>CLB_TEST</vt:lpstr>
      <vt:lpstr>CLOCK_COLS</vt:lpstr>
      <vt:lpstr>CLOCK_DATA</vt:lpstr>
      <vt:lpstr>CLOCK_POWER</vt:lpstr>
      <vt:lpstr>CLOCK_ROWS</vt:lpstr>
      <vt:lpstr>COMMENTS</vt:lpstr>
      <vt:lpstr>CUSTOMTSA</vt:lpstr>
      <vt:lpstr>DCM_DATA</vt:lpstr>
      <vt:lpstr>DCM_POWER</vt:lpstr>
      <vt:lpstr>DCM_TEST</vt:lpstr>
      <vt:lpstr>DCMAUX_POWER</vt:lpstr>
      <vt:lpstr>DCMAUXQ_POWER</vt:lpstr>
      <vt:lpstr>DCMINT_POWER</vt:lpstr>
      <vt:lpstr>DEFAULT_CLOCK</vt:lpstr>
      <vt:lpstr>DEFAULT_TOGGLE</vt:lpstr>
      <vt:lpstr>DSP_DATA</vt:lpstr>
      <vt:lpstr>DSP_POWER</vt:lpstr>
      <vt:lpstr>DSP_TEST</vt:lpstr>
      <vt:lpstr>FAMILY</vt:lpstr>
      <vt:lpstr>FAMILY_LIST</vt:lpstr>
      <vt:lpstr>FANOUT</vt:lpstr>
      <vt:lpstr>GRADE</vt:lpstr>
      <vt:lpstr>GRADE_FACTOR</vt:lpstr>
      <vt:lpstr>GRADE_FACTORAUX</vt:lpstr>
      <vt:lpstr>GRADELIST</vt:lpstr>
      <vt:lpstr>GTP_DATA</vt:lpstr>
      <vt:lpstr>GTP_LEAKAGE</vt:lpstr>
      <vt:lpstr>GTP_MAXRATE</vt:lpstr>
      <vt:lpstr>GTPA1_TEST</vt:lpstr>
      <vt:lpstr>HEATSINK</vt:lpstr>
      <vt:lpstr>HEATSINK_DATA</vt:lpstr>
      <vt:lpstr>HEATSINKLIST</vt:lpstr>
      <vt:lpstr>HS_INDEX</vt:lpstr>
      <vt:lpstr>ICCAUX</vt:lpstr>
      <vt:lpstr>ICCAUXQ</vt:lpstr>
      <vt:lpstr>ICCAUXQ_D</vt:lpstr>
      <vt:lpstr>ICCAUXQ_MAX</vt:lpstr>
      <vt:lpstr>ICCAUXQ_TEMP</vt:lpstr>
      <vt:lpstr>ICCINT</vt:lpstr>
      <vt:lpstr>ICCINTQ</vt:lpstr>
      <vt:lpstr>ICCINTQ_D</vt:lpstr>
      <vt:lpstr>ICCINTQ_MAX</vt:lpstr>
      <vt:lpstr>ICCINTQ_TEMP</vt:lpstr>
      <vt:lpstr>ICCO12</vt:lpstr>
      <vt:lpstr>ICCO15</vt:lpstr>
      <vt:lpstr>ICCO18</vt:lpstr>
      <vt:lpstr>ICCO25</vt:lpstr>
      <vt:lpstr>ICCO33</vt:lpstr>
      <vt:lpstr>ICCOQ_D</vt:lpstr>
      <vt:lpstr>ICCOQ12</vt:lpstr>
      <vt:lpstr>ICCOQ15</vt:lpstr>
      <vt:lpstr>ICCOQ18</vt:lpstr>
      <vt:lpstr>ICCOQ25</vt:lpstr>
      <vt:lpstr>ICCOQ33</vt:lpstr>
      <vt:lpstr>IO_POWER</vt:lpstr>
      <vt:lpstr>IO_STANDARDS</vt:lpstr>
      <vt:lpstr>IO_TEST</vt:lpstr>
      <vt:lpstr>IOAUX_POWER</vt:lpstr>
      <vt:lpstr>IOAUXQ_POWER</vt:lpstr>
      <vt:lpstr>IODELAY_DATA</vt:lpstr>
      <vt:lpstr>IOINT_POWER</vt:lpstr>
      <vt:lpstr>IOROWS</vt:lpstr>
      <vt:lpstr>IOSTD_LIST</vt:lpstr>
      <vt:lpstr>ISSTA</vt:lpstr>
      <vt:lpstr>ITTRXQ</vt:lpstr>
      <vt:lpstr>ITTTXQ</vt:lpstr>
      <vt:lpstr>JUNCTION_TEMP</vt:lpstr>
      <vt:lpstr>LOGIC_POWER</vt:lpstr>
      <vt:lpstr>LUT_DESIGN_TESTS</vt:lpstr>
      <vt:lpstr>MAPIO_LIST</vt:lpstr>
      <vt:lpstr>MAX_AMBIENT</vt:lpstr>
      <vt:lpstr>MCB_DATA</vt:lpstr>
      <vt:lpstr>MCB_POWER</vt:lpstr>
      <vt:lpstr>MGT_POWER</vt:lpstr>
      <vt:lpstr>MGTAVCC_POWER</vt:lpstr>
      <vt:lpstr>MGTAVCCTX_POWER</vt:lpstr>
      <vt:lpstr>MGTINT_POWER</vt:lpstr>
      <vt:lpstr>MGTVCCPLL_POWER</vt:lpstr>
      <vt:lpstr>MGTVTTRX_POWER</vt:lpstr>
      <vt:lpstr>MGTVTTTX_POWER</vt:lpstr>
      <vt:lpstr>MODELIST</vt:lpstr>
      <vt:lpstr>MULT_DATA</vt:lpstr>
      <vt:lpstr>MULT_POWER</vt:lpstr>
      <vt:lpstr>NUM_BANKS</vt:lpstr>
      <vt:lpstr>NUM_BRAMS</vt:lpstr>
      <vt:lpstr>NUM_DCMS</vt:lpstr>
      <vt:lpstr>NUM_DSPS</vt:lpstr>
      <vt:lpstr>NUM_EMACS</vt:lpstr>
      <vt:lpstr>NUM_FFS</vt:lpstr>
      <vt:lpstr>NUM_GTS</vt:lpstr>
      <vt:lpstr>NUM_LUTS</vt:lpstr>
      <vt:lpstr>NUM_MCBS</vt:lpstr>
      <vt:lpstr>NUM_PCIES</vt:lpstr>
      <vt:lpstr>NUM_PINS</vt:lpstr>
      <vt:lpstr>NUM_PLLS</vt:lpstr>
      <vt:lpstr>NUM_PPCS</vt:lpstr>
      <vt:lpstr>OFFCHIP_POWER</vt:lpstr>
      <vt:lpstr>OPTIMIZATION</vt:lpstr>
      <vt:lpstr>PACKAGE</vt:lpstr>
      <vt:lpstr>PACKAGES</vt:lpstr>
      <vt:lpstr>PART</vt:lpstr>
      <vt:lpstr>PARTLIST</vt:lpstr>
      <vt:lpstr>PARTLIST_S3A</vt:lpstr>
      <vt:lpstr>PARTLIST_S6</vt:lpstr>
      <vt:lpstr>PARTLIST_S6L</vt:lpstr>
      <vt:lpstr>PARTLIST_XAS6</vt:lpstr>
      <vt:lpstr>PARTLIST_XQS6</vt:lpstr>
      <vt:lpstr>PARTS</vt:lpstr>
      <vt:lpstr>PCIE_DATA</vt:lpstr>
      <vt:lpstr>PCIE_POWER</vt:lpstr>
      <vt:lpstr>PKG_LIST</vt:lpstr>
      <vt:lpstr>PKG_MAP</vt:lpstr>
      <vt:lpstr>PLL_DATA</vt:lpstr>
      <vt:lpstr>PLL_POWER</vt:lpstr>
      <vt:lpstr>PLLAUX_POWER</vt:lpstr>
      <vt:lpstr>PLLAUXQ_POWER</vt:lpstr>
      <vt:lpstr>PLLINT_POWER</vt:lpstr>
      <vt:lpstr>POWERMODE</vt:lpstr>
      <vt:lpstr>POWERUP</vt:lpstr>
      <vt:lpstr>PROCESS</vt:lpstr>
      <vt:lpstr>PROCESS_FACTOR</vt:lpstr>
      <vt:lpstr>PROCESSLIST</vt:lpstr>
      <vt:lpstr>PROJECT</vt:lpstr>
      <vt:lpstr>PVT_TEST</vt:lpstr>
      <vt:lpstr>Q_GradeAux</vt:lpstr>
      <vt:lpstr>Q_GradeInt</vt:lpstr>
      <vt:lpstr>QGRADE_FACTOR</vt:lpstr>
      <vt:lpstr>QGRADE_FACTORAUX</vt:lpstr>
      <vt:lpstr>RELEASE_DATE</vt:lpstr>
      <vt:lpstr>S3PARTS</vt:lpstr>
      <vt:lpstr>S6_DESIGN_TESTS</vt:lpstr>
      <vt:lpstr>S6_IOTEST</vt:lpstr>
      <vt:lpstr>S6IO_STANDARD</vt:lpstr>
      <vt:lpstr>S6IODELAY_DATA</vt:lpstr>
      <vt:lpstr>S6IOSTD_LIST</vt:lpstr>
      <vt:lpstr>S6MAPIO_LIST</vt:lpstr>
      <vt:lpstr>S6PARTS</vt:lpstr>
      <vt:lpstr>SPEEDGRADE</vt:lpstr>
      <vt:lpstr>SPEEDLIST</vt:lpstr>
      <vt:lpstr>STATIC_POWER</vt:lpstr>
      <vt:lpstr>STEPPINGLIST</vt:lpstr>
      <vt:lpstr>TEMP_ESTIMATE</vt:lpstr>
      <vt:lpstr>TEMP_FACTOR_ROW</vt:lpstr>
      <vt:lpstr>TEMP_FACTORS</vt:lpstr>
      <vt:lpstr>TEMP_FACTORS_LIST</vt:lpstr>
      <vt:lpstr>TEMPERATURE_LIMIT</vt:lpstr>
      <vt:lpstr>THERMAL_MARGIN_C</vt:lpstr>
      <vt:lpstr>THERMAL_MARGIN_W</vt:lpstr>
      <vt:lpstr>THETAJA</vt:lpstr>
      <vt:lpstr>THETAJA250</vt:lpstr>
      <vt:lpstr>THETAJA500</vt:lpstr>
      <vt:lpstr>THETAJA750</vt:lpstr>
      <vt:lpstr>THETAJB</vt:lpstr>
      <vt:lpstr>THETAJC</vt:lpstr>
      <vt:lpstr>TJ_MAX</vt:lpstr>
      <vt:lpstr>TJ_MIN</vt:lpstr>
      <vt:lpstr>TJA</vt:lpstr>
      <vt:lpstr>TOTAL_POWER</vt:lpstr>
      <vt:lpstr>USER_DYNAMIC</vt:lpstr>
      <vt:lpstr>USER_THETAJA</vt:lpstr>
      <vt:lpstr>USER_TJ</vt:lpstr>
      <vt:lpstr>VCCAUX</vt:lpstr>
      <vt:lpstr>VCCAUX_SCALE</vt:lpstr>
      <vt:lpstr>VCCINT</vt:lpstr>
      <vt:lpstr>VCCINT_N</vt:lpstr>
      <vt:lpstr>VCCINT_SCALE</vt:lpstr>
      <vt:lpstr>VCCO_SCALE</vt:lpstr>
      <vt:lpstr>VCCO12</vt:lpstr>
      <vt:lpstr>VCCO15</vt:lpstr>
      <vt:lpstr>VCCO18</vt:lpstr>
      <vt:lpstr>VCCO25</vt:lpstr>
      <vt:lpstr>VCCO33</vt:lpstr>
      <vt:lpstr>VERSION</vt:lpstr>
      <vt:lpstr>Summary!Zone_d_impression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Julien Guay</cp:lastModifiedBy>
  <dcterms:created xsi:type="dcterms:W3CDTF">2024-01-29T03:23:12Z</dcterms:created>
  <dcterms:modified xsi:type="dcterms:W3CDTF">2024-01-29T05:06:07Z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0x0101006B9FD83E5CD97A468C279000F170E90B</vt:lpwstr>
  </property>
</Properties>
</file>