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chool\Documents\S7_electronique_avance\03_CONCEPTION_NOTES\"/>
    </mc:Choice>
  </mc:AlternateContent>
  <xr:revisionPtr revIDLastSave="0" documentId="13_ncr:1_{B2ECF058-63C8-43AE-822C-6449B6145CD5}" xr6:coauthVersionLast="47" xr6:coauthVersionMax="47" xr10:uidLastSave="{00000000-0000-0000-0000-000000000000}"/>
  <bookViews>
    <workbookView xWindow="-108" yWindow="-108" windowWidth="30936" windowHeight="16896" activeTab="2" xr2:uid="{00000000-000D-0000-FFFF-FFFF00000000}"/>
  </bookViews>
  <sheets>
    <sheet name="Feuil1" sheetId="1" r:id="rId1"/>
    <sheet name="DIMENSIONNEMENT" sheetId="2" r:id="rId2"/>
    <sheet name="Feuil3" sheetId="3" r:id="rId3"/>
  </sheets>
  <definedNames>
    <definedName name="REG_TYPE">DIMENSIONNEMENT!$B$6:$B$11</definedName>
    <definedName name="V_NET_LIST">DIMENSIONNEMENT!$D$7:$D$18</definedName>
    <definedName name="V_NET_VOLTAGE">DIMENSIONNEMENT!$E$7:$E$18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85" i="3" l="1"/>
  <c r="R57" i="3"/>
  <c r="R59" i="3" s="1"/>
  <c r="O59" i="3" s="1"/>
  <c r="O57" i="3" s="1"/>
  <c r="AG69" i="3"/>
  <c r="AF69" i="3"/>
  <c r="AG63" i="3"/>
  <c r="AF63" i="3"/>
  <c r="AG4" i="3"/>
  <c r="AF4" i="3"/>
  <c r="AG75" i="3"/>
  <c r="R83" i="3" s="1"/>
  <c r="AF75" i="3"/>
  <c r="AG57" i="3"/>
  <c r="R39" i="3" s="1"/>
  <c r="R41" i="3" s="1"/>
  <c r="O41" i="3" s="1"/>
  <c r="AF57" i="3"/>
  <c r="AG28" i="3"/>
  <c r="AF28" i="3"/>
  <c r="AG22" i="3"/>
  <c r="AF22" i="3"/>
  <c r="AG16" i="3"/>
  <c r="AF16" i="3"/>
  <c r="AG34" i="3"/>
  <c r="AF34" i="3"/>
  <c r="AG10" i="3"/>
  <c r="AF10" i="3"/>
  <c r="Z46" i="3"/>
  <c r="Z48" i="3" s="1"/>
  <c r="W48" i="3" s="1"/>
  <c r="R68" i="3"/>
  <c r="R70" i="3" s="1"/>
  <c r="O70" i="3" s="1"/>
  <c r="Z13" i="3"/>
  <c r="Z15" i="3" s="1"/>
  <c r="W15" i="3" s="1"/>
  <c r="Z35" i="3"/>
  <c r="Z24" i="3"/>
  <c r="D14" i="2"/>
  <c r="D13" i="2"/>
  <c r="O85" i="3" l="1"/>
  <c r="O83" i="3" s="1"/>
  <c r="K62" i="3" s="1"/>
  <c r="K64" i="3" s="1"/>
  <c r="AE12" i="3"/>
  <c r="AE6" i="3"/>
  <c r="AE65" i="3"/>
  <c r="AE71" i="3"/>
  <c r="P59" i="3"/>
  <c r="AE77" i="3"/>
  <c r="AE30" i="3"/>
  <c r="AE24" i="3"/>
  <c r="AE18" i="3"/>
  <c r="AE36" i="3"/>
  <c r="AE59" i="3"/>
  <c r="P85" i="3"/>
  <c r="O39" i="3"/>
  <c r="P41" i="3"/>
  <c r="W46" i="3"/>
  <c r="X48" i="3"/>
  <c r="O68" i="3"/>
  <c r="P70" i="3"/>
  <c r="W13" i="3"/>
  <c r="X15" i="3"/>
  <c r="Z26" i="3"/>
  <c r="W26" i="3" s="1"/>
  <c r="X26" i="3" s="1"/>
  <c r="Z37" i="3"/>
  <c r="W37" i="3" s="1"/>
  <c r="W35" i="3" s="1"/>
  <c r="W24" i="3" l="1"/>
  <c r="R13" i="3" s="1"/>
  <c r="R15" i="3" s="1"/>
  <c r="O15" i="3" s="1"/>
  <c r="H64" i="3"/>
  <c r="X37" i="3"/>
  <c r="H62" i="3" l="1"/>
  <c r="I64" i="3"/>
  <c r="P15" i="3"/>
  <c r="O13" i="3"/>
  <c r="K13" i="3" l="1"/>
  <c r="K15" i="3" s="1"/>
  <c r="H15" i="3" s="1"/>
  <c r="H13" i="3" s="1"/>
  <c r="E13" i="3" s="1"/>
  <c r="E15" i="3" l="1"/>
  <c r="B15" i="3" s="1"/>
  <c r="I15" i="3"/>
  <c r="B13" i="3" l="1"/>
  <c r="C15" i="3"/>
</calcChain>
</file>

<file path=xl/sharedStrings.xml><?xml version="1.0" encoding="utf-8"?>
<sst xmlns="http://schemas.openxmlformats.org/spreadsheetml/2006/main" count="380" uniqueCount="151">
  <si>
    <t>IC</t>
  </si>
  <si>
    <t>Power Name 1</t>
  </si>
  <si>
    <t>Voltage 1</t>
  </si>
  <si>
    <t>Power Name 2</t>
  </si>
  <si>
    <t>Voltage 2</t>
  </si>
  <si>
    <t>Power Name 3</t>
  </si>
  <si>
    <t>Voltage 3</t>
  </si>
  <si>
    <t>Power Name 4</t>
  </si>
  <si>
    <t>Voltage 4</t>
  </si>
  <si>
    <t>Power Name 5</t>
  </si>
  <si>
    <t>Voltage 5</t>
  </si>
  <si>
    <t>Power Name 6</t>
  </si>
  <si>
    <t>Voltage 6</t>
  </si>
  <si>
    <t>Power Name 7</t>
  </si>
  <si>
    <t>Voltage 7</t>
  </si>
  <si>
    <t>Power Name 8</t>
  </si>
  <si>
    <t>Voltage 8</t>
  </si>
  <si>
    <t>Power Name 9</t>
  </si>
  <si>
    <t>Voltage 9</t>
  </si>
  <si>
    <t>Power Name 10</t>
  </si>
  <si>
    <t>Voltage 10</t>
  </si>
  <si>
    <t>Power Name 11</t>
  </si>
  <si>
    <t>Voltage 11</t>
  </si>
  <si>
    <t>Power Name 12</t>
  </si>
  <si>
    <t>XC6SLX100-3FGG676C</t>
  </si>
  <si>
    <t>410-357-B</t>
  </si>
  <si>
    <t>Vdd</t>
  </si>
  <si>
    <t>VREF-JTAG</t>
  </si>
  <si>
    <t>1.8 - 5.5V</t>
  </si>
  <si>
    <t>Unknown</t>
  </si>
  <si>
    <t>Input</t>
  </si>
  <si>
    <t>Isolated</t>
  </si>
  <si>
    <t>USB-B-S-F-B-TH</t>
  </si>
  <si>
    <t>VBUS</t>
  </si>
  <si>
    <t>MT41J128M16JT-125</t>
  </si>
  <si>
    <t>VDD</t>
  </si>
  <si>
    <t>VDDQ</t>
  </si>
  <si>
    <t>nickname</t>
  </si>
  <si>
    <t>FPGA</t>
  </si>
  <si>
    <t>JTAG_DEBUGGUER</t>
  </si>
  <si>
    <t>USB CONN</t>
  </si>
  <si>
    <t>RAM</t>
  </si>
  <si>
    <t>TLP2362</t>
  </si>
  <si>
    <t>Octoupleur</t>
  </si>
  <si>
    <t>VCC</t>
  </si>
  <si>
    <t>2.7 - 5.5V</t>
  </si>
  <si>
    <t>ADUM3160BRWZ-RL</t>
  </si>
  <si>
    <t>USB isolator</t>
  </si>
  <si>
    <t>VDD2/VBUS2</t>
  </si>
  <si>
    <t>VBUS1</t>
  </si>
  <si>
    <t>PIN1</t>
  </si>
  <si>
    <t>VDD1</t>
  </si>
  <si>
    <t>VREF-UART</t>
  </si>
  <si>
    <t>VREFDQ</t>
  </si>
  <si>
    <t>Special</t>
  </si>
  <si>
    <t>VREFCA</t>
  </si>
  <si>
    <t>590BD-BDG</t>
  </si>
  <si>
    <t>xtal 125MHz</t>
  </si>
  <si>
    <t>CDCE62005RGZT</t>
  </si>
  <si>
    <t>Analog</t>
  </si>
  <si>
    <t>VCC_IN_XX</t>
  </si>
  <si>
    <t>PLL</t>
  </si>
  <si>
    <t>VCC_OUT</t>
  </si>
  <si>
    <t>M25P128-VMF6TP</t>
  </si>
  <si>
    <t>flash</t>
  </si>
  <si>
    <t xml:space="preserve">VCC </t>
  </si>
  <si>
    <t>DRV8811PWPR</t>
  </si>
  <si>
    <t>drive de moteur</t>
  </si>
  <si>
    <t>VMA/B</t>
  </si>
  <si>
    <t>KSZ8091MNXCA</t>
  </si>
  <si>
    <t>PHY</t>
  </si>
  <si>
    <t>VDDIO</t>
  </si>
  <si>
    <t>3.3 - 2.5 - 1.8</t>
  </si>
  <si>
    <t>VDDA</t>
  </si>
  <si>
    <t>AD9146BCPZ</t>
  </si>
  <si>
    <t>CVDD18</t>
  </si>
  <si>
    <t>DVDD18</t>
  </si>
  <si>
    <t>AVDD33</t>
  </si>
  <si>
    <t>DAC</t>
  </si>
  <si>
    <t>ADS62P48IRGCT</t>
  </si>
  <si>
    <t>ADC</t>
  </si>
  <si>
    <t>AVDD</t>
  </si>
  <si>
    <t>DRVDD</t>
  </si>
  <si>
    <t>ADA4927-2YCPZ-R2</t>
  </si>
  <si>
    <t>OP-AMP</t>
  </si>
  <si>
    <t xml:space="preserve">VS- </t>
  </si>
  <si>
    <t>VS+</t>
  </si>
  <si>
    <t>TPS51200DRCT</t>
  </si>
  <si>
    <t>POWER</t>
  </si>
  <si>
    <t>VTT</t>
  </si>
  <si>
    <t>VIN</t>
  </si>
  <si>
    <t>Name</t>
  </si>
  <si>
    <t>Voltage net list</t>
  </si>
  <si>
    <t>3v3_ADC</t>
  </si>
  <si>
    <t>3v3_DAC</t>
  </si>
  <si>
    <t>3v3_DIGITAL</t>
  </si>
  <si>
    <t>REG_TYPE</t>
  </si>
  <si>
    <t>SWITCHING</t>
  </si>
  <si>
    <t>LDO</t>
  </si>
  <si>
    <t>LDO_INV</t>
  </si>
  <si>
    <t>INVERTER</t>
  </si>
  <si>
    <t>24V</t>
  </si>
  <si>
    <t>Voltage(V)</t>
  </si>
  <si>
    <t>1V8_DIGITAL</t>
  </si>
  <si>
    <t>1V5_DDR</t>
  </si>
  <si>
    <t>Current (mA)</t>
  </si>
  <si>
    <t>CLK 25MHz</t>
  </si>
  <si>
    <t>FLASH</t>
  </si>
  <si>
    <t>DRV8811</t>
  </si>
  <si>
    <t>TEMP SENS x2</t>
  </si>
  <si>
    <t>OCTO COUP</t>
  </si>
  <si>
    <t>JTAG</t>
  </si>
  <si>
    <t>BANK 5</t>
  </si>
  <si>
    <t>BANK 0 2 3</t>
  </si>
  <si>
    <t>CLK 125MHz</t>
  </si>
  <si>
    <t>OP AMP SORTIE x2</t>
  </si>
  <si>
    <t>5V</t>
  </si>
  <si>
    <t>OP AMP ENTREE x2</t>
  </si>
  <si>
    <t>-5V</t>
  </si>
  <si>
    <t>1V2_VCCINT</t>
  </si>
  <si>
    <t>VCC_AUX</t>
  </si>
  <si>
    <t>VCCINT 1V2</t>
  </si>
  <si>
    <t>IC NAME</t>
  </si>
  <si>
    <t>Eff :</t>
  </si>
  <si>
    <t>P</t>
  </si>
  <si>
    <t>Max Curr (A) :</t>
  </si>
  <si>
    <t>Iout (A):</t>
  </si>
  <si>
    <t>Iin (A):</t>
  </si>
  <si>
    <t>Colonne1</t>
  </si>
  <si>
    <t>Colonne2</t>
  </si>
  <si>
    <t>Pout (W) :</t>
  </si>
  <si>
    <t>Pdis (W) :</t>
  </si>
  <si>
    <t>Pin (W):</t>
  </si>
  <si>
    <t>Vin (V):</t>
  </si>
  <si>
    <t>Vout (V):</t>
  </si>
  <si>
    <t>-7V</t>
  </si>
  <si>
    <t>V</t>
  </si>
  <si>
    <t>I</t>
  </si>
  <si>
    <t>mA</t>
  </si>
  <si>
    <t>W</t>
  </si>
  <si>
    <t>Motor</t>
  </si>
  <si>
    <t>INPUT CONN</t>
  </si>
  <si>
    <t>lmz34002</t>
  </si>
  <si>
    <t>-</t>
  </si>
  <si>
    <t>TPS7A47</t>
  </si>
  <si>
    <t>5v5</t>
  </si>
  <si>
    <t>TPS7A33</t>
  </si>
  <si>
    <t>LMZ30604</t>
  </si>
  <si>
    <t>LMZ23605</t>
  </si>
  <si>
    <t>LMZ30602</t>
  </si>
  <si>
    <t>TPS51200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</si>
</sst>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b/>
      <sz val="8"/>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1" tint="0.499984740745262"/>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bgColor indexed="64"/>
      </patternFill>
    </fill>
    <fill>
      <patternFill patternType="solid">
        <fgColor rgb="FFFF0000"/>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0" fillId="9" borderId="4" xfId="0" applyFill="1" applyBorder="1"/>
    <xf numFmtId="0" fontId="0" fillId="9" borderId="6" xfId="0" applyFill="1" applyBorder="1"/>
    <xf numFmtId="0" fontId="0" fillId="3" borderId="4" xfId="0" applyFill="1" applyBorder="1"/>
    <xf numFmtId="0" fontId="0" fillId="10" borderId="4" xfId="0" applyFill="1" applyBorder="1"/>
    <xf numFmtId="0" fontId="0" fillId="11" borderId="0" xfId="0" applyFill="1"/>
    <xf numFmtId="0" fontId="0" fillId="13" borderId="1" xfId="0" applyFill="1" applyBorder="1"/>
    <xf numFmtId="9" fontId="3" fillId="7" borderId="3" xfId="0" applyNumberFormat="1" applyFont="1" applyFill="1" applyBorder="1" applyAlignment="1">
      <alignment horizontal="center" vertical="center"/>
    </xf>
    <xf numFmtId="0" fontId="4" fillId="7" borderId="5" xfId="0" applyFont="1" applyFill="1" applyBorder="1"/>
    <xf numFmtId="2" fontId="3" fillId="7" borderId="5" xfId="0" applyNumberFormat="1" applyFont="1" applyFill="1" applyBorder="1"/>
    <xf numFmtId="0" fontId="0" fillId="7" borderId="14" xfId="0" applyFill="1" applyBorder="1" applyAlignment="1">
      <alignment horizontal="left"/>
    </xf>
    <xf numFmtId="0" fontId="0" fillId="7" borderId="13" xfId="0" applyFill="1" applyBorder="1" applyAlignment="1">
      <alignment horizontal="right"/>
    </xf>
    <xf numFmtId="0" fontId="0" fillId="0" borderId="1" xfId="0" applyBorder="1" applyAlignment="1">
      <alignment horizontal="center"/>
    </xf>
    <xf numFmtId="0" fontId="0" fillId="0" borderId="3" xfId="0" applyBorder="1" applyAlignment="1">
      <alignment horizontal="center"/>
    </xf>
    <xf numFmtId="0" fontId="0" fillId="8" borderId="1" xfId="0" applyFill="1" applyBorder="1" applyAlignment="1">
      <alignment horizontal="center"/>
    </xf>
    <xf numFmtId="0" fontId="0" fillId="8" borderId="2" xfId="0" applyFill="1" applyBorder="1" applyAlignment="1">
      <alignment horizontal="center"/>
    </xf>
    <xf numFmtId="0" fontId="0" fillId="10" borderId="7" xfId="0" applyFill="1" applyBorder="1" applyAlignment="1">
      <alignment horizontal="center"/>
    </xf>
    <xf numFmtId="0" fontId="0" fillId="10" borderId="8" xfId="0" applyFill="1" applyBorder="1" applyAlignment="1">
      <alignment horizontal="center"/>
    </xf>
    <xf numFmtId="2" fontId="3" fillId="7" borderId="9" xfId="0" applyNumberFormat="1" applyFont="1" applyFill="1" applyBorder="1" applyAlignment="1">
      <alignment horizontal="center"/>
    </xf>
    <xf numFmtId="2" fontId="3" fillId="7" borderId="10" xfId="0" applyNumberFormat="1" applyFont="1" applyFill="1" applyBorder="1" applyAlignment="1">
      <alignment horizontal="center"/>
    </xf>
    <xf numFmtId="0" fontId="0" fillId="12" borderId="1" xfId="0" applyFill="1" applyBorder="1" applyAlignment="1">
      <alignment horizontal="center"/>
    </xf>
    <xf numFmtId="0" fontId="0" fillId="12" borderId="2" xfId="0" applyFill="1" applyBorder="1" applyAlignment="1">
      <alignment horizontal="center"/>
    </xf>
    <xf numFmtId="0" fontId="0" fillId="12" borderId="3" xfId="0" applyFill="1" applyBorder="1" applyAlignment="1">
      <alignment horizontal="center"/>
    </xf>
    <xf numFmtId="0" fontId="0" fillId="7" borderId="16" xfId="0" applyFill="1" applyBorder="1" applyAlignment="1">
      <alignment horizontal="left"/>
    </xf>
    <xf numFmtId="0" fontId="0" fillId="7" borderId="14" xfId="0" applyFill="1" applyBorder="1" applyAlignment="1">
      <alignment horizontal="left"/>
    </xf>
    <xf numFmtId="0" fontId="0" fillId="9" borderId="11" xfId="0" applyFill="1" applyBorder="1" applyAlignment="1">
      <alignment horizontal="center"/>
    </xf>
    <xf numFmtId="0" fontId="0" fillId="9" borderId="12" xfId="0"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10" borderId="11" xfId="0" applyFill="1" applyBorder="1" applyAlignment="1">
      <alignment horizontal="center"/>
    </xf>
    <xf numFmtId="0" fontId="0" fillId="10" borderId="15" xfId="0" applyFill="1" applyBorder="1" applyAlignment="1">
      <alignment horizontal="center"/>
    </xf>
    <xf numFmtId="0" fontId="0" fillId="10" borderId="12" xfId="0" applyFill="1" applyBorder="1" applyAlignment="1">
      <alignment horizontal="center"/>
    </xf>
    <xf numFmtId="2" fontId="0" fillId="7" borderId="13" xfId="0" applyNumberFormat="1" applyFill="1" applyBorder="1" applyAlignment="1">
      <alignment horizontal="right"/>
    </xf>
    <xf numFmtId="2" fontId="0" fillId="7" borderId="16" xfId="0" applyNumberFormat="1" applyFill="1" applyBorder="1" applyAlignment="1">
      <alignment horizontal="right"/>
    </xf>
    <xf numFmtId="0" fontId="3" fillId="2" borderId="3" xfId="0" applyFont="1" applyFill="1" applyBorder="1" applyAlignment="1">
      <alignment horizontal="center" vertical="center"/>
    </xf>
    <xf numFmtId="9" fontId="3" fillId="2" borderId="3" xfId="0" applyNumberFormat="1" applyFont="1" applyFill="1" applyBorder="1" applyAlignment="1">
      <alignment horizontal="center" vertical="center"/>
    </xf>
    <xf numFmtId="0" fontId="0" fillId="14" borderId="0" xfId="0" applyFill="1"/>
    <xf numFmtId="9" fontId="3" fillId="15"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22860</xdr:colOff>
      <xdr:row>10</xdr:row>
      <xdr:rowOff>152400</xdr:rowOff>
    </xdr:from>
    <xdr:to>
      <xdr:col>7</xdr:col>
      <xdr:colOff>0</xdr:colOff>
      <xdr:row>10</xdr:row>
      <xdr:rowOff>175260</xdr:rowOff>
    </xdr:to>
    <xdr:cxnSp macro="">
      <xdr:nvCxnSpPr>
        <xdr:cNvPr id="7" name="Connecteur droit avec flèche 6">
          <a:extLst>
            <a:ext uri="{FF2B5EF4-FFF2-40B4-BE49-F238E27FC236}">
              <a16:creationId xmlns:a16="http://schemas.microsoft.com/office/drawing/2014/main" id="{C916621D-A4F8-86D7-D067-A194D34EF54F}"/>
            </a:ext>
          </a:extLst>
        </xdr:cNvPr>
        <xdr:cNvCxnSpPr/>
      </xdr:nvCxnSpPr>
      <xdr:spPr>
        <a:xfrm>
          <a:off x="2758440" y="2011680"/>
          <a:ext cx="769620" cy="2286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784860</xdr:colOff>
      <xdr:row>10</xdr:row>
      <xdr:rowOff>182880</xdr:rowOff>
    </xdr:from>
    <xdr:to>
      <xdr:col>13</xdr:col>
      <xdr:colOff>388620</xdr:colOff>
      <xdr:row>10</xdr:row>
      <xdr:rowOff>182880</xdr:rowOff>
    </xdr:to>
    <xdr:cxnSp macro="">
      <xdr:nvCxnSpPr>
        <xdr:cNvPr id="9" name="Connecteur droit avec flèche 8">
          <a:extLst>
            <a:ext uri="{FF2B5EF4-FFF2-40B4-BE49-F238E27FC236}">
              <a16:creationId xmlns:a16="http://schemas.microsoft.com/office/drawing/2014/main" id="{0EC962CE-9ABC-F97B-EEDE-77B212637E4D}"/>
            </a:ext>
          </a:extLst>
        </xdr:cNvPr>
        <xdr:cNvCxnSpPr/>
      </xdr:nvCxnSpPr>
      <xdr:spPr>
        <a:xfrm>
          <a:off x="5844540" y="2042160"/>
          <a:ext cx="12039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252412</xdr:colOff>
      <xdr:row>34</xdr:row>
      <xdr:rowOff>100013</xdr:rowOff>
    </xdr:from>
    <xdr:to>
      <xdr:col>14</xdr:col>
      <xdr:colOff>22860</xdr:colOff>
      <xdr:row>37</xdr:row>
      <xdr:rowOff>167640</xdr:rowOff>
    </xdr:to>
    <xdr:cxnSp macro="">
      <xdr:nvCxnSpPr>
        <xdr:cNvPr id="3" name="Connecteur : en angle 2">
          <a:extLst>
            <a:ext uri="{FF2B5EF4-FFF2-40B4-BE49-F238E27FC236}">
              <a16:creationId xmlns:a16="http://schemas.microsoft.com/office/drawing/2014/main" id="{32BB7115-8573-952B-31A6-5DCFEFAD7F9E}"/>
            </a:ext>
          </a:extLst>
        </xdr:cNvPr>
        <xdr:cNvCxnSpPr/>
      </xdr:nvCxnSpPr>
      <xdr:spPr>
        <a:xfrm>
          <a:off x="6124575" y="6453188"/>
          <a:ext cx="956310" cy="62960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119743</xdr:colOff>
      <xdr:row>11</xdr:row>
      <xdr:rowOff>63136</xdr:rowOff>
    </xdr:from>
    <xdr:to>
      <xdr:col>11</xdr:col>
      <xdr:colOff>287385</xdr:colOff>
      <xdr:row>35</xdr:row>
      <xdr:rowOff>163284</xdr:rowOff>
    </xdr:to>
    <xdr:cxnSp macro="">
      <xdr:nvCxnSpPr>
        <xdr:cNvPr id="6" name="Connecteur : en angle 5">
          <a:extLst>
            <a:ext uri="{FF2B5EF4-FFF2-40B4-BE49-F238E27FC236}">
              <a16:creationId xmlns:a16="http://schemas.microsoft.com/office/drawing/2014/main" id="{A8D73D0A-51CB-CC21-4866-1C36062DEF8F}"/>
            </a:ext>
          </a:extLst>
        </xdr:cNvPr>
        <xdr:cNvCxnSpPr/>
      </xdr:nvCxnSpPr>
      <xdr:spPr>
        <a:xfrm rot="5400000">
          <a:off x="3108961" y="3866604"/>
          <a:ext cx="4726577" cy="1299756"/>
        </a:xfrm>
        <a:prstGeom prst="bentConnector3">
          <a:avLst>
            <a:gd name="adj1" fmla="val 9606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44823</xdr:colOff>
      <xdr:row>62</xdr:row>
      <xdr:rowOff>62753</xdr:rowOff>
    </xdr:from>
    <xdr:to>
      <xdr:col>14</xdr:col>
      <xdr:colOff>0</xdr:colOff>
      <xdr:row>82</xdr:row>
      <xdr:rowOff>17930</xdr:rowOff>
    </xdr:to>
    <xdr:cxnSp macro="">
      <xdr:nvCxnSpPr>
        <xdr:cNvPr id="16" name="Connecteur droit avec flèche 15">
          <a:extLst>
            <a:ext uri="{FF2B5EF4-FFF2-40B4-BE49-F238E27FC236}">
              <a16:creationId xmlns:a16="http://schemas.microsoft.com/office/drawing/2014/main" id="{70CFC102-EB37-517D-11C1-864A21506B31}"/>
            </a:ext>
          </a:extLst>
        </xdr:cNvPr>
        <xdr:cNvCxnSpPr/>
      </xdr:nvCxnSpPr>
      <xdr:spPr>
        <a:xfrm>
          <a:off x="5907741" y="11555506"/>
          <a:ext cx="1138518" cy="3630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34</xdr:row>
      <xdr:rowOff>98612</xdr:rowOff>
    </xdr:from>
    <xdr:to>
      <xdr:col>13</xdr:col>
      <xdr:colOff>322729</xdr:colOff>
      <xdr:row>65</xdr:row>
      <xdr:rowOff>161364</xdr:rowOff>
    </xdr:to>
    <xdr:cxnSp macro="">
      <xdr:nvCxnSpPr>
        <xdr:cNvPr id="19" name="Connecteur droit avec flèche 18">
          <a:extLst>
            <a:ext uri="{FF2B5EF4-FFF2-40B4-BE49-F238E27FC236}">
              <a16:creationId xmlns:a16="http://schemas.microsoft.com/office/drawing/2014/main" id="{484A0579-610B-5DE0-EC38-0C751AC7EEB2}"/>
            </a:ext>
          </a:extLst>
        </xdr:cNvPr>
        <xdr:cNvCxnSpPr/>
      </xdr:nvCxnSpPr>
      <xdr:spPr>
        <a:xfrm>
          <a:off x="5056094" y="6382871"/>
          <a:ext cx="1918447" cy="5827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188259</xdr:colOff>
      <xdr:row>34</xdr:row>
      <xdr:rowOff>125506</xdr:rowOff>
    </xdr:from>
    <xdr:to>
      <xdr:col>14</xdr:col>
      <xdr:colOff>26894</xdr:colOff>
      <xdr:row>55</xdr:row>
      <xdr:rowOff>71718</xdr:rowOff>
    </xdr:to>
    <xdr:cxnSp macro="">
      <xdr:nvCxnSpPr>
        <xdr:cNvPr id="21" name="Connecteur droit avec flèche 20">
          <a:extLst>
            <a:ext uri="{FF2B5EF4-FFF2-40B4-BE49-F238E27FC236}">
              <a16:creationId xmlns:a16="http://schemas.microsoft.com/office/drawing/2014/main" id="{9B0BE590-C502-FBEF-48FA-0A68C27D9FFC}"/>
            </a:ext>
          </a:extLst>
        </xdr:cNvPr>
        <xdr:cNvCxnSpPr/>
      </xdr:nvCxnSpPr>
      <xdr:spPr>
        <a:xfrm>
          <a:off x="5244353" y="6409765"/>
          <a:ext cx="1828800" cy="38368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130628</xdr:colOff>
      <xdr:row>75</xdr:row>
      <xdr:rowOff>87086</xdr:rowOff>
    </xdr:from>
    <xdr:to>
      <xdr:col>29</xdr:col>
      <xdr:colOff>348343</xdr:colOff>
      <xdr:row>81</xdr:row>
      <xdr:rowOff>152400</xdr:rowOff>
    </xdr:to>
    <xdr:cxnSp macro="">
      <xdr:nvCxnSpPr>
        <xdr:cNvPr id="23" name="Connecteur droit avec flèche 22">
          <a:extLst>
            <a:ext uri="{FF2B5EF4-FFF2-40B4-BE49-F238E27FC236}">
              <a16:creationId xmlns:a16="http://schemas.microsoft.com/office/drawing/2014/main" id="{0D0F0C0F-FE36-6865-0FB6-07DECF45D203}"/>
            </a:ext>
          </a:extLst>
        </xdr:cNvPr>
        <xdr:cNvCxnSpPr/>
      </xdr:nvCxnSpPr>
      <xdr:spPr>
        <a:xfrm flipV="1">
          <a:off x="9437914" y="14478000"/>
          <a:ext cx="5257800" cy="1230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87085</xdr:colOff>
      <xdr:row>67</xdr:row>
      <xdr:rowOff>141514</xdr:rowOff>
    </xdr:from>
    <xdr:to>
      <xdr:col>29</xdr:col>
      <xdr:colOff>272143</xdr:colOff>
      <xdr:row>69</xdr:row>
      <xdr:rowOff>185057</xdr:rowOff>
    </xdr:to>
    <xdr:cxnSp macro="">
      <xdr:nvCxnSpPr>
        <xdr:cNvPr id="25" name="Connecteur droit avec flèche 24">
          <a:extLst>
            <a:ext uri="{FF2B5EF4-FFF2-40B4-BE49-F238E27FC236}">
              <a16:creationId xmlns:a16="http://schemas.microsoft.com/office/drawing/2014/main" id="{73AFE058-3B33-1C08-7345-87406A9A572B}"/>
            </a:ext>
          </a:extLst>
        </xdr:cNvPr>
        <xdr:cNvCxnSpPr/>
      </xdr:nvCxnSpPr>
      <xdr:spPr>
        <a:xfrm>
          <a:off x="9394371" y="13030200"/>
          <a:ext cx="5225143" cy="424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10885</xdr:colOff>
      <xdr:row>54</xdr:row>
      <xdr:rowOff>141514</xdr:rowOff>
    </xdr:from>
    <xdr:to>
      <xdr:col>29</xdr:col>
      <xdr:colOff>326572</xdr:colOff>
      <xdr:row>64</xdr:row>
      <xdr:rowOff>76200</xdr:rowOff>
    </xdr:to>
    <xdr:cxnSp macro="">
      <xdr:nvCxnSpPr>
        <xdr:cNvPr id="27" name="Connecteur droit avec flèche 26">
          <a:extLst>
            <a:ext uri="{FF2B5EF4-FFF2-40B4-BE49-F238E27FC236}">
              <a16:creationId xmlns:a16="http://schemas.microsoft.com/office/drawing/2014/main" id="{CA75940E-E8D3-F80F-BE4F-047AAC8DDA64}"/>
            </a:ext>
          </a:extLst>
        </xdr:cNvPr>
        <xdr:cNvCxnSpPr/>
      </xdr:nvCxnSpPr>
      <xdr:spPr>
        <a:xfrm>
          <a:off x="9318171" y="10504714"/>
          <a:ext cx="5355772" cy="18941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87085</xdr:colOff>
      <xdr:row>40</xdr:row>
      <xdr:rowOff>87085</xdr:rowOff>
    </xdr:from>
    <xdr:to>
      <xdr:col>29</xdr:col>
      <xdr:colOff>359229</xdr:colOff>
      <xdr:row>58</xdr:row>
      <xdr:rowOff>65315</xdr:rowOff>
    </xdr:to>
    <xdr:cxnSp macro="">
      <xdr:nvCxnSpPr>
        <xdr:cNvPr id="29" name="Connecteur droit avec flèche 28">
          <a:extLst>
            <a:ext uri="{FF2B5EF4-FFF2-40B4-BE49-F238E27FC236}">
              <a16:creationId xmlns:a16="http://schemas.microsoft.com/office/drawing/2014/main" id="{66A3540C-0370-2653-649D-0396AFE66E57}"/>
            </a:ext>
          </a:extLst>
        </xdr:cNvPr>
        <xdr:cNvCxnSpPr/>
      </xdr:nvCxnSpPr>
      <xdr:spPr>
        <a:xfrm>
          <a:off x="9394371" y="7761514"/>
          <a:ext cx="5312229" cy="34507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65315</xdr:colOff>
      <xdr:row>27</xdr:row>
      <xdr:rowOff>174171</xdr:rowOff>
    </xdr:from>
    <xdr:to>
      <xdr:col>30</xdr:col>
      <xdr:colOff>0</xdr:colOff>
      <xdr:row>41</xdr:row>
      <xdr:rowOff>163286</xdr:rowOff>
    </xdr:to>
    <xdr:cxnSp macro="">
      <xdr:nvCxnSpPr>
        <xdr:cNvPr id="31" name="Connecteur droit avec flèche 30">
          <a:extLst>
            <a:ext uri="{FF2B5EF4-FFF2-40B4-BE49-F238E27FC236}">
              <a16:creationId xmlns:a16="http://schemas.microsoft.com/office/drawing/2014/main" id="{319E82B6-5239-203D-B19C-FFFAA2509512}"/>
            </a:ext>
          </a:extLst>
        </xdr:cNvPr>
        <xdr:cNvCxnSpPr/>
      </xdr:nvCxnSpPr>
      <xdr:spPr>
        <a:xfrm flipV="1">
          <a:off x="13237029" y="5323114"/>
          <a:ext cx="1502228" cy="2710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76200</xdr:colOff>
      <xdr:row>22</xdr:row>
      <xdr:rowOff>32657</xdr:rowOff>
    </xdr:from>
    <xdr:to>
      <xdr:col>29</xdr:col>
      <xdr:colOff>381000</xdr:colOff>
      <xdr:row>33</xdr:row>
      <xdr:rowOff>87086</xdr:rowOff>
    </xdr:to>
    <xdr:cxnSp macro="">
      <xdr:nvCxnSpPr>
        <xdr:cNvPr id="33" name="Connecteur droit avec flèche 32">
          <a:extLst>
            <a:ext uri="{FF2B5EF4-FFF2-40B4-BE49-F238E27FC236}">
              <a16:creationId xmlns:a16="http://schemas.microsoft.com/office/drawing/2014/main" id="{6BB8159A-35E7-19F6-1AFD-68C839B943DF}"/>
            </a:ext>
          </a:extLst>
        </xdr:cNvPr>
        <xdr:cNvCxnSpPr/>
      </xdr:nvCxnSpPr>
      <xdr:spPr>
        <a:xfrm flipV="1">
          <a:off x="13247914" y="4234543"/>
          <a:ext cx="1480457" cy="2177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76200</xdr:colOff>
      <xdr:row>16</xdr:row>
      <xdr:rowOff>76200</xdr:rowOff>
    </xdr:from>
    <xdr:to>
      <xdr:col>30</xdr:col>
      <xdr:colOff>21772</xdr:colOff>
      <xdr:row>22</xdr:row>
      <xdr:rowOff>10885</xdr:rowOff>
    </xdr:to>
    <xdr:cxnSp macro="">
      <xdr:nvCxnSpPr>
        <xdr:cNvPr id="35" name="Connecteur droit avec flèche 34">
          <a:extLst>
            <a:ext uri="{FF2B5EF4-FFF2-40B4-BE49-F238E27FC236}">
              <a16:creationId xmlns:a16="http://schemas.microsoft.com/office/drawing/2014/main" id="{492B07D3-C58C-E336-1F93-3152B4A7CE78}"/>
            </a:ext>
          </a:extLst>
        </xdr:cNvPr>
        <xdr:cNvCxnSpPr/>
      </xdr:nvCxnSpPr>
      <xdr:spPr>
        <a:xfrm flipV="1">
          <a:off x="13247914" y="3113314"/>
          <a:ext cx="1513115" cy="1099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43543</xdr:colOff>
      <xdr:row>10</xdr:row>
      <xdr:rowOff>32657</xdr:rowOff>
    </xdr:from>
    <xdr:to>
      <xdr:col>29</xdr:col>
      <xdr:colOff>348343</xdr:colOff>
      <xdr:row>11</xdr:row>
      <xdr:rowOff>54429</xdr:rowOff>
    </xdr:to>
    <xdr:cxnSp macro="">
      <xdr:nvCxnSpPr>
        <xdr:cNvPr id="37" name="Connecteur droit avec flèche 36">
          <a:extLst>
            <a:ext uri="{FF2B5EF4-FFF2-40B4-BE49-F238E27FC236}">
              <a16:creationId xmlns:a16="http://schemas.microsoft.com/office/drawing/2014/main" id="{C86F247C-A2FC-E9AD-B6B2-1D1542140F70}"/>
            </a:ext>
          </a:extLst>
        </xdr:cNvPr>
        <xdr:cNvCxnSpPr/>
      </xdr:nvCxnSpPr>
      <xdr:spPr>
        <a:xfrm flipV="1">
          <a:off x="13215257" y="1926771"/>
          <a:ext cx="1480457" cy="217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277906</xdr:colOff>
      <xdr:row>11</xdr:row>
      <xdr:rowOff>32657</xdr:rowOff>
    </xdr:from>
    <xdr:to>
      <xdr:col>21</xdr:col>
      <xdr:colOff>381000</xdr:colOff>
      <xdr:row>19</xdr:row>
      <xdr:rowOff>71718</xdr:rowOff>
    </xdr:to>
    <xdr:cxnSp macro="">
      <xdr:nvCxnSpPr>
        <xdr:cNvPr id="39" name="Connecteur droit avec flèche 38">
          <a:extLst>
            <a:ext uri="{FF2B5EF4-FFF2-40B4-BE49-F238E27FC236}">
              <a16:creationId xmlns:a16="http://schemas.microsoft.com/office/drawing/2014/main" id="{69FDAA0C-EA2A-DD47-4E49-4C8EF44478EC}"/>
            </a:ext>
          </a:extLst>
        </xdr:cNvPr>
        <xdr:cNvCxnSpPr/>
      </xdr:nvCxnSpPr>
      <xdr:spPr>
        <a:xfrm flipV="1">
          <a:off x="8130988" y="2049716"/>
          <a:ext cx="2783541" cy="15182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18</xdr:row>
      <xdr:rowOff>125506</xdr:rowOff>
    </xdr:from>
    <xdr:to>
      <xdr:col>21</xdr:col>
      <xdr:colOff>370114</xdr:colOff>
      <xdr:row>21</xdr:row>
      <xdr:rowOff>0</xdr:rowOff>
    </xdr:to>
    <xdr:cxnSp macro="">
      <xdr:nvCxnSpPr>
        <xdr:cNvPr id="41" name="Connecteur droit avec flèche 40">
          <a:extLst>
            <a:ext uri="{FF2B5EF4-FFF2-40B4-BE49-F238E27FC236}">
              <a16:creationId xmlns:a16="http://schemas.microsoft.com/office/drawing/2014/main" id="{3F69633A-0AB1-DDC4-B2B3-258F9D069DC9}"/>
            </a:ext>
          </a:extLst>
        </xdr:cNvPr>
        <xdr:cNvCxnSpPr/>
      </xdr:nvCxnSpPr>
      <xdr:spPr>
        <a:xfrm>
          <a:off x="6651812" y="3433482"/>
          <a:ext cx="4251831" cy="4303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783771</xdr:colOff>
      <xdr:row>12</xdr:row>
      <xdr:rowOff>0</xdr:rowOff>
    </xdr:from>
    <xdr:to>
      <xdr:col>22</xdr:col>
      <xdr:colOff>0</xdr:colOff>
      <xdr:row>30</xdr:row>
      <xdr:rowOff>130629</xdr:rowOff>
    </xdr:to>
    <xdr:cxnSp macro="">
      <xdr:nvCxnSpPr>
        <xdr:cNvPr id="43" name="Connecteur droit avec flèche 42">
          <a:extLst>
            <a:ext uri="{FF2B5EF4-FFF2-40B4-BE49-F238E27FC236}">
              <a16:creationId xmlns:a16="http://schemas.microsoft.com/office/drawing/2014/main" id="{7877CBC5-A9B4-9F58-45A0-4D06F30E27BC}"/>
            </a:ext>
          </a:extLst>
        </xdr:cNvPr>
        <xdr:cNvCxnSpPr/>
      </xdr:nvCxnSpPr>
      <xdr:spPr>
        <a:xfrm>
          <a:off x="9285514" y="2275114"/>
          <a:ext cx="1589315" cy="3592286"/>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322729</xdr:colOff>
      <xdr:row>15</xdr:row>
      <xdr:rowOff>161364</xdr:rowOff>
    </xdr:from>
    <xdr:to>
      <xdr:col>22</xdr:col>
      <xdr:colOff>21771</xdr:colOff>
      <xdr:row>41</xdr:row>
      <xdr:rowOff>130629</xdr:rowOff>
    </xdr:to>
    <xdr:cxnSp macro="">
      <xdr:nvCxnSpPr>
        <xdr:cNvPr id="45" name="Connecteur droit avec flèche 44">
          <a:extLst>
            <a:ext uri="{FF2B5EF4-FFF2-40B4-BE49-F238E27FC236}">
              <a16:creationId xmlns:a16="http://schemas.microsoft.com/office/drawing/2014/main" id="{A685EB70-1D3D-2F8F-E0D5-3A1AA3DCFB6F}"/>
            </a:ext>
          </a:extLst>
        </xdr:cNvPr>
        <xdr:cNvCxnSpPr/>
      </xdr:nvCxnSpPr>
      <xdr:spPr>
        <a:xfrm>
          <a:off x="6185647" y="2913529"/>
          <a:ext cx="4764100" cy="48012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21771</xdr:colOff>
      <xdr:row>9</xdr:row>
      <xdr:rowOff>108857</xdr:rowOff>
    </xdr:from>
    <xdr:to>
      <xdr:col>29</xdr:col>
      <xdr:colOff>337458</xdr:colOff>
      <xdr:row>34</xdr:row>
      <xdr:rowOff>76200</xdr:rowOff>
    </xdr:to>
    <xdr:cxnSp macro="">
      <xdr:nvCxnSpPr>
        <xdr:cNvPr id="47" name="Connecteur droit avec flèche 46">
          <a:extLst>
            <a:ext uri="{FF2B5EF4-FFF2-40B4-BE49-F238E27FC236}">
              <a16:creationId xmlns:a16="http://schemas.microsoft.com/office/drawing/2014/main" id="{FA988F03-2EFB-5FE7-8CF5-B5EF40213DEF}"/>
            </a:ext>
          </a:extLst>
        </xdr:cNvPr>
        <xdr:cNvCxnSpPr/>
      </xdr:nvCxnSpPr>
      <xdr:spPr>
        <a:xfrm>
          <a:off x="9329057" y="1817914"/>
          <a:ext cx="5355772" cy="477882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5</xdr:col>
      <xdr:colOff>43542</xdr:colOff>
      <xdr:row>3</xdr:row>
      <xdr:rowOff>54429</xdr:rowOff>
    </xdr:from>
    <xdr:to>
      <xdr:col>29</xdr:col>
      <xdr:colOff>381000</xdr:colOff>
      <xdr:row>7</xdr:row>
      <xdr:rowOff>97972</xdr:rowOff>
    </xdr:to>
    <xdr:cxnSp macro="">
      <xdr:nvCxnSpPr>
        <xdr:cNvPr id="49" name="Connecteur droit avec flèche 48">
          <a:extLst>
            <a:ext uri="{FF2B5EF4-FFF2-40B4-BE49-F238E27FC236}">
              <a16:creationId xmlns:a16="http://schemas.microsoft.com/office/drawing/2014/main" id="{E8E4FE1D-1136-927C-8C66-0BA892977C89}"/>
            </a:ext>
          </a:extLst>
        </xdr:cNvPr>
        <xdr:cNvCxnSpPr/>
      </xdr:nvCxnSpPr>
      <xdr:spPr>
        <a:xfrm flipV="1">
          <a:off x="2764971" y="609600"/>
          <a:ext cx="11963400" cy="805543"/>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81835</xdr:colOff>
      <xdr:row>10</xdr:row>
      <xdr:rowOff>90672</xdr:rowOff>
    </xdr:from>
    <xdr:to>
      <xdr:col>6</xdr:col>
      <xdr:colOff>382281</xdr:colOff>
      <xdr:row>58</xdr:row>
      <xdr:rowOff>158164</xdr:rowOff>
    </xdr:to>
    <xdr:cxnSp macro="">
      <xdr:nvCxnSpPr>
        <xdr:cNvPr id="52" name="Connecteur droit avec flèche 51">
          <a:extLst>
            <a:ext uri="{FF2B5EF4-FFF2-40B4-BE49-F238E27FC236}">
              <a16:creationId xmlns:a16="http://schemas.microsoft.com/office/drawing/2014/main" id="{AE232A22-F537-410D-A0D5-9344C19985E0}"/>
            </a:ext>
          </a:extLst>
        </xdr:cNvPr>
        <xdr:cNvCxnSpPr/>
      </xdr:nvCxnSpPr>
      <xdr:spPr>
        <a:xfrm>
          <a:off x="2816070" y="1919472"/>
          <a:ext cx="694893" cy="897841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16014D-321F-4496-BB75-D9FE3B93155B}" name="Tableau1" displayName="Tableau1" ref="C3:AA18" totalsRowShown="0">
  <autoFilter ref="C3:AA18" xr:uid="{3816014D-321F-4496-BB75-D9FE3B93155B}"/>
  <tableColumns count="25">
    <tableColumn id="1" xr3:uid="{3250EFE0-D9A6-43E0-881A-1E2F65052EF9}" name="IC"/>
    <tableColumn id="25" xr3:uid="{29AC5D4B-E30D-49EF-B245-55806969662D}" name="nickname"/>
    <tableColumn id="2" xr3:uid="{E4BEE50D-07FE-442F-94E1-A7A1183F8BAE}" name="Power Name 1"/>
    <tableColumn id="3" xr3:uid="{C752E68F-C1ED-4FED-A557-7240030ADB83}" name="Voltage 1"/>
    <tableColumn id="4" xr3:uid="{750801C3-DE36-463C-A59B-6E522275AF14}" name="Power Name 2"/>
    <tableColumn id="5" xr3:uid="{F4D2EFAF-260F-489F-AF68-841D4D58C26B}" name="Voltage 2"/>
    <tableColumn id="6" xr3:uid="{DB40C943-39DF-41E3-A1CD-1409583D0777}" name="Power Name 3"/>
    <tableColumn id="7" xr3:uid="{6ED7D138-B8BE-4AAA-8D11-70D955C890D8}" name="Voltage 3"/>
    <tableColumn id="8" xr3:uid="{B4DD861C-4106-4129-9C68-AE20113CE76C}" name="Power Name 4"/>
    <tableColumn id="9" xr3:uid="{946C55D9-07D4-4FD1-A853-BE8F30F9A232}" name="Voltage 4"/>
    <tableColumn id="10" xr3:uid="{97A9DEC2-4DAD-43FD-8C8C-6864AAE47E3F}" name="Power Name 5"/>
    <tableColumn id="11" xr3:uid="{B581FF75-B14D-4B47-B392-894FAA01CBF9}" name="Voltage 5"/>
    <tableColumn id="12" xr3:uid="{F6B0A055-DC77-4C0E-942C-6CD22631DDEA}" name="Power Name 6"/>
    <tableColumn id="13" xr3:uid="{7AB3DFEF-E602-48B7-99E0-DB271474BA04}" name="Voltage 6"/>
    <tableColumn id="14" xr3:uid="{BD69DA9B-DCF7-4299-A501-2281BF56E354}" name="Power Name 7"/>
    <tableColumn id="15" xr3:uid="{C256E04A-D628-435B-AC50-8E8248F38793}" name="Voltage 7"/>
    <tableColumn id="16" xr3:uid="{B6158E2B-076A-4F78-AEBC-4FC839167354}" name="Power Name 8"/>
    <tableColumn id="17" xr3:uid="{A16B5114-ED41-4737-9926-FCD18EDE6FBC}" name="Voltage 8"/>
    <tableColumn id="18" xr3:uid="{965548BC-5578-4E92-A557-7085D3AD8E68}" name="Power Name 9"/>
    <tableColumn id="19" xr3:uid="{DB9B45C9-B337-4FC7-B130-B237A2650CA2}" name="Voltage 9"/>
    <tableColumn id="20" xr3:uid="{9DC2D1ED-55E3-4317-8EEB-7A8941954492}" name="Power Name 10"/>
    <tableColumn id="21" xr3:uid="{D9A9FD2E-BE18-41D5-90DB-7E1842F3F809}" name="Voltage 10"/>
    <tableColumn id="22" xr3:uid="{679D3179-4C47-4502-8459-A3BB74528DA2}" name="Power Name 11"/>
    <tableColumn id="23" xr3:uid="{BDCA2B85-9C01-4BB0-9855-CE4F5DFFF04B}" name="Voltage 11"/>
    <tableColumn id="24" xr3:uid="{4132500A-2D09-46B9-9333-940ACC74199E}" name="Power Name 1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27C756-F506-46F1-8E4D-7BA176E54608}" name="Tableau2" displayName="Tableau2" ref="G6:I28" totalsRowShown="0">
  <autoFilter ref="G6:I28" xr:uid="{5727C756-F506-46F1-8E4D-7BA176E54608}"/>
  <tableColumns count="3">
    <tableColumn id="1" xr3:uid="{89F1DA81-9058-4B1C-BA96-A8F0FCFF4F22}" name="Name"/>
    <tableColumn id="2" xr3:uid="{6AABB9C2-4C28-4B4A-AF3F-E3C2561483C0}" name="Current (mA)"/>
    <tableColumn id="3" xr3:uid="{13377734-F6D7-4275-9A25-1E6270D0E3DC}" name="Voltage net lis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CA1BCB-75F9-40CA-B657-9CF1B8912621}" name="Tableau3" displayName="Tableau3" ref="D6:E18" totalsRowShown="0">
  <autoFilter ref="D6:E18" xr:uid="{76CA1BCB-75F9-40CA-B657-9CF1B8912621}"/>
  <tableColumns count="2">
    <tableColumn id="1" xr3:uid="{4B3EF395-A155-4FC8-8B38-001D624A76F1}" name="Colonne1"/>
    <tableColumn id="2" xr3:uid="{DB518B51-5793-404E-A988-73307184A8D5}" name="Colonne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18"/>
  <sheetViews>
    <sheetView zoomScaleNormal="100" workbookViewId="0">
      <selection activeCell="E7" sqref="E7"/>
    </sheetView>
  </sheetViews>
  <sheetFormatPr baseColWidth="10" defaultColWidth="8.88671875" defaultRowHeight="14.4" x14ac:dyDescent="0.3"/>
  <cols>
    <col min="3" max="3" width="17.88671875" customWidth="1"/>
    <col min="4" max="4" width="19.109375" bestFit="1" customWidth="1"/>
    <col min="5" max="5" width="19.109375" customWidth="1"/>
    <col min="6" max="6" width="14.88671875" customWidth="1"/>
    <col min="7" max="7" width="15.44140625" bestFit="1" customWidth="1"/>
    <col min="8" max="8" width="14.88671875" customWidth="1"/>
    <col min="9" max="9" width="10.5546875" customWidth="1"/>
    <col min="10" max="10" width="14.88671875" customWidth="1"/>
    <col min="11" max="11" width="10.5546875" customWidth="1"/>
    <col min="12" max="12" width="14.88671875" customWidth="1"/>
    <col min="13" max="13" width="10.5546875" customWidth="1"/>
    <col min="14" max="14" width="14.88671875" customWidth="1"/>
    <col min="15" max="15" width="10.5546875" customWidth="1"/>
    <col min="16" max="16" width="14.88671875" customWidth="1"/>
    <col min="17" max="17" width="10.5546875" customWidth="1"/>
    <col min="18" max="18" width="14.88671875" customWidth="1"/>
    <col min="19" max="19" width="10.5546875" customWidth="1"/>
    <col min="20" max="20" width="14.88671875" customWidth="1"/>
    <col min="21" max="21" width="10.5546875" customWidth="1"/>
    <col min="22" max="22" width="14.88671875" customWidth="1"/>
    <col min="23" max="23" width="10.5546875" customWidth="1"/>
    <col min="24" max="24" width="15.88671875" customWidth="1"/>
    <col min="25" max="25" width="11.5546875" customWidth="1"/>
    <col min="26" max="26" width="15.88671875" customWidth="1"/>
    <col min="27" max="27" width="11.5546875" customWidth="1"/>
    <col min="28" max="28" width="15.88671875" customWidth="1"/>
  </cols>
  <sheetData>
    <row r="2" spans="1:27" x14ac:dyDescent="0.3">
      <c r="A2" s="1" t="s">
        <v>29</v>
      </c>
    </row>
    <row r="3" spans="1:27" x14ac:dyDescent="0.3">
      <c r="A3" s="3" t="s">
        <v>30</v>
      </c>
      <c r="C3" t="s">
        <v>0</v>
      </c>
      <c r="D3" t="s">
        <v>37</v>
      </c>
      <c r="E3" t="s">
        <v>1</v>
      </c>
      <c r="F3" t="s">
        <v>2</v>
      </c>
      <c r="G3" t="s">
        <v>3</v>
      </c>
      <c r="H3" t="s">
        <v>4</v>
      </c>
      <c r="I3" t="s">
        <v>5</v>
      </c>
      <c r="J3" t="s">
        <v>6</v>
      </c>
      <c r="K3" t="s">
        <v>7</v>
      </c>
      <c r="L3" t="s">
        <v>8</v>
      </c>
      <c r="M3" t="s">
        <v>9</v>
      </c>
      <c r="N3" t="s">
        <v>10</v>
      </c>
      <c r="O3" t="s">
        <v>11</v>
      </c>
      <c r="P3" t="s">
        <v>12</v>
      </c>
      <c r="Q3" t="s">
        <v>13</v>
      </c>
      <c r="R3" t="s">
        <v>14</v>
      </c>
      <c r="S3" t="s">
        <v>15</v>
      </c>
      <c r="T3" t="s">
        <v>16</v>
      </c>
      <c r="U3" t="s">
        <v>17</v>
      </c>
      <c r="V3" t="s">
        <v>18</v>
      </c>
      <c r="W3" t="s">
        <v>19</v>
      </c>
      <c r="X3" t="s">
        <v>20</v>
      </c>
      <c r="Y3" t="s">
        <v>21</v>
      </c>
      <c r="Z3" t="s">
        <v>22</v>
      </c>
      <c r="AA3" t="s">
        <v>23</v>
      </c>
    </row>
    <row r="4" spans="1:27" x14ac:dyDescent="0.3">
      <c r="A4" s="2" t="s">
        <v>31</v>
      </c>
      <c r="C4" t="s">
        <v>24</v>
      </c>
      <c r="D4" t="s">
        <v>38</v>
      </c>
    </row>
    <row r="5" spans="1:27" x14ac:dyDescent="0.3">
      <c r="A5" s="4" t="s">
        <v>54</v>
      </c>
      <c r="C5" t="s">
        <v>25</v>
      </c>
      <c r="D5" t="s">
        <v>39</v>
      </c>
      <c r="E5" t="s">
        <v>26</v>
      </c>
      <c r="F5">
        <v>3.3</v>
      </c>
      <c r="G5" s="1" t="s">
        <v>27</v>
      </c>
      <c r="H5" s="1" t="s">
        <v>28</v>
      </c>
      <c r="I5" s="1" t="s">
        <v>52</v>
      </c>
      <c r="J5" s="1" t="s">
        <v>28</v>
      </c>
    </row>
    <row r="6" spans="1:27" x14ac:dyDescent="0.3">
      <c r="A6" s="5" t="s">
        <v>59</v>
      </c>
      <c r="C6" t="s">
        <v>32</v>
      </c>
      <c r="D6" t="s">
        <v>40</v>
      </c>
      <c r="E6" s="2" t="s">
        <v>33</v>
      </c>
      <c r="F6" s="2">
        <v>5</v>
      </c>
    </row>
    <row r="7" spans="1:27" x14ac:dyDescent="0.3">
      <c r="C7" t="s">
        <v>34</v>
      </c>
      <c r="D7" t="s">
        <v>41</v>
      </c>
      <c r="E7" t="s">
        <v>35</v>
      </c>
      <c r="F7">
        <v>1.5</v>
      </c>
      <c r="G7" t="s">
        <v>36</v>
      </c>
      <c r="H7">
        <v>1.5</v>
      </c>
      <c r="I7" s="6" t="s">
        <v>53</v>
      </c>
      <c r="J7" s="6">
        <v>0.75</v>
      </c>
      <c r="K7" s="6" t="s">
        <v>55</v>
      </c>
      <c r="L7" s="6">
        <v>0.75</v>
      </c>
      <c r="M7" s="4" t="s">
        <v>89</v>
      </c>
      <c r="N7" s="4">
        <v>0.75</v>
      </c>
    </row>
    <row r="8" spans="1:27" x14ac:dyDescent="0.3">
      <c r="C8" t="s">
        <v>42</v>
      </c>
      <c r="D8" t="s">
        <v>43</v>
      </c>
      <c r="E8" s="2" t="s">
        <v>50</v>
      </c>
      <c r="F8" s="2">
        <v>5</v>
      </c>
      <c r="G8" t="s">
        <v>44</v>
      </c>
      <c r="H8" t="s">
        <v>45</v>
      </c>
    </row>
    <row r="9" spans="1:27" x14ac:dyDescent="0.3">
      <c r="C9" t="s">
        <v>46</v>
      </c>
      <c r="D9" t="s">
        <v>47</v>
      </c>
      <c r="E9" s="2" t="s">
        <v>49</v>
      </c>
      <c r="F9" s="2">
        <v>5</v>
      </c>
      <c r="G9" t="s">
        <v>48</v>
      </c>
      <c r="H9">
        <v>3.3</v>
      </c>
      <c r="I9" s="2" t="s">
        <v>51</v>
      </c>
      <c r="J9" s="2">
        <v>3.3</v>
      </c>
    </row>
    <row r="10" spans="1:27" x14ac:dyDescent="0.3">
      <c r="C10" t="s">
        <v>56</v>
      </c>
      <c r="D10" t="s">
        <v>57</v>
      </c>
      <c r="E10" t="s">
        <v>35</v>
      </c>
      <c r="F10">
        <v>3.3</v>
      </c>
    </row>
    <row r="11" spans="1:27" x14ac:dyDescent="0.3">
      <c r="C11" t="s">
        <v>58</v>
      </c>
      <c r="D11" t="s">
        <v>61</v>
      </c>
      <c r="E11" s="5" t="s">
        <v>60</v>
      </c>
      <c r="F11" s="5">
        <v>3.3</v>
      </c>
      <c r="G11" t="s">
        <v>62</v>
      </c>
      <c r="H11">
        <v>3.3</v>
      </c>
    </row>
    <row r="12" spans="1:27" x14ac:dyDescent="0.3">
      <c r="C12" t="s">
        <v>63</v>
      </c>
      <c r="D12" t="s">
        <v>64</v>
      </c>
      <c r="E12" t="s">
        <v>65</v>
      </c>
      <c r="F12">
        <v>3.3</v>
      </c>
    </row>
    <row r="13" spans="1:27" x14ac:dyDescent="0.3">
      <c r="C13" t="s">
        <v>66</v>
      </c>
      <c r="D13" t="s">
        <v>67</v>
      </c>
      <c r="E13" t="s">
        <v>68</v>
      </c>
      <c r="F13">
        <v>24</v>
      </c>
      <c r="G13" t="s">
        <v>44</v>
      </c>
      <c r="H13">
        <v>3.3</v>
      </c>
    </row>
    <row r="14" spans="1:27" x14ac:dyDescent="0.3">
      <c r="C14" t="s">
        <v>69</v>
      </c>
      <c r="D14" t="s">
        <v>70</v>
      </c>
      <c r="E14" t="s">
        <v>71</v>
      </c>
      <c r="F14" t="s">
        <v>72</v>
      </c>
      <c r="G14" s="5" t="s">
        <v>73</v>
      </c>
      <c r="H14" s="5">
        <v>3.3</v>
      </c>
    </row>
    <row r="15" spans="1:27" x14ac:dyDescent="0.3">
      <c r="C15" t="s">
        <v>74</v>
      </c>
      <c r="D15" t="s">
        <v>78</v>
      </c>
      <c r="E15" s="5" t="s">
        <v>75</v>
      </c>
      <c r="F15" s="5">
        <v>1.8</v>
      </c>
      <c r="G15" t="s">
        <v>76</v>
      </c>
      <c r="H15">
        <v>1.8</v>
      </c>
      <c r="I15" s="5" t="s">
        <v>77</v>
      </c>
      <c r="J15" s="5">
        <v>3.3</v>
      </c>
    </row>
    <row r="16" spans="1:27" x14ac:dyDescent="0.3">
      <c r="C16" t="s">
        <v>79</v>
      </c>
      <c r="D16" t="s">
        <v>80</v>
      </c>
      <c r="E16" s="5" t="s">
        <v>81</v>
      </c>
      <c r="F16" s="5">
        <v>3.3</v>
      </c>
      <c r="G16" t="s">
        <v>82</v>
      </c>
      <c r="H16">
        <v>1.8</v>
      </c>
    </row>
    <row r="17" spans="3:8" x14ac:dyDescent="0.3">
      <c r="C17" t="s">
        <v>83</v>
      </c>
      <c r="D17" t="s">
        <v>84</v>
      </c>
      <c r="E17" s="5" t="s">
        <v>85</v>
      </c>
      <c r="F17" s="5">
        <v>-2.5</v>
      </c>
      <c r="G17" s="5" t="s">
        <v>86</v>
      </c>
      <c r="H17" s="5">
        <v>2.5</v>
      </c>
    </row>
    <row r="18" spans="3:8" x14ac:dyDescent="0.3">
      <c r="C18" t="s">
        <v>87</v>
      </c>
      <c r="D18" t="s">
        <v>88</v>
      </c>
      <c r="E18" t="s">
        <v>90</v>
      </c>
      <c r="F18">
        <v>3.3</v>
      </c>
      <c r="G18" t="s">
        <v>36</v>
      </c>
      <c r="H18">
        <v>1.5</v>
      </c>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A1996-AD2B-4FE9-96E1-5059264D70BB}">
  <dimension ref="B5:I28"/>
  <sheetViews>
    <sheetView zoomScale="115" zoomScaleNormal="115" workbookViewId="0">
      <selection activeCell="C25" sqref="C25"/>
    </sheetView>
  </sheetViews>
  <sheetFormatPr baseColWidth="10" defaultRowHeight="14.4" x14ac:dyDescent="0.3"/>
  <cols>
    <col min="4" max="4" width="13.109375" bestFit="1" customWidth="1"/>
    <col min="7" max="7" width="16.33203125" bestFit="1" customWidth="1"/>
    <col min="8" max="8" width="13.21875" customWidth="1"/>
    <col min="9" max="9" width="15" customWidth="1"/>
  </cols>
  <sheetData>
    <row r="5" spans="2:9" x14ac:dyDescent="0.3">
      <c r="B5" s="2" t="s">
        <v>96</v>
      </c>
      <c r="D5" s="3" t="s">
        <v>92</v>
      </c>
      <c r="E5" s="3" t="s">
        <v>102</v>
      </c>
    </row>
    <row r="6" spans="2:9" x14ac:dyDescent="0.3">
      <c r="B6" t="s">
        <v>97</v>
      </c>
      <c r="D6" t="s">
        <v>128</v>
      </c>
      <c r="E6" t="s">
        <v>129</v>
      </c>
      <c r="G6" t="s">
        <v>91</v>
      </c>
      <c r="H6" t="s">
        <v>105</v>
      </c>
      <c r="I6" t="s">
        <v>92</v>
      </c>
    </row>
    <row r="7" spans="2:9" x14ac:dyDescent="0.3">
      <c r="B7" t="s">
        <v>98</v>
      </c>
      <c r="D7" t="s">
        <v>93</v>
      </c>
      <c r="E7">
        <v>3.3</v>
      </c>
      <c r="G7" t="s">
        <v>70</v>
      </c>
      <c r="H7">
        <v>50</v>
      </c>
      <c r="I7" t="s">
        <v>95</v>
      </c>
    </row>
    <row r="8" spans="2:9" x14ac:dyDescent="0.3">
      <c r="B8" t="s">
        <v>99</v>
      </c>
      <c r="D8" t="s">
        <v>94</v>
      </c>
      <c r="E8">
        <v>3.3</v>
      </c>
      <c r="G8" t="s">
        <v>106</v>
      </c>
      <c r="H8">
        <v>20</v>
      </c>
      <c r="I8" t="s">
        <v>95</v>
      </c>
    </row>
    <row r="9" spans="2:9" x14ac:dyDescent="0.3">
      <c r="B9" t="s">
        <v>100</v>
      </c>
      <c r="D9" t="s">
        <v>95</v>
      </c>
      <c r="E9">
        <v>3.3</v>
      </c>
      <c r="G9" t="s">
        <v>107</v>
      </c>
      <c r="H9">
        <v>25</v>
      </c>
      <c r="I9" t="s">
        <v>95</v>
      </c>
    </row>
    <row r="10" spans="2:9" x14ac:dyDescent="0.3">
      <c r="B10" t="s">
        <v>89</v>
      </c>
      <c r="D10" t="s">
        <v>101</v>
      </c>
      <c r="E10">
        <v>24</v>
      </c>
      <c r="G10" t="s">
        <v>61</v>
      </c>
      <c r="H10">
        <v>500</v>
      </c>
      <c r="I10" t="s">
        <v>95</v>
      </c>
    </row>
    <row r="11" spans="2:9" x14ac:dyDescent="0.3">
      <c r="B11" t="s">
        <v>141</v>
      </c>
      <c r="D11" t="s">
        <v>145</v>
      </c>
      <c r="E11">
        <v>5.5</v>
      </c>
      <c r="G11" t="s">
        <v>108</v>
      </c>
      <c r="H11">
        <v>5</v>
      </c>
      <c r="I11" t="s">
        <v>95</v>
      </c>
    </row>
    <row r="12" spans="2:9" x14ac:dyDescent="0.3">
      <c r="D12" t="s">
        <v>116</v>
      </c>
      <c r="E12">
        <v>5</v>
      </c>
      <c r="G12" t="s">
        <v>109</v>
      </c>
      <c r="H12">
        <v>1</v>
      </c>
      <c r="I12" t="s">
        <v>95</v>
      </c>
    </row>
    <row r="13" spans="2:9" x14ac:dyDescent="0.3">
      <c r="D13" t="str">
        <f>"-7V"</f>
        <v>-7V</v>
      </c>
      <c r="E13">
        <v>-7</v>
      </c>
      <c r="G13" t="s">
        <v>110</v>
      </c>
      <c r="H13">
        <v>5</v>
      </c>
      <c r="I13" t="s">
        <v>95</v>
      </c>
    </row>
    <row r="14" spans="2:9" x14ac:dyDescent="0.3">
      <c r="D14" t="str">
        <f>"-5V"</f>
        <v>-5V</v>
      </c>
      <c r="E14">
        <v>-5</v>
      </c>
      <c r="G14" t="s">
        <v>113</v>
      </c>
      <c r="H14">
        <v>300</v>
      </c>
      <c r="I14" t="s">
        <v>95</v>
      </c>
    </row>
    <row r="15" spans="2:9" x14ac:dyDescent="0.3">
      <c r="D15" t="s">
        <v>103</v>
      </c>
      <c r="E15">
        <v>1.8</v>
      </c>
      <c r="G15" t="s">
        <v>41</v>
      </c>
      <c r="H15">
        <v>750</v>
      </c>
      <c r="I15" t="s">
        <v>104</v>
      </c>
    </row>
    <row r="16" spans="2:9" x14ac:dyDescent="0.3">
      <c r="D16" t="s">
        <v>104</v>
      </c>
      <c r="E16">
        <v>1.5</v>
      </c>
      <c r="G16" t="s">
        <v>78</v>
      </c>
      <c r="H16">
        <v>55</v>
      </c>
      <c r="I16" t="s">
        <v>94</v>
      </c>
    </row>
    <row r="17" spans="4:9" x14ac:dyDescent="0.3">
      <c r="D17" t="s">
        <v>89</v>
      </c>
      <c r="E17">
        <v>0.75</v>
      </c>
      <c r="G17" t="s">
        <v>80</v>
      </c>
      <c r="H17">
        <v>320</v>
      </c>
      <c r="I17" t="s">
        <v>93</v>
      </c>
    </row>
    <row r="18" spans="4:9" x14ac:dyDescent="0.3">
      <c r="D18" t="s">
        <v>119</v>
      </c>
      <c r="E18">
        <v>1.2</v>
      </c>
      <c r="G18" t="s">
        <v>111</v>
      </c>
      <c r="H18">
        <v>80</v>
      </c>
      <c r="I18" t="s">
        <v>95</v>
      </c>
    </row>
    <row r="19" spans="4:9" x14ac:dyDescent="0.3">
      <c r="G19" t="s">
        <v>112</v>
      </c>
      <c r="H19">
        <v>140</v>
      </c>
      <c r="I19" t="s">
        <v>104</v>
      </c>
    </row>
    <row r="20" spans="4:9" x14ac:dyDescent="0.3">
      <c r="G20" t="s">
        <v>114</v>
      </c>
      <c r="H20">
        <v>100</v>
      </c>
      <c r="I20" t="s">
        <v>95</v>
      </c>
    </row>
    <row r="21" spans="4:9" x14ac:dyDescent="0.3">
      <c r="G21" t="s">
        <v>78</v>
      </c>
      <c r="H21">
        <v>500</v>
      </c>
      <c r="I21" t="s">
        <v>103</v>
      </c>
    </row>
    <row r="22" spans="4:9" x14ac:dyDescent="0.3">
      <c r="G22" t="s">
        <v>80</v>
      </c>
      <c r="H22">
        <v>180</v>
      </c>
      <c r="I22" t="s">
        <v>103</v>
      </c>
    </row>
    <row r="23" spans="4:9" x14ac:dyDescent="0.3">
      <c r="G23" t="s">
        <v>115</v>
      </c>
      <c r="H23">
        <v>60</v>
      </c>
      <c r="I23" t="s">
        <v>116</v>
      </c>
    </row>
    <row r="24" spans="4:9" x14ac:dyDescent="0.3">
      <c r="G24" t="s">
        <v>117</v>
      </c>
      <c r="H24">
        <v>60</v>
      </c>
      <c r="I24" t="s">
        <v>118</v>
      </c>
    </row>
    <row r="25" spans="4:9" x14ac:dyDescent="0.3">
      <c r="G25" t="s">
        <v>89</v>
      </c>
      <c r="H25">
        <v>50</v>
      </c>
      <c r="I25" t="s">
        <v>89</v>
      </c>
    </row>
    <row r="26" spans="4:9" x14ac:dyDescent="0.3">
      <c r="G26" t="s">
        <v>120</v>
      </c>
      <c r="H26">
        <v>250</v>
      </c>
      <c r="I26" t="s">
        <v>95</v>
      </c>
    </row>
    <row r="27" spans="4:9" x14ac:dyDescent="0.3">
      <c r="G27" t="s">
        <v>121</v>
      </c>
      <c r="H27">
        <v>3000</v>
      </c>
      <c r="I27" t="s">
        <v>119</v>
      </c>
    </row>
    <row r="28" spans="4:9" x14ac:dyDescent="0.3">
      <c r="G28" t="s">
        <v>140</v>
      </c>
      <c r="H28">
        <v>3800</v>
      </c>
      <c r="I28" t="s">
        <v>101</v>
      </c>
    </row>
  </sheetData>
  <dataValidations count="1">
    <dataValidation type="list" allowBlank="1" showInputMessage="1" showErrorMessage="1" sqref="I7:I28" xr:uid="{CC5CAFFF-68DD-468D-BDB2-64D11CE0F47B}">
      <formula1>V_NET_LIST</formula1>
    </dataValidation>
  </dataValidation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8E0A-FAAA-45F3-9E9F-6A7A583E1873}">
  <dimension ref="B3:AH85"/>
  <sheetViews>
    <sheetView tabSelected="1" zoomScale="85" zoomScaleNormal="85" workbookViewId="0">
      <selection activeCell="M42" sqref="M42"/>
    </sheetView>
  </sheetViews>
  <sheetFormatPr baseColWidth="10" defaultRowHeight="14.4" x14ac:dyDescent="0.3"/>
  <cols>
    <col min="1" max="1" width="5.77734375" customWidth="1"/>
    <col min="2" max="2" width="11.77734375" customWidth="1"/>
    <col min="3" max="3" width="5.77734375" customWidth="1"/>
    <col min="4" max="4" width="4.77734375" customWidth="1"/>
    <col min="5" max="5" width="11.77734375" customWidth="1"/>
    <col min="6" max="7" width="5.77734375" customWidth="1"/>
    <col min="8" max="8" width="11.77734375" customWidth="1"/>
    <col min="9" max="9" width="5.77734375" customWidth="1"/>
    <col min="10" max="10" width="4.77734375" customWidth="1"/>
    <col min="11" max="11" width="11.77734375" customWidth="1"/>
    <col min="12" max="14" width="5.77734375" customWidth="1"/>
    <col min="15" max="15" width="11.77734375" customWidth="1"/>
    <col min="16" max="16" width="5.77734375" customWidth="1"/>
    <col min="17" max="17" width="4.33203125" customWidth="1"/>
    <col min="18" max="18" width="11.77734375" customWidth="1"/>
    <col min="19" max="22" width="5.77734375" customWidth="1"/>
    <col min="23" max="23" width="11.77734375" bestFit="1" customWidth="1"/>
    <col min="24" max="24" width="5.77734375" customWidth="1"/>
    <col min="25" max="25" width="4.33203125" bestFit="1" customWidth="1"/>
    <col min="26" max="26" width="11.77734375" bestFit="1" customWidth="1"/>
    <col min="27" max="30" width="5.77734375" customWidth="1"/>
    <col min="31" max="31" width="11.77734375" bestFit="1" customWidth="1"/>
    <col min="32" max="150" width="5.77734375" customWidth="1"/>
  </cols>
  <sheetData>
    <row r="3" spans="2:34" x14ac:dyDescent="0.3">
      <c r="AE3" s="31" t="s">
        <v>136</v>
      </c>
      <c r="AF3" s="32"/>
      <c r="AG3" s="33" t="s">
        <v>137</v>
      </c>
      <c r="AH3" s="34"/>
    </row>
    <row r="4" spans="2:34" x14ac:dyDescent="0.3">
      <c r="AE4" s="17" t="s">
        <v>101</v>
      </c>
      <c r="AF4" s="16">
        <f>VLOOKUP(AE4,Tableau3[#All],2,FALSE)</f>
        <v>24</v>
      </c>
      <c r="AG4" s="17">
        <f>SUMIF(Tableau2[Voltage net list],Feuil3!AE4,Tableau2[Current (mA)])</f>
        <v>3800</v>
      </c>
      <c r="AH4" s="16" t="s">
        <v>138</v>
      </c>
    </row>
    <row r="5" spans="2:34" x14ac:dyDescent="0.3">
      <c r="AE5" s="35" t="s">
        <v>124</v>
      </c>
      <c r="AF5" s="36"/>
      <c r="AG5" s="36"/>
      <c r="AH5" s="37"/>
    </row>
    <row r="6" spans="2:34" ht="15" thickBot="1" x14ac:dyDescent="0.35">
      <c r="AE6" s="38">
        <f>AF4*(AG4/1000)</f>
        <v>91.199999999999989</v>
      </c>
      <c r="AF6" s="39"/>
      <c r="AG6" s="29" t="s">
        <v>139</v>
      </c>
      <c r="AH6" s="30"/>
    </row>
    <row r="7" spans="2:34" ht="15" thickBot="1" x14ac:dyDescent="0.35">
      <c r="B7" s="26" t="s">
        <v>122</v>
      </c>
      <c r="C7" s="27"/>
      <c r="D7" s="27"/>
      <c r="E7" s="28"/>
      <c r="H7" s="26" t="s">
        <v>148</v>
      </c>
      <c r="I7" s="27"/>
      <c r="J7" s="27"/>
      <c r="K7" s="28"/>
      <c r="O7" s="26" t="s">
        <v>147</v>
      </c>
      <c r="P7" s="27"/>
      <c r="Q7" s="27"/>
      <c r="R7" s="28"/>
      <c r="W7" s="26" t="s">
        <v>147</v>
      </c>
      <c r="X7" s="27"/>
      <c r="Y7" s="27"/>
      <c r="Z7" s="28"/>
    </row>
    <row r="8" spans="2:34" ht="15" thickBot="1" x14ac:dyDescent="0.35">
      <c r="B8" s="18" t="s">
        <v>141</v>
      </c>
      <c r="C8" s="19"/>
      <c r="D8" s="12" t="s">
        <v>123</v>
      </c>
      <c r="E8" s="13">
        <v>1</v>
      </c>
      <c r="H8" s="18" t="s">
        <v>97</v>
      </c>
      <c r="I8" s="19"/>
      <c r="J8" s="12" t="s">
        <v>123</v>
      </c>
      <c r="K8" s="41">
        <v>0.85</v>
      </c>
      <c r="O8" s="18" t="s">
        <v>97</v>
      </c>
      <c r="P8" s="19"/>
      <c r="Q8" s="12" t="s">
        <v>123</v>
      </c>
      <c r="R8" s="41">
        <v>0.94</v>
      </c>
      <c r="W8" s="18" t="s">
        <v>97</v>
      </c>
      <c r="X8" s="19"/>
      <c r="Y8" s="12" t="s">
        <v>123</v>
      </c>
      <c r="Z8" s="41">
        <v>0.85</v>
      </c>
    </row>
    <row r="9" spans="2:34" ht="15" thickBot="1" x14ac:dyDescent="0.35">
      <c r="B9" s="20" t="s">
        <v>125</v>
      </c>
      <c r="C9" s="21"/>
      <c r="D9" s="21"/>
      <c r="E9" s="40" t="s">
        <v>143</v>
      </c>
      <c r="H9" s="20" t="s">
        <v>125</v>
      </c>
      <c r="I9" s="21"/>
      <c r="J9" s="21"/>
      <c r="K9" s="40">
        <v>5</v>
      </c>
      <c r="O9" s="20" t="s">
        <v>125</v>
      </c>
      <c r="P9" s="21"/>
      <c r="Q9" s="21"/>
      <c r="R9" s="40">
        <v>4</v>
      </c>
      <c r="W9" s="20" t="s">
        <v>125</v>
      </c>
      <c r="X9" s="21"/>
      <c r="Y9" s="21"/>
      <c r="Z9" s="40">
        <v>4</v>
      </c>
      <c r="AE9" s="31" t="s">
        <v>136</v>
      </c>
      <c r="AF9" s="32"/>
      <c r="AG9" s="33" t="s">
        <v>137</v>
      </c>
      <c r="AH9" s="34"/>
    </row>
    <row r="10" spans="2:34" x14ac:dyDescent="0.3">
      <c r="B10" s="8" t="s">
        <v>133</v>
      </c>
      <c r="C10" s="11"/>
      <c r="D10" s="11"/>
      <c r="E10" s="7" t="s">
        <v>134</v>
      </c>
      <c r="H10" s="8" t="s">
        <v>133</v>
      </c>
      <c r="I10" s="11"/>
      <c r="J10" s="11"/>
      <c r="K10" s="7" t="s">
        <v>134</v>
      </c>
      <c r="O10" s="8" t="s">
        <v>133</v>
      </c>
      <c r="P10" s="11"/>
      <c r="Q10" s="11"/>
      <c r="R10" s="7" t="s">
        <v>134</v>
      </c>
      <c r="W10" s="8" t="s">
        <v>133</v>
      </c>
      <c r="X10" s="11"/>
      <c r="Y10" s="11"/>
      <c r="Z10" s="7" t="s">
        <v>134</v>
      </c>
      <c r="AE10" s="17" t="s">
        <v>119</v>
      </c>
      <c r="AF10" s="16">
        <f>VLOOKUP(AE10,Tableau3[#All],2,FALSE)</f>
        <v>1.2</v>
      </c>
      <c r="AG10" s="17">
        <f>SUMIF(Tableau2[Voltage net list],Feuil3!AE10,Tableau2[Current (mA)])</f>
        <v>3000</v>
      </c>
      <c r="AH10" s="16" t="s">
        <v>138</v>
      </c>
    </row>
    <row r="11" spans="2:34" ht="15" thickBot="1" x14ac:dyDescent="0.35">
      <c r="B11" s="14" t="s">
        <v>101</v>
      </c>
      <c r="C11" s="11"/>
      <c r="D11" s="11"/>
      <c r="E11" s="14" t="s">
        <v>101</v>
      </c>
      <c r="H11" s="14" t="s">
        <v>101</v>
      </c>
      <c r="I11" s="11"/>
      <c r="J11" s="11"/>
      <c r="K11" s="14" t="s">
        <v>145</v>
      </c>
      <c r="O11" s="14" t="s">
        <v>145</v>
      </c>
      <c r="P11" s="11"/>
      <c r="Q11" s="11"/>
      <c r="R11" s="14" t="s">
        <v>95</v>
      </c>
      <c r="W11" s="14" t="s">
        <v>145</v>
      </c>
      <c r="X11" s="11"/>
      <c r="Y11" s="11"/>
      <c r="Z11" s="14" t="s">
        <v>119</v>
      </c>
      <c r="AE11" s="35" t="s">
        <v>124</v>
      </c>
      <c r="AF11" s="36"/>
      <c r="AG11" s="36"/>
      <c r="AH11" s="37"/>
    </row>
    <row r="12" spans="2:34" x14ac:dyDescent="0.3">
      <c r="B12" s="9" t="s">
        <v>127</v>
      </c>
      <c r="C12" s="11"/>
      <c r="D12" s="11"/>
      <c r="E12" s="9" t="s">
        <v>126</v>
      </c>
      <c r="H12" s="9" t="s">
        <v>127</v>
      </c>
      <c r="I12" s="11"/>
      <c r="J12" s="11"/>
      <c r="K12" s="9" t="s">
        <v>126</v>
      </c>
      <c r="O12" s="9" t="s">
        <v>127</v>
      </c>
      <c r="P12" s="11"/>
      <c r="Q12" s="11"/>
      <c r="R12" s="9" t="s">
        <v>126</v>
      </c>
      <c r="W12" s="9" t="s">
        <v>127</v>
      </c>
      <c r="X12" s="11"/>
      <c r="Y12" s="11"/>
      <c r="Z12" s="9" t="s">
        <v>126</v>
      </c>
      <c r="AE12" s="38">
        <f>AF10*(AG10/1000)</f>
        <v>3.5999999999999996</v>
      </c>
      <c r="AF12" s="39"/>
      <c r="AG12" s="29" t="s">
        <v>139</v>
      </c>
      <c r="AH12" s="30"/>
    </row>
    <row r="13" spans="2:34" ht="15" thickBot="1" x14ac:dyDescent="0.35">
      <c r="B13" s="15">
        <f>B15/VLOOKUP(B11,Tableau3[#All],2,FALSE)</f>
        <v>4.3060700017236959</v>
      </c>
      <c r="C13" s="11"/>
      <c r="D13" s="11"/>
      <c r="E13" s="15">
        <f>SUM(AG4/1000,H13,H62)</f>
        <v>4.3060700017236959</v>
      </c>
      <c r="H13" s="15">
        <f>H15/VLOOKUP(H11,Tableau3[#All],2,FALSE)</f>
        <v>0.47859747425116872</v>
      </c>
      <c r="I13" s="11"/>
      <c r="J13" s="11"/>
      <c r="K13" s="15">
        <f>SUM(O13,O39)</f>
        <v>1.7751615408588803</v>
      </c>
      <c r="O13" s="15">
        <f>O15/VLOOKUP(O11,Tableau3[#All],2,FALSE)</f>
        <v>1.6961101574596709</v>
      </c>
      <c r="P13" s="11"/>
      <c r="Q13" s="11"/>
      <c r="R13" s="15">
        <f>SUM(W35,W24,W46,W13,AG34/1000)</f>
        <v>2.6572392466868173</v>
      </c>
      <c r="W13" s="15">
        <f>W15/VLOOKUP(W11,Tableau3[#All],2,FALSE)</f>
        <v>0.77005347593582885</v>
      </c>
      <c r="X13" s="11"/>
      <c r="Y13" s="11"/>
      <c r="Z13" s="15">
        <f>SUMIF(Tableau2[Voltage net list],Feuil3!Z11,Tableau2[Current (mA)])/1000</f>
        <v>3</v>
      </c>
    </row>
    <row r="14" spans="2:34" x14ac:dyDescent="0.3">
      <c r="B14" s="10" t="s">
        <v>132</v>
      </c>
      <c r="C14" s="22" t="s">
        <v>131</v>
      </c>
      <c r="D14" s="23"/>
      <c r="E14" s="10" t="s">
        <v>130</v>
      </c>
      <c r="H14" s="10" t="s">
        <v>132</v>
      </c>
      <c r="I14" s="22" t="s">
        <v>131</v>
      </c>
      <c r="J14" s="23"/>
      <c r="K14" s="10" t="s">
        <v>130</v>
      </c>
      <c r="O14" s="10" t="s">
        <v>132</v>
      </c>
      <c r="P14" s="22" t="s">
        <v>131</v>
      </c>
      <c r="Q14" s="23"/>
      <c r="R14" s="10" t="s">
        <v>130</v>
      </c>
      <c r="W14" s="10" t="s">
        <v>132</v>
      </c>
      <c r="X14" s="22" t="s">
        <v>131</v>
      </c>
      <c r="Y14" s="23"/>
      <c r="Z14" s="10" t="s">
        <v>130</v>
      </c>
    </row>
    <row r="15" spans="2:34" ht="15" thickBot="1" x14ac:dyDescent="0.35">
      <c r="B15" s="15">
        <f>E15/E8</f>
        <v>103.34568004136869</v>
      </c>
      <c r="C15" s="24">
        <f>B15-E15</f>
        <v>0</v>
      </c>
      <c r="D15" s="25"/>
      <c r="E15" s="15">
        <f>VLOOKUP(E11,Tableau3[#All],2,FALSE)*E13</f>
        <v>103.34568004136869</v>
      </c>
      <c r="H15" s="15">
        <f>K15/K8</f>
        <v>11.486339382028049</v>
      </c>
      <c r="I15" s="24">
        <f>H15-K15</f>
        <v>1.7229509073042077</v>
      </c>
      <c r="J15" s="25"/>
      <c r="K15" s="15">
        <f>VLOOKUP(K11,Tableau3[#All],2,FALSE)*K13</f>
        <v>9.7633884747238415</v>
      </c>
      <c r="O15" s="15">
        <f>R15/R8</f>
        <v>9.3286058660281892</v>
      </c>
      <c r="P15" s="24">
        <f>O15-R15</f>
        <v>0.55971635196169167</v>
      </c>
      <c r="Q15" s="25"/>
      <c r="R15" s="15">
        <f>VLOOKUP(R11,Tableau3[#All],2,FALSE)*R13</f>
        <v>8.7688895140664975</v>
      </c>
      <c r="W15" s="15">
        <f>Z15/Z8</f>
        <v>4.2352941176470589</v>
      </c>
      <c r="X15" s="24">
        <f>W15-Z15</f>
        <v>0.63529411764705923</v>
      </c>
      <c r="Y15" s="25"/>
      <c r="Z15" s="15">
        <f>VLOOKUP(Z11,Tableau3[#All],2,FALSE)*Z13</f>
        <v>3.5999999999999996</v>
      </c>
      <c r="AE15" s="31" t="s">
        <v>136</v>
      </c>
      <c r="AF15" s="32"/>
      <c r="AG15" s="33" t="s">
        <v>137</v>
      </c>
      <c r="AH15" s="34"/>
    </row>
    <row r="16" spans="2:34" x14ac:dyDescent="0.3">
      <c r="AE16" s="17" t="s">
        <v>104</v>
      </c>
      <c r="AF16" s="16">
        <f>VLOOKUP(AE16,Tableau3[#All],2,FALSE)</f>
        <v>1.5</v>
      </c>
      <c r="AG16" s="17">
        <f>SUMIF(Tableau2[Voltage net list],Feuil3!AE16,Tableau2[Current (mA)])</f>
        <v>890</v>
      </c>
      <c r="AH16" s="16" t="s">
        <v>138</v>
      </c>
    </row>
    <row r="17" spans="23:34" ht="15" thickBot="1" x14ac:dyDescent="0.35">
      <c r="AE17" s="35" t="s">
        <v>124</v>
      </c>
      <c r="AF17" s="36"/>
      <c r="AG17" s="36"/>
      <c r="AH17" s="37"/>
    </row>
    <row r="18" spans="23:34" ht="15" thickBot="1" x14ac:dyDescent="0.35">
      <c r="W18" s="26" t="s">
        <v>149</v>
      </c>
      <c r="X18" s="27"/>
      <c r="Y18" s="27"/>
      <c r="Z18" s="28"/>
      <c r="AE18" s="38">
        <f>AF16*(AG16/1000)</f>
        <v>1.335</v>
      </c>
      <c r="AF18" s="39"/>
      <c r="AG18" s="29" t="s">
        <v>139</v>
      </c>
      <c r="AH18" s="30"/>
    </row>
    <row r="19" spans="23:34" ht="15" thickBot="1" x14ac:dyDescent="0.35">
      <c r="W19" s="18" t="s">
        <v>97</v>
      </c>
      <c r="X19" s="19"/>
      <c r="Y19" s="12" t="s">
        <v>123</v>
      </c>
      <c r="Z19" s="41">
        <v>0.92</v>
      </c>
    </row>
    <row r="20" spans="23:34" ht="15" thickBot="1" x14ac:dyDescent="0.35">
      <c r="W20" s="20" t="s">
        <v>125</v>
      </c>
      <c r="X20" s="21"/>
      <c r="Y20" s="21"/>
      <c r="Z20" s="40">
        <v>2</v>
      </c>
    </row>
    <row r="21" spans="23:34" x14ac:dyDescent="0.3">
      <c r="W21" s="8" t="s">
        <v>133</v>
      </c>
      <c r="X21" s="11"/>
      <c r="Y21" s="11"/>
      <c r="Z21" s="7" t="s">
        <v>134</v>
      </c>
      <c r="AE21" s="31" t="s">
        <v>136</v>
      </c>
      <c r="AF21" s="32"/>
      <c r="AG21" s="33" t="s">
        <v>137</v>
      </c>
      <c r="AH21" s="34"/>
    </row>
    <row r="22" spans="23:34" ht="15" thickBot="1" x14ac:dyDescent="0.35">
      <c r="W22" s="14" t="s">
        <v>145</v>
      </c>
      <c r="X22" s="11"/>
      <c r="Y22" s="11"/>
      <c r="Z22" s="14" t="s">
        <v>104</v>
      </c>
      <c r="AE22" s="17" t="s">
        <v>89</v>
      </c>
      <c r="AF22" s="16">
        <f>VLOOKUP(AE22,Tableau3[#All],2,FALSE)</f>
        <v>0.75</v>
      </c>
      <c r="AG22" s="17">
        <f>SUMIF(Tableau2[Voltage net list],Feuil3!AE22,Tableau2[Current (mA)])</f>
        <v>50</v>
      </c>
      <c r="AH22" s="16" t="s">
        <v>138</v>
      </c>
    </row>
    <row r="23" spans="23:34" x14ac:dyDescent="0.3">
      <c r="W23" s="9" t="s">
        <v>127</v>
      </c>
      <c r="X23" s="11"/>
      <c r="Y23" s="11"/>
      <c r="Z23" s="9" t="s">
        <v>126</v>
      </c>
      <c r="AE23" s="35" t="s">
        <v>124</v>
      </c>
      <c r="AF23" s="36"/>
      <c r="AG23" s="36"/>
      <c r="AH23" s="37"/>
    </row>
    <row r="24" spans="23:34" ht="15" thickBot="1" x14ac:dyDescent="0.35">
      <c r="W24" s="15">
        <f>W26/VLOOKUP(W22,Tableau3[#All],2,FALSE)</f>
        <v>0.26383399209486164</v>
      </c>
      <c r="X24" s="11"/>
      <c r="Y24" s="11"/>
      <c r="Z24" s="15">
        <f>SUMIF(Tableau2[Voltage net list],Feuil3!Z22,Tableau2[Current (mA)])/1000</f>
        <v>0.89</v>
      </c>
      <c r="AE24" s="38">
        <f>AF22*(AG22/1000)</f>
        <v>3.7500000000000006E-2</v>
      </c>
      <c r="AF24" s="39"/>
      <c r="AG24" s="29" t="s">
        <v>139</v>
      </c>
      <c r="AH24" s="30"/>
    </row>
    <row r="25" spans="23:34" x14ac:dyDescent="0.3">
      <c r="W25" s="10" t="s">
        <v>132</v>
      </c>
      <c r="X25" s="22" t="s">
        <v>131</v>
      </c>
      <c r="Y25" s="23"/>
      <c r="Z25" s="10" t="s">
        <v>130</v>
      </c>
    </row>
    <row r="26" spans="23:34" ht="15" thickBot="1" x14ac:dyDescent="0.35">
      <c r="W26" s="15">
        <f>Z26/Z19</f>
        <v>1.451086956521739</v>
      </c>
      <c r="X26" s="24">
        <f>W26-Z26</f>
        <v>0.11608695652173906</v>
      </c>
      <c r="Y26" s="25"/>
      <c r="Z26" s="15">
        <f>VLOOKUP(Z22,Tableau3[#All],2,FALSE)*Z24</f>
        <v>1.335</v>
      </c>
    </row>
    <row r="27" spans="23:34" x14ac:dyDescent="0.3">
      <c r="AE27" s="31" t="s">
        <v>136</v>
      </c>
      <c r="AF27" s="32"/>
      <c r="AG27" s="33" t="s">
        <v>137</v>
      </c>
      <c r="AH27" s="34"/>
    </row>
    <row r="28" spans="23:34" ht="15" thickBot="1" x14ac:dyDescent="0.35">
      <c r="AE28" s="17" t="s">
        <v>103</v>
      </c>
      <c r="AF28" s="16">
        <f>VLOOKUP(AE28,Tableau3[#All],2,FALSE)</f>
        <v>1.8</v>
      </c>
      <c r="AG28" s="17">
        <f>SUMIF(Tableau2[Voltage net list],Feuil3!AE28,Tableau2[Current (mA)])</f>
        <v>680</v>
      </c>
      <c r="AH28" s="16" t="s">
        <v>138</v>
      </c>
    </row>
    <row r="29" spans="23:34" ht="15" thickBot="1" x14ac:dyDescent="0.35">
      <c r="W29" s="26" t="s">
        <v>150</v>
      </c>
      <c r="X29" s="27"/>
      <c r="Y29" s="27"/>
      <c r="Z29" s="28"/>
      <c r="AE29" s="35" t="s">
        <v>124</v>
      </c>
      <c r="AF29" s="36"/>
      <c r="AG29" s="36"/>
      <c r="AH29" s="37"/>
    </row>
    <row r="30" spans="23:34" ht="15" thickBot="1" x14ac:dyDescent="0.35">
      <c r="W30" s="18" t="s">
        <v>89</v>
      </c>
      <c r="X30" s="19"/>
      <c r="Y30" s="12" t="s">
        <v>123</v>
      </c>
      <c r="Z30" s="43">
        <v>0.25</v>
      </c>
      <c r="AE30" s="38">
        <f>AF28*(AG28/1000)</f>
        <v>1.2240000000000002</v>
      </c>
      <c r="AF30" s="39"/>
      <c r="AG30" s="29" t="s">
        <v>139</v>
      </c>
      <c r="AH30" s="30"/>
    </row>
    <row r="31" spans="23:34" ht="15" thickBot="1" x14ac:dyDescent="0.35">
      <c r="W31" s="20" t="s">
        <v>125</v>
      </c>
      <c r="X31" s="21"/>
      <c r="Y31" s="21"/>
      <c r="Z31" s="40">
        <v>0.05</v>
      </c>
    </row>
    <row r="32" spans="23:34" ht="15" thickBot="1" x14ac:dyDescent="0.35">
      <c r="W32" s="8" t="s">
        <v>133</v>
      </c>
      <c r="X32" s="11"/>
      <c r="Y32" s="11"/>
      <c r="Z32" s="7" t="s">
        <v>134</v>
      </c>
    </row>
    <row r="33" spans="14:34" ht="15" thickBot="1" x14ac:dyDescent="0.35">
      <c r="N33" s="42"/>
      <c r="O33" s="26" t="s">
        <v>144</v>
      </c>
      <c r="P33" s="27"/>
      <c r="Q33" s="27"/>
      <c r="R33" s="28"/>
      <c r="W33" s="14" t="s">
        <v>95</v>
      </c>
      <c r="X33" s="11"/>
      <c r="Y33" s="11"/>
      <c r="Z33" s="14" t="s">
        <v>89</v>
      </c>
      <c r="AE33" s="31" t="s">
        <v>136</v>
      </c>
      <c r="AF33" s="32"/>
      <c r="AG33" s="33" t="s">
        <v>137</v>
      </c>
      <c r="AH33" s="34"/>
    </row>
    <row r="34" spans="14:34" ht="15" thickBot="1" x14ac:dyDescent="0.35">
      <c r="N34" s="42"/>
      <c r="O34" s="18" t="s">
        <v>98</v>
      </c>
      <c r="P34" s="19"/>
      <c r="Q34" s="12" t="s">
        <v>123</v>
      </c>
      <c r="R34" s="13">
        <v>0.69</v>
      </c>
      <c r="W34" s="9" t="s">
        <v>127</v>
      </c>
      <c r="X34" s="11"/>
      <c r="Y34" s="11"/>
      <c r="Z34" s="9" t="s">
        <v>126</v>
      </c>
      <c r="AE34" s="17" t="s">
        <v>95</v>
      </c>
      <c r="AF34" s="16">
        <f>VLOOKUP(AE34,Tableau3[#All],2,FALSE)</f>
        <v>3.3</v>
      </c>
      <c r="AG34" s="17">
        <f>SUMIF(Tableau2[Voltage net list],Feuil3!AE34,Tableau2[Current (mA)])</f>
        <v>1336</v>
      </c>
      <c r="AH34" s="16" t="s">
        <v>138</v>
      </c>
    </row>
    <row r="35" spans="14:34" ht="15" thickBot="1" x14ac:dyDescent="0.35">
      <c r="N35" s="42"/>
      <c r="O35" s="20" t="s">
        <v>125</v>
      </c>
      <c r="P35" s="21"/>
      <c r="Q35" s="21"/>
      <c r="R35" s="40">
        <v>1</v>
      </c>
      <c r="W35" s="15">
        <f>W37/VLOOKUP(W33,Tableau3[#All],2,FALSE)</f>
        <v>4.5454545454545463E-2</v>
      </c>
      <c r="X35" s="11"/>
      <c r="Y35" s="11"/>
      <c r="Z35" s="15">
        <f>SUMIF(Tableau2[Voltage net list],Feuil3!Z33,Tableau2[Current (mA)])/1000</f>
        <v>0.05</v>
      </c>
      <c r="AE35" s="35" t="s">
        <v>124</v>
      </c>
      <c r="AF35" s="36"/>
      <c r="AG35" s="36"/>
      <c r="AH35" s="37"/>
    </row>
    <row r="36" spans="14:34" x14ac:dyDescent="0.3">
      <c r="N36" s="42"/>
      <c r="O36" s="8" t="s">
        <v>133</v>
      </c>
      <c r="P36" s="11"/>
      <c r="Q36" s="11"/>
      <c r="R36" s="7" t="s">
        <v>134</v>
      </c>
      <c r="W36" s="10" t="s">
        <v>132</v>
      </c>
      <c r="X36" s="22" t="s">
        <v>131</v>
      </c>
      <c r="Y36" s="23"/>
      <c r="Z36" s="10" t="s">
        <v>130</v>
      </c>
      <c r="AE36" s="38">
        <f>AF34*(AG34/1000)</f>
        <v>4.4088000000000003</v>
      </c>
      <c r="AF36" s="39"/>
      <c r="AG36" s="29" t="s">
        <v>139</v>
      </c>
      <c r="AH36" s="30"/>
    </row>
    <row r="37" spans="14:34" ht="15" thickBot="1" x14ac:dyDescent="0.35">
      <c r="N37" s="42"/>
      <c r="O37" s="14" t="s">
        <v>145</v>
      </c>
      <c r="P37" s="11"/>
      <c r="Q37" s="11"/>
      <c r="R37" s="14" t="s">
        <v>116</v>
      </c>
      <c r="W37" s="15">
        <f>Z37/Z30</f>
        <v>0.15000000000000002</v>
      </c>
      <c r="X37" s="24">
        <f>W37-Z37</f>
        <v>0.11250000000000002</v>
      </c>
      <c r="Y37" s="25"/>
      <c r="Z37" s="15">
        <f>VLOOKUP(Z33,Tableau3[#All],2,FALSE)*Z35</f>
        <v>3.7500000000000006E-2</v>
      </c>
    </row>
    <row r="38" spans="14:34" x14ac:dyDescent="0.3">
      <c r="N38" s="42"/>
      <c r="O38" s="9" t="s">
        <v>127</v>
      </c>
      <c r="P38" s="11"/>
      <c r="Q38" s="11"/>
      <c r="R38" s="9" t="s">
        <v>126</v>
      </c>
    </row>
    <row r="39" spans="14:34" ht="15" thickBot="1" x14ac:dyDescent="0.35">
      <c r="N39" s="42"/>
      <c r="O39" s="15">
        <f>O41/VLOOKUP(O37,Tableau3[#All],2,FALSE)</f>
        <v>7.9051383399209488E-2</v>
      </c>
      <c r="P39" s="11"/>
      <c r="Q39" s="11"/>
      <c r="R39" s="15">
        <f>AG57/1000</f>
        <v>0.06</v>
      </c>
    </row>
    <row r="40" spans="14:34" ht="15" thickBot="1" x14ac:dyDescent="0.35">
      <c r="N40" s="42"/>
      <c r="O40" s="10" t="s">
        <v>132</v>
      </c>
      <c r="P40" s="22" t="s">
        <v>131</v>
      </c>
      <c r="Q40" s="23"/>
      <c r="R40" s="10" t="s">
        <v>130</v>
      </c>
      <c r="W40" s="26" t="s">
        <v>149</v>
      </c>
      <c r="X40" s="27"/>
      <c r="Y40" s="27"/>
      <c r="Z40" s="28"/>
    </row>
    <row r="41" spans="14:34" ht="15" thickBot="1" x14ac:dyDescent="0.35">
      <c r="N41" s="42"/>
      <c r="O41" s="15">
        <f>R41/R34</f>
        <v>0.43478260869565222</v>
      </c>
      <c r="P41" s="24">
        <f>O41-R41</f>
        <v>0.13478260869565223</v>
      </c>
      <c r="Q41" s="25"/>
      <c r="R41" s="15">
        <f>VLOOKUP(R37,Tableau3[#All],2,FALSE)*R39</f>
        <v>0.3</v>
      </c>
      <c r="W41" s="18" t="s">
        <v>97</v>
      </c>
      <c r="X41" s="19"/>
      <c r="Y41" s="12" t="s">
        <v>123</v>
      </c>
      <c r="Z41" s="41">
        <v>0.92</v>
      </c>
    </row>
    <row r="42" spans="14:34" ht="15" thickBot="1" x14ac:dyDescent="0.35">
      <c r="W42" s="20" t="s">
        <v>125</v>
      </c>
      <c r="X42" s="21"/>
      <c r="Y42" s="21"/>
      <c r="Z42" s="40">
        <v>2</v>
      </c>
    </row>
    <row r="43" spans="14:34" x14ac:dyDescent="0.3">
      <c r="W43" s="8" t="s">
        <v>133</v>
      </c>
      <c r="X43" s="11"/>
      <c r="Y43" s="11"/>
      <c r="Z43" s="7" t="s">
        <v>134</v>
      </c>
    </row>
    <row r="44" spans="14:34" ht="15" thickBot="1" x14ac:dyDescent="0.35">
      <c r="W44" s="14" t="s">
        <v>145</v>
      </c>
      <c r="X44" s="11"/>
      <c r="Y44" s="11"/>
      <c r="Z44" s="14" t="s">
        <v>103</v>
      </c>
    </row>
    <row r="45" spans="14:34" x14ac:dyDescent="0.3">
      <c r="W45" s="9" t="s">
        <v>127</v>
      </c>
      <c r="X45" s="11"/>
      <c r="Y45" s="11"/>
      <c r="Z45" s="9" t="s">
        <v>126</v>
      </c>
    </row>
    <row r="46" spans="14:34" ht="15" thickBot="1" x14ac:dyDescent="0.35">
      <c r="W46" s="15">
        <f>W48/VLOOKUP(W44,Tableau3[#All],2,FALSE)</f>
        <v>0.24189723320158105</v>
      </c>
      <c r="X46" s="11"/>
      <c r="Y46" s="11"/>
      <c r="Z46" s="15">
        <f>SUMIF(Tableau2[Voltage net list],Feuil3!Z44,Tableau2[Current (mA)])/1000</f>
        <v>0.68</v>
      </c>
    </row>
    <row r="47" spans="14:34" x14ac:dyDescent="0.3">
      <c r="W47" s="10" t="s">
        <v>132</v>
      </c>
      <c r="X47" s="22" t="s">
        <v>131</v>
      </c>
      <c r="Y47" s="23"/>
      <c r="Z47" s="10" t="s">
        <v>130</v>
      </c>
    </row>
    <row r="48" spans="14:34" ht="15" thickBot="1" x14ac:dyDescent="0.35">
      <c r="W48" s="15">
        <f>Z48/Z41</f>
        <v>1.3304347826086957</v>
      </c>
      <c r="X48" s="24">
        <f>W48-Z48</f>
        <v>0.10643478260869554</v>
      </c>
      <c r="Y48" s="25"/>
      <c r="Z48" s="15">
        <f>VLOOKUP(Z44,Tableau3[#All],2,FALSE)*Z46</f>
        <v>1.2240000000000002</v>
      </c>
    </row>
    <row r="50" spans="8:34" ht="15" thickBot="1" x14ac:dyDescent="0.35">
      <c r="N50" s="42"/>
    </row>
    <row r="51" spans="8:34" ht="15" thickBot="1" x14ac:dyDescent="0.35">
      <c r="N51" s="42"/>
      <c r="O51" s="26" t="s">
        <v>144</v>
      </c>
      <c r="P51" s="27"/>
      <c r="Q51" s="27"/>
      <c r="R51" s="28"/>
    </row>
    <row r="52" spans="8:34" ht="15" thickBot="1" x14ac:dyDescent="0.35">
      <c r="N52" s="42"/>
      <c r="O52" s="18" t="s">
        <v>98</v>
      </c>
      <c r="P52" s="19"/>
      <c r="Q52" s="12" t="s">
        <v>123</v>
      </c>
      <c r="R52" s="13">
        <v>0.6</v>
      </c>
    </row>
    <row r="53" spans="8:34" ht="15" thickBot="1" x14ac:dyDescent="0.35">
      <c r="N53" s="42"/>
      <c r="O53" s="20" t="s">
        <v>125</v>
      </c>
      <c r="P53" s="21"/>
      <c r="Q53" s="21"/>
      <c r="R53" s="40">
        <v>1</v>
      </c>
    </row>
    <row r="54" spans="8:34" x14ac:dyDescent="0.3">
      <c r="N54" s="42"/>
      <c r="O54" s="8" t="s">
        <v>133</v>
      </c>
      <c r="P54" s="11"/>
      <c r="Q54" s="11"/>
      <c r="R54" s="7" t="s">
        <v>134</v>
      </c>
    </row>
    <row r="55" spans="8:34" ht="15" thickBot="1" x14ac:dyDescent="0.35">
      <c r="N55" s="42"/>
      <c r="O55" s="14" t="s">
        <v>145</v>
      </c>
      <c r="P55" s="11"/>
      <c r="Q55" s="11"/>
      <c r="R55" s="14" t="s">
        <v>93</v>
      </c>
    </row>
    <row r="56" spans="8:34" ht="15" thickBot="1" x14ac:dyDescent="0.35">
      <c r="H56" s="26" t="s">
        <v>142</v>
      </c>
      <c r="I56" s="27"/>
      <c r="J56" s="27"/>
      <c r="K56" s="28"/>
      <c r="N56" s="42"/>
      <c r="O56" s="9" t="s">
        <v>127</v>
      </c>
      <c r="P56" s="11"/>
      <c r="Q56" s="11"/>
      <c r="R56" s="9" t="s">
        <v>126</v>
      </c>
      <c r="AE56" s="31" t="s">
        <v>136</v>
      </c>
      <c r="AF56" s="32"/>
      <c r="AG56" s="33" t="s">
        <v>137</v>
      </c>
      <c r="AH56" s="34"/>
    </row>
    <row r="57" spans="8:34" ht="15" thickBot="1" x14ac:dyDescent="0.35">
      <c r="H57" s="18" t="s">
        <v>100</v>
      </c>
      <c r="I57" s="19"/>
      <c r="J57" s="12" t="s">
        <v>123</v>
      </c>
      <c r="K57" s="41">
        <v>0.65</v>
      </c>
      <c r="N57" s="42"/>
      <c r="O57" s="15">
        <f>O59/VLOOKUP(O55,Tableau3[#All],2,FALSE)</f>
        <v>0.32000000000000006</v>
      </c>
      <c r="P57" s="11"/>
      <c r="Q57" s="11"/>
      <c r="R57" s="15">
        <f>SUMIF(Tableau2[Voltage net list],Feuil3!R55,Tableau2[Current (mA)])/1000</f>
        <v>0.32</v>
      </c>
      <c r="AE57" s="17" t="s">
        <v>116</v>
      </c>
      <c r="AF57" s="16">
        <f>VLOOKUP(AE57,Tableau3[#All],2,FALSE)</f>
        <v>5</v>
      </c>
      <c r="AG57" s="17">
        <f>SUMIF(Tableau2[Voltage net list],Feuil3!AE57,Tableau2[Current (mA)])</f>
        <v>60</v>
      </c>
      <c r="AH57" s="16" t="s">
        <v>138</v>
      </c>
    </row>
    <row r="58" spans="8:34" ht="15" thickBot="1" x14ac:dyDescent="0.35">
      <c r="H58" s="20" t="s">
        <v>125</v>
      </c>
      <c r="I58" s="21"/>
      <c r="J58" s="21"/>
      <c r="K58" s="40">
        <v>2</v>
      </c>
      <c r="N58" s="42"/>
      <c r="O58" s="10" t="s">
        <v>132</v>
      </c>
      <c r="P58" s="22" t="s">
        <v>131</v>
      </c>
      <c r="Q58" s="23"/>
      <c r="R58" s="10" t="s">
        <v>130</v>
      </c>
      <c r="AE58" s="35" t="s">
        <v>124</v>
      </c>
      <c r="AF58" s="36"/>
      <c r="AG58" s="36"/>
      <c r="AH58" s="37"/>
    </row>
    <row r="59" spans="8:34" ht="15" thickBot="1" x14ac:dyDescent="0.35">
      <c r="H59" s="8" t="s">
        <v>133</v>
      </c>
      <c r="I59" s="11"/>
      <c r="J59" s="11"/>
      <c r="K59" s="7" t="s">
        <v>134</v>
      </c>
      <c r="N59" s="42"/>
      <c r="O59" s="15">
        <f>R59/R52</f>
        <v>1.7600000000000002</v>
      </c>
      <c r="P59" s="24">
        <f>O59-R59</f>
        <v>0.70400000000000018</v>
      </c>
      <c r="Q59" s="25"/>
      <c r="R59" s="15">
        <f>VLOOKUP(R55,Tableau3[#All],2,FALSE)*R57</f>
        <v>1.056</v>
      </c>
      <c r="AE59" s="38">
        <f>AF57*(AG57/1000)</f>
        <v>0.3</v>
      </c>
      <c r="AF59" s="39"/>
      <c r="AG59" s="29" t="s">
        <v>139</v>
      </c>
      <c r="AH59" s="30"/>
    </row>
    <row r="60" spans="8:34" ht="15" thickBot="1" x14ac:dyDescent="0.35">
      <c r="H60" s="14" t="s">
        <v>101</v>
      </c>
      <c r="I60" s="11"/>
      <c r="J60" s="11"/>
      <c r="K60" s="14" t="s">
        <v>135</v>
      </c>
      <c r="N60" s="42"/>
    </row>
    <row r="61" spans="8:34" ht="15" thickBot="1" x14ac:dyDescent="0.35">
      <c r="H61" s="9" t="s">
        <v>127</v>
      </c>
      <c r="I61" s="11"/>
      <c r="J61" s="11"/>
      <c r="K61" s="9" t="s">
        <v>126</v>
      </c>
      <c r="N61" s="42"/>
    </row>
    <row r="62" spans="8:34" ht="15" thickBot="1" x14ac:dyDescent="0.35">
      <c r="H62" s="15">
        <f>H64/VLOOKUP(H60,Tableau3[#All],2,FALSE)</f>
        <v>2.7472527472527472E-2</v>
      </c>
      <c r="I62" s="11"/>
      <c r="J62" s="11"/>
      <c r="K62" s="15">
        <f>O83</f>
        <v>6.1224489795918373E-2</v>
      </c>
      <c r="N62" s="42"/>
      <c r="O62" s="26" t="s">
        <v>144</v>
      </c>
      <c r="P62" s="27"/>
      <c r="Q62" s="27"/>
      <c r="R62" s="28"/>
      <c r="AE62" s="31" t="s">
        <v>136</v>
      </c>
      <c r="AF62" s="32"/>
      <c r="AG62" s="33" t="s">
        <v>137</v>
      </c>
      <c r="AH62" s="34"/>
    </row>
    <row r="63" spans="8:34" ht="15" thickBot="1" x14ac:dyDescent="0.35">
      <c r="H63" s="10" t="s">
        <v>132</v>
      </c>
      <c r="I63" s="22" t="s">
        <v>131</v>
      </c>
      <c r="J63" s="23"/>
      <c r="K63" s="10" t="s">
        <v>130</v>
      </c>
      <c r="N63" s="42"/>
      <c r="O63" s="18" t="s">
        <v>98</v>
      </c>
      <c r="P63" s="19"/>
      <c r="Q63" s="12" t="s">
        <v>123</v>
      </c>
      <c r="R63" s="13">
        <v>0.56000000000000005</v>
      </c>
      <c r="AE63" s="17" t="s">
        <v>93</v>
      </c>
      <c r="AF63" s="16">
        <f>VLOOKUP(AE63,Tableau3[#All],2,FALSE)</f>
        <v>3.3</v>
      </c>
      <c r="AG63" s="17">
        <f>SUMIF(Tableau2[Voltage net list],Feuil3!AE63,Tableau2[Current (mA)])</f>
        <v>320</v>
      </c>
      <c r="AH63" s="16" t="s">
        <v>138</v>
      </c>
    </row>
    <row r="64" spans="8:34" ht="15" thickBot="1" x14ac:dyDescent="0.35">
      <c r="H64" s="15">
        <f>K64/K57</f>
        <v>0.65934065934065933</v>
      </c>
      <c r="I64" s="24">
        <f>H64-K64</f>
        <v>0.23076923076923073</v>
      </c>
      <c r="J64" s="25"/>
      <c r="K64" s="15">
        <f>VLOOKUP(K60,Tableau3[#All],2,FALSE)*K62*-1</f>
        <v>0.4285714285714286</v>
      </c>
      <c r="N64" s="42"/>
      <c r="O64" s="20" t="s">
        <v>125</v>
      </c>
      <c r="P64" s="21"/>
      <c r="Q64" s="21"/>
      <c r="R64" s="40">
        <v>1</v>
      </c>
      <c r="AE64" s="35" t="s">
        <v>124</v>
      </c>
      <c r="AF64" s="36"/>
      <c r="AG64" s="36"/>
      <c r="AH64" s="37"/>
    </row>
    <row r="65" spans="14:34" x14ac:dyDescent="0.3">
      <c r="N65" s="42"/>
      <c r="O65" s="8" t="s">
        <v>133</v>
      </c>
      <c r="P65" s="11"/>
      <c r="Q65" s="11"/>
      <c r="R65" s="7" t="s">
        <v>134</v>
      </c>
      <c r="AE65" s="38">
        <f>AF63*(AG63/1000)</f>
        <v>1.056</v>
      </c>
      <c r="AF65" s="39"/>
      <c r="AG65" s="29" t="s">
        <v>139</v>
      </c>
      <c r="AH65" s="30"/>
    </row>
    <row r="66" spans="14:34" ht="15" thickBot="1" x14ac:dyDescent="0.35">
      <c r="N66" s="42"/>
      <c r="O66" s="14" t="s">
        <v>145</v>
      </c>
      <c r="P66" s="11"/>
      <c r="Q66" s="11"/>
      <c r="R66" s="14" t="s">
        <v>94</v>
      </c>
    </row>
    <row r="67" spans="14:34" x14ac:dyDescent="0.3">
      <c r="N67" s="42"/>
      <c r="O67" s="9" t="s">
        <v>127</v>
      </c>
      <c r="P67" s="11"/>
      <c r="Q67" s="11"/>
      <c r="R67" s="9" t="s">
        <v>126</v>
      </c>
    </row>
    <row r="68" spans="14:34" ht="15" thickBot="1" x14ac:dyDescent="0.35">
      <c r="N68" s="42"/>
      <c r="O68" s="15">
        <f>O70/VLOOKUP(O66,Tableau3[#All],2,FALSE)</f>
        <v>5.892857142857142E-2</v>
      </c>
      <c r="P68" s="11"/>
      <c r="Q68" s="11"/>
      <c r="R68" s="15">
        <f>SUMIF(Tableau2[Voltage net list],Feuil3!R66,Tableau2[Current (mA)])/1000</f>
        <v>5.5E-2</v>
      </c>
      <c r="AE68" s="31" t="s">
        <v>136</v>
      </c>
      <c r="AF68" s="32"/>
      <c r="AG68" s="33" t="s">
        <v>137</v>
      </c>
      <c r="AH68" s="34"/>
    </row>
    <row r="69" spans="14:34" x14ac:dyDescent="0.3">
      <c r="N69" s="42"/>
      <c r="O69" s="10" t="s">
        <v>132</v>
      </c>
      <c r="P69" s="22" t="s">
        <v>131</v>
      </c>
      <c r="Q69" s="23"/>
      <c r="R69" s="10" t="s">
        <v>130</v>
      </c>
      <c r="AE69" s="17" t="s">
        <v>94</v>
      </c>
      <c r="AF69" s="16">
        <f>VLOOKUP(AE69,Tableau3[#All],2,FALSE)</f>
        <v>3.3</v>
      </c>
      <c r="AG69" s="17">
        <f>SUMIF(Tableau2[Voltage net list],Feuil3!AE69,Tableau2[Current (mA)])</f>
        <v>55</v>
      </c>
      <c r="AH69" s="16" t="s">
        <v>138</v>
      </c>
    </row>
    <row r="70" spans="14:34" ht="15" thickBot="1" x14ac:dyDescent="0.35">
      <c r="N70" s="42"/>
      <c r="O70" s="15">
        <f>R70/R63</f>
        <v>0.32410714285714282</v>
      </c>
      <c r="P70" s="24">
        <f>O70-R70</f>
        <v>0.14260714285714282</v>
      </c>
      <c r="Q70" s="25"/>
      <c r="R70" s="15">
        <f>VLOOKUP(R66,Tableau3[#All],2,FALSE)*R68</f>
        <v>0.18149999999999999</v>
      </c>
      <c r="AE70" s="35" t="s">
        <v>124</v>
      </c>
      <c r="AF70" s="36"/>
      <c r="AG70" s="36"/>
      <c r="AH70" s="37"/>
    </row>
    <row r="71" spans="14:34" x14ac:dyDescent="0.3">
      <c r="N71" s="42"/>
      <c r="AE71" s="38">
        <f>AF69*(AG69/1000)</f>
        <v>0.18149999999999999</v>
      </c>
      <c r="AF71" s="39"/>
      <c r="AG71" s="29" t="s">
        <v>139</v>
      </c>
      <c r="AH71" s="30"/>
    </row>
    <row r="72" spans="14:34" x14ac:dyDescent="0.3">
      <c r="N72" s="42"/>
    </row>
    <row r="73" spans="14:34" x14ac:dyDescent="0.3">
      <c r="N73" s="42"/>
    </row>
    <row r="74" spans="14:34" x14ac:dyDescent="0.3">
      <c r="N74" s="42"/>
      <c r="AE74" s="31" t="s">
        <v>136</v>
      </c>
      <c r="AF74" s="32"/>
      <c r="AG74" s="33" t="s">
        <v>137</v>
      </c>
      <c r="AH74" s="34"/>
    </row>
    <row r="75" spans="14:34" x14ac:dyDescent="0.3">
      <c r="N75" s="42"/>
      <c r="AE75" s="17" t="s">
        <v>118</v>
      </c>
      <c r="AF75" s="16">
        <f>VLOOKUP(AE75,Tableau3[#All],2,FALSE)</f>
        <v>-5</v>
      </c>
      <c r="AG75" s="17">
        <f>SUMIF(Tableau2[Voltage net list],Feuil3!AE75,Tableau2[Current (mA)])</f>
        <v>60</v>
      </c>
      <c r="AH75" s="16" t="s">
        <v>138</v>
      </c>
    </row>
    <row r="76" spans="14:34" ht="15" thickBot="1" x14ac:dyDescent="0.35">
      <c r="N76" s="42"/>
      <c r="AE76" s="35" t="s">
        <v>124</v>
      </c>
      <c r="AF76" s="36"/>
      <c r="AG76" s="36"/>
      <c r="AH76" s="37"/>
    </row>
    <row r="77" spans="14:34" ht="15" thickBot="1" x14ac:dyDescent="0.35">
      <c r="N77" s="42"/>
      <c r="O77" s="26" t="s">
        <v>146</v>
      </c>
      <c r="P77" s="27"/>
      <c r="Q77" s="27"/>
      <c r="R77" s="28"/>
      <c r="AE77" s="38">
        <f>AF75*(AG75/1000)*-1</f>
        <v>0.3</v>
      </c>
      <c r="AF77" s="39"/>
      <c r="AG77" s="29" t="s">
        <v>139</v>
      </c>
      <c r="AH77" s="30"/>
    </row>
    <row r="78" spans="14:34" ht="15" thickBot="1" x14ac:dyDescent="0.35">
      <c r="N78" s="42"/>
      <c r="O78" s="18" t="s">
        <v>99</v>
      </c>
      <c r="P78" s="19"/>
      <c r="Q78" s="12" t="s">
        <v>123</v>
      </c>
      <c r="R78" s="41">
        <v>0.7</v>
      </c>
    </row>
    <row r="79" spans="14:34" ht="15" thickBot="1" x14ac:dyDescent="0.35">
      <c r="N79" s="42"/>
      <c r="O79" s="20" t="s">
        <v>125</v>
      </c>
      <c r="P79" s="21"/>
      <c r="Q79" s="21"/>
      <c r="R79" s="40">
        <v>1</v>
      </c>
    </row>
    <row r="80" spans="14:34" x14ac:dyDescent="0.3">
      <c r="N80" s="42"/>
      <c r="O80" s="8" t="s">
        <v>133</v>
      </c>
      <c r="P80" s="11"/>
      <c r="Q80" s="11"/>
      <c r="R80" s="7" t="s">
        <v>134</v>
      </c>
    </row>
    <row r="81" spans="14:18" ht="15" thickBot="1" x14ac:dyDescent="0.35">
      <c r="N81" s="42"/>
      <c r="O81" s="14" t="s">
        <v>135</v>
      </c>
      <c r="P81" s="11"/>
      <c r="Q81" s="11"/>
      <c r="R81" s="14" t="s">
        <v>118</v>
      </c>
    </row>
    <row r="82" spans="14:18" x14ac:dyDescent="0.3">
      <c r="N82" s="42"/>
      <c r="O82" s="9" t="s">
        <v>127</v>
      </c>
      <c r="P82" s="11"/>
      <c r="Q82" s="11"/>
      <c r="R82" s="9" t="s">
        <v>126</v>
      </c>
    </row>
    <row r="83" spans="14:18" ht="15" thickBot="1" x14ac:dyDescent="0.35">
      <c r="N83" s="42"/>
      <c r="O83" s="15">
        <f>O85/VLOOKUP(O81,Tableau3[#All],2,FALSE)*-1</f>
        <v>6.1224489795918373E-2</v>
      </c>
      <c r="P83" s="11"/>
      <c r="Q83" s="11"/>
      <c r="R83" s="15">
        <f>AG75/1000</f>
        <v>0.06</v>
      </c>
    </row>
    <row r="84" spans="14:18" x14ac:dyDescent="0.3">
      <c r="N84" s="42"/>
      <c r="O84" s="10" t="s">
        <v>132</v>
      </c>
      <c r="P84" s="22" t="s">
        <v>131</v>
      </c>
      <c r="Q84" s="23"/>
      <c r="R84" s="10" t="s">
        <v>130</v>
      </c>
    </row>
    <row r="85" spans="14:18" ht="15" thickBot="1" x14ac:dyDescent="0.35">
      <c r="N85" s="42"/>
      <c r="O85" s="15">
        <f>R85/R78</f>
        <v>0.4285714285714286</v>
      </c>
      <c r="P85" s="24">
        <f>O85-R85</f>
        <v>0.12857142857142861</v>
      </c>
      <c r="Q85" s="25"/>
      <c r="R85" s="15">
        <f>VLOOKUP(R81,Tableau3[#All],2,FALSE)*R83*-1</f>
        <v>0.3</v>
      </c>
    </row>
  </sheetData>
  <mergeCells count="110">
    <mergeCell ref="AE70:AH70"/>
    <mergeCell ref="AE71:AF71"/>
    <mergeCell ref="AG71:AH71"/>
    <mergeCell ref="O51:R51"/>
    <mergeCell ref="P69:Q69"/>
    <mergeCell ref="P70:Q70"/>
    <mergeCell ref="O9:Q9"/>
    <mergeCell ref="P14:Q14"/>
    <mergeCell ref="P15:Q15"/>
    <mergeCell ref="O62:R62"/>
    <mergeCell ref="O63:P63"/>
    <mergeCell ref="O64:Q64"/>
    <mergeCell ref="W9:Y9"/>
    <mergeCell ref="X14:Y14"/>
    <mergeCell ref="X15:Y15"/>
    <mergeCell ref="W29:Z29"/>
    <mergeCell ref="W30:X30"/>
    <mergeCell ref="W31:Y31"/>
    <mergeCell ref="X36:Y36"/>
    <mergeCell ref="X37:Y37"/>
    <mergeCell ref="W18:Z18"/>
    <mergeCell ref="W19:X19"/>
    <mergeCell ref="W20:Y20"/>
    <mergeCell ref="X25:Y25"/>
    <mergeCell ref="P84:Q84"/>
    <mergeCell ref="P85:Q85"/>
    <mergeCell ref="AE9:AF9"/>
    <mergeCell ref="AE11:AH11"/>
    <mergeCell ref="AG9:AH9"/>
    <mergeCell ref="O33:R33"/>
    <mergeCell ref="O34:P34"/>
    <mergeCell ref="O35:Q35"/>
    <mergeCell ref="P40:Q40"/>
    <mergeCell ref="P41:Q41"/>
    <mergeCell ref="O77:R77"/>
    <mergeCell ref="W40:Z40"/>
    <mergeCell ref="W41:X41"/>
    <mergeCell ref="W42:Y42"/>
    <mergeCell ref="X47:Y47"/>
    <mergeCell ref="X48:Y48"/>
    <mergeCell ref="X26:Y26"/>
    <mergeCell ref="AG12:AH12"/>
    <mergeCell ref="AE12:AF12"/>
    <mergeCell ref="AE33:AF33"/>
    <mergeCell ref="AG33:AH33"/>
    <mergeCell ref="AE35:AH35"/>
    <mergeCell ref="AE3:AF3"/>
    <mergeCell ref="AG3:AH3"/>
    <mergeCell ref="AE5:AH5"/>
    <mergeCell ref="AE6:AF6"/>
    <mergeCell ref="AG18:AH18"/>
    <mergeCell ref="AE21:AF21"/>
    <mergeCell ref="AG21:AH21"/>
    <mergeCell ref="AE23:AH23"/>
    <mergeCell ref="AE24:AF24"/>
    <mergeCell ref="AG24:AH24"/>
    <mergeCell ref="AE36:AF36"/>
    <mergeCell ref="AG36:AH36"/>
    <mergeCell ref="AE15:AF15"/>
    <mergeCell ref="AG15:AH15"/>
    <mergeCell ref="AE17:AH17"/>
    <mergeCell ref="AG6:AH6"/>
    <mergeCell ref="AE62:AF62"/>
    <mergeCell ref="AG62:AH62"/>
    <mergeCell ref="AE64:AH64"/>
    <mergeCell ref="AE65:AF65"/>
    <mergeCell ref="AG65:AH65"/>
    <mergeCell ref="AE77:AF77"/>
    <mergeCell ref="AG77:AH77"/>
    <mergeCell ref="AE58:AH58"/>
    <mergeCell ref="AE59:AF59"/>
    <mergeCell ref="AG59:AH59"/>
    <mergeCell ref="AE74:AF74"/>
    <mergeCell ref="AG74:AH74"/>
    <mergeCell ref="AE76:AH76"/>
    <mergeCell ref="AE27:AF27"/>
    <mergeCell ref="AG27:AH27"/>
    <mergeCell ref="AE29:AH29"/>
    <mergeCell ref="AE30:AF30"/>
    <mergeCell ref="AG30:AH30"/>
    <mergeCell ref="AE56:AF56"/>
    <mergeCell ref="AG56:AH56"/>
    <mergeCell ref="AE68:AF68"/>
    <mergeCell ref="AG68:AH68"/>
    <mergeCell ref="AE18:AF18"/>
    <mergeCell ref="O52:P52"/>
    <mergeCell ref="O53:Q53"/>
    <mergeCell ref="P58:Q58"/>
    <mergeCell ref="P59:Q59"/>
    <mergeCell ref="H7:K7"/>
    <mergeCell ref="H8:I8"/>
    <mergeCell ref="H9:J9"/>
    <mergeCell ref="I14:J14"/>
    <mergeCell ref="I15:J15"/>
    <mergeCell ref="H56:K56"/>
    <mergeCell ref="O78:P78"/>
    <mergeCell ref="O79:Q79"/>
    <mergeCell ref="W8:X8"/>
    <mergeCell ref="O7:R7"/>
    <mergeCell ref="O8:P8"/>
    <mergeCell ref="W7:Z7"/>
    <mergeCell ref="H57:I57"/>
    <mergeCell ref="H58:J58"/>
    <mergeCell ref="I63:J63"/>
    <mergeCell ref="I64:J64"/>
    <mergeCell ref="B7:E7"/>
    <mergeCell ref="B8:C8"/>
    <mergeCell ref="B9:D9"/>
    <mergeCell ref="C14:D14"/>
    <mergeCell ref="C15:D15"/>
  </mergeCells>
  <dataValidations count="2">
    <dataValidation type="list" allowBlank="1" showInputMessage="1" showErrorMessage="1" sqref="W19:X19 W30:X30 W8:X8 O8:P8 O63:P63 O52:P52 W41:X41 O34:P34 O78:P78 H8:I8 H57:I57 B8:C8" xr:uid="{D76DEB33-B416-4035-83A1-CD3AB204276A}">
      <formula1>REG_TYPE</formula1>
    </dataValidation>
    <dataValidation type="list" allowBlank="1" showInputMessage="1" showErrorMessage="1" sqref="W22 Z22 W33 Z33 W11 Z11 O11 R11 O66 R66 O55 R55 W44 Z44 O37 R37 O81 R81 AE10 AE34 AE16 AE22 AE28 AE57 AE75 AE4 AE63 AE69 H11 K11 H60 K60 B11 E11" xr:uid="{171558F4-673C-494B-85C2-DAD3DB31C89D}">
      <formula1>V_NET_LIST</formula1>
    </dataValidation>
  </dataValidation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Feuil1</vt:lpstr>
      <vt:lpstr>DIMENSIONNEMENT</vt:lpstr>
      <vt:lpstr>Feuil3</vt:lpstr>
      <vt:lpstr>REG_TYPE</vt:lpstr>
      <vt:lpstr>V_NET_LIST</vt:lpstr>
      <vt:lpstr>V_NET_VOLTAGE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School</dc:creator>
  <cp:lastModifiedBy>Julien Guay</cp:lastModifiedBy>
  <dcterms:created xsi:type="dcterms:W3CDTF">2015-06-05T18:19:34Z</dcterms:created>
  <dcterms:modified xsi:type="dcterms:W3CDTF">2024-01-29T08:49:48Z</dcterms:modified>
</cp:coreProperties>
</file>