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School\Documents\S7_electronique_avance\03_CONCEPTION_NOTES\"/>
    </mc:Choice>
  </mc:AlternateContent>
  <xr:revisionPtr revIDLastSave="0" documentId="13_ncr:1_{26E86A53-F191-4D5B-8E92-AD15E2F3F6C2}" xr6:coauthVersionLast="47" xr6:coauthVersionMax="47" xr10:uidLastSave="{00000000-0000-0000-0000-000000000000}"/>
  <bookViews>
    <workbookView xWindow="5820" yWindow="156" windowWidth="23040" windowHeight="12204" activeTab="3" xr2:uid="{00000000-000D-0000-FFFF-FFFF00000000}"/>
  </bookViews>
  <sheets>
    <sheet name="Feuil1" sheetId="1" r:id="rId1"/>
    <sheet name="DIMENSIONNEMENT" sheetId="2" r:id="rId2"/>
    <sheet name="Feuil3" sheetId="3" r:id="rId3"/>
    <sheet name="Stackup" sheetId="4" r:id="rId4"/>
  </sheets>
  <definedNames>
    <definedName name="REG_TYPE">DIMENSIONNEMENT!$B$6:$B$11</definedName>
    <definedName name="V_NET_LIST">DIMENSIONNEMENT!$D$7:$D$18</definedName>
    <definedName name="V_NET_VOLTAGE">DIMENSIONNEMENT!$E$7:$E$18</definedName>
    <definedName name="_xlnm.Print_Area" localSheetId="2">Feuil3!$D$1:$AK$85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H24" i="3"/>
  <c r="F25" i="3"/>
  <c r="F24" i="3"/>
  <c r="AC30" i="3"/>
  <c r="U34" i="3"/>
  <c r="U52" i="3"/>
  <c r="U63" i="3"/>
  <c r="U78" i="3"/>
  <c r="U57" i="3" l="1"/>
  <c r="U59" i="3" s="1"/>
  <c r="R59" i="3" s="1"/>
  <c r="R57" i="3" s="1"/>
  <c r="AJ69" i="3"/>
  <c r="AI69" i="3"/>
  <c r="AJ63" i="3"/>
  <c r="AI63" i="3"/>
  <c r="AJ4" i="3"/>
  <c r="AI4" i="3"/>
  <c r="AJ75" i="3"/>
  <c r="U83" i="3" s="1"/>
  <c r="U85" i="3" s="1"/>
  <c r="AI75" i="3"/>
  <c r="AJ57" i="3"/>
  <c r="U39" i="3" s="1"/>
  <c r="U41" i="3" s="1"/>
  <c r="R41" i="3" s="1"/>
  <c r="AI57" i="3"/>
  <c r="AJ28" i="3"/>
  <c r="AI28" i="3"/>
  <c r="AJ22" i="3"/>
  <c r="AI22" i="3"/>
  <c r="AJ16" i="3"/>
  <c r="AI16" i="3"/>
  <c r="AJ34" i="3"/>
  <c r="AI34" i="3"/>
  <c r="AJ10" i="3"/>
  <c r="AI10" i="3"/>
  <c r="AC46" i="3"/>
  <c r="AC48" i="3" s="1"/>
  <c r="Z48" i="3" s="1"/>
  <c r="U68" i="3"/>
  <c r="U70" i="3" s="1"/>
  <c r="R70" i="3" s="1"/>
  <c r="AC13" i="3"/>
  <c r="AC15" i="3" s="1"/>
  <c r="Z15" i="3" s="1"/>
  <c r="AC35" i="3"/>
  <c r="AC24" i="3"/>
  <c r="D14" i="2"/>
  <c r="D13" i="2"/>
  <c r="R85" i="3" l="1"/>
  <c r="R83" i="3" s="1"/>
  <c r="N62" i="3" s="1"/>
  <c r="N64" i="3" s="1"/>
  <c r="AH12" i="3"/>
  <c r="AH6" i="3"/>
  <c r="AH65" i="3"/>
  <c r="AH71" i="3"/>
  <c r="S59" i="3"/>
  <c r="AH77" i="3"/>
  <c r="AH30" i="3"/>
  <c r="AH24" i="3"/>
  <c r="AH18" i="3"/>
  <c r="AH36" i="3"/>
  <c r="AH59" i="3"/>
  <c r="S85" i="3"/>
  <c r="R39" i="3"/>
  <c r="S41" i="3"/>
  <c r="Z46" i="3"/>
  <c r="AA48" i="3"/>
  <c r="R68" i="3"/>
  <c r="S70" i="3"/>
  <c r="Z13" i="3"/>
  <c r="AA15" i="3"/>
  <c r="AC26" i="3"/>
  <c r="Z26" i="3" s="1"/>
  <c r="AA26" i="3" s="1"/>
  <c r="AC37" i="3"/>
  <c r="Z37" i="3" s="1"/>
  <c r="Z35" i="3" s="1"/>
  <c r="Z24" i="3" l="1"/>
  <c r="U13" i="3" s="1"/>
  <c r="U15" i="3" s="1"/>
  <c r="R15" i="3" s="1"/>
  <c r="K64" i="3"/>
  <c r="AA37" i="3"/>
  <c r="K62" i="3" l="1"/>
  <c r="L64" i="3"/>
  <c r="S15" i="3"/>
  <c r="R13" i="3"/>
  <c r="N13" i="3" l="1"/>
  <c r="N15" i="3" s="1"/>
  <c r="K15" i="3" s="1"/>
  <c r="K13" i="3" s="1"/>
  <c r="H13" i="3" s="1"/>
  <c r="H15" i="3" l="1"/>
  <c r="E15" i="3" s="1"/>
  <c r="L15" i="3"/>
  <c r="E13" i="3" l="1"/>
  <c r="F15" i="3"/>
</calcChain>
</file>

<file path=xl/sharedStrings.xml><?xml version="1.0" encoding="utf-8"?>
<sst xmlns="http://schemas.openxmlformats.org/spreadsheetml/2006/main" count="439" uniqueCount="167">
  <si>
    <t>IC</t>
  </si>
  <si>
    <t>Power Name 1</t>
  </si>
  <si>
    <t>Voltage 1</t>
  </si>
  <si>
    <t>Power Name 2</t>
  </si>
  <si>
    <t>Voltage 2</t>
  </si>
  <si>
    <t>Power Name 3</t>
  </si>
  <si>
    <t>Voltage 3</t>
  </si>
  <si>
    <t>Power Name 4</t>
  </si>
  <si>
    <t>Voltage 4</t>
  </si>
  <si>
    <t>Power Name 5</t>
  </si>
  <si>
    <t>Voltage 5</t>
  </si>
  <si>
    <t>Power Name 6</t>
  </si>
  <si>
    <t>Voltage 6</t>
  </si>
  <si>
    <t>Power Name 7</t>
  </si>
  <si>
    <t>Voltage 7</t>
  </si>
  <si>
    <t>Power Name 8</t>
  </si>
  <si>
    <t>Voltage 8</t>
  </si>
  <si>
    <t>Power Name 9</t>
  </si>
  <si>
    <t>Voltage 9</t>
  </si>
  <si>
    <t>Power Name 10</t>
  </si>
  <si>
    <t>Voltage 10</t>
  </si>
  <si>
    <t>Power Name 11</t>
  </si>
  <si>
    <t>Voltage 11</t>
  </si>
  <si>
    <t>Power Name 12</t>
  </si>
  <si>
    <t>XC6SLX100-3FGG676C</t>
  </si>
  <si>
    <t>410-357-B</t>
  </si>
  <si>
    <t>Vdd</t>
  </si>
  <si>
    <t>VREF-JTAG</t>
  </si>
  <si>
    <t>1.8 - 5.5V</t>
  </si>
  <si>
    <t>Unknown</t>
  </si>
  <si>
    <t>Input</t>
  </si>
  <si>
    <t>Isolated</t>
  </si>
  <si>
    <t>USB-B-S-F-B-TH</t>
  </si>
  <si>
    <t>VBUS</t>
  </si>
  <si>
    <t>MT41J128M16JT-125</t>
  </si>
  <si>
    <t>VDD</t>
  </si>
  <si>
    <t>VDDQ</t>
  </si>
  <si>
    <t>nickname</t>
  </si>
  <si>
    <t>FPGA</t>
  </si>
  <si>
    <t>JTAG_DEBUGGUER</t>
  </si>
  <si>
    <t>USB CONN</t>
  </si>
  <si>
    <t>RAM</t>
  </si>
  <si>
    <t>TLP2362</t>
  </si>
  <si>
    <t>Octoupleur</t>
  </si>
  <si>
    <t>VCC</t>
  </si>
  <si>
    <t>2.7 - 5.5V</t>
  </si>
  <si>
    <t>ADUM3160BRWZ-RL</t>
  </si>
  <si>
    <t>USB isolator</t>
  </si>
  <si>
    <t>VDD2/VBUS2</t>
  </si>
  <si>
    <t>VBUS1</t>
  </si>
  <si>
    <t>PIN1</t>
  </si>
  <si>
    <t>VDD1</t>
  </si>
  <si>
    <t>VREF-UART</t>
  </si>
  <si>
    <t>VREFDQ</t>
  </si>
  <si>
    <t>Special</t>
  </si>
  <si>
    <t>VREFCA</t>
  </si>
  <si>
    <t>590BD-BDG</t>
  </si>
  <si>
    <t>xtal 125MHz</t>
  </si>
  <si>
    <t>CDCE62005RGZT</t>
  </si>
  <si>
    <t>Analog</t>
  </si>
  <si>
    <t>VCC_IN_XX</t>
  </si>
  <si>
    <t>PLL</t>
  </si>
  <si>
    <t>VCC_OUT</t>
  </si>
  <si>
    <t>M25P128-VMF6TP</t>
  </si>
  <si>
    <t>flash</t>
  </si>
  <si>
    <t xml:space="preserve">VCC </t>
  </si>
  <si>
    <t>DRV8811PWPR</t>
  </si>
  <si>
    <t>drive de moteur</t>
  </si>
  <si>
    <t>VMA/B</t>
  </si>
  <si>
    <t>KSZ8091MNXCA</t>
  </si>
  <si>
    <t>PHY</t>
  </si>
  <si>
    <t>VDDIO</t>
  </si>
  <si>
    <t>3.3 - 2.5 - 1.8</t>
  </si>
  <si>
    <t>VDDA</t>
  </si>
  <si>
    <t>AD9146BCPZ</t>
  </si>
  <si>
    <t>CVDD18</t>
  </si>
  <si>
    <t>DVDD18</t>
  </si>
  <si>
    <t>AVDD33</t>
  </si>
  <si>
    <t>DAC</t>
  </si>
  <si>
    <t>ADS62P48IRGCT</t>
  </si>
  <si>
    <t>ADC</t>
  </si>
  <si>
    <t>AVDD</t>
  </si>
  <si>
    <t>DRVDD</t>
  </si>
  <si>
    <t>ADA4927-2YCPZ-R2</t>
  </si>
  <si>
    <t>OP-AMP</t>
  </si>
  <si>
    <t xml:space="preserve">VS- </t>
  </si>
  <si>
    <t>VS+</t>
  </si>
  <si>
    <t>TPS51200DRCT</t>
  </si>
  <si>
    <t>POWER</t>
  </si>
  <si>
    <t>VTT</t>
  </si>
  <si>
    <t>VIN</t>
  </si>
  <si>
    <t>Name</t>
  </si>
  <si>
    <t>Voltage net list</t>
  </si>
  <si>
    <t>3v3_ADC</t>
  </si>
  <si>
    <t>3v3_DAC</t>
  </si>
  <si>
    <t>3v3_DIGITAL</t>
  </si>
  <si>
    <t>REG_TYPE</t>
  </si>
  <si>
    <t>SWITCHING</t>
  </si>
  <si>
    <t>LDO</t>
  </si>
  <si>
    <t>LDO_INV</t>
  </si>
  <si>
    <t>INVERTER</t>
  </si>
  <si>
    <t>24V</t>
  </si>
  <si>
    <t>Voltage(V)</t>
  </si>
  <si>
    <t>1V8_DIGITAL</t>
  </si>
  <si>
    <t>1V5_DDR</t>
  </si>
  <si>
    <t>Current (mA)</t>
  </si>
  <si>
    <t>CLK 25MHz</t>
  </si>
  <si>
    <t>FLASH</t>
  </si>
  <si>
    <t>DRV8811</t>
  </si>
  <si>
    <t>TEMP SENS x2</t>
  </si>
  <si>
    <t>OCTO COUP</t>
  </si>
  <si>
    <t>JTAG</t>
  </si>
  <si>
    <t>BANK 5</t>
  </si>
  <si>
    <t>BANK 0 2 3</t>
  </si>
  <si>
    <t>CLK 125MHz</t>
  </si>
  <si>
    <t>OP AMP SORTIE x2</t>
  </si>
  <si>
    <t>5V</t>
  </si>
  <si>
    <t>OP AMP ENTREE x2</t>
  </si>
  <si>
    <t>-5V</t>
  </si>
  <si>
    <t>1V2_VCCINT</t>
  </si>
  <si>
    <t>VCC_AUX</t>
  </si>
  <si>
    <t>VCCINT 1V2</t>
  </si>
  <si>
    <t>IC NAME</t>
  </si>
  <si>
    <t>Eff :</t>
  </si>
  <si>
    <t>P</t>
  </si>
  <si>
    <t>Max Curr (A) :</t>
  </si>
  <si>
    <t>Iout (A):</t>
  </si>
  <si>
    <t>Iin (A):</t>
  </si>
  <si>
    <t>Colonne1</t>
  </si>
  <si>
    <t>Colonne2</t>
  </si>
  <si>
    <t>Pout (W) :</t>
  </si>
  <si>
    <t>Pdis (W) :</t>
  </si>
  <si>
    <t>Pin (W):</t>
  </si>
  <si>
    <t>Vin (V):</t>
  </si>
  <si>
    <t>Vout (V):</t>
  </si>
  <si>
    <t>-7V</t>
  </si>
  <si>
    <t>V</t>
  </si>
  <si>
    <t>I</t>
  </si>
  <si>
    <t>mA</t>
  </si>
  <si>
    <t>W</t>
  </si>
  <si>
    <t>Motor</t>
  </si>
  <si>
    <t>INPUT CONN</t>
  </si>
  <si>
    <t>lmz34002</t>
  </si>
  <si>
    <t>-</t>
  </si>
  <si>
    <t>TPS7A47</t>
  </si>
  <si>
    <t>5v5</t>
  </si>
  <si>
    <t>TPS7A33</t>
  </si>
  <si>
    <t>LMZ30604</t>
  </si>
  <si>
    <t>LMZ23605</t>
  </si>
  <si>
    <t>LMZ30602</t>
  </si>
  <si>
    <t>TPS51200</t>
  </si>
  <si>
    <t>EFF</t>
  </si>
  <si>
    <t>Type</t>
  </si>
  <si>
    <t>thickness</t>
  </si>
  <si>
    <t>Total</t>
  </si>
  <si>
    <t>Foil</t>
  </si>
  <si>
    <t>0.5oZ</t>
  </si>
  <si>
    <t>35um</t>
  </si>
  <si>
    <t>1oZ</t>
  </si>
  <si>
    <t>18um</t>
  </si>
  <si>
    <t>copper</t>
  </si>
  <si>
    <t>prepeg</t>
  </si>
  <si>
    <t>other</t>
  </si>
  <si>
    <t>https://www.pcbway.com/pcb_prototype/Cost_cores_Foil___Prepreg_for_PCBs.html</t>
  </si>
  <si>
    <t>https://www.pcbway.com/multi-layer-laminated-structure.html</t>
  </si>
  <si>
    <t>core</t>
  </si>
  <si>
    <t>core thick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</si>
</sst>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b/>
      <sz val="8"/>
      <color theme="1"/>
      <name val="Calibri"/>
      <family val="2"/>
      <scheme val="minor"/>
    </font>
    <font>
      <sz val="11"/>
      <color theme="1"/>
      <name val="Calibri"/>
      <family val="2"/>
      <scheme val="minor"/>
    </font>
    <font>
      <b/>
      <i/>
      <sz val="14"/>
      <color theme="1"/>
      <name val="Calibri"/>
      <family val="2"/>
      <scheme val="minor"/>
    </font>
    <font>
      <sz val="14"/>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rgb="FFFFC00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43" fontId="5" fillId="0" borderId="0" applyFont="0" applyFill="0" applyBorder="0" applyAlignment="0" applyProtection="0"/>
    <xf numFmtId="0" fontId="8"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9" borderId="4" xfId="0" applyFill="1" applyBorder="1"/>
    <xf numFmtId="0" fontId="0" fillId="9" borderId="6" xfId="0" applyFill="1" applyBorder="1"/>
    <xf numFmtId="0" fontId="0" fillId="3" borderId="4" xfId="0" applyFill="1" applyBorder="1"/>
    <xf numFmtId="0" fontId="0" fillId="10" borderId="4" xfId="0" applyFill="1" applyBorder="1"/>
    <xf numFmtId="0" fontId="0" fillId="11" borderId="0" xfId="0" applyFill="1"/>
    <xf numFmtId="0" fontId="0" fillId="13" borderId="1" xfId="0" applyFill="1" applyBorder="1"/>
    <xf numFmtId="9" fontId="3" fillId="7" borderId="3" xfId="0" applyNumberFormat="1" applyFont="1" applyFill="1" applyBorder="1" applyAlignment="1">
      <alignment horizontal="center" vertical="center"/>
    </xf>
    <xf numFmtId="0" fontId="4" fillId="7" borderId="5" xfId="0" applyFont="1" applyFill="1" applyBorder="1"/>
    <xf numFmtId="2" fontId="3" fillId="7" borderId="5" xfId="0" applyNumberFormat="1" applyFont="1" applyFill="1" applyBorder="1"/>
    <xf numFmtId="0" fontId="0" fillId="7" borderId="14" xfId="0" applyFill="1" applyBorder="1" applyAlignment="1">
      <alignment horizontal="left"/>
    </xf>
    <xf numFmtId="0" fontId="0" fillId="7" borderId="13" xfId="0" applyFill="1" applyBorder="1" applyAlignment="1">
      <alignment horizontal="right"/>
    </xf>
    <xf numFmtId="0" fontId="3" fillId="2" borderId="3" xfId="0" applyFont="1" applyFill="1" applyBorder="1" applyAlignment="1">
      <alignment horizontal="center" vertical="center"/>
    </xf>
    <xf numFmtId="9" fontId="3" fillId="2" borderId="3" xfId="0" applyNumberFormat="1" applyFont="1" applyFill="1" applyBorder="1" applyAlignment="1">
      <alignment horizontal="center" vertical="center"/>
    </xf>
    <xf numFmtId="10" fontId="6" fillId="0" borderId="0" xfId="0" applyNumberFormat="1" applyFont="1"/>
    <xf numFmtId="0" fontId="7" fillId="0" borderId="0" xfId="0" applyFont="1"/>
    <xf numFmtId="43" fontId="7" fillId="0" borderId="0" xfId="1" applyFont="1"/>
    <xf numFmtId="43" fontId="7" fillId="0" borderId="0" xfId="0" applyNumberFormat="1" applyFont="1"/>
    <xf numFmtId="0" fontId="0" fillId="12" borderId="1" xfId="0"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10" borderId="7" xfId="0" applyFill="1" applyBorder="1" applyAlignment="1">
      <alignment horizontal="center"/>
    </xf>
    <xf numFmtId="0" fontId="0" fillId="10" borderId="8" xfId="0" applyFill="1" applyBorder="1" applyAlignment="1">
      <alignment horizontal="center"/>
    </xf>
    <xf numFmtId="2" fontId="3" fillId="7" borderId="9" xfId="0" applyNumberFormat="1" applyFont="1" applyFill="1" applyBorder="1" applyAlignment="1">
      <alignment horizontal="center"/>
    </xf>
    <xf numFmtId="2" fontId="3" fillId="7" borderId="10" xfId="0" applyNumberFormat="1" applyFont="1" applyFill="1" applyBorder="1" applyAlignment="1">
      <alignment horizontal="center"/>
    </xf>
    <xf numFmtId="0" fontId="0" fillId="9" borderId="11" xfId="0" applyFill="1" applyBorder="1" applyAlignment="1">
      <alignment horizontal="center"/>
    </xf>
    <xf numFmtId="0" fontId="0" fillId="9" borderId="12"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10" borderId="11" xfId="0" applyFill="1" applyBorder="1" applyAlignment="1">
      <alignment horizontal="center"/>
    </xf>
    <xf numFmtId="0" fontId="0" fillId="10" borderId="15" xfId="0" applyFill="1" applyBorder="1" applyAlignment="1">
      <alignment horizontal="center"/>
    </xf>
    <xf numFmtId="0" fontId="0" fillId="10" borderId="12" xfId="0" applyFill="1" applyBorder="1" applyAlignment="1">
      <alignment horizontal="center"/>
    </xf>
    <xf numFmtId="2" fontId="0" fillId="7" borderId="13" xfId="0" applyNumberFormat="1" applyFill="1" applyBorder="1" applyAlignment="1">
      <alignment horizontal="right"/>
    </xf>
    <xf numFmtId="2" fontId="0" fillId="7" borderId="16" xfId="0" applyNumberFormat="1" applyFill="1" applyBorder="1" applyAlignment="1">
      <alignment horizontal="right"/>
    </xf>
    <xf numFmtId="0" fontId="0" fillId="7" borderId="16" xfId="0" applyFill="1" applyBorder="1" applyAlignment="1">
      <alignment horizontal="left"/>
    </xf>
    <xf numFmtId="0" fontId="0" fillId="7" borderId="14" xfId="0" applyFill="1" applyBorder="1" applyAlignment="1">
      <alignment horizontal="left"/>
    </xf>
    <xf numFmtId="0" fontId="0" fillId="9" borderId="0" xfId="0" applyFill="1"/>
    <xf numFmtId="0" fontId="0" fillId="10" borderId="0" xfId="0" applyFill="1"/>
    <xf numFmtId="0" fontId="8" fillId="0" borderId="0" xfId="2"/>
  </cellXfs>
  <cellStyles count="3">
    <cellStyle name="Lien hypertexte" xfId="2" builtinId="8"/>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22860</xdr:colOff>
      <xdr:row>10</xdr:row>
      <xdr:rowOff>152400</xdr:rowOff>
    </xdr:from>
    <xdr:to>
      <xdr:col>10</xdr:col>
      <xdr:colOff>0</xdr:colOff>
      <xdr:row>10</xdr:row>
      <xdr:rowOff>175260</xdr:rowOff>
    </xdr:to>
    <xdr:cxnSp macro="">
      <xdr:nvCxnSpPr>
        <xdr:cNvPr id="7" name="Connecteur droit avec flèche 6">
          <a:extLst>
            <a:ext uri="{FF2B5EF4-FFF2-40B4-BE49-F238E27FC236}">
              <a16:creationId xmlns:a16="http://schemas.microsoft.com/office/drawing/2014/main" id="{C916621D-A4F8-86D7-D067-A194D34EF54F}"/>
            </a:ext>
          </a:extLst>
        </xdr:cNvPr>
        <xdr:cNvCxnSpPr/>
      </xdr:nvCxnSpPr>
      <xdr:spPr>
        <a:xfrm>
          <a:off x="2758440" y="2011680"/>
          <a:ext cx="769620" cy="2286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784860</xdr:colOff>
      <xdr:row>10</xdr:row>
      <xdr:rowOff>182880</xdr:rowOff>
    </xdr:from>
    <xdr:to>
      <xdr:col>16</xdr:col>
      <xdr:colOff>388620</xdr:colOff>
      <xdr:row>10</xdr:row>
      <xdr:rowOff>182880</xdr:rowOff>
    </xdr:to>
    <xdr:cxnSp macro="">
      <xdr:nvCxnSpPr>
        <xdr:cNvPr id="9" name="Connecteur droit avec flèche 8">
          <a:extLst>
            <a:ext uri="{FF2B5EF4-FFF2-40B4-BE49-F238E27FC236}">
              <a16:creationId xmlns:a16="http://schemas.microsoft.com/office/drawing/2014/main" id="{0EC962CE-9ABC-F97B-EEDE-77B212637E4D}"/>
            </a:ext>
          </a:extLst>
        </xdr:cNvPr>
        <xdr:cNvCxnSpPr/>
      </xdr:nvCxnSpPr>
      <xdr:spPr>
        <a:xfrm>
          <a:off x="5844540" y="2042160"/>
          <a:ext cx="12039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252412</xdr:colOff>
      <xdr:row>34</xdr:row>
      <xdr:rowOff>100013</xdr:rowOff>
    </xdr:from>
    <xdr:to>
      <xdr:col>17</xdr:col>
      <xdr:colOff>22860</xdr:colOff>
      <xdr:row>37</xdr:row>
      <xdr:rowOff>167640</xdr:rowOff>
    </xdr:to>
    <xdr:cxnSp macro="">
      <xdr:nvCxnSpPr>
        <xdr:cNvPr id="3" name="Connecteur : en angle 2">
          <a:extLst>
            <a:ext uri="{FF2B5EF4-FFF2-40B4-BE49-F238E27FC236}">
              <a16:creationId xmlns:a16="http://schemas.microsoft.com/office/drawing/2014/main" id="{32BB7115-8573-952B-31A6-5DCFEFAD7F9E}"/>
            </a:ext>
          </a:extLst>
        </xdr:cNvPr>
        <xdr:cNvCxnSpPr/>
      </xdr:nvCxnSpPr>
      <xdr:spPr>
        <a:xfrm>
          <a:off x="6124575" y="6453188"/>
          <a:ext cx="956310" cy="62960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119743</xdr:colOff>
      <xdr:row>11</xdr:row>
      <xdr:rowOff>63136</xdr:rowOff>
    </xdr:from>
    <xdr:to>
      <xdr:col>14</xdr:col>
      <xdr:colOff>287385</xdr:colOff>
      <xdr:row>35</xdr:row>
      <xdr:rowOff>163284</xdr:rowOff>
    </xdr:to>
    <xdr:cxnSp macro="">
      <xdr:nvCxnSpPr>
        <xdr:cNvPr id="6" name="Connecteur : en angle 5">
          <a:extLst>
            <a:ext uri="{FF2B5EF4-FFF2-40B4-BE49-F238E27FC236}">
              <a16:creationId xmlns:a16="http://schemas.microsoft.com/office/drawing/2014/main" id="{A8D73D0A-51CB-CC21-4866-1C36062DEF8F}"/>
            </a:ext>
          </a:extLst>
        </xdr:cNvPr>
        <xdr:cNvCxnSpPr/>
      </xdr:nvCxnSpPr>
      <xdr:spPr>
        <a:xfrm rot="5400000">
          <a:off x="3108961" y="3866604"/>
          <a:ext cx="4726577" cy="1299756"/>
        </a:xfrm>
        <a:prstGeom prst="bentConnector3">
          <a:avLst>
            <a:gd name="adj1" fmla="val 9606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44823</xdr:colOff>
      <xdr:row>62</xdr:row>
      <xdr:rowOff>62753</xdr:rowOff>
    </xdr:from>
    <xdr:to>
      <xdr:col>17</xdr:col>
      <xdr:colOff>0</xdr:colOff>
      <xdr:row>82</xdr:row>
      <xdr:rowOff>17930</xdr:rowOff>
    </xdr:to>
    <xdr:cxnSp macro="">
      <xdr:nvCxnSpPr>
        <xdr:cNvPr id="16" name="Connecteur droit avec flèche 15">
          <a:extLst>
            <a:ext uri="{FF2B5EF4-FFF2-40B4-BE49-F238E27FC236}">
              <a16:creationId xmlns:a16="http://schemas.microsoft.com/office/drawing/2014/main" id="{70CFC102-EB37-517D-11C1-864A21506B31}"/>
            </a:ext>
          </a:extLst>
        </xdr:cNvPr>
        <xdr:cNvCxnSpPr/>
      </xdr:nvCxnSpPr>
      <xdr:spPr>
        <a:xfrm>
          <a:off x="5907741" y="11555506"/>
          <a:ext cx="1138518" cy="3630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34</xdr:row>
      <xdr:rowOff>98612</xdr:rowOff>
    </xdr:from>
    <xdr:to>
      <xdr:col>16</xdr:col>
      <xdr:colOff>322729</xdr:colOff>
      <xdr:row>65</xdr:row>
      <xdr:rowOff>161364</xdr:rowOff>
    </xdr:to>
    <xdr:cxnSp macro="">
      <xdr:nvCxnSpPr>
        <xdr:cNvPr id="19" name="Connecteur droit avec flèche 18">
          <a:extLst>
            <a:ext uri="{FF2B5EF4-FFF2-40B4-BE49-F238E27FC236}">
              <a16:creationId xmlns:a16="http://schemas.microsoft.com/office/drawing/2014/main" id="{484A0579-610B-5DE0-EC38-0C751AC7EEB2}"/>
            </a:ext>
          </a:extLst>
        </xdr:cNvPr>
        <xdr:cNvCxnSpPr/>
      </xdr:nvCxnSpPr>
      <xdr:spPr>
        <a:xfrm>
          <a:off x="5056094" y="6382871"/>
          <a:ext cx="1918447" cy="58270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188259</xdr:colOff>
      <xdr:row>34</xdr:row>
      <xdr:rowOff>125506</xdr:rowOff>
    </xdr:from>
    <xdr:to>
      <xdr:col>17</xdr:col>
      <xdr:colOff>26894</xdr:colOff>
      <xdr:row>55</xdr:row>
      <xdr:rowOff>71718</xdr:rowOff>
    </xdr:to>
    <xdr:cxnSp macro="">
      <xdr:nvCxnSpPr>
        <xdr:cNvPr id="21" name="Connecteur droit avec flèche 20">
          <a:extLst>
            <a:ext uri="{FF2B5EF4-FFF2-40B4-BE49-F238E27FC236}">
              <a16:creationId xmlns:a16="http://schemas.microsoft.com/office/drawing/2014/main" id="{9B0BE590-C502-FBEF-48FA-0A68C27D9FFC}"/>
            </a:ext>
          </a:extLst>
        </xdr:cNvPr>
        <xdr:cNvCxnSpPr/>
      </xdr:nvCxnSpPr>
      <xdr:spPr>
        <a:xfrm>
          <a:off x="5244353" y="6409765"/>
          <a:ext cx="1828800" cy="38368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130628</xdr:colOff>
      <xdr:row>75</xdr:row>
      <xdr:rowOff>87086</xdr:rowOff>
    </xdr:from>
    <xdr:to>
      <xdr:col>32</xdr:col>
      <xdr:colOff>348343</xdr:colOff>
      <xdr:row>81</xdr:row>
      <xdr:rowOff>152400</xdr:rowOff>
    </xdr:to>
    <xdr:cxnSp macro="">
      <xdr:nvCxnSpPr>
        <xdr:cNvPr id="23" name="Connecteur droit avec flèche 22">
          <a:extLst>
            <a:ext uri="{FF2B5EF4-FFF2-40B4-BE49-F238E27FC236}">
              <a16:creationId xmlns:a16="http://schemas.microsoft.com/office/drawing/2014/main" id="{0D0F0C0F-FE36-6865-0FB6-07DECF45D203}"/>
            </a:ext>
          </a:extLst>
        </xdr:cNvPr>
        <xdr:cNvCxnSpPr/>
      </xdr:nvCxnSpPr>
      <xdr:spPr>
        <a:xfrm flipV="1">
          <a:off x="9437914" y="14478000"/>
          <a:ext cx="5257800" cy="1230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67</xdr:row>
      <xdr:rowOff>141514</xdr:rowOff>
    </xdr:from>
    <xdr:to>
      <xdr:col>32</xdr:col>
      <xdr:colOff>272143</xdr:colOff>
      <xdr:row>69</xdr:row>
      <xdr:rowOff>185057</xdr:rowOff>
    </xdr:to>
    <xdr:cxnSp macro="">
      <xdr:nvCxnSpPr>
        <xdr:cNvPr id="25" name="Connecteur droit avec flèche 24">
          <a:extLst>
            <a:ext uri="{FF2B5EF4-FFF2-40B4-BE49-F238E27FC236}">
              <a16:creationId xmlns:a16="http://schemas.microsoft.com/office/drawing/2014/main" id="{73AFE058-3B33-1C08-7345-87406A9A572B}"/>
            </a:ext>
          </a:extLst>
        </xdr:cNvPr>
        <xdr:cNvCxnSpPr/>
      </xdr:nvCxnSpPr>
      <xdr:spPr>
        <a:xfrm>
          <a:off x="9394371" y="13030200"/>
          <a:ext cx="5225143" cy="424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10885</xdr:colOff>
      <xdr:row>54</xdr:row>
      <xdr:rowOff>141514</xdr:rowOff>
    </xdr:from>
    <xdr:to>
      <xdr:col>32</xdr:col>
      <xdr:colOff>326572</xdr:colOff>
      <xdr:row>64</xdr:row>
      <xdr:rowOff>76200</xdr:rowOff>
    </xdr:to>
    <xdr:cxnSp macro="">
      <xdr:nvCxnSpPr>
        <xdr:cNvPr id="27" name="Connecteur droit avec flèche 26">
          <a:extLst>
            <a:ext uri="{FF2B5EF4-FFF2-40B4-BE49-F238E27FC236}">
              <a16:creationId xmlns:a16="http://schemas.microsoft.com/office/drawing/2014/main" id="{CA75940E-E8D3-F80F-BE4F-047AAC8DDA64}"/>
            </a:ext>
          </a:extLst>
        </xdr:cNvPr>
        <xdr:cNvCxnSpPr/>
      </xdr:nvCxnSpPr>
      <xdr:spPr>
        <a:xfrm>
          <a:off x="9318171" y="10504714"/>
          <a:ext cx="5355772" cy="1894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40</xdr:row>
      <xdr:rowOff>87085</xdr:rowOff>
    </xdr:from>
    <xdr:to>
      <xdr:col>32</xdr:col>
      <xdr:colOff>359229</xdr:colOff>
      <xdr:row>58</xdr:row>
      <xdr:rowOff>65315</xdr:rowOff>
    </xdr:to>
    <xdr:cxnSp macro="">
      <xdr:nvCxnSpPr>
        <xdr:cNvPr id="29" name="Connecteur droit avec flèche 28">
          <a:extLst>
            <a:ext uri="{FF2B5EF4-FFF2-40B4-BE49-F238E27FC236}">
              <a16:creationId xmlns:a16="http://schemas.microsoft.com/office/drawing/2014/main" id="{66A3540C-0370-2653-649D-0396AFE66E57}"/>
            </a:ext>
          </a:extLst>
        </xdr:cNvPr>
        <xdr:cNvCxnSpPr/>
      </xdr:nvCxnSpPr>
      <xdr:spPr>
        <a:xfrm>
          <a:off x="9394371" y="7761514"/>
          <a:ext cx="5312229" cy="34507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65315</xdr:colOff>
      <xdr:row>27</xdr:row>
      <xdr:rowOff>174171</xdr:rowOff>
    </xdr:from>
    <xdr:to>
      <xdr:col>33</xdr:col>
      <xdr:colOff>0</xdr:colOff>
      <xdr:row>41</xdr:row>
      <xdr:rowOff>163286</xdr:rowOff>
    </xdr:to>
    <xdr:cxnSp macro="">
      <xdr:nvCxnSpPr>
        <xdr:cNvPr id="31" name="Connecteur droit avec flèche 30">
          <a:extLst>
            <a:ext uri="{FF2B5EF4-FFF2-40B4-BE49-F238E27FC236}">
              <a16:creationId xmlns:a16="http://schemas.microsoft.com/office/drawing/2014/main" id="{319E82B6-5239-203D-B19C-FFFAA2509512}"/>
            </a:ext>
          </a:extLst>
        </xdr:cNvPr>
        <xdr:cNvCxnSpPr/>
      </xdr:nvCxnSpPr>
      <xdr:spPr>
        <a:xfrm flipV="1">
          <a:off x="13237029" y="5323114"/>
          <a:ext cx="1502228" cy="2710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22</xdr:row>
      <xdr:rowOff>32657</xdr:rowOff>
    </xdr:from>
    <xdr:to>
      <xdr:col>32</xdr:col>
      <xdr:colOff>381000</xdr:colOff>
      <xdr:row>33</xdr:row>
      <xdr:rowOff>87086</xdr:rowOff>
    </xdr:to>
    <xdr:cxnSp macro="">
      <xdr:nvCxnSpPr>
        <xdr:cNvPr id="33" name="Connecteur droit avec flèche 32">
          <a:extLst>
            <a:ext uri="{FF2B5EF4-FFF2-40B4-BE49-F238E27FC236}">
              <a16:creationId xmlns:a16="http://schemas.microsoft.com/office/drawing/2014/main" id="{6BB8159A-35E7-19F6-1AFD-68C839B943DF}"/>
            </a:ext>
          </a:extLst>
        </xdr:cNvPr>
        <xdr:cNvCxnSpPr/>
      </xdr:nvCxnSpPr>
      <xdr:spPr>
        <a:xfrm flipV="1">
          <a:off x="13247914" y="4234543"/>
          <a:ext cx="1480457" cy="21771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16</xdr:row>
      <xdr:rowOff>76200</xdr:rowOff>
    </xdr:from>
    <xdr:to>
      <xdr:col>33</xdr:col>
      <xdr:colOff>21772</xdr:colOff>
      <xdr:row>22</xdr:row>
      <xdr:rowOff>10885</xdr:rowOff>
    </xdr:to>
    <xdr:cxnSp macro="">
      <xdr:nvCxnSpPr>
        <xdr:cNvPr id="35" name="Connecteur droit avec flèche 34">
          <a:extLst>
            <a:ext uri="{FF2B5EF4-FFF2-40B4-BE49-F238E27FC236}">
              <a16:creationId xmlns:a16="http://schemas.microsoft.com/office/drawing/2014/main" id="{492B07D3-C58C-E336-1F93-3152B4A7CE78}"/>
            </a:ext>
          </a:extLst>
        </xdr:cNvPr>
        <xdr:cNvCxnSpPr/>
      </xdr:nvCxnSpPr>
      <xdr:spPr>
        <a:xfrm flipV="1">
          <a:off x="13247914" y="3113314"/>
          <a:ext cx="1513115" cy="1099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43543</xdr:colOff>
      <xdr:row>10</xdr:row>
      <xdr:rowOff>32657</xdr:rowOff>
    </xdr:from>
    <xdr:to>
      <xdr:col>32</xdr:col>
      <xdr:colOff>348343</xdr:colOff>
      <xdr:row>11</xdr:row>
      <xdr:rowOff>54429</xdr:rowOff>
    </xdr:to>
    <xdr:cxnSp macro="">
      <xdr:nvCxnSpPr>
        <xdr:cNvPr id="37" name="Connecteur droit avec flèche 36">
          <a:extLst>
            <a:ext uri="{FF2B5EF4-FFF2-40B4-BE49-F238E27FC236}">
              <a16:creationId xmlns:a16="http://schemas.microsoft.com/office/drawing/2014/main" id="{C86F247C-A2FC-E9AD-B6B2-1D1542140F70}"/>
            </a:ext>
          </a:extLst>
        </xdr:cNvPr>
        <xdr:cNvCxnSpPr/>
      </xdr:nvCxnSpPr>
      <xdr:spPr>
        <a:xfrm flipV="1">
          <a:off x="13215257" y="1926771"/>
          <a:ext cx="1480457" cy="2177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277906</xdr:colOff>
      <xdr:row>11</xdr:row>
      <xdr:rowOff>32657</xdr:rowOff>
    </xdr:from>
    <xdr:to>
      <xdr:col>24</xdr:col>
      <xdr:colOff>381000</xdr:colOff>
      <xdr:row>19</xdr:row>
      <xdr:rowOff>71718</xdr:rowOff>
    </xdr:to>
    <xdr:cxnSp macro="">
      <xdr:nvCxnSpPr>
        <xdr:cNvPr id="39" name="Connecteur droit avec flèche 38">
          <a:extLst>
            <a:ext uri="{FF2B5EF4-FFF2-40B4-BE49-F238E27FC236}">
              <a16:creationId xmlns:a16="http://schemas.microsoft.com/office/drawing/2014/main" id="{69FDAA0C-EA2A-DD47-4E49-4C8EF44478EC}"/>
            </a:ext>
          </a:extLst>
        </xdr:cNvPr>
        <xdr:cNvCxnSpPr/>
      </xdr:nvCxnSpPr>
      <xdr:spPr>
        <a:xfrm flipV="1">
          <a:off x="8130988" y="2049716"/>
          <a:ext cx="2783541" cy="15182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18</xdr:row>
      <xdr:rowOff>125506</xdr:rowOff>
    </xdr:from>
    <xdr:to>
      <xdr:col>24</xdr:col>
      <xdr:colOff>370114</xdr:colOff>
      <xdr:row>21</xdr:row>
      <xdr:rowOff>0</xdr:rowOff>
    </xdr:to>
    <xdr:cxnSp macro="">
      <xdr:nvCxnSpPr>
        <xdr:cNvPr id="41" name="Connecteur droit avec flèche 40">
          <a:extLst>
            <a:ext uri="{FF2B5EF4-FFF2-40B4-BE49-F238E27FC236}">
              <a16:creationId xmlns:a16="http://schemas.microsoft.com/office/drawing/2014/main" id="{3F69633A-0AB1-DDC4-B2B3-258F9D069DC9}"/>
            </a:ext>
          </a:extLst>
        </xdr:cNvPr>
        <xdr:cNvCxnSpPr/>
      </xdr:nvCxnSpPr>
      <xdr:spPr>
        <a:xfrm>
          <a:off x="6651812" y="3433482"/>
          <a:ext cx="4251831" cy="4303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783771</xdr:colOff>
      <xdr:row>12</xdr:row>
      <xdr:rowOff>0</xdr:rowOff>
    </xdr:from>
    <xdr:to>
      <xdr:col>25</xdr:col>
      <xdr:colOff>0</xdr:colOff>
      <xdr:row>30</xdr:row>
      <xdr:rowOff>130629</xdr:rowOff>
    </xdr:to>
    <xdr:cxnSp macro="">
      <xdr:nvCxnSpPr>
        <xdr:cNvPr id="43" name="Connecteur droit avec flèche 42">
          <a:extLst>
            <a:ext uri="{FF2B5EF4-FFF2-40B4-BE49-F238E27FC236}">
              <a16:creationId xmlns:a16="http://schemas.microsoft.com/office/drawing/2014/main" id="{7877CBC5-A9B4-9F58-45A0-4D06F30E27BC}"/>
            </a:ext>
          </a:extLst>
        </xdr:cNvPr>
        <xdr:cNvCxnSpPr/>
      </xdr:nvCxnSpPr>
      <xdr:spPr>
        <a:xfrm>
          <a:off x="9285514" y="2275114"/>
          <a:ext cx="1589315" cy="3592286"/>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14</xdr:col>
      <xdr:colOff>322729</xdr:colOff>
      <xdr:row>15</xdr:row>
      <xdr:rowOff>161364</xdr:rowOff>
    </xdr:from>
    <xdr:to>
      <xdr:col>25</xdr:col>
      <xdr:colOff>21771</xdr:colOff>
      <xdr:row>41</xdr:row>
      <xdr:rowOff>130629</xdr:rowOff>
    </xdr:to>
    <xdr:cxnSp macro="">
      <xdr:nvCxnSpPr>
        <xdr:cNvPr id="45" name="Connecteur droit avec flèche 44">
          <a:extLst>
            <a:ext uri="{FF2B5EF4-FFF2-40B4-BE49-F238E27FC236}">
              <a16:creationId xmlns:a16="http://schemas.microsoft.com/office/drawing/2014/main" id="{A685EB70-1D3D-2F8F-E0D5-3A1AA3DCFB6F}"/>
            </a:ext>
          </a:extLst>
        </xdr:cNvPr>
        <xdr:cNvCxnSpPr/>
      </xdr:nvCxnSpPr>
      <xdr:spPr>
        <a:xfrm>
          <a:off x="6185647" y="2913529"/>
          <a:ext cx="4764100" cy="48012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21771</xdr:colOff>
      <xdr:row>9</xdr:row>
      <xdr:rowOff>108857</xdr:rowOff>
    </xdr:from>
    <xdr:to>
      <xdr:col>32</xdr:col>
      <xdr:colOff>337458</xdr:colOff>
      <xdr:row>34</xdr:row>
      <xdr:rowOff>76200</xdr:rowOff>
    </xdr:to>
    <xdr:cxnSp macro="">
      <xdr:nvCxnSpPr>
        <xdr:cNvPr id="47" name="Connecteur droit avec flèche 46">
          <a:extLst>
            <a:ext uri="{FF2B5EF4-FFF2-40B4-BE49-F238E27FC236}">
              <a16:creationId xmlns:a16="http://schemas.microsoft.com/office/drawing/2014/main" id="{FA988F03-2EFB-5FE7-8CF5-B5EF40213DEF}"/>
            </a:ext>
          </a:extLst>
        </xdr:cNvPr>
        <xdr:cNvCxnSpPr/>
      </xdr:nvCxnSpPr>
      <xdr:spPr>
        <a:xfrm>
          <a:off x="9329057" y="1817914"/>
          <a:ext cx="5355772" cy="4778829"/>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43542</xdr:colOff>
      <xdr:row>3</xdr:row>
      <xdr:rowOff>54429</xdr:rowOff>
    </xdr:from>
    <xdr:to>
      <xdr:col>32</xdr:col>
      <xdr:colOff>381000</xdr:colOff>
      <xdr:row>7</xdr:row>
      <xdr:rowOff>97972</xdr:rowOff>
    </xdr:to>
    <xdr:cxnSp macro="">
      <xdr:nvCxnSpPr>
        <xdr:cNvPr id="49" name="Connecteur droit avec flèche 48">
          <a:extLst>
            <a:ext uri="{FF2B5EF4-FFF2-40B4-BE49-F238E27FC236}">
              <a16:creationId xmlns:a16="http://schemas.microsoft.com/office/drawing/2014/main" id="{E8E4FE1D-1136-927C-8C66-0BA892977C89}"/>
            </a:ext>
          </a:extLst>
        </xdr:cNvPr>
        <xdr:cNvCxnSpPr/>
      </xdr:nvCxnSpPr>
      <xdr:spPr>
        <a:xfrm flipV="1">
          <a:off x="2764971" y="609600"/>
          <a:ext cx="11963400" cy="80554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81835</xdr:colOff>
      <xdr:row>10</xdr:row>
      <xdr:rowOff>90672</xdr:rowOff>
    </xdr:from>
    <xdr:to>
      <xdr:col>9</xdr:col>
      <xdr:colOff>382281</xdr:colOff>
      <xdr:row>58</xdr:row>
      <xdr:rowOff>158164</xdr:rowOff>
    </xdr:to>
    <xdr:cxnSp macro="">
      <xdr:nvCxnSpPr>
        <xdr:cNvPr id="52" name="Connecteur droit avec flèche 51">
          <a:extLst>
            <a:ext uri="{FF2B5EF4-FFF2-40B4-BE49-F238E27FC236}">
              <a16:creationId xmlns:a16="http://schemas.microsoft.com/office/drawing/2014/main" id="{AE232A22-F537-410D-A0D5-9344C19985E0}"/>
            </a:ext>
          </a:extLst>
        </xdr:cNvPr>
        <xdr:cNvCxnSpPr/>
      </xdr:nvCxnSpPr>
      <xdr:spPr>
        <a:xfrm>
          <a:off x="2816070" y="1919472"/>
          <a:ext cx="694893" cy="897841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34</xdr:row>
      <xdr:rowOff>0</xdr:rowOff>
    </xdr:from>
    <xdr:to>
      <xdr:col>15</xdr:col>
      <xdr:colOff>330339</xdr:colOff>
      <xdr:row>77</xdr:row>
      <xdr:rowOff>145684</xdr:rowOff>
    </xdr:to>
    <xdr:pic>
      <xdr:nvPicPr>
        <xdr:cNvPr id="2" name="Image 1">
          <a:extLst>
            <a:ext uri="{FF2B5EF4-FFF2-40B4-BE49-F238E27FC236}">
              <a16:creationId xmlns:a16="http://schemas.microsoft.com/office/drawing/2014/main" id="{833B93F2-87A0-DDE5-B9B1-3CEA823F3784}"/>
            </a:ext>
          </a:extLst>
        </xdr:cNvPr>
        <xdr:cNvPicPr>
          <a:picLocks noChangeAspect="1"/>
        </xdr:cNvPicPr>
      </xdr:nvPicPr>
      <xdr:blipFill>
        <a:blip xmlns:r="http://schemas.openxmlformats.org/officeDocument/2006/relationships" r:embed="rId1"/>
        <a:stretch>
          <a:fillRect/>
        </a:stretch>
      </xdr:blipFill>
      <xdr:spPr>
        <a:xfrm>
          <a:off x="3169920" y="6217920"/>
          <a:ext cx="9047619" cy="80095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16014D-321F-4496-BB75-D9FE3B93155B}" name="Tableau1" displayName="Tableau1" ref="C3:AA18" totalsRowShown="0">
  <autoFilter ref="C3:AA18" xr:uid="{3816014D-321F-4496-BB75-D9FE3B93155B}"/>
  <tableColumns count="25">
    <tableColumn id="1" xr3:uid="{3250EFE0-D9A6-43E0-881A-1E2F65052EF9}" name="IC"/>
    <tableColumn id="25" xr3:uid="{29AC5D4B-E30D-49EF-B245-55806969662D}" name="nickname"/>
    <tableColumn id="2" xr3:uid="{E4BEE50D-07FE-442F-94E1-A7A1183F8BAE}" name="Power Name 1"/>
    <tableColumn id="3" xr3:uid="{C752E68F-C1ED-4FED-A557-7240030ADB83}" name="Voltage 1"/>
    <tableColumn id="4" xr3:uid="{750801C3-DE36-463C-A59B-6E522275AF14}" name="Power Name 2"/>
    <tableColumn id="5" xr3:uid="{F4D2EFAF-260F-489F-AF68-841D4D58C26B}" name="Voltage 2"/>
    <tableColumn id="6" xr3:uid="{DB40C943-39DF-41E3-A1CD-1409583D0777}" name="Power Name 3"/>
    <tableColumn id="7" xr3:uid="{6ED7D138-B8BE-4AAA-8D11-70D955C890D8}" name="Voltage 3"/>
    <tableColumn id="8" xr3:uid="{B4DD861C-4106-4129-9C68-AE20113CE76C}" name="Power Name 4"/>
    <tableColumn id="9" xr3:uid="{946C55D9-07D4-4FD1-A853-BE8F30F9A232}" name="Voltage 4"/>
    <tableColumn id="10" xr3:uid="{97A9DEC2-4DAD-43FD-8C8C-6864AAE47E3F}" name="Power Name 5"/>
    <tableColumn id="11" xr3:uid="{B581FF75-B14D-4B47-B392-894FAA01CBF9}" name="Voltage 5"/>
    <tableColumn id="12" xr3:uid="{F6B0A055-DC77-4C0E-942C-6CD22631DDEA}" name="Power Name 6"/>
    <tableColumn id="13" xr3:uid="{7AB3DFEF-E602-48B7-99E0-DB271474BA04}" name="Voltage 6"/>
    <tableColumn id="14" xr3:uid="{BD69DA9B-DCF7-4299-A501-2281BF56E354}" name="Power Name 7"/>
    <tableColumn id="15" xr3:uid="{C256E04A-D628-435B-AC50-8E8248F38793}" name="Voltage 7"/>
    <tableColumn id="16" xr3:uid="{B6158E2B-076A-4F78-AEBC-4FC839167354}" name="Power Name 8"/>
    <tableColumn id="17" xr3:uid="{A16B5114-ED41-4737-9926-FCD18EDE6FBC}" name="Voltage 8"/>
    <tableColumn id="18" xr3:uid="{965548BC-5578-4E92-A557-7085D3AD8E68}" name="Power Name 9"/>
    <tableColumn id="19" xr3:uid="{DB9B45C9-B337-4FC7-B130-B237A2650CA2}" name="Voltage 9"/>
    <tableColumn id="20" xr3:uid="{9DC2D1ED-55E3-4317-8EEB-7A8941954492}" name="Power Name 10"/>
    <tableColumn id="21" xr3:uid="{D9A9FD2E-BE18-41D5-90DB-7E1842F3F809}" name="Voltage 10"/>
    <tableColumn id="22" xr3:uid="{679D3179-4C47-4502-8459-A3BB74528DA2}" name="Power Name 11"/>
    <tableColumn id="23" xr3:uid="{BDCA2B85-9C01-4BB0-9855-CE4F5DFFF04B}" name="Voltage 11"/>
    <tableColumn id="24" xr3:uid="{4132500A-2D09-46B9-9333-940ACC74199E}" name="Power Name 1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27C756-F506-46F1-8E4D-7BA176E54608}" name="Tableau2" displayName="Tableau2" ref="G6:I28" totalsRowShown="0">
  <autoFilter ref="G6:I28" xr:uid="{5727C756-F506-46F1-8E4D-7BA176E54608}"/>
  <tableColumns count="3">
    <tableColumn id="1" xr3:uid="{89F1DA81-9058-4B1C-BA96-A8F0FCFF4F22}" name="Name"/>
    <tableColumn id="2" xr3:uid="{6AABB9C2-4C28-4B4A-AF3F-E3C2561483C0}" name="Current (mA)"/>
    <tableColumn id="3" xr3:uid="{13377734-F6D7-4275-9A25-1E6270D0E3DC}" name="Voltage net lis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CA1BCB-75F9-40CA-B657-9CF1B8912621}" name="Tableau3" displayName="Tableau3" ref="D6:E18" totalsRowShown="0">
  <autoFilter ref="D6:E18" xr:uid="{76CA1BCB-75F9-40CA-B657-9CF1B8912621}"/>
  <tableColumns count="2">
    <tableColumn id="1" xr3:uid="{4B3EF395-A155-4FC8-8B38-001D624A76F1}" name="Colonne1"/>
    <tableColumn id="2" xr3:uid="{DB518B51-5793-404E-A988-73307184A8D5}" name="Colonne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pcbway.com/pcb_prototype/Cost_cores_Foil___Prepreg_for_PCB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18"/>
  <sheetViews>
    <sheetView zoomScaleNormal="100" workbookViewId="0">
      <selection activeCell="E7" sqref="E7"/>
    </sheetView>
  </sheetViews>
  <sheetFormatPr baseColWidth="10" defaultColWidth="8.88671875" defaultRowHeight="14.4" x14ac:dyDescent="0.3"/>
  <cols>
    <col min="3" max="3" width="17.88671875" customWidth="1"/>
    <col min="4" max="4" width="19.109375" bestFit="1" customWidth="1"/>
    <col min="5" max="5" width="19.109375" customWidth="1"/>
    <col min="6" max="6" width="14.88671875" customWidth="1"/>
    <col min="7" max="7" width="15.44140625" bestFit="1" customWidth="1"/>
    <col min="8" max="8" width="14.88671875" customWidth="1"/>
    <col min="9" max="9" width="10.5546875" customWidth="1"/>
    <col min="10" max="10" width="14.88671875" customWidth="1"/>
    <col min="11" max="11" width="10.5546875" customWidth="1"/>
    <col min="12" max="12" width="14.88671875" customWidth="1"/>
    <col min="13" max="13" width="10.5546875" customWidth="1"/>
    <col min="14" max="14" width="14.88671875" customWidth="1"/>
    <col min="15" max="15" width="10.5546875" customWidth="1"/>
    <col min="16" max="16" width="14.88671875" customWidth="1"/>
    <col min="17" max="17" width="10.5546875" customWidth="1"/>
    <col min="18" max="18" width="14.88671875" customWidth="1"/>
    <col min="19" max="19" width="10.5546875" customWidth="1"/>
    <col min="20" max="20" width="14.88671875" customWidth="1"/>
    <col min="21" max="21" width="10.5546875" customWidth="1"/>
    <col min="22" max="22" width="14.88671875" customWidth="1"/>
    <col min="23" max="23" width="10.5546875" customWidth="1"/>
    <col min="24" max="24" width="15.88671875" customWidth="1"/>
    <col min="25" max="25" width="11.5546875" customWidth="1"/>
    <col min="26" max="26" width="15.88671875" customWidth="1"/>
    <col min="27" max="27" width="11.5546875" customWidth="1"/>
    <col min="28" max="28" width="15.88671875" customWidth="1"/>
  </cols>
  <sheetData>
    <row r="2" spans="1:27" x14ac:dyDescent="0.3">
      <c r="A2" s="1" t="s">
        <v>29</v>
      </c>
    </row>
    <row r="3" spans="1:27" x14ac:dyDescent="0.3">
      <c r="A3" s="3" t="s">
        <v>30</v>
      </c>
      <c r="C3" t="s">
        <v>0</v>
      </c>
      <c r="D3" t="s">
        <v>37</v>
      </c>
      <c r="E3" t="s">
        <v>1</v>
      </c>
      <c r="F3" t="s">
        <v>2</v>
      </c>
      <c r="G3" t="s">
        <v>3</v>
      </c>
      <c r="H3" t="s">
        <v>4</v>
      </c>
      <c r="I3" t="s">
        <v>5</v>
      </c>
      <c r="J3" t="s">
        <v>6</v>
      </c>
      <c r="K3" t="s">
        <v>7</v>
      </c>
      <c r="L3" t="s">
        <v>8</v>
      </c>
      <c r="M3" t="s">
        <v>9</v>
      </c>
      <c r="N3" t="s">
        <v>10</v>
      </c>
      <c r="O3" t="s">
        <v>11</v>
      </c>
      <c r="P3" t="s">
        <v>12</v>
      </c>
      <c r="Q3" t="s">
        <v>13</v>
      </c>
      <c r="R3" t="s">
        <v>14</v>
      </c>
      <c r="S3" t="s">
        <v>15</v>
      </c>
      <c r="T3" t="s">
        <v>16</v>
      </c>
      <c r="U3" t="s">
        <v>17</v>
      </c>
      <c r="V3" t="s">
        <v>18</v>
      </c>
      <c r="W3" t="s">
        <v>19</v>
      </c>
      <c r="X3" t="s">
        <v>20</v>
      </c>
      <c r="Y3" t="s">
        <v>21</v>
      </c>
      <c r="Z3" t="s">
        <v>22</v>
      </c>
      <c r="AA3" t="s">
        <v>23</v>
      </c>
    </row>
    <row r="4" spans="1:27" x14ac:dyDescent="0.3">
      <c r="A4" s="2" t="s">
        <v>31</v>
      </c>
      <c r="C4" t="s">
        <v>24</v>
      </c>
      <c r="D4" t="s">
        <v>38</v>
      </c>
    </row>
    <row r="5" spans="1:27" x14ac:dyDescent="0.3">
      <c r="A5" s="4" t="s">
        <v>54</v>
      </c>
      <c r="C5" t="s">
        <v>25</v>
      </c>
      <c r="D5" t="s">
        <v>39</v>
      </c>
      <c r="E5" t="s">
        <v>26</v>
      </c>
      <c r="F5">
        <v>3.3</v>
      </c>
      <c r="G5" s="1" t="s">
        <v>27</v>
      </c>
      <c r="H5" s="1" t="s">
        <v>28</v>
      </c>
      <c r="I5" s="1" t="s">
        <v>52</v>
      </c>
      <c r="J5" s="1" t="s">
        <v>28</v>
      </c>
    </row>
    <row r="6" spans="1:27" x14ac:dyDescent="0.3">
      <c r="A6" s="5" t="s">
        <v>59</v>
      </c>
      <c r="C6" t="s">
        <v>32</v>
      </c>
      <c r="D6" t="s">
        <v>40</v>
      </c>
      <c r="E6" s="2" t="s">
        <v>33</v>
      </c>
      <c r="F6" s="2">
        <v>5</v>
      </c>
    </row>
    <row r="7" spans="1:27" x14ac:dyDescent="0.3">
      <c r="C7" t="s">
        <v>34</v>
      </c>
      <c r="D7" t="s">
        <v>41</v>
      </c>
      <c r="E7" t="s">
        <v>35</v>
      </c>
      <c r="F7">
        <v>1.5</v>
      </c>
      <c r="G7" t="s">
        <v>36</v>
      </c>
      <c r="H7">
        <v>1.5</v>
      </c>
      <c r="I7" s="6" t="s">
        <v>53</v>
      </c>
      <c r="J7" s="6">
        <v>0.75</v>
      </c>
      <c r="K7" s="6" t="s">
        <v>55</v>
      </c>
      <c r="L7" s="6">
        <v>0.75</v>
      </c>
      <c r="M7" s="4" t="s">
        <v>89</v>
      </c>
      <c r="N7" s="4">
        <v>0.75</v>
      </c>
    </row>
    <row r="8" spans="1:27" x14ac:dyDescent="0.3">
      <c r="C8" t="s">
        <v>42</v>
      </c>
      <c r="D8" t="s">
        <v>43</v>
      </c>
      <c r="E8" s="2" t="s">
        <v>50</v>
      </c>
      <c r="F8" s="2">
        <v>5</v>
      </c>
      <c r="G8" t="s">
        <v>44</v>
      </c>
      <c r="H8" t="s">
        <v>45</v>
      </c>
    </row>
    <row r="9" spans="1:27" x14ac:dyDescent="0.3">
      <c r="C9" t="s">
        <v>46</v>
      </c>
      <c r="D9" t="s">
        <v>47</v>
      </c>
      <c r="E9" s="2" t="s">
        <v>49</v>
      </c>
      <c r="F9" s="2">
        <v>5</v>
      </c>
      <c r="G9" t="s">
        <v>48</v>
      </c>
      <c r="H9">
        <v>3.3</v>
      </c>
      <c r="I9" s="2" t="s">
        <v>51</v>
      </c>
      <c r="J9" s="2">
        <v>3.3</v>
      </c>
    </row>
    <row r="10" spans="1:27" x14ac:dyDescent="0.3">
      <c r="C10" t="s">
        <v>56</v>
      </c>
      <c r="D10" t="s">
        <v>57</v>
      </c>
      <c r="E10" t="s">
        <v>35</v>
      </c>
      <c r="F10">
        <v>3.3</v>
      </c>
    </row>
    <row r="11" spans="1:27" x14ac:dyDescent="0.3">
      <c r="C11" t="s">
        <v>58</v>
      </c>
      <c r="D11" t="s">
        <v>61</v>
      </c>
      <c r="E11" s="5" t="s">
        <v>60</v>
      </c>
      <c r="F11" s="5">
        <v>3.3</v>
      </c>
      <c r="G11" t="s">
        <v>62</v>
      </c>
      <c r="H11">
        <v>3.3</v>
      </c>
    </row>
    <row r="12" spans="1:27" x14ac:dyDescent="0.3">
      <c r="C12" t="s">
        <v>63</v>
      </c>
      <c r="D12" t="s">
        <v>64</v>
      </c>
      <c r="E12" t="s">
        <v>65</v>
      </c>
      <c r="F12">
        <v>3.3</v>
      </c>
    </row>
    <row r="13" spans="1:27" x14ac:dyDescent="0.3">
      <c r="C13" t="s">
        <v>66</v>
      </c>
      <c r="D13" t="s">
        <v>67</v>
      </c>
      <c r="E13" t="s">
        <v>68</v>
      </c>
      <c r="F13">
        <v>24</v>
      </c>
      <c r="G13" t="s">
        <v>44</v>
      </c>
      <c r="H13">
        <v>3.3</v>
      </c>
    </row>
    <row r="14" spans="1:27" x14ac:dyDescent="0.3">
      <c r="C14" t="s">
        <v>69</v>
      </c>
      <c r="D14" t="s">
        <v>70</v>
      </c>
      <c r="E14" t="s">
        <v>71</v>
      </c>
      <c r="F14" t="s">
        <v>72</v>
      </c>
      <c r="G14" s="5" t="s">
        <v>73</v>
      </c>
      <c r="H14" s="5">
        <v>3.3</v>
      </c>
    </row>
    <row r="15" spans="1:27" x14ac:dyDescent="0.3">
      <c r="C15" t="s">
        <v>74</v>
      </c>
      <c r="D15" t="s">
        <v>78</v>
      </c>
      <c r="E15" s="5" t="s">
        <v>75</v>
      </c>
      <c r="F15" s="5">
        <v>1.8</v>
      </c>
      <c r="G15" t="s">
        <v>76</v>
      </c>
      <c r="H15">
        <v>1.8</v>
      </c>
      <c r="I15" s="5" t="s">
        <v>77</v>
      </c>
      <c r="J15" s="5">
        <v>3.3</v>
      </c>
    </row>
    <row r="16" spans="1:27" x14ac:dyDescent="0.3">
      <c r="C16" t="s">
        <v>79</v>
      </c>
      <c r="D16" t="s">
        <v>80</v>
      </c>
      <c r="E16" s="5" t="s">
        <v>81</v>
      </c>
      <c r="F16" s="5">
        <v>3.3</v>
      </c>
      <c r="G16" t="s">
        <v>82</v>
      </c>
      <c r="H16">
        <v>1.8</v>
      </c>
    </row>
    <row r="17" spans="3:8" x14ac:dyDescent="0.3">
      <c r="C17" t="s">
        <v>83</v>
      </c>
      <c r="D17" t="s">
        <v>84</v>
      </c>
      <c r="E17" s="5" t="s">
        <v>85</v>
      </c>
      <c r="F17" s="5">
        <v>-2.5</v>
      </c>
      <c r="G17" s="5" t="s">
        <v>86</v>
      </c>
      <c r="H17" s="5">
        <v>2.5</v>
      </c>
    </row>
    <row r="18" spans="3:8" x14ac:dyDescent="0.3">
      <c r="C18" t="s">
        <v>87</v>
      </c>
      <c r="D18" t="s">
        <v>88</v>
      </c>
      <c r="E18" t="s">
        <v>90</v>
      </c>
      <c r="F18">
        <v>3.3</v>
      </c>
      <c r="G18" t="s">
        <v>36</v>
      </c>
      <c r="H18">
        <v>1.5</v>
      </c>
    </row>
  </sheetData>
  <phoneticPr fontId="1" type="noConversion"/>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A1996-AD2B-4FE9-96E1-5059264D70BB}">
  <dimension ref="B5:I28"/>
  <sheetViews>
    <sheetView zoomScale="115" zoomScaleNormal="115" workbookViewId="0">
      <selection activeCell="F4" sqref="F4"/>
    </sheetView>
  </sheetViews>
  <sheetFormatPr baseColWidth="10" defaultRowHeight="14.4" x14ac:dyDescent="0.3"/>
  <cols>
    <col min="4" max="4" width="13.109375" bestFit="1" customWidth="1"/>
    <col min="7" max="7" width="16.33203125" bestFit="1" customWidth="1"/>
    <col min="8" max="8" width="13.21875" customWidth="1"/>
    <col min="9" max="9" width="15" customWidth="1"/>
  </cols>
  <sheetData>
    <row r="5" spans="2:9" x14ac:dyDescent="0.3">
      <c r="B5" s="2" t="s">
        <v>96</v>
      </c>
      <c r="D5" s="3" t="s">
        <v>92</v>
      </c>
      <c r="E5" s="3" t="s">
        <v>102</v>
      </c>
    </row>
    <row r="6" spans="2:9" x14ac:dyDescent="0.3">
      <c r="B6" t="s">
        <v>97</v>
      </c>
      <c r="D6" t="s">
        <v>128</v>
      </c>
      <c r="E6" t="s">
        <v>129</v>
      </c>
      <c r="G6" t="s">
        <v>91</v>
      </c>
      <c r="H6" t="s">
        <v>105</v>
      </c>
      <c r="I6" t="s">
        <v>92</v>
      </c>
    </row>
    <row r="7" spans="2:9" x14ac:dyDescent="0.3">
      <c r="B7" t="s">
        <v>98</v>
      </c>
      <c r="D7" t="s">
        <v>93</v>
      </c>
      <c r="E7">
        <v>3.3</v>
      </c>
      <c r="G7" t="s">
        <v>70</v>
      </c>
      <c r="H7">
        <v>50</v>
      </c>
      <c r="I7" t="s">
        <v>95</v>
      </c>
    </row>
    <row r="8" spans="2:9" x14ac:dyDescent="0.3">
      <c r="B8" t="s">
        <v>99</v>
      </c>
      <c r="D8" t="s">
        <v>94</v>
      </c>
      <c r="E8">
        <v>3.3</v>
      </c>
      <c r="G8" t="s">
        <v>106</v>
      </c>
      <c r="H8">
        <v>20</v>
      </c>
      <c r="I8" t="s">
        <v>95</v>
      </c>
    </row>
    <row r="9" spans="2:9" x14ac:dyDescent="0.3">
      <c r="B9" t="s">
        <v>100</v>
      </c>
      <c r="D9" t="s">
        <v>95</v>
      </c>
      <c r="E9">
        <v>3.3</v>
      </c>
      <c r="G9" t="s">
        <v>107</v>
      </c>
      <c r="H9">
        <v>25</v>
      </c>
      <c r="I9" t="s">
        <v>95</v>
      </c>
    </row>
    <row r="10" spans="2:9" x14ac:dyDescent="0.3">
      <c r="B10" t="s">
        <v>89</v>
      </c>
      <c r="D10" t="s">
        <v>101</v>
      </c>
      <c r="E10">
        <v>24</v>
      </c>
      <c r="G10" t="s">
        <v>61</v>
      </c>
      <c r="H10">
        <v>500</v>
      </c>
      <c r="I10" t="s">
        <v>95</v>
      </c>
    </row>
    <row r="11" spans="2:9" x14ac:dyDescent="0.3">
      <c r="B11" t="s">
        <v>141</v>
      </c>
      <c r="D11" t="s">
        <v>145</v>
      </c>
      <c r="E11">
        <v>5.5</v>
      </c>
      <c r="G11" t="s">
        <v>108</v>
      </c>
      <c r="H11">
        <v>5</v>
      </c>
      <c r="I11" t="s">
        <v>95</v>
      </c>
    </row>
    <row r="12" spans="2:9" x14ac:dyDescent="0.3">
      <c r="D12" t="s">
        <v>116</v>
      </c>
      <c r="E12">
        <v>5</v>
      </c>
      <c r="G12" t="s">
        <v>109</v>
      </c>
      <c r="H12">
        <v>1</v>
      </c>
      <c r="I12" t="s">
        <v>95</v>
      </c>
    </row>
    <row r="13" spans="2:9" x14ac:dyDescent="0.3">
      <c r="D13" t="str">
        <f>"-7V"</f>
        <v>-7V</v>
      </c>
      <c r="E13">
        <v>-7</v>
      </c>
      <c r="G13" t="s">
        <v>110</v>
      </c>
      <c r="H13">
        <v>5</v>
      </c>
      <c r="I13" t="s">
        <v>95</v>
      </c>
    </row>
    <row r="14" spans="2:9" x14ac:dyDescent="0.3">
      <c r="D14" t="str">
        <f>"-5V"</f>
        <v>-5V</v>
      </c>
      <c r="E14">
        <v>-5</v>
      </c>
      <c r="G14" t="s">
        <v>113</v>
      </c>
      <c r="H14">
        <v>300</v>
      </c>
      <c r="I14" t="s">
        <v>95</v>
      </c>
    </row>
    <row r="15" spans="2:9" x14ac:dyDescent="0.3">
      <c r="D15" t="s">
        <v>103</v>
      </c>
      <c r="E15">
        <v>1.8</v>
      </c>
      <c r="G15" t="s">
        <v>41</v>
      </c>
      <c r="H15">
        <v>750</v>
      </c>
      <c r="I15" t="s">
        <v>104</v>
      </c>
    </row>
    <row r="16" spans="2:9" x14ac:dyDescent="0.3">
      <c r="D16" t="s">
        <v>104</v>
      </c>
      <c r="E16">
        <v>1.5</v>
      </c>
      <c r="G16" t="s">
        <v>78</v>
      </c>
      <c r="H16">
        <v>55</v>
      </c>
      <c r="I16" t="s">
        <v>94</v>
      </c>
    </row>
    <row r="17" spans="4:9" x14ac:dyDescent="0.3">
      <c r="D17" t="s">
        <v>89</v>
      </c>
      <c r="E17">
        <v>0.75</v>
      </c>
      <c r="G17" t="s">
        <v>80</v>
      </c>
      <c r="H17">
        <v>320</v>
      </c>
      <c r="I17" t="s">
        <v>93</v>
      </c>
    </row>
    <row r="18" spans="4:9" x14ac:dyDescent="0.3">
      <c r="D18" t="s">
        <v>119</v>
      </c>
      <c r="E18">
        <v>1.2</v>
      </c>
      <c r="G18" t="s">
        <v>111</v>
      </c>
      <c r="H18">
        <v>80</v>
      </c>
      <c r="I18" t="s">
        <v>95</v>
      </c>
    </row>
    <row r="19" spans="4:9" x14ac:dyDescent="0.3">
      <c r="G19" t="s">
        <v>112</v>
      </c>
      <c r="H19">
        <v>140</v>
      </c>
      <c r="I19" t="s">
        <v>104</v>
      </c>
    </row>
    <row r="20" spans="4:9" x14ac:dyDescent="0.3">
      <c r="G20" t="s">
        <v>114</v>
      </c>
      <c r="H20">
        <v>100</v>
      </c>
      <c r="I20" t="s">
        <v>95</v>
      </c>
    </row>
    <row r="21" spans="4:9" x14ac:dyDescent="0.3">
      <c r="G21" t="s">
        <v>78</v>
      </c>
      <c r="H21">
        <v>500</v>
      </c>
      <c r="I21" t="s">
        <v>103</v>
      </c>
    </row>
    <row r="22" spans="4:9" x14ac:dyDescent="0.3">
      <c r="G22" t="s">
        <v>80</v>
      </c>
      <c r="H22">
        <v>180</v>
      </c>
      <c r="I22" t="s">
        <v>103</v>
      </c>
    </row>
    <row r="23" spans="4:9" x14ac:dyDescent="0.3">
      <c r="G23" t="s">
        <v>115</v>
      </c>
      <c r="H23">
        <v>60</v>
      </c>
      <c r="I23" t="s">
        <v>116</v>
      </c>
    </row>
    <row r="24" spans="4:9" x14ac:dyDescent="0.3">
      <c r="G24" t="s">
        <v>117</v>
      </c>
      <c r="H24">
        <v>60</v>
      </c>
      <c r="I24" t="s">
        <v>118</v>
      </c>
    </row>
    <row r="25" spans="4:9" x14ac:dyDescent="0.3">
      <c r="G25" t="s">
        <v>89</v>
      </c>
      <c r="H25">
        <v>50</v>
      </c>
      <c r="I25" t="s">
        <v>89</v>
      </c>
    </row>
    <row r="26" spans="4:9" x14ac:dyDescent="0.3">
      <c r="G26" t="s">
        <v>120</v>
      </c>
      <c r="H26">
        <v>250</v>
      </c>
      <c r="I26" t="s">
        <v>95</v>
      </c>
    </row>
    <row r="27" spans="4:9" x14ac:dyDescent="0.3">
      <c r="G27" t="s">
        <v>121</v>
      </c>
      <c r="H27">
        <v>3000</v>
      </c>
      <c r="I27" t="s">
        <v>119</v>
      </c>
    </row>
    <row r="28" spans="4:9" x14ac:dyDescent="0.3">
      <c r="G28" t="s">
        <v>140</v>
      </c>
      <c r="H28">
        <v>3800</v>
      </c>
      <c r="I28" t="s">
        <v>101</v>
      </c>
    </row>
  </sheetData>
  <dataValidations count="1">
    <dataValidation type="list" allowBlank="1" showInputMessage="1" showErrorMessage="1" sqref="I7:I28" xr:uid="{CC5CAFFF-68DD-468D-BDB2-64D11CE0F47B}">
      <formula1>V_NET_LIST</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A8E0A-FAAA-45F3-9E9F-6A7A583E1873}">
  <sheetPr>
    <pageSetUpPr fitToPage="1"/>
  </sheetPr>
  <dimension ref="E3:AK85"/>
  <sheetViews>
    <sheetView zoomScale="55" zoomScaleNormal="55" workbookViewId="0">
      <selection activeCell="D1" sqref="D1:AK85"/>
    </sheetView>
  </sheetViews>
  <sheetFormatPr baseColWidth="10" defaultRowHeight="14.4" x14ac:dyDescent="0.3"/>
  <cols>
    <col min="4" max="4" width="5.77734375" customWidth="1"/>
    <col min="5" max="6" width="10.77734375" customWidth="1"/>
    <col min="7" max="7" width="4.77734375" customWidth="1"/>
    <col min="8" max="8" width="11.77734375" customWidth="1"/>
    <col min="9" max="10" width="5.77734375" customWidth="1"/>
    <col min="11" max="11" width="11.77734375" customWidth="1"/>
    <col min="12" max="12" width="5.77734375" customWidth="1"/>
    <col min="13" max="13" width="4.77734375" customWidth="1"/>
    <col min="14" max="14" width="11.77734375" customWidth="1"/>
    <col min="15" max="17" width="5.77734375" customWidth="1"/>
    <col min="18" max="18" width="11.77734375" customWidth="1"/>
    <col min="19" max="19" width="5.77734375" customWidth="1"/>
    <col min="20" max="20" width="4.33203125" customWidth="1"/>
    <col min="21" max="21" width="11.77734375" customWidth="1"/>
    <col min="22" max="25" width="5.77734375" customWidth="1"/>
    <col min="26" max="26" width="11.77734375" bestFit="1" customWidth="1"/>
    <col min="27" max="27" width="5.77734375" customWidth="1"/>
    <col min="28" max="28" width="4.33203125" bestFit="1" customWidth="1"/>
    <col min="29" max="29" width="11.77734375" bestFit="1" customWidth="1"/>
    <col min="30" max="33" width="5.77734375" customWidth="1"/>
    <col min="34" max="34" width="11.77734375" bestFit="1" customWidth="1"/>
    <col min="35" max="153" width="5.77734375" customWidth="1"/>
  </cols>
  <sheetData>
    <row r="3" spans="5:37" x14ac:dyDescent="0.3">
      <c r="AH3" s="35" t="s">
        <v>136</v>
      </c>
      <c r="AI3" s="36"/>
      <c r="AJ3" s="37" t="s">
        <v>137</v>
      </c>
      <c r="AK3" s="38"/>
    </row>
    <row r="4" spans="5:37" x14ac:dyDescent="0.3">
      <c r="AH4" s="17" t="s">
        <v>101</v>
      </c>
      <c r="AI4" s="16">
        <f>VLOOKUP(AH4,Tableau3[#All],2,FALSE)</f>
        <v>24</v>
      </c>
      <c r="AJ4" s="17">
        <f>SUMIF(Tableau2[Voltage net list],Feuil3!AH4,Tableau2[Current (mA)])</f>
        <v>3800</v>
      </c>
      <c r="AK4" s="16" t="s">
        <v>138</v>
      </c>
    </row>
    <row r="5" spans="5:37" x14ac:dyDescent="0.3">
      <c r="AH5" s="39" t="s">
        <v>124</v>
      </c>
      <c r="AI5" s="40"/>
      <c r="AJ5" s="40"/>
      <c r="AK5" s="41"/>
    </row>
    <row r="6" spans="5:37" ht="15" thickBot="1" x14ac:dyDescent="0.35">
      <c r="AH6" s="42">
        <f>AI4*(AJ4/1000)</f>
        <v>91.199999999999989</v>
      </c>
      <c r="AI6" s="43"/>
      <c r="AJ6" s="44" t="s">
        <v>139</v>
      </c>
      <c r="AK6" s="45"/>
    </row>
    <row r="7" spans="5:37" ht="15" thickBot="1" x14ac:dyDescent="0.35">
      <c r="E7" s="24" t="s">
        <v>122</v>
      </c>
      <c r="F7" s="25"/>
      <c r="G7" s="25"/>
      <c r="H7" s="26"/>
      <c r="K7" s="24" t="s">
        <v>148</v>
      </c>
      <c r="L7" s="25"/>
      <c r="M7" s="25"/>
      <c r="N7" s="26"/>
      <c r="R7" s="24" t="s">
        <v>147</v>
      </c>
      <c r="S7" s="25"/>
      <c r="T7" s="25"/>
      <c r="U7" s="26"/>
      <c r="Z7" s="24" t="s">
        <v>147</v>
      </c>
      <c r="AA7" s="25"/>
      <c r="AB7" s="25"/>
      <c r="AC7" s="26"/>
    </row>
    <row r="8" spans="5:37" ht="15" thickBot="1" x14ac:dyDescent="0.35">
      <c r="E8" s="27" t="s">
        <v>141</v>
      </c>
      <c r="F8" s="28"/>
      <c r="G8" s="12" t="s">
        <v>123</v>
      </c>
      <c r="H8" s="13">
        <v>1</v>
      </c>
      <c r="K8" s="27" t="s">
        <v>97</v>
      </c>
      <c r="L8" s="28"/>
      <c r="M8" s="12" t="s">
        <v>123</v>
      </c>
      <c r="N8" s="19">
        <v>0.85</v>
      </c>
      <c r="R8" s="27" t="s">
        <v>97</v>
      </c>
      <c r="S8" s="28"/>
      <c r="T8" s="12" t="s">
        <v>123</v>
      </c>
      <c r="U8" s="19">
        <v>0.94</v>
      </c>
      <c r="Z8" s="27" t="s">
        <v>97</v>
      </c>
      <c r="AA8" s="28"/>
      <c r="AB8" s="12" t="s">
        <v>123</v>
      </c>
      <c r="AC8" s="19">
        <v>0.85</v>
      </c>
    </row>
    <row r="9" spans="5:37" ht="15" thickBot="1" x14ac:dyDescent="0.35">
      <c r="E9" s="29" t="s">
        <v>125</v>
      </c>
      <c r="F9" s="30"/>
      <c r="G9" s="30"/>
      <c r="H9" s="18" t="s">
        <v>143</v>
      </c>
      <c r="K9" s="29" t="s">
        <v>125</v>
      </c>
      <c r="L9" s="30"/>
      <c r="M9" s="30"/>
      <c r="N9" s="18">
        <v>5</v>
      </c>
      <c r="R9" s="29" t="s">
        <v>125</v>
      </c>
      <c r="S9" s="30"/>
      <c r="T9" s="30"/>
      <c r="U9" s="18">
        <v>4</v>
      </c>
      <c r="Z9" s="29" t="s">
        <v>125</v>
      </c>
      <c r="AA9" s="30"/>
      <c r="AB9" s="30"/>
      <c r="AC9" s="18">
        <v>4</v>
      </c>
      <c r="AH9" s="35" t="s">
        <v>136</v>
      </c>
      <c r="AI9" s="36"/>
      <c r="AJ9" s="37" t="s">
        <v>137</v>
      </c>
      <c r="AK9" s="38"/>
    </row>
    <row r="10" spans="5:37" x14ac:dyDescent="0.3">
      <c r="E10" s="8" t="s">
        <v>133</v>
      </c>
      <c r="F10" s="11"/>
      <c r="G10" s="11"/>
      <c r="H10" s="7" t="s">
        <v>134</v>
      </c>
      <c r="K10" s="8" t="s">
        <v>133</v>
      </c>
      <c r="L10" s="11"/>
      <c r="M10" s="11"/>
      <c r="N10" s="7" t="s">
        <v>134</v>
      </c>
      <c r="R10" s="8" t="s">
        <v>133</v>
      </c>
      <c r="S10" s="11"/>
      <c r="T10" s="11"/>
      <c r="U10" s="7" t="s">
        <v>134</v>
      </c>
      <c r="Z10" s="8" t="s">
        <v>133</v>
      </c>
      <c r="AA10" s="11"/>
      <c r="AB10" s="11"/>
      <c r="AC10" s="7" t="s">
        <v>134</v>
      </c>
      <c r="AH10" s="17" t="s">
        <v>119</v>
      </c>
      <c r="AI10" s="16">
        <f>VLOOKUP(AH10,Tableau3[#All],2,FALSE)</f>
        <v>1.2</v>
      </c>
      <c r="AJ10" s="17">
        <f>SUMIF(Tableau2[Voltage net list],Feuil3!AH10,Tableau2[Current (mA)])</f>
        <v>3000</v>
      </c>
      <c r="AK10" s="16" t="s">
        <v>138</v>
      </c>
    </row>
    <row r="11" spans="5:37" ht="15" thickBot="1" x14ac:dyDescent="0.35">
      <c r="E11" s="14" t="s">
        <v>101</v>
      </c>
      <c r="F11" s="11"/>
      <c r="G11" s="11"/>
      <c r="H11" s="14" t="s">
        <v>101</v>
      </c>
      <c r="K11" s="14" t="s">
        <v>101</v>
      </c>
      <c r="L11" s="11"/>
      <c r="M11" s="11"/>
      <c r="N11" s="14" t="s">
        <v>145</v>
      </c>
      <c r="R11" s="14" t="s">
        <v>145</v>
      </c>
      <c r="S11" s="11"/>
      <c r="T11" s="11"/>
      <c r="U11" s="14" t="s">
        <v>95</v>
      </c>
      <c r="Z11" s="14" t="s">
        <v>145</v>
      </c>
      <c r="AA11" s="11"/>
      <c r="AB11" s="11"/>
      <c r="AC11" s="14" t="s">
        <v>119</v>
      </c>
      <c r="AH11" s="39" t="s">
        <v>124</v>
      </c>
      <c r="AI11" s="40"/>
      <c r="AJ11" s="40"/>
      <c r="AK11" s="41"/>
    </row>
    <row r="12" spans="5:37" x14ac:dyDescent="0.3">
      <c r="E12" s="9" t="s">
        <v>127</v>
      </c>
      <c r="F12" s="11"/>
      <c r="G12" s="11"/>
      <c r="H12" s="9" t="s">
        <v>126</v>
      </c>
      <c r="K12" s="9" t="s">
        <v>127</v>
      </c>
      <c r="L12" s="11"/>
      <c r="M12" s="11"/>
      <c r="N12" s="9" t="s">
        <v>126</v>
      </c>
      <c r="R12" s="9" t="s">
        <v>127</v>
      </c>
      <c r="S12" s="11"/>
      <c r="T12" s="11"/>
      <c r="U12" s="9" t="s">
        <v>126</v>
      </c>
      <c r="Z12" s="9" t="s">
        <v>127</v>
      </c>
      <c r="AA12" s="11"/>
      <c r="AB12" s="11"/>
      <c r="AC12" s="9" t="s">
        <v>126</v>
      </c>
      <c r="AH12" s="42">
        <f>AI10*(AJ10/1000)</f>
        <v>3.5999999999999996</v>
      </c>
      <c r="AI12" s="43"/>
      <c r="AJ12" s="44" t="s">
        <v>139</v>
      </c>
      <c r="AK12" s="45"/>
    </row>
    <row r="13" spans="5:37" ht="15" thickBot="1" x14ac:dyDescent="0.35">
      <c r="E13" s="15">
        <f>E15/VLOOKUP(E11,Tableau3[#All],2,FALSE)</f>
        <v>4.3011663765719339</v>
      </c>
      <c r="F13" s="11"/>
      <c r="G13" s="11"/>
      <c r="H13" s="15">
        <f>SUM(AJ4/1000,K13,K62)</f>
        <v>4.3011663765719339</v>
      </c>
      <c r="K13" s="15">
        <f>K15/VLOOKUP(K11,Tableau3[#All],2,FALSE)</f>
        <v>0.4742432996488577</v>
      </c>
      <c r="L13" s="11"/>
      <c r="M13" s="11"/>
      <c r="N13" s="15">
        <f>SUM(R13,R39)</f>
        <v>1.7590115114248539</v>
      </c>
      <c r="R13" s="15">
        <f>R15/VLOOKUP(R11,Tableau3[#All],2,FALSE)</f>
        <v>1.6990115114248538</v>
      </c>
      <c r="S13" s="11"/>
      <c r="T13" s="11"/>
      <c r="U13" s="15">
        <f>SUM(Z35,Z24,Z46,Z13,AJ34/1000)</f>
        <v>2.6617847012322713</v>
      </c>
      <c r="Z13" s="15">
        <f>Z15/VLOOKUP(Z11,Tableau3[#All],2,FALSE)</f>
        <v>0.77005347593582885</v>
      </c>
      <c r="AA13" s="11"/>
      <c r="AB13" s="11"/>
      <c r="AC13" s="15">
        <f>SUMIF(Tableau2[Voltage net list],Feuil3!AC11,Tableau2[Current (mA)])/1000</f>
        <v>3</v>
      </c>
    </row>
    <row r="14" spans="5:37" x14ac:dyDescent="0.3">
      <c r="E14" s="10" t="s">
        <v>132</v>
      </c>
      <c r="F14" s="31" t="s">
        <v>131</v>
      </c>
      <c r="G14" s="32"/>
      <c r="H14" s="10" t="s">
        <v>130</v>
      </c>
      <c r="K14" s="10" t="s">
        <v>132</v>
      </c>
      <c r="L14" s="31" t="s">
        <v>131</v>
      </c>
      <c r="M14" s="32"/>
      <c r="N14" s="10" t="s">
        <v>130</v>
      </c>
      <c r="R14" s="10" t="s">
        <v>132</v>
      </c>
      <c r="S14" s="31" t="s">
        <v>131</v>
      </c>
      <c r="T14" s="32"/>
      <c r="U14" s="10" t="s">
        <v>130</v>
      </c>
      <c r="Z14" s="10" t="s">
        <v>132</v>
      </c>
      <c r="AA14" s="31" t="s">
        <v>131</v>
      </c>
      <c r="AB14" s="32"/>
      <c r="AC14" s="10" t="s">
        <v>130</v>
      </c>
    </row>
    <row r="15" spans="5:37" ht="15" thickBot="1" x14ac:dyDescent="0.35">
      <c r="E15" s="15">
        <f>H15/H8</f>
        <v>103.22799303772641</v>
      </c>
      <c r="F15" s="33">
        <f>E15-H15</f>
        <v>0</v>
      </c>
      <c r="G15" s="34"/>
      <c r="H15" s="15">
        <f>VLOOKUP(H11,Tableau3[#All],2,FALSE)*H13</f>
        <v>103.22799303772641</v>
      </c>
      <c r="K15" s="15">
        <f>N15/N8</f>
        <v>11.381839191572585</v>
      </c>
      <c r="L15" s="33">
        <f>K15-N15</f>
        <v>1.7072758787358886</v>
      </c>
      <c r="M15" s="34"/>
      <c r="N15" s="15">
        <f>VLOOKUP(N11,Tableau3[#All],2,FALSE)*N13</f>
        <v>9.6745633128366961</v>
      </c>
      <c r="R15" s="15">
        <f>U15/U8</f>
        <v>9.3445633128366961</v>
      </c>
      <c r="S15" s="33">
        <f>R15-U15</f>
        <v>0.56067379877020151</v>
      </c>
      <c r="T15" s="34"/>
      <c r="U15" s="15">
        <f>VLOOKUP(U11,Tableau3[#All],2,FALSE)*U13</f>
        <v>8.7838895140664945</v>
      </c>
      <c r="Z15" s="15">
        <f>AC15/AC8</f>
        <v>4.2352941176470589</v>
      </c>
      <c r="AA15" s="33">
        <f>Z15-AC15</f>
        <v>0.63529411764705923</v>
      </c>
      <c r="AB15" s="34"/>
      <c r="AC15" s="15">
        <f>VLOOKUP(AC11,Tableau3[#All],2,FALSE)*AC13</f>
        <v>3.5999999999999996</v>
      </c>
      <c r="AH15" s="35" t="s">
        <v>136</v>
      </c>
      <c r="AI15" s="36"/>
      <c r="AJ15" s="37" t="s">
        <v>137</v>
      </c>
      <c r="AK15" s="38"/>
    </row>
    <row r="16" spans="5:37" x14ac:dyDescent="0.3">
      <c r="AH16" s="17" t="s">
        <v>104</v>
      </c>
      <c r="AI16" s="16">
        <f>VLOOKUP(AH16,Tableau3[#All],2,FALSE)</f>
        <v>1.5</v>
      </c>
      <c r="AJ16" s="17">
        <f>SUMIF(Tableau2[Voltage net list],Feuil3!AH16,Tableau2[Current (mA)])</f>
        <v>890</v>
      </c>
      <c r="AK16" s="16" t="s">
        <v>138</v>
      </c>
    </row>
    <row r="17" spans="5:37" ht="15" thickBot="1" x14ac:dyDescent="0.35">
      <c r="AH17" s="39" t="s">
        <v>124</v>
      </c>
      <c r="AI17" s="40"/>
      <c r="AJ17" s="40"/>
      <c r="AK17" s="41"/>
    </row>
    <row r="18" spans="5:37" ht="15" thickBot="1" x14ac:dyDescent="0.35">
      <c r="Z18" s="24" t="s">
        <v>149</v>
      </c>
      <c r="AA18" s="25"/>
      <c r="AB18" s="25"/>
      <c r="AC18" s="26"/>
      <c r="AH18" s="42">
        <f>AI16*(AJ16/1000)</f>
        <v>1.335</v>
      </c>
      <c r="AI18" s="43"/>
      <c r="AJ18" s="44" t="s">
        <v>139</v>
      </c>
      <c r="AK18" s="45"/>
    </row>
    <row r="19" spans="5:37" ht="15" thickBot="1" x14ac:dyDescent="0.35">
      <c r="Z19" s="27" t="s">
        <v>97</v>
      </c>
      <c r="AA19" s="28"/>
      <c r="AB19" s="12" t="s">
        <v>123</v>
      </c>
      <c r="AC19" s="19">
        <v>0.92</v>
      </c>
    </row>
    <row r="20" spans="5:37" ht="15" thickBot="1" x14ac:dyDescent="0.35">
      <c r="Z20" s="29" t="s">
        <v>125</v>
      </c>
      <c r="AA20" s="30"/>
      <c r="AB20" s="30"/>
      <c r="AC20" s="18">
        <v>2</v>
      </c>
    </row>
    <row r="21" spans="5:37" x14ac:dyDescent="0.3">
      <c r="Z21" s="8" t="s">
        <v>133</v>
      </c>
      <c r="AA21" s="11"/>
      <c r="AB21" s="11"/>
      <c r="AC21" s="7" t="s">
        <v>134</v>
      </c>
      <c r="AH21" s="35" t="s">
        <v>136</v>
      </c>
      <c r="AI21" s="36"/>
      <c r="AJ21" s="37" t="s">
        <v>137</v>
      </c>
      <c r="AK21" s="38"/>
    </row>
    <row r="22" spans="5:37" ht="15" thickBot="1" x14ac:dyDescent="0.35">
      <c r="Z22" s="14" t="s">
        <v>145</v>
      </c>
      <c r="AA22" s="11"/>
      <c r="AB22" s="11"/>
      <c r="AC22" s="14" t="s">
        <v>104</v>
      </c>
      <c r="AH22" s="17" t="s">
        <v>89</v>
      </c>
      <c r="AI22" s="16">
        <f>VLOOKUP(AH22,Tableau3[#All],2,FALSE)</f>
        <v>0.75</v>
      </c>
      <c r="AJ22" s="17">
        <f>SUMIF(Tableau2[Voltage net list],Feuil3!AH22,Tableau2[Current (mA)])</f>
        <v>50</v>
      </c>
      <c r="AK22" s="16" t="s">
        <v>138</v>
      </c>
    </row>
    <row r="23" spans="5:37" x14ac:dyDescent="0.3">
      <c r="Z23" s="9" t="s">
        <v>127</v>
      </c>
      <c r="AA23" s="11"/>
      <c r="AB23" s="11"/>
      <c r="AC23" s="9" t="s">
        <v>126</v>
      </c>
      <c r="AH23" s="39" t="s">
        <v>124</v>
      </c>
      <c r="AI23" s="40"/>
      <c r="AJ23" s="40"/>
      <c r="AK23" s="41"/>
    </row>
    <row r="24" spans="5:37" ht="18.600000000000001" thickBot="1" x14ac:dyDescent="0.4">
      <c r="E24" s="21" t="s">
        <v>151</v>
      </c>
      <c r="F24" s="22">
        <f>SUM(AH6,AH12,AH18,AH24,AH30,AH36,AH59,AH65,AH71,AH77)</f>
        <v>103.64279999999997</v>
      </c>
      <c r="G24" s="21" t="s">
        <v>139</v>
      </c>
      <c r="H24" s="20">
        <f>F24/F25</f>
        <v>0.95879247027843939</v>
      </c>
      <c r="Z24" s="15">
        <f>Z26/VLOOKUP(Z22,Tableau3[#All],2,FALSE)</f>
        <v>0.26383399209486164</v>
      </c>
      <c r="AA24" s="11"/>
      <c r="AB24" s="11"/>
      <c r="AC24" s="15">
        <f>SUMIF(Tableau2[Voltage net list],Feuil3!AC22,Tableau2[Current (mA)])/1000</f>
        <v>0.89</v>
      </c>
      <c r="AH24" s="42">
        <f>AI22*(AJ22/1000)</f>
        <v>3.7500000000000006E-2</v>
      </c>
      <c r="AI24" s="43"/>
      <c r="AJ24" s="44" t="s">
        <v>139</v>
      </c>
      <c r="AK24" s="45"/>
    </row>
    <row r="25" spans="5:37" ht="18" x14ac:dyDescent="0.35">
      <c r="E25" s="21"/>
      <c r="F25" s="23">
        <f>SUM(F24,L15,S15,AA15,AA26,AA37,S41,AA48,S59,L64,S70,S85)</f>
        <v>108.09721938043739</v>
      </c>
      <c r="G25" s="21" t="s">
        <v>139</v>
      </c>
      <c r="Z25" s="10" t="s">
        <v>132</v>
      </c>
      <c r="AA25" s="31" t="s">
        <v>131</v>
      </c>
      <c r="AB25" s="32"/>
      <c r="AC25" s="10" t="s">
        <v>130</v>
      </c>
    </row>
    <row r="26" spans="5:37" ht="15" thickBot="1" x14ac:dyDescent="0.35">
      <c r="Z26" s="15">
        <f>AC26/AC19</f>
        <v>1.451086956521739</v>
      </c>
      <c r="AA26" s="33">
        <f>Z26-AC26</f>
        <v>0.11608695652173906</v>
      </c>
      <c r="AB26" s="34"/>
      <c r="AC26" s="15">
        <f>VLOOKUP(AC22,Tableau3[#All],2,FALSE)*AC24</f>
        <v>1.335</v>
      </c>
    </row>
    <row r="27" spans="5:37" x14ac:dyDescent="0.3">
      <c r="AH27" s="35" t="s">
        <v>136</v>
      </c>
      <c r="AI27" s="36"/>
      <c r="AJ27" s="37" t="s">
        <v>137</v>
      </c>
      <c r="AK27" s="38"/>
    </row>
    <row r="28" spans="5:37" ht="15" thickBot="1" x14ac:dyDescent="0.35">
      <c r="AH28" s="17" t="s">
        <v>103</v>
      </c>
      <c r="AI28" s="16">
        <f>VLOOKUP(AH28,Tableau3[#All],2,FALSE)</f>
        <v>1.8</v>
      </c>
      <c r="AJ28" s="17">
        <f>SUMIF(Tableau2[Voltage net list],Feuil3!AH28,Tableau2[Current (mA)])</f>
        <v>680</v>
      </c>
      <c r="AK28" s="16" t="s">
        <v>138</v>
      </c>
    </row>
    <row r="29" spans="5:37" ht="15" thickBot="1" x14ac:dyDescent="0.35">
      <c r="Z29" s="24" t="s">
        <v>150</v>
      </c>
      <c r="AA29" s="25"/>
      <c r="AB29" s="25"/>
      <c r="AC29" s="26"/>
      <c r="AH29" s="39" t="s">
        <v>124</v>
      </c>
      <c r="AI29" s="40"/>
      <c r="AJ29" s="40"/>
      <c r="AK29" s="41"/>
    </row>
    <row r="30" spans="5:37" ht="15" thickBot="1" x14ac:dyDescent="0.35">
      <c r="Z30" s="27" t="s">
        <v>89</v>
      </c>
      <c r="AA30" s="28"/>
      <c r="AB30" s="12" t="s">
        <v>123</v>
      </c>
      <c r="AC30" s="19">
        <f>VLOOKUP(AC33,Tableau3[#All],2,FALSE)/VLOOKUP(Z33,Tableau3[#All],2,FALSE)</f>
        <v>0.22727272727272729</v>
      </c>
      <c r="AH30" s="42">
        <f>AI28*(AJ28/1000)</f>
        <v>1.2240000000000002</v>
      </c>
      <c r="AI30" s="43"/>
      <c r="AJ30" s="44" t="s">
        <v>139</v>
      </c>
      <c r="AK30" s="45"/>
    </row>
    <row r="31" spans="5:37" ht="15" thickBot="1" x14ac:dyDescent="0.35">
      <c r="Z31" s="29" t="s">
        <v>125</v>
      </c>
      <c r="AA31" s="30"/>
      <c r="AB31" s="30"/>
      <c r="AC31" s="18">
        <v>0.05</v>
      </c>
    </row>
    <row r="32" spans="5:37" ht="15" thickBot="1" x14ac:dyDescent="0.35">
      <c r="Z32" s="8" t="s">
        <v>133</v>
      </c>
      <c r="AA32" s="11"/>
      <c r="AB32" s="11"/>
      <c r="AC32" s="7" t="s">
        <v>134</v>
      </c>
    </row>
    <row r="33" spans="18:37" ht="15" thickBot="1" x14ac:dyDescent="0.35">
      <c r="R33" s="24" t="s">
        <v>144</v>
      </c>
      <c r="S33" s="25"/>
      <c r="T33" s="25"/>
      <c r="U33" s="26"/>
      <c r="Z33" s="14" t="s">
        <v>95</v>
      </c>
      <c r="AA33" s="11"/>
      <c r="AB33" s="11"/>
      <c r="AC33" s="14" t="s">
        <v>89</v>
      </c>
      <c r="AH33" s="35" t="s">
        <v>136</v>
      </c>
      <c r="AI33" s="36"/>
      <c r="AJ33" s="37" t="s">
        <v>137</v>
      </c>
      <c r="AK33" s="38"/>
    </row>
    <row r="34" spans="18:37" ht="15" thickBot="1" x14ac:dyDescent="0.35">
      <c r="R34" s="27" t="s">
        <v>98</v>
      </c>
      <c r="S34" s="28"/>
      <c r="T34" s="12" t="s">
        <v>123</v>
      </c>
      <c r="U34" s="19">
        <f>VLOOKUP(U37,Tableau3[#All],2,FALSE)/VLOOKUP(R37,Tableau3[#All],2,FALSE)</f>
        <v>0.90909090909090906</v>
      </c>
      <c r="Z34" s="9" t="s">
        <v>127</v>
      </c>
      <c r="AA34" s="11"/>
      <c r="AB34" s="11"/>
      <c r="AC34" s="9" t="s">
        <v>126</v>
      </c>
      <c r="AH34" s="17" t="s">
        <v>95</v>
      </c>
      <c r="AI34" s="16">
        <f>VLOOKUP(AH34,Tableau3[#All],2,FALSE)</f>
        <v>3.3</v>
      </c>
      <c r="AJ34" s="17">
        <f>SUMIF(Tableau2[Voltage net list],Feuil3!AH34,Tableau2[Current (mA)])</f>
        <v>1336</v>
      </c>
      <c r="AK34" s="16" t="s">
        <v>138</v>
      </c>
    </row>
    <row r="35" spans="18:37" ht="15" thickBot="1" x14ac:dyDescent="0.35">
      <c r="R35" s="29" t="s">
        <v>125</v>
      </c>
      <c r="S35" s="30"/>
      <c r="T35" s="30"/>
      <c r="U35" s="18">
        <v>1</v>
      </c>
      <c r="Z35" s="15">
        <f>Z37/VLOOKUP(Z33,Tableau3[#All],2,FALSE)</f>
        <v>0.05</v>
      </c>
      <c r="AA35" s="11"/>
      <c r="AB35" s="11"/>
      <c r="AC35" s="15">
        <f>SUMIF(Tableau2[Voltage net list],Feuil3!AC33,Tableau2[Current (mA)])/1000</f>
        <v>0.05</v>
      </c>
      <c r="AH35" s="39" t="s">
        <v>124</v>
      </c>
      <c r="AI35" s="40"/>
      <c r="AJ35" s="40"/>
      <c r="AK35" s="41"/>
    </row>
    <row r="36" spans="18:37" x14ac:dyDescent="0.3">
      <c r="R36" s="8" t="s">
        <v>133</v>
      </c>
      <c r="S36" s="11"/>
      <c r="T36" s="11"/>
      <c r="U36" s="7" t="s">
        <v>134</v>
      </c>
      <c r="Z36" s="10" t="s">
        <v>132</v>
      </c>
      <c r="AA36" s="31" t="s">
        <v>131</v>
      </c>
      <c r="AB36" s="32"/>
      <c r="AC36" s="10" t="s">
        <v>130</v>
      </c>
      <c r="AH36" s="42">
        <f>AI34*(AJ34/1000)</f>
        <v>4.4088000000000003</v>
      </c>
      <c r="AI36" s="43"/>
      <c r="AJ36" s="44" t="s">
        <v>139</v>
      </c>
      <c r="AK36" s="45"/>
    </row>
    <row r="37" spans="18:37" ht="15" thickBot="1" x14ac:dyDescent="0.35">
      <c r="R37" s="14" t="s">
        <v>145</v>
      </c>
      <c r="S37" s="11"/>
      <c r="T37" s="11"/>
      <c r="U37" s="14" t="s">
        <v>116</v>
      </c>
      <c r="Z37" s="15">
        <f>AC37/AC30</f>
        <v>0.16500000000000001</v>
      </c>
      <c r="AA37" s="33">
        <f>Z37-AC37</f>
        <v>0.1275</v>
      </c>
      <c r="AB37" s="34"/>
      <c r="AC37" s="15">
        <f>VLOOKUP(AC33,Tableau3[#All],2,FALSE)*AC35</f>
        <v>3.7500000000000006E-2</v>
      </c>
    </row>
    <row r="38" spans="18:37" x14ac:dyDescent="0.3">
      <c r="R38" s="9" t="s">
        <v>127</v>
      </c>
      <c r="S38" s="11"/>
      <c r="T38" s="11"/>
      <c r="U38" s="9" t="s">
        <v>126</v>
      </c>
    </row>
    <row r="39" spans="18:37" ht="15" thickBot="1" x14ac:dyDescent="0.35">
      <c r="R39" s="15">
        <f>R41/VLOOKUP(R37,Tableau3[#All],2,FALSE)</f>
        <v>6.0000000000000005E-2</v>
      </c>
      <c r="S39" s="11"/>
      <c r="T39" s="11"/>
      <c r="U39" s="15">
        <f>AJ57/1000</f>
        <v>0.06</v>
      </c>
    </row>
    <row r="40" spans="18:37" ht="15" thickBot="1" x14ac:dyDescent="0.35">
      <c r="R40" s="10" t="s">
        <v>132</v>
      </c>
      <c r="S40" s="31" t="s">
        <v>131</v>
      </c>
      <c r="T40" s="32"/>
      <c r="U40" s="10" t="s">
        <v>130</v>
      </c>
      <c r="Z40" s="24" t="s">
        <v>149</v>
      </c>
      <c r="AA40" s="25"/>
      <c r="AB40" s="25"/>
      <c r="AC40" s="26"/>
    </row>
    <row r="41" spans="18:37" ht="15" thickBot="1" x14ac:dyDescent="0.35">
      <c r="R41" s="15">
        <f>U41/U34</f>
        <v>0.33</v>
      </c>
      <c r="S41" s="33">
        <f>R41-U41</f>
        <v>3.0000000000000027E-2</v>
      </c>
      <c r="T41" s="34"/>
      <c r="U41" s="15">
        <f>VLOOKUP(U37,Tableau3[#All],2,FALSE)*U39</f>
        <v>0.3</v>
      </c>
      <c r="Z41" s="27" t="s">
        <v>97</v>
      </c>
      <c r="AA41" s="28"/>
      <c r="AB41" s="12" t="s">
        <v>123</v>
      </c>
      <c r="AC41" s="19">
        <v>0.92</v>
      </c>
    </row>
    <row r="42" spans="18:37" ht="15" thickBot="1" x14ac:dyDescent="0.35">
      <c r="Z42" s="29" t="s">
        <v>125</v>
      </c>
      <c r="AA42" s="30"/>
      <c r="AB42" s="30"/>
      <c r="AC42" s="18">
        <v>2</v>
      </c>
    </row>
    <row r="43" spans="18:37" x14ac:dyDescent="0.3">
      <c r="Z43" s="8" t="s">
        <v>133</v>
      </c>
      <c r="AA43" s="11"/>
      <c r="AB43" s="11"/>
      <c r="AC43" s="7" t="s">
        <v>134</v>
      </c>
    </row>
    <row r="44" spans="18:37" ht="15" thickBot="1" x14ac:dyDescent="0.35">
      <c r="Z44" s="14" t="s">
        <v>145</v>
      </c>
      <c r="AA44" s="11"/>
      <c r="AB44" s="11"/>
      <c r="AC44" s="14" t="s">
        <v>103</v>
      </c>
    </row>
    <row r="45" spans="18:37" x14ac:dyDescent="0.3">
      <c r="Z45" s="9" t="s">
        <v>127</v>
      </c>
      <c r="AA45" s="11"/>
      <c r="AB45" s="11"/>
      <c r="AC45" s="9" t="s">
        <v>126</v>
      </c>
    </row>
    <row r="46" spans="18:37" ht="15" thickBot="1" x14ac:dyDescent="0.35">
      <c r="Z46" s="15">
        <f>Z48/VLOOKUP(Z44,Tableau3[#All],2,FALSE)</f>
        <v>0.24189723320158105</v>
      </c>
      <c r="AA46" s="11"/>
      <c r="AB46" s="11"/>
      <c r="AC46" s="15">
        <f>SUMIF(Tableau2[Voltage net list],Feuil3!AC44,Tableau2[Current (mA)])/1000</f>
        <v>0.68</v>
      </c>
    </row>
    <row r="47" spans="18:37" x14ac:dyDescent="0.3">
      <c r="Z47" s="10" t="s">
        <v>132</v>
      </c>
      <c r="AA47" s="31" t="s">
        <v>131</v>
      </c>
      <c r="AB47" s="32"/>
      <c r="AC47" s="10" t="s">
        <v>130</v>
      </c>
    </row>
    <row r="48" spans="18:37" ht="15" thickBot="1" x14ac:dyDescent="0.35">
      <c r="Z48" s="15">
        <f>AC48/AC41</f>
        <v>1.3304347826086957</v>
      </c>
      <c r="AA48" s="33">
        <f>Z48-AC48</f>
        <v>0.10643478260869554</v>
      </c>
      <c r="AB48" s="34"/>
      <c r="AC48" s="15">
        <f>VLOOKUP(AC44,Tableau3[#All],2,FALSE)*AC46</f>
        <v>1.2240000000000002</v>
      </c>
    </row>
    <row r="50" spans="11:37" ht="15" thickBot="1" x14ac:dyDescent="0.35"/>
    <row r="51" spans="11:37" ht="15" thickBot="1" x14ac:dyDescent="0.35">
      <c r="R51" s="24" t="s">
        <v>144</v>
      </c>
      <c r="S51" s="25"/>
      <c r="T51" s="25"/>
      <c r="U51" s="26"/>
    </row>
    <row r="52" spans="11:37" ht="15" thickBot="1" x14ac:dyDescent="0.35">
      <c r="R52" s="27" t="s">
        <v>98</v>
      </c>
      <c r="S52" s="28"/>
      <c r="T52" s="12" t="s">
        <v>123</v>
      </c>
      <c r="U52" s="19">
        <f>VLOOKUP(U55,Tableau3[#All],2,FALSE)/VLOOKUP(R55,Tableau3[#All],2,FALSE)</f>
        <v>0.6</v>
      </c>
    </row>
    <row r="53" spans="11:37" ht="15" thickBot="1" x14ac:dyDescent="0.35">
      <c r="R53" s="29" t="s">
        <v>125</v>
      </c>
      <c r="S53" s="30"/>
      <c r="T53" s="30"/>
      <c r="U53" s="18">
        <v>1</v>
      </c>
    </row>
    <row r="54" spans="11:37" x14ac:dyDescent="0.3">
      <c r="R54" s="8" t="s">
        <v>133</v>
      </c>
      <c r="S54" s="11"/>
      <c r="T54" s="11"/>
      <c r="U54" s="7" t="s">
        <v>134</v>
      </c>
    </row>
    <row r="55" spans="11:37" ht="15" thickBot="1" x14ac:dyDescent="0.35">
      <c r="R55" s="14" t="s">
        <v>145</v>
      </c>
      <c r="S55" s="11"/>
      <c r="T55" s="11"/>
      <c r="U55" s="14" t="s">
        <v>93</v>
      </c>
    </row>
    <row r="56" spans="11:37" ht="15" thickBot="1" x14ac:dyDescent="0.35">
      <c r="K56" s="24" t="s">
        <v>142</v>
      </c>
      <c r="L56" s="25"/>
      <c r="M56" s="25"/>
      <c r="N56" s="26"/>
      <c r="R56" s="9" t="s">
        <v>127</v>
      </c>
      <c r="S56" s="11"/>
      <c r="T56" s="11"/>
      <c r="U56" s="9" t="s">
        <v>126</v>
      </c>
      <c r="AH56" s="35" t="s">
        <v>136</v>
      </c>
      <c r="AI56" s="36"/>
      <c r="AJ56" s="37" t="s">
        <v>137</v>
      </c>
      <c r="AK56" s="38"/>
    </row>
    <row r="57" spans="11:37" ht="15" thickBot="1" x14ac:dyDescent="0.35">
      <c r="K57" s="27" t="s">
        <v>100</v>
      </c>
      <c r="L57" s="28"/>
      <c r="M57" s="12" t="s">
        <v>123</v>
      </c>
      <c r="N57" s="19">
        <v>0.65</v>
      </c>
      <c r="R57" s="15">
        <f>R59/VLOOKUP(R55,Tableau3[#All],2,FALSE)</f>
        <v>0.32000000000000006</v>
      </c>
      <c r="S57" s="11"/>
      <c r="T57" s="11"/>
      <c r="U57" s="15">
        <f>SUMIF(Tableau2[Voltage net list],Feuil3!U55,Tableau2[Current (mA)])/1000</f>
        <v>0.32</v>
      </c>
      <c r="AH57" s="17" t="s">
        <v>116</v>
      </c>
      <c r="AI57" s="16">
        <f>VLOOKUP(AH57,Tableau3[#All],2,FALSE)</f>
        <v>5</v>
      </c>
      <c r="AJ57" s="17">
        <f>SUMIF(Tableau2[Voltage net list],Feuil3!AH57,Tableau2[Current (mA)])</f>
        <v>60</v>
      </c>
      <c r="AK57" s="16" t="s">
        <v>138</v>
      </c>
    </row>
    <row r="58" spans="11:37" ht="15" thickBot="1" x14ac:dyDescent="0.35">
      <c r="K58" s="29" t="s">
        <v>125</v>
      </c>
      <c r="L58" s="30"/>
      <c r="M58" s="30"/>
      <c r="N58" s="18">
        <v>2</v>
      </c>
      <c r="R58" s="10" t="s">
        <v>132</v>
      </c>
      <c r="S58" s="31" t="s">
        <v>131</v>
      </c>
      <c r="T58" s="32"/>
      <c r="U58" s="10" t="s">
        <v>130</v>
      </c>
      <c r="AH58" s="39" t="s">
        <v>124</v>
      </c>
      <c r="AI58" s="40"/>
      <c r="AJ58" s="40"/>
      <c r="AK58" s="41"/>
    </row>
    <row r="59" spans="11:37" ht="15" thickBot="1" x14ac:dyDescent="0.35">
      <c r="K59" s="8" t="s">
        <v>133</v>
      </c>
      <c r="L59" s="11"/>
      <c r="M59" s="11"/>
      <c r="N59" s="7" t="s">
        <v>134</v>
      </c>
      <c r="R59" s="15">
        <f>U59/U52</f>
        <v>1.7600000000000002</v>
      </c>
      <c r="S59" s="33">
        <f>R59-U59</f>
        <v>0.70400000000000018</v>
      </c>
      <c r="T59" s="34"/>
      <c r="U59" s="15">
        <f>VLOOKUP(U55,Tableau3[#All],2,FALSE)*U57</f>
        <v>1.056</v>
      </c>
      <c r="AH59" s="42">
        <f>AI57*(AJ57/1000)</f>
        <v>0.3</v>
      </c>
      <c r="AI59" s="43"/>
      <c r="AJ59" s="44" t="s">
        <v>139</v>
      </c>
      <c r="AK59" s="45"/>
    </row>
    <row r="60" spans="11:37" ht="15" thickBot="1" x14ac:dyDescent="0.35">
      <c r="K60" s="14" t="s">
        <v>101</v>
      </c>
      <c r="L60" s="11"/>
      <c r="M60" s="11"/>
      <c r="N60" s="14" t="s">
        <v>135</v>
      </c>
    </row>
    <row r="61" spans="11:37" ht="15" thickBot="1" x14ac:dyDescent="0.35">
      <c r="K61" s="9" t="s">
        <v>127</v>
      </c>
      <c r="L61" s="11"/>
      <c r="M61" s="11"/>
      <c r="N61" s="9" t="s">
        <v>126</v>
      </c>
    </row>
    <row r="62" spans="11:37" ht="15" thickBot="1" x14ac:dyDescent="0.35">
      <c r="K62" s="15">
        <f>K64/VLOOKUP(K60,Tableau3[#All],2,FALSE)</f>
        <v>2.6923076923076921E-2</v>
      </c>
      <c r="L62" s="11"/>
      <c r="M62" s="11"/>
      <c r="N62" s="15">
        <f>R83</f>
        <v>0.06</v>
      </c>
      <c r="R62" s="24" t="s">
        <v>144</v>
      </c>
      <c r="S62" s="25"/>
      <c r="T62" s="25"/>
      <c r="U62" s="26"/>
      <c r="AH62" s="35" t="s">
        <v>136</v>
      </c>
      <c r="AI62" s="36"/>
      <c r="AJ62" s="37" t="s">
        <v>137</v>
      </c>
      <c r="AK62" s="38"/>
    </row>
    <row r="63" spans="11:37" ht="15" thickBot="1" x14ac:dyDescent="0.35">
      <c r="K63" s="10" t="s">
        <v>132</v>
      </c>
      <c r="L63" s="31" t="s">
        <v>131</v>
      </c>
      <c r="M63" s="32"/>
      <c r="N63" s="10" t="s">
        <v>130</v>
      </c>
      <c r="R63" s="27" t="s">
        <v>98</v>
      </c>
      <c r="S63" s="28"/>
      <c r="T63" s="12" t="s">
        <v>123</v>
      </c>
      <c r="U63" s="19">
        <f>VLOOKUP(U66,Tableau3[#All],2,FALSE)/VLOOKUP(R66,Tableau3[#All],2,FALSE)</f>
        <v>0.6</v>
      </c>
      <c r="AH63" s="17" t="s">
        <v>93</v>
      </c>
      <c r="AI63" s="16">
        <f>VLOOKUP(AH63,Tableau3[#All],2,FALSE)</f>
        <v>3.3</v>
      </c>
      <c r="AJ63" s="17">
        <f>SUMIF(Tableau2[Voltage net list],Feuil3!AH63,Tableau2[Current (mA)])</f>
        <v>320</v>
      </c>
      <c r="AK63" s="16" t="s">
        <v>138</v>
      </c>
    </row>
    <row r="64" spans="11:37" ht="15" thickBot="1" x14ac:dyDescent="0.35">
      <c r="K64" s="15">
        <f>N64/N57</f>
        <v>0.64615384615384608</v>
      </c>
      <c r="L64" s="33">
        <f>K64-N64</f>
        <v>0.22615384615384609</v>
      </c>
      <c r="M64" s="34"/>
      <c r="N64" s="15">
        <f>VLOOKUP(N60,Tableau3[#All],2,FALSE)*N62*-1</f>
        <v>0.42</v>
      </c>
      <c r="R64" s="29" t="s">
        <v>125</v>
      </c>
      <c r="S64" s="30"/>
      <c r="T64" s="30"/>
      <c r="U64" s="18">
        <v>1</v>
      </c>
      <c r="AH64" s="39" t="s">
        <v>124</v>
      </c>
      <c r="AI64" s="40"/>
      <c r="AJ64" s="40"/>
      <c r="AK64" s="41"/>
    </row>
    <row r="65" spans="18:37" x14ac:dyDescent="0.3">
      <c r="R65" s="8" t="s">
        <v>133</v>
      </c>
      <c r="S65" s="11"/>
      <c r="T65" s="11"/>
      <c r="U65" s="7" t="s">
        <v>134</v>
      </c>
      <c r="AH65" s="42">
        <f>AI63*(AJ63/1000)</f>
        <v>1.056</v>
      </c>
      <c r="AI65" s="43"/>
      <c r="AJ65" s="44" t="s">
        <v>139</v>
      </c>
      <c r="AK65" s="45"/>
    </row>
    <row r="66" spans="18:37" ht="15" thickBot="1" x14ac:dyDescent="0.35">
      <c r="R66" s="14" t="s">
        <v>145</v>
      </c>
      <c r="S66" s="11"/>
      <c r="T66" s="11"/>
      <c r="U66" s="14" t="s">
        <v>94</v>
      </c>
    </row>
    <row r="67" spans="18:37" x14ac:dyDescent="0.3">
      <c r="R67" s="9" t="s">
        <v>127</v>
      </c>
      <c r="S67" s="11"/>
      <c r="T67" s="11"/>
      <c r="U67" s="9" t="s">
        <v>126</v>
      </c>
    </row>
    <row r="68" spans="18:37" ht="15" thickBot="1" x14ac:dyDescent="0.35">
      <c r="R68" s="15">
        <f>R70/VLOOKUP(R66,Tableau3[#All],2,FALSE)</f>
        <v>5.5E-2</v>
      </c>
      <c r="S68" s="11"/>
      <c r="T68" s="11"/>
      <c r="U68" s="15">
        <f>SUMIF(Tableau2[Voltage net list],Feuil3!U66,Tableau2[Current (mA)])/1000</f>
        <v>5.5E-2</v>
      </c>
      <c r="AH68" s="35" t="s">
        <v>136</v>
      </c>
      <c r="AI68" s="36"/>
      <c r="AJ68" s="37" t="s">
        <v>137</v>
      </c>
      <c r="AK68" s="38"/>
    </row>
    <row r="69" spans="18:37" x14ac:dyDescent="0.3">
      <c r="R69" s="10" t="s">
        <v>132</v>
      </c>
      <c r="S69" s="31" t="s">
        <v>131</v>
      </c>
      <c r="T69" s="32"/>
      <c r="U69" s="10" t="s">
        <v>130</v>
      </c>
      <c r="AH69" s="17" t="s">
        <v>94</v>
      </c>
      <c r="AI69" s="16">
        <f>VLOOKUP(AH69,Tableau3[#All],2,FALSE)</f>
        <v>3.3</v>
      </c>
      <c r="AJ69" s="17">
        <f>SUMIF(Tableau2[Voltage net list],Feuil3!AH69,Tableau2[Current (mA)])</f>
        <v>55</v>
      </c>
      <c r="AK69" s="16" t="s">
        <v>138</v>
      </c>
    </row>
    <row r="70" spans="18:37" ht="15" thickBot="1" x14ac:dyDescent="0.35">
      <c r="R70" s="15">
        <f>U70/U63</f>
        <v>0.30249999999999999</v>
      </c>
      <c r="S70" s="33">
        <f>R70-U70</f>
        <v>0.121</v>
      </c>
      <c r="T70" s="34"/>
      <c r="U70" s="15">
        <f>VLOOKUP(U66,Tableau3[#All],2,FALSE)*U68</f>
        <v>0.18149999999999999</v>
      </c>
      <c r="AH70" s="39" t="s">
        <v>124</v>
      </c>
      <c r="AI70" s="40"/>
      <c r="AJ70" s="40"/>
      <c r="AK70" s="41"/>
    </row>
    <row r="71" spans="18:37" x14ac:dyDescent="0.3">
      <c r="AH71" s="42">
        <f>AI69*(AJ69/1000)</f>
        <v>0.18149999999999999</v>
      </c>
      <c r="AI71" s="43"/>
      <c r="AJ71" s="44" t="s">
        <v>139</v>
      </c>
      <c r="AK71" s="45"/>
    </row>
    <row r="74" spans="18:37" x14ac:dyDescent="0.3">
      <c r="AH74" s="35" t="s">
        <v>136</v>
      </c>
      <c r="AI74" s="36"/>
      <c r="AJ74" s="37" t="s">
        <v>137</v>
      </c>
      <c r="AK74" s="38"/>
    </row>
    <row r="75" spans="18:37" x14ac:dyDescent="0.3">
      <c r="AH75" s="17" t="s">
        <v>118</v>
      </c>
      <c r="AI75" s="16">
        <f>VLOOKUP(AH75,Tableau3[#All],2,FALSE)</f>
        <v>-5</v>
      </c>
      <c r="AJ75" s="17">
        <f>SUMIF(Tableau2[Voltage net list],Feuil3!AH75,Tableau2[Current (mA)])</f>
        <v>60</v>
      </c>
      <c r="AK75" s="16" t="s">
        <v>138</v>
      </c>
    </row>
    <row r="76" spans="18:37" ht="15" thickBot="1" x14ac:dyDescent="0.35">
      <c r="AH76" s="39" t="s">
        <v>124</v>
      </c>
      <c r="AI76" s="40"/>
      <c r="AJ76" s="40"/>
      <c r="AK76" s="41"/>
    </row>
    <row r="77" spans="18:37" ht="15" thickBot="1" x14ac:dyDescent="0.35">
      <c r="R77" s="24" t="s">
        <v>146</v>
      </c>
      <c r="S77" s="25"/>
      <c r="T77" s="25"/>
      <c r="U77" s="26"/>
      <c r="AH77" s="42">
        <f>AI75*(AJ75/1000)*-1</f>
        <v>0.3</v>
      </c>
      <c r="AI77" s="43"/>
      <c r="AJ77" s="44" t="s">
        <v>139</v>
      </c>
      <c r="AK77" s="45"/>
    </row>
    <row r="78" spans="18:37" ht="15" thickBot="1" x14ac:dyDescent="0.35">
      <c r="R78" s="27" t="s">
        <v>99</v>
      </c>
      <c r="S78" s="28"/>
      <c r="T78" s="12" t="s">
        <v>123</v>
      </c>
      <c r="U78" s="19">
        <f>VLOOKUP(U81,Tableau3[#All],2,FALSE)/VLOOKUP(R81,Tableau3[#All],2,FALSE)</f>
        <v>0.7142857142857143</v>
      </c>
    </row>
    <row r="79" spans="18:37" ht="15" thickBot="1" x14ac:dyDescent="0.35">
      <c r="R79" s="29" t="s">
        <v>125</v>
      </c>
      <c r="S79" s="30"/>
      <c r="T79" s="30"/>
      <c r="U79" s="18">
        <v>1</v>
      </c>
    </row>
    <row r="80" spans="18:37" x14ac:dyDescent="0.3">
      <c r="R80" s="8" t="s">
        <v>133</v>
      </c>
      <c r="S80" s="11"/>
      <c r="T80" s="11"/>
      <c r="U80" s="7" t="s">
        <v>134</v>
      </c>
    </row>
    <row r="81" spans="18:21" ht="15" thickBot="1" x14ac:dyDescent="0.35">
      <c r="R81" s="14" t="s">
        <v>135</v>
      </c>
      <c r="S81" s="11"/>
      <c r="T81" s="11"/>
      <c r="U81" s="14" t="s">
        <v>118</v>
      </c>
    </row>
    <row r="82" spans="18:21" x14ac:dyDescent="0.3">
      <c r="R82" s="9" t="s">
        <v>127</v>
      </c>
      <c r="S82" s="11"/>
      <c r="T82" s="11"/>
      <c r="U82" s="9" t="s">
        <v>126</v>
      </c>
    </row>
    <row r="83" spans="18:21" ht="15" thickBot="1" x14ac:dyDescent="0.35">
      <c r="R83" s="15">
        <f>R85/VLOOKUP(R81,Tableau3[#All],2,FALSE)*-1</f>
        <v>0.06</v>
      </c>
      <c r="S83" s="11"/>
      <c r="T83" s="11"/>
      <c r="U83" s="15">
        <f>AJ75/1000</f>
        <v>0.06</v>
      </c>
    </row>
    <row r="84" spans="18:21" x14ac:dyDescent="0.3">
      <c r="R84" s="10" t="s">
        <v>132</v>
      </c>
      <c r="S84" s="31" t="s">
        <v>131</v>
      </c>
      <c r="T84" s="32"/>
      <c r="U84" s="10" t="s">
        <v>130</v>
      </c>
    </row>
    <row r="85" spans="18:21" ht="15" thickBot="1" x14ac:dyDescent="0.35">
      <c r="R85" s="15">
        <f>U85/U78</f>
        <v>0.42</v>
      </c>
      <c r="S85" s="33">
        <f>R85-U85</f>
        <v>0.12</v>
      </c>
      <c r="T85" s="34"/>
      <c r="U85" s="15">
        <f>VLOOKUP(U81,Tableau3[#All],2,FALSE)*U83*-1</f>
        <v>0.3</v>
      </c>
    </row>
  </sheetData>
  <mergeCells count="110">
    <mergeCell ref="AH71:AI71"/>
    <mergeCell ref="AJ71:AK71"/>
    <mergeCell ref="R51:U51"/>
    <mergeCell ref="S69:T69"/>
    <mergeCell ref="S70:T70"/>
    <mergeCell ref="R9:T9"/>
    <mergeCell ref="S14:T14"/>
    <mergeCell ref="S15:T15"/>
    <mergeCell ref="R62:U62"/>
    <mergeCell ref="R63:S63"/>
    <mergeCell ref="R64:T64"/>
    <mergeCell ref="Z9:AB9"/>
    <mergeCell ref="AA14:AB14"/>
    <mergeCell ref="AA15:AB15"/>
    <mergeCell ref="Z29:AC29"/>
    <mergeCell ref="Z30:AA30"/>
    <mergeCell ref="Z31:AB31"/>
    <mergeCell ref="AA36:AB36"/>
    <mergeCell ref="AA37:AB37"/>
    <mergeCell ref="Z18:AC18"/>
    <mergeCell ref="Z19:AA19"/>
    <mergeCell ref="Z20:AB20"/>
    <mergeCell ref="AA25:AB25"/>
    <mergeCell ref="S84:T84"/>
    <mergeCell ref="S85:T85"/>
    <mergeCell ref="AH9:AI9"/>
    <mergeCell ref="AH11:AK11"/>
    <mergeCell ref="AJ9:AK9"/>
    <mergeCell ref="R33:U33"/>
    <mergeCell ref="R34:S34"/>
    <mergeCell ref="R35:T35"/>
    <mergeCell ref="S40:T40"/>
    <mergeCell ref="S41:T41"/>
    <mergeCell ref="R77:U77"/>
    <mergeCell ref="Z40:AC40"/>
    <mergeCell ref="Z41:AA41"/>
    <mergeCell ref="Z42:AB42"/>
    <mergeCell ref="AA47:AB47"/>
    <mergeCell ref="AA48:AB48"/>
    <mergeCell ref="AA26:AB26"/>
    <mergeCell ref="AJ12:AK12"/>
    <mergeCell ref="AH12:AI12"/>
    <mergeCell ref="AH33:AI33"/>
    <mergeCell ref="AJ33:AK33"/>
    <mergeCell ref="AH35:AK35"/>
    <mergeCell ref="AH36:AI36"/>
    <mergeCell ref="AJ36:AK36"/>
    <mergeCell ref="AH77:AI77"/>
    <mergeCell ref="AJ77:AK77"/>
    <mergeCell ref="AH58:AK58"/>
    <mergeCell ref="AH59:AI59"/>
    <mergeCell ref="AJ59:AK59"/>
    <mergeCell ref="AH74:AI74"/>
    <mergeCell ref="AJ74:AK74"/>
    <mergeCell ref="AH76:AK76"/>
    <mergeCell ref="AH3:AI3"/>
    <mergeCell ref="AJ3:AK3"/>
    <mergeCell ref="AH5:AK5"/>
    <mergeCell ref="AH6:AI6"/>
    <mergeCell ref="AJ18:AK18"/>
    <mergeCell ref="AH21:AI21"/>
    <mergeCell ref="AJ21:AK21"/>
    <mergeCell ref="AH23:AK23"/>
    <mergeCell ref="AH24:AI24"/>
    <mergeCell ref="AJ24:AK24"/>
    <mergeCell ref="AH15:AI15"/>
    <mergeCell ref="AJ15:AK15"/>
    <mergeCell ref="AH17:AK17"/>
    <mergeCell ref="AJ6:AK6"/>
    <mergeCell ref="AH18:AI18"/>
    <mergeCell ref="AH70:AK70"/>
    <mergeCell ref="K56:N56"/>
    <mergeCell ref="AH27:AI27"/>
    <mergeCell ref="AJ27:AK27"/>
    <mergeCell ref="AH29:AK29"/>
    <mergeCell ref="AH30:AI30"/>
    <mergeCell ref="AJ30:AK30"/>
    <mergeCell ref="AH56:AI56"/>
    <mergeCell ref="AJ56:AK56"/>
    <mergeCell ref="AH68:AI68"/>
    <mergeCell ref="AJ68:AK68"/>
    <mergeCell ref="AH62:AI62"/>
    <mergeCell ref="AJ62:AK62"/>
    <mergeCell ref="AH64:AK64"/>
    <mergeCell ref="AH65:AI65"/>
    <mergeCell ref="AJ65:AK65"/>
    <mergeCell ref="E7:H7"/>
    <mergeCell ref="E8:F8"/>
    <mergeCell ref="E9:G9"/>
    <mergeCell ref="F14:G14"/>
    <mergeCell ref="F15:G15"/>
    <mergeCell ref="R78:S78"/>
    <mergeCell ref="R79:T79"/>
    <mergeCell ref="Z8:AA8"/>
    <mergeCell ref="R7:U7"/>
    <mergeCell ref="R8:S8"/>
    <mergeCell ref="Z7:AC7"/>
    <mergeCell ref="K57:L57"/>
    <mergeCell ref="K58:M58"/>
    <mergeCell ref="L63:M63"/>
    <mergeCell ref="L64:M64"/>
    <mergeCell ref="R52:S52"/>
    <mergeCell ref="R53:T53"/>
    <mergeCell ref="S58:T58"/>
    <mergeCell ref="S59:T59"/>
    <mergeCell ref="K7:N7"/>
    <mergeCell ref="K8:L8"/>
    <mergeCell ref="K9:M9"/>
    <mergeCell ref="L14:M14"/>
    <mergeCell ref="L15:M15"/>
  </mergeCells>
  <dataValidations disablePrompts="1" count="2">
    <dataValidation type="list" allowBlank="1" showInputMessage="1" showErrorMessage="1" sqref="Z19:AA19 Z30:AA30 Z8:AA8 R8:S8 R63:S63 R52:S52 Z41:AA41 R34:S34 R78:S78 K8:L8 K57:L57 E8:F8" xr:uid="{D76DEB33-B416-4035-83A1-CD3AB204276A}">
      <formula1>REG_TYPE</formula1>
    </dataValidation>
    <dataValidation type="list" allowBlank="1" showInputMessage="1" showErrorMessage="1" sqref="Z22 AC22 Z33 AC33 Z11 AC11 R11 U11 R66 U66 R55 U55 Z44 AC44 R37 U37 R81 U81 AH10 AH34 AH16 AH22 AH28 AH57 AH75 AH4 AH63 AH69 K11 N11 K60 N60 E11 H11" xr:uid="{171558F4-673C-494B-85C2-DAD3DB31C89D}">
      <formula1>V_NET_LIST</formula1>
    </dataValidation>
  </dataValidations>
  <pageMargins left="0.70866141732283472" right="0.70866141732283472" top="0.74803149606299213" bottom="0.74803149606299213" header="0.31496062992125984" footer="0.31496062992125984"/>
  <pageSetup paperSize="8" scale="5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DA35-9B84-4974-8F8E-7E5914C8B918}">
  <dimension ref="C6:R33"/>
  <sheetViews>
    <sheetView tabSelected="1" zoomScale="85" zoomScaleNormal="85" workbookViewId="0">
      <selection activeCell="D17" sqref="D17"/>
    </sheetView>
  </sheetViews>
  <sheetFormatPr baseColWidth="10" defaultRowHeight="14.4" x14ac:dyDescent="0.3"/>
  <sheetData>
    <row r="6" spans="3:15" x14ac:dyDescent="0.3">
      <c r="C6" t="s">
        <v>154</v>
      </c>
      <c r="F6" t="s">
        <v>152</v>
      </c>
      <c r="G6" t="s">
        <v>153</v>
      </c>
      <c r="H6" t="s">
        <v>162</v>
      </c>
      <c r="J6" t="s">
        <v>155</v>
      </c>
      <c r="K6" t="s">
        <v>159</v>
      </c>
      <c r="L6" t="s">
        <v>156</v>
      </c>
    </row>
    <row r="7" spans="3:15" x14ac:dyDescent="0.3">
      <c r="C7">
        <f>SUM(G7:G37)</f>
        <v>1.8620000000000003</v>
      </c>
      <c r="E7">
        <v>1</v>
      </c>
      <c r="F7" s="46" t="s">
        <v>160</v>
      </c>
      <c r="G7">
        <v>1.7999999999999999E-2</v>
      </c>
      <c r="H7" t="s">
        <v>156</v>
      </c>
      <c r="K7" t="s">
        <v>157</v>
      </c>
      <c r="L7" t="s">
        <v>158</v>
      </c>
      <c r="O7" s="48" t="s">
        <v>163</v>
      </c>
    </row>
    <row r="8" spans="3:15" x14ac:dyDescent="0.3">
      <c r="F8" s="2" t="s">
        <v>161</v>
      </c>
      <c r="G8">
        <v>0.08</v>
      </c>
      <c r="H8">
        <v>1080</v>
      </c>
      <c r="O8" t="s">
        <v>164</v>
      </c>
    </row>
    <row r="9" spans="3:15" x14ac:dyDescent="0.3">
      <c r="E9">
        <v>2</v>
      </c>
      <c r="F9" s="46" t="s">
        <v>160</v>
      </c>
      <c r="G9">
        <v>1.7999999999999999E-2</v>
      </c>
      <c r="H9" t="s">
        <v>156</v>
      </c>
    </row>
    <row r="10" spans="3:15" x14ac:dyDescent="0.3">
      <c r="F10" s="47" t="s">
        <v>165</v>
      </c>
      <c r="G10">
        <v>0.17499999999999999</v>
      </c>
      <c r="J10" t="s">
        <v>166</v>
      </c>
      <c r="K10">
        <v>0.2</v>
      </c>
    </row>
    <row r="11" spans="3:15" x14ac:dyDescent="0.3">
      <c r="E11">
        <v>3</v>
      </c>
      <c r="F11" s="46" t="s">
        <v>160</v>
      </c>
      <c r="G11">
        <v>1.7999999999999999E-2</v>
      </c>
      <c r="H11" t="s">
        <v>156</v>
      </c>
      <c r="K11">
        <v>0.3</v>
      </c>
    </row>
    <row r="12" spans="3:15" x14ac:dyDescent="0.3">
      <c r="F12" s="2" t="s">
        <v>161</v>
      </c>
      <c r="G12">
        <v>0.08</v>
      </c>
      <c r="H12">
        <v>1080</v>
      </c>
      <c r="K12">
        <v>0.4</v>
      </c>
    </row>
    <row r="13" spans="3:15" x14ac:dyDescent="0.3">
      <c r="E13">
        <v>4</v>
      </c>
      <c r="F13" s="46" t="s">
        <v>160</v>
      </c>
      <c r="G13">
        <v>1.7999999999999999E-2</v>
      </c>
      <c r="H13" t="s">
        <v>156</v>
      </c>
    </row>
    <row r="14" spans="3:15" x14ac:dyDescent="0.3">
      <c r="F14" s="47" t="s">
        <v>165</v>
      </c>
      <c r="G14">
        <v>0.17499999999999999</v>
      </c>
    </row>
    <row r="15" spans="3:15" x14ac:dyDescent="0.3">
      <c r="E15">
        <v>5</v>
      </c>
      <c r="F15" s="46" t="s">
        <v>160</v>
      </c>
      <c r="G15">
        <v>1.7999999999999999E-2</v>
      </c>
      <c r="H15" t="s">
        <v>156</v>
      </c>
      <c r="J15" t="s">
        <v>161</v>
      </c>
      <c r="K15">
        <v>0.09</v>
      </c>
      <c r="L15">
        <v>1080</v>
      </c>
    </row>
    <row r="16" spans="3:15" x14ac:dyDescent="0.3">
      <c r="F16" s="2" t="s">
        <v>161</v>
      </c>
      <c r="G16">
        <v>0.08</v>
      </c>
      <c r="H16">
        <v>1080</v>
      </c>
      <c r="K16">
        <v>0.12</v>
      </c>
      <c r="L16">
        <v>2116</v>
      </c>
    </row>
    <row r="17" spans="5:18" x14ac:dyDescent="0.3">
      <c r="E17">
        <v>6</v>
      </c>
      <c r="F17" s="46" t="s">
        <v>160</v>
      </c>
      <c r="G17">
        <v>1.7999999999999999E-2</v>
      </c>
      <c r="H17" t="s">
        <v>156</v>
      </c>
      <c r="K17">
        <v>0.19</v>
      </c>
      <c r="L17">
        <v>7628</v>
      </c>
    </row>
    <row r="18" spans="5:18" x14ac:dyDescent="0.3">
      <c r="F18" s="47" t="s">
        <v>165</v>
      </c>
      <c r="G18">
        <v>0.17499999999999999</v>
      </c>
    </row>
    <row r="19" spans="5:18" x14ac:dyDescent="0.3">
      <c r="E19">
        <v>7</v>
      </c>
      <c r="F19" s="46" t="s">
        <v>160</v>
      </c>
      <c r="G19">
        <v>1.7999999999999999E-2</v>
      </c>
      <c r="H19" t="s">
        <v>156</v>
      </c>
    </row>
    <row r="20" spans="5:18" x14ac:dyDescent="0.3">
      <c r="F20" s="2" t="s">
        <v>161</v>
      </c>
      <c r="G20">
        <v>0.08</v>
      </c>
      <c r="H20">
        <v>1080</v>
      </c>
      <c r="R20" s="47" t="s">
        <v>165</v>
      </c>
    </row>
    <row r="21" spans="5:18" x14ac:dyDescent="0.3">
      <c r="E21">
        <v>8</v>
      </c>
      <c r="F21" s="46" t="s">
        <v>160</v>
      </c>
      <c r="G21">
        <v>1.7999999999999999E-2</v>
      </c>
      <c r="H21" t="s">
        <v>156</v>
      </c>
    </row>
    <row r="22" spans="5:18" x14ac:dyDescent="0.3">
      <c r="F22" s="47" t="s">
        <v>165</v>
      </c>
      <c r="G22">
        <v>0.17499999999999999</v>
      </c>
    </row>
    <row r="23" spans="5:18" x14ac:dyDescent="0.3">
      <c r="E23">
        <v>9</v>
      </c>
      <c r="F23" s="46" t="s">
        <v>160</v>
      </c>
      <c r="G23">
        <v>1.7999999999999999E-2</v>
      </c>
      <c r="H23" t="s">
        <v>156</v>
      </c>
      <c r="R23" s="2" t="s">
        <v>161</v>
      </c>
    </row>
    <row r="24" spans="5:18" x14ac:dyDescent="0.3">
      <c r="F24" s="2" t="s">
        <v>161</v>
      </c>
      <c r="G24">
        <v>0.08</v>
      </c>
      <c r="H24">
        <v>1080</v>
      </c>
    </row>
    <row r="25" spans="5:18" x14ac:dyDescent="0.3">
      <c r="E25">
        <v>10</v>
      </c>
      <c r="F25" s="46" t="s">
        <v>160</v>
      </c>
      <c r="G25">
        <v>1.7999999999999999E-2</v>
      </c>
      <c r="H25" t="s">
        <v>156</v>
      </c>
    </row>
    <row r="26" spans="5:18" x14ac:dyDescent="0.3">
      <c r="F26" s="47" t="s">
        <v>165</v>
      </c>
      <c r="G26">
        <v>0.17499999999999999</v>
      </c>
    </row>
    <row r="27" spans="5:18" x14ac:dyDescent="0.3">
      <c r="E27">
        <v>11</v>
      </c>
      <c r="F27" s="46" t="s">
        <v>160</v>
      </c>
      <c r="G27">
        <v>1.7999999999999999E-2</v>
      </c>
      <c r="H27" t="s">
        <v>156</v>
      </c>
    </row>
    <row r="28" spans="5:18" x14ac:dyDescent="0.3">
      <c r="F28" s="2" t="s">
        <v>161</v>
      </c>
      <c r="G28">
        <v>0.08</v>
      </c>
      <c r="H28">
        <v>1080</v>
      </c>
    </row>
    <row r="29" spans="5:18" x14ac:dyDescent="0.3">
      <c r="E29">
        <v>12</v>
      </c>
      <c r="F29" s="46" t="s">
        <v>160</v>
      </c>
      <c r="G29">
        <v>1.7999999999999999E-2</v>
      </c>
      <c r="H29" t="s">
        <v>156</v>
      </c>
    </row>
    <row r="30" spans="5:18" x14ac:dyDescent="0.3">
      <c r="F30" s="47" t="s">
        <v>165</v>
      </c>
      <c r="G30">
        <v>0.17499999999999999</v>
      </c>
    </row>
    <row r="31" spans="5:18" x14ac:dyDescent="0.3">
      <c r="E31">
        <v>13</v>
      </c>
      <c r="F31" s="46" t="s">
        <v>160</v>
      </c>
      <c r="G31">
        <v>1.7999999999999999E-2</v>
      </c>
      <c r="H31" t="s">
        <v>156</v>
      </c>
    </row>
    <row r="32" spans="5:18" x14ac:dyDescent="0.3">
      <c r="F32" s="2" t="s">
        <v>161</v>
      </c>
      <c r="G32">
        <v>0.08</v>
      </c>
      <c r="H32">
        <v>1080</v>
      </c>
    </row>
    <row r="33" spans="5:8" x14ac:dyDescent="0.3">
      <c r="E33">
        <v>14</v>
      </c>
      <c r="F33" s="46" t="s">
        <v>160</v>
      </c>
      <c r="G33">
        <v>1.7999999999999999E-2</v>
      </c>
      <c r="H33" t="s">
        <v>156</v>
      </c>
    </row>
  </sheetData>
  <hyperlinks>
    <hyperlink ref="O7" r:id="rId1" xr:uid="{F93E6F0C-4C67-4A1B-8A3A-2EE5B101751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4</vt:i4>
      </vt:variant>
    </vt:vector>
  </HeadingPairs>
  <TitlesOfParts>
    <vt:vector size="8" baseType="lpstr">
      <vt:lpstr>Feuil1</vt:lpstr>
      <vt:lpstr>DIMENSIONNEMENT</vt:lpstr>
      <vt:lpstr>Feuil3</vt:lpstr>
      <vt:lpstr>Stackup</vt:lpstr>
      <vt:lpstr>REG_TYPE</vt:lpstr>
      <vt:lpstr>V_NET_LIST</vt:lpstr>
      <vt:lpstr>V_NET_VOLTAGE</vt:lpstr>
      <vt:lpstr>Feuil3!Zone_d_impression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dc:creator>
  <cp:lastModifiedBy>Julien Guay</cp:lastModifiedBy>
  <cp:lastPrinted>2024-01-30T14:27:51Z</cp:lastPrinted>
  <dcterms:created xsi:type="dcterms:W3CDTF">2015-06-05T18:19:34Z</dcterms:created>
  <dcterms:modified xsi:type="dcterms:W3CDTF">2024-03-09T03:04:53Z</dcterms:modified>
</cp:coreProperties>
</file>