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wmf" ContentType="image/x-wmf"/>
  <Override PartName="/xl/media/image14.wmf" ContentType="image/x-wmf"/>
  <Override PartName="/xl/media/image10.wmf" ContentType="image/x-wmf"/>
  <Override PartName="/xl/media/image11.wmf" ContentType="image/x-wmf"/>
  <Override PartName="/xl/media/image12.wmf" ContentType="image/x-wmf"/>
  <Override PartName="/xl/media/image13.wmf" ContentType="image/x-wmf"/>
  <Override PartName="/xl/media/image15.jpeg" ContentType="image/jpeg"/>
  <Override PartName="/xl/media/image16.png" ContentType="image/pn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VISIONS" sheetId="1" state="visible" r:id="rId2"/>
    <sheet name="F1FRV SWR BRIDGE" sheetId="2" state="visible" r:id="rId3"/>
    <sheet name="FLUX CALC" sheetId="3" state="visible" r:id="rId4"/>
    <sheet name="G4JNH Data" sheetId="4" state="visible" r:id="rId5"/>
    <sheet name="DC voltages " sheetId="5" state="visible" r:id="rId6"/>
  </sheets>
  <definedNames>
    <definedName function="false" hidden="false" localSheetId="1" name="_xlnm.Print_Area" vbProcedure="false">'F1FRV SWR BRIDGE'!$A$1:$L$51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6" authorId="0">
      <text>
        <r>
          <rPr>
            <b val="true"/>
            <sz val="8"/>
            <color rgb="FF000000"/>
            <rFont val="Tahoma"/>
            <family val="2"/>
          </rPr>
          <t xml:space="preserve">These rectified voltages make no allowance for the forward threshold voltage of real detector diodes.</t>
        </r>
      </text>
    </comment>
    <comment ref="A27" authorId="0">
      <text>
        <r>
          <rPr>
            <b val="true"/>
            <sz val="8"/>
            <color rgb="FF000000"/>
            <rFont val="Tahoma"/>
            <family val="2"/>
          </rPr>
          <t xml:space="preserve">These rectified voltages make no allowance for the forward threshold voltage of real detector diodes.</t>
        </r>
      </text>
    </comment>
  </commentList>
</comments>
</file>

<file path=xl/sharedStrings.xml><?xml version="1.0" encoding="utf-8"?>
<sst xmlns="http://schemas.openxmlformats.org/spreadsheetml/2006/main" count="424" uniqueCount="326">
  <si>
    <t xml:space="preserve">Revision 2</t>
  </si>
  <si>
    <t xml:space="preserve">02/07/2004</t>
  </si>
  <si>
    <t xml:space="preserve">Included in rectified voltage calculations the fact that:</t>
  </si>
  <si>
    <t xml:space="preserve">Diode detection law below threshold voltage is linear</t>
  </si>
  <si>
    <t xml:space="preserve">Diode detection law over threshold voltage is quadratic</t>
  </si>
  <si>
    <t xml:space="preserve">Minimum detected power is taken as 0,5% of meter full scale</t>
  </si>
  <si>
    <t xml:space="preserve">L1/R2 ratio at minimum frequecy decreased from &gt;8 to ~5 to improve</t>
  </si>
  <si>
    <t xml:space="preserve">accuracy at high side of the useful band</t>
  </si>
  <si>
    <t xml:space="preserve">Revision 3</t>
  </si>
  <si>
    <t xml:space="preserve">17/07/2004</t>
  </si>
  <si>
    <t xml:space="preserve">Included software MINIRK.EXE in spreadsheet</t>
  </si>
  <si>
    <t xml:space="preserve">Improved DC rectified voltages calculations lines 25 &amp; 26</t>
  </si>
  <si>
    <t xml:space="preserve">Revision 4</t>
  </si>
  <si>
    <t xml:space="preserve">25/07/2004</t>
  </si>
  <si>
    <t xml:space="preserve">Added wattmeter full scale value </t>
  </si>
  <si>
    <t xml:space="preserve">Modified minimum detected power calculation</t>
  </si>
  <si>
    <t xml:space="preserve">Revision 5</t>
  </si>
  <si>
    <t xml:space="preserve">January 2006</t>
  </si>
  <si>
    <t xml:space="preserve">Added schottky diode max voltage</t>
  </si>
  <si>
    <t xml:space="preserve">and check of value in fwd &amp; ref voltages. Becomes black on red if value too high</t>
  </si>
  <si>
    <t xml:space="preserve">Revision 6</t>
  </si>
  <si>
    <t xml:space="preserve">July 15, 2006</t>
  </si>
  <si>
    <t xml:space="preserve">Check of value of diode maximum reverse peak voltage (Vr). Becomes black on red if value too low</t>
  </si>
  <si>
    <t xml:space="preserve">Diode Vr max shall be less than Vrms x ~4</t>
  </si>
  <si>
    <t xml:space="preserve">Removed check in fwd &amp; ref dc voltages</t>
  </si>
  <si>
    <t xml:space="preserve">Revision 6a</t>
  </si>
  <si>
    <t xml:space="preserve">July 17, 2006</t>
  </si>
  <si>
    <t xml:space="preserve">Added test measurements results table &amp; graph</t>
  </si>
  <si>
    <t xml:space="preserve">Page now in "landscape"</t>
  </si>
  <si>
    <t xml:space="preserve">Added calculations for R1 with 2 paralleded resistors</t>
  </si>
  <si>
    <t xml:space="preserve">Revision 7a</t>
  </si>
  <si>
    <t xml:space="preserve">November 11, 2006</t>
  </si>
  <si>
    <t xml:space="preserve">Added information about GND strap</t>
  </si>
  <si>
    <t xml:space="preserve">Revision 7b</t>
  </si>
  <si>
    <t xml:space="preserve">April 21, 2007</t>
  </si>
  <si>
    <t xml:space="preserve">Added Check flux with MINIRK12 to avoid toroid saturation at lowest frequency</t>
  </si>
  <si>
    <t xml:space="preserve">If toroid is saturated, increase size or redduce voltage</t>
  </si>
  <si>
    <t xml:space="preserve">Revision 8</t>
  </si>
  <si>
    <t xml:space="preserve">September 09, 2008</t>
  </si>
  <si>
    <t xml:space="preserve">Modified bridge drawing to have phase compensation antenna side</t>
  </si>
  <si>
    <t xml:space="preserve">Added maximum flux in toroid verification sheet</t>
  </si>
  <si>
    <t xml:space="preserve">Added selection list for toroids and automatic Al choice</t>
  </si>
  <si>
    <t xml:space="preserve">Added AMIDON material 43 and 61 toroids data</t>
  </si>
  <si>
    <t xml:space="preserve">Revision 8a</t>
  </si>
  <si>
    <t xml:space="preserve">September 10, 2008</t>
  </si>
  <si>
    <t xml:space="preserve">Added material "2" in calculations and documentation</t>
  </si>
  <si>
    <t xml:space="preserve">Revision 8b</t>
  </si>
  <si>
    <t xml:space="preserve">September 19, 2008</t>
  </si>
  <si>
    <t xml:space="preserve">Included coupling factor 99% for L1</t>
  </si>
  <si>
    <t xml:space="preserve">added nota about ratio L1/R2 and accuracy</t>
  </si>
  <si>
    <t xml:space="preserve">Revision 8c</t>
  </si>
  <si>
    <t xml:space="preserve">September 30, 2008</t>
  </si>
  <si>
    <t xml:space="preserve">added warning colors for ratio L1/R2 less than 7 and 5</t>
  </si>
  <si>
    <t xml:space="preserve">Revision 8d</t>
  </si>
  <si>
    <t xml:space="preserve">November 06, 2008</t>
  </si>
  <si>
    <t xml:space="preserve">Modified safety ratio warning for detectors PIV. Is now 2.88 x RMS voltage</t>
  </si>
  <si>
    <t xml:space="preserve">Revision 8e</t>
  </si>
  <si>
    <t xml:space="preserve">November 23, 2010</t>
  </si>
  <si>
    <t xml:space="preserve">Correction of not very clear texts:  in C1 manual calculation</t>
  </si>
  <si>
    <t xml:space="preserve">and in R2 dissipated power</t>
  </si>
  <si>
    <t xml:space="preserve">Revision 9</t>
  </si>
  <si>
    <t xml:space="preserve">November 25, 2010</t>
  </si>
  <si>
    <t xml:space="preserve">Added TRUE MEASURED value of toroid AL</t>
  </si>
  <si>
    <t xml:space="preserve">Revision 10</t>
  </si>
  <si>
    <t xml:space="preserve">December 07, 2010</t>
  </si>
  <si>
    <t xml:space="preserve">Added minimum supply voltage of automatic SWR board</t>
  </si>
  <si>
    <t xml:space="preserve">Revision 10a</t>
  </si>
  <si>
    <t xml:space="preserve">March 30, 2011</t>
  </si>
  <si>
    <t xml:space="preserve">Added nota about TRUE measured AL</t>
  </si>
  <si>
    <t xml:space="preserve">Revision 10b</t>
  </si>
  <si>
    <t xml:space="preserve">April 21, 2011</t>
  </si>
  <si>
    <t xml:space="preserve">Corrected data source in results graph which was not working</t>
  </si>
  <si>
    <t xml:space="preserve">Revision 10c</t>
  </si>
  <si>
    <t xml:space="preserve">February 1st, 2012</t>
  </si>
  <si>
    <t xml:space="preserve">Added nota line 30, to decrease output voltages if necessary.</t>
  </si>
  <si>
    <t xml:space="preserve">Revision 10d</t>
  </si>
  <si>
    <t xml:space="preserve">August 15, 2012</t>
  </si>
  <si>
    <t xml:space="preserve">Deleted the material 2, red toroids, as NOT ADAPTED TO WIDEBAND DESIGNS</t>
  </si>
  <si>
    <t xml:space="preserve">Revision 11</t>
  </si>
  <si>
    <t xml:space="preserve">January 07, 2014</t>
  </si>
  <si>
    <t xml:space="preserve">Modified Cell C18: C2 (pF) adjustable (+ fixed value if necessary)</t>
  </si>
  <si>
    <t xml:space="preserve">Formula was: =(2*2^0.5*C8*C16*C3)/C12-C16</t>
  </si>
  <si>
    <t xml:space="preserve">Formula now: =(2*C8*C16*C3)/C12-C16</t>
  </si>
  <si>
    <t xml:space="preserve">Replaced R1 by variable resistor VR1</t>
  </si>
  <si>
    <t xml:space="preserve">NOTA: For monoband 50 MHz with material 61, divide NOMINAL Al of toroid by 2</t>
  </si>
  <si>
    <t xml:space="preserve">NOTA: For monoband 144 MHz with material 61, divide NOMINAL Al of toroid by 6</t>
  </si>
  <si>
    <t xml:space="preserve">Revision 12</t>
  </si>
  <si>
    <t xml:space="preserve">December 11, 2014</t>
  </si>
  <si>
    <t xml:space="preserve">Modified Cell C7: Becomes "True AL" if true AL entered in cell F7</t>
  </si>
  <si>
    <t xml:space="preserve">Added nota about max nb of turns.</t>
  </si>
  <si>
    <t xml:space="preserve">R2 BPC10 (10 Watts) serie standard values see picture</t>
  </si>
  <si>
    <t xml:space="preserve">Added wire CSA calculation</t>
  </si>
  <si>
    <t xml:space="preserve">Added notas lines 31 to 33</t>
  </si>
  <si>
    <t xml:space="preserve">Revision 13</t>
  </si>
  <si>
    <t xml:space="preserve">January 2020</t>
  </si>
  <si>
    <t xml:space="preserve">Modified formula in cells C26 &amp; C27 which was:   =SI(C20&gt;C25;((C25+(C20-C25)*PI()/2));C20)</t>
  </si>
  <si>
    <r>
      <rPr>
        <b val="true"/>
        <sz val="10"/>
        <rFont val="Arial"/>
        <family val="2"/>
      </rPr>
      <t xml:space="preserve">COLOR CODE: </t>
    </r>
    <r>
      <rPr>
        <b val="true"/>
        <sz val="10"/>
        <color rgb="FF0000FF"/>
        <rFont val="Arial"/>
        <family val="0"/>
      </rPr>
      <t xml:space="preserve">INPUTS= BLUE</t>
    </r>
    <r>
      <rPr>
        <b val="true"/>
        <sz val="10"/>
        <rFont val="Arial"/>
        <family val="0"/>
      </rPr>
      <t xml:space="preserve"> / </t>
    </r>
    <r>
      <rPr>
        <b val="true"/>
        <sz val="10"/>
        <color rgb="FFFF0000"/>
        <rFont val="Arial"/>
        <family val="0"/>
      </rPr>
      <t xml:space="preserve">OUTPUTS= RED</t>
    </r>
    <r>
      <rPr>
        <b val="true"/>
        <sz val="10"/>
        <rFont val="Arial"/>
        <family val="0"/>
      </rPr>
      <t xml:space="preserve"> /  INFORMATION= BLACK</t>
    </r>
  </si>
  <si>
    <t xml:space="preserve">F1FRV January 2020 REVISION 13</t>
  </si>
  <si>
    <t xml:space="preserve">MEASUREMENT RESULTS WITH POWER 40 WATTS / 50 OHMS WITH</t>
  </si>
  <si>
    <t xml:space="preserve">( See revisions page )</t>
  </si>
  <si>
    <t xml:space="preserve">VOLTMETER 10 MEGOHMS/V</t>
  </si>
  <si>
    <r>
      <rPr>
        <b val="true"/>
        <sz val="10"/>
        <color rgb="FFFF0000"/>
        <rFont val="Arial"/>
        <family val="2"/>
      </rPr>
      <t xml:space="preserve">ENTER </t>
    </r>
    <r>
      <rPr>
        <b val="true"/>
        <u val="single"/>
        <sz val="10"/>
        <color rgb="FFFF0000"/>
        <rFont val="Arial"/>
        <family val="0"/>
      </rPr>
      <t xml:space="preserve">YOUR</t>
    </r>
    <r>
      <rPr>
        <b val="true"/>
        <sz val="10"/>
        <color rgb="FFFF0000"/>
        <rFont val="Arial"/>
        <family val="0"/>
      </rPr>
      <t xml:space="preserve"> MEASURED VALUES !!</t>
    </r>
  </si>
  <si>
    <t xml:space="preserve">LINE IMPEDANCE  Z  (Ohms)</t>
  </si>
  <si>
    <t xml:space="preserve">FREQUENCY (MHz)</t>
  </si>
  <si>
    <t xml:space="preserve">FWD VALUE</t>
  </si>
  <si>
    <t xml:space="preserve">REF VALUE</t>
  </si>
  <si>
    <t xml:space="preserve">Maximum power (Watts)</t>
  </si>
  <si>
    <t xml:space="preserve">mV</t>
  </si>
  <si>
    <t xml:space="preserve">FT 50-43</t>
  </si>
  <si>
    <r>
      <rPr>
        <b val="true"/>
        <sz val="10"/>
        <color rgb="FFFF0000"/>
        <rFont val="Arial"/>
        <family val="2"/>
      </rPr>
      <t xml:space="preserve">PERMANENT</t>
    </r>
    <r>
      <rPr>
        <b val="true"/>
        <sz val="10"/>
        <color rgb="FF0000FF"/>
        <rFont val="Arial"/>
        <family val="0"/>
      </rPr>
      <t xml:space="preserve"> Maximum SWR to be accepted by the bridge</t>
    </r>
  </si>
  <si>
    <t xml:space="preserve">FT 82-43</t>
  </si>
  <si>
    <t xml:space="preserve">Reference of toroid</t>
  </si>
  <si>
    <t xml:space="preserve">FT 140-43</t>
  </si>
  <si>
    <t xml:space="preserve">&gt;&gt;</t>
  </si>
  <si>
    <t xml:space="preserve">CLICK HERE FOR TOROID FLUX VERIFICATION PAGE !!</t>
  </si>
  <si>
    <t xml:space="preserve">FT 114-43</t>
  </si>
  <si>
    <r>
      <rPr>
        <b val="true"/>
        <sz val="10"/>
        <color rgb="FFFF0000"/>
        <rFont val="Arial"/>
        <family val="2"/>
      </rPr>
      <t xml:space="preserve">Nominal average</t>
    </r>
    <r>
      <rPr>
        <sz val="10"/>
        <rFont val="Arial"/>
        <family val="0"/>
      </rPr>
      <t xml:space="preserve"> AL of toroid (nH / turn</t>
    </r>
    <r>
      <rPr>
        <vertAlign val="superscript"/>
        <sz val="10"/>
        <rFont val="Arial"/>
        <family val="0"/>
      </rPr>
      <t xml:space="preserve">2</t>
    </r>
    <r>
      <rPr>
        <sz val="10"/>
        <rFont val="Arial"/>
        <family val="0"/>
      </rPr>
      <t xml:space="preserve">)</t>
    </r>
  </si>
  <si>
    <r>
      <rPr>
        <b val="true"/>
        <sz val="10"/>
        <color rgb="FF0000FF"/>
        <rFont val="Arial"/>
        <family val="2"/>
      </rPr>
      <t xml:space="preserve">True </t>
    </r>
    <r>
      <rPr>
        <b val="true"/>
        <sz val="10"/>
        <color rgb="FFFF0000"/>
        <rFont val="Arial"/>
        <family val="0"/>
      </rPr>
      <t xml:space="preserve">measured</t>
    </r>
    <r>
      <rPr>
        <b val="true"/>
        <sz val="10"/>
        <color rgb="FF0000FF"/>
        <rFont val="Arial"/>
        <family val="0"/>
      </rPr>
      <t xml:space="preserve"> AL :  </t>
    </r>
  </si>
  <si>
    <r>
      <rPr>
        <b val="true"/>
        <sz val="9"/>
        <color rgb="FF0000FF"/>
        <rFont val="Arial"/>
        <family val="2"/>
      </rPr>
      <t xml:space="preserve">Nb </t>
    </r>
    <r>
      <rPr>
        <b val="true"/>
        <sz val="9"/>
        <color rgb="FFFF0000"/>
        <rFont val="Arial"/>
        <family val="0"/>
      </rPr>
      <t xml:space="preserve">TOTAL</t>
    </r>
    <r>
      <rPr>
        <b val="true"/>
        <sz val="9"/>
        <color rgb="FF0000FF"/>
        <rFont val="Arial"/>
        <family val="0"/>
      </rPr>
      <t xml:space="preserve"> of turns (N) </t>
    </r>
    <r>
      <rPr>
        <b val="true"/>
        <u val="single"/>
        <sz val="9"/>
        <color rgb="FFFF0000"/>
        <rFont val="Arial"/>
        <family val="0"/>
      </rPr>
      <t xml:space="preserve">INSIDE</t>
    </r>
    <r>
      <rPr>
        <b val="true"/>
        <sz val="9"/>
        <color rgb="FF0000FF"/>
        <rFont val="Arial"/>
        <family val="0"/>
      </rPr>
      <t xml:space="preserve"> toroid  (2 x N/2) </t>
    </r>
    <r>
      <rPr>
        <b val="true"/>
        <sz val="9"/>
        <rFont val="Arial"/>
        <family val="0"/>
      </rPr>
      <t xml:space="preserve">( </t>
    </r>
    <r>
      <rPr>
        <b val="true"/>
        <sz val="9"/>
        <color rgb="FFFF0000"/>
        <rFont val="Arial"/>
        <family val="0"/>
      </rPr>
      <t xml:space="preserve">MUST be EVEN !! </t>
    </r>
    <r>
      <rPr>
        <b val="true"/>
        <sz val="9"/>
        <rFont val="Arial"/>
        <family val="0"/>
      </rPr>
      <t xml:space="preserve">)</t>
    </r>
  </si>
  <si>
    <r>
      <rPr>
        <b val="true"/>
        <sz val="10"/>
        <rFont val="Arial"/>
        <family val="2"/>
      </rPr>
      <t xml:space="preserve">True measured AL </t>
    </r>
    <r>
      <rPr>
        <b val="true"/>
        <sz val="10"/>
        <color rgb="FFFF0000"/>
        <rFont val="Arial"/>
        <family val="0"/>
      </rPr>
      <t xml:space="preserve">MUST stay BLANK</t>
    </r>
    <r>
      <rPr>
        <b val="true"/>
        <sz val="10"/>
        <rFont val="Arial"/>
        <family val="0"/>
      </rPr>
      <t xml:space="preserve"> if no measured AL</t>
    </r>
  </si>
  <si>
    <t xml:space="preserve">FT 240-43</t>
  </si>
  <si>
    <t xml:space="preserve">L1 (uH) with coupling factor 0.99</t>
  </si>
  <si>
    <t xml:space="preserve">If Total Nb of turns &gt; 10, Decrease R2 value.</t>
  </si>
  <si>
    <t xml:space="preserve">FT 50-61</t>
  </si>
  <si>
    <t xml:space="preserve">Bridge Minimum Frequency of use (MHz)</t>
  </si>
  <si>
    <t xml:space="preserve">This, to minimize L1 parasitic capacitances.</t>
  </si>
  <si>
    <t xml:space="preserve">FT 82-61</t>
  </si>
  <si>
    <r>
      <rPr>
        <sz val="10"/>
        <rFont val="Arial"/>
        <family val="2"/>
      </rPr>
      <t xml:space="preserve">L1 / R2 ratio at minimum freq.  (</t>
    </r>
    <r>
      <rPr>
        <b val="true"/>
        <u val="single"/>
        <sz val="10"/>
        <color rgb="FFFF0000"/>
        <rFont val="Arial"/>
        <family val="0"/>
      </rPr>
      <t xml:space="preserve">shall be &gt;7 for &lt;1% accuracy </t>
    </r>
    <r>
      <rPr>
        <sz val="10"/>
        <rFont val="Arial"/>
        <family val="0"/>
      </rPr>
      <t xml:space="preserve">)</t>
    </r>
  </si>
  <si>
    <t xml:space="preserve">L1/R2 = 3  power error ~5% and phase ~18°</t>
  </si>
  <si>
    <t xml:space="preserve">FT 114-61</t>
  </si>
  <si>
    <t xml:space="preserve">R2 (Ohms) Shall be NON INDUCTIVE !!!</t>
  </si>
  <si>
    <t xml:space="preserve">L1/R2 = 7  power error ~1% and phase ~8°</t>
  </si>
  <si>
    <t xml:space="preserve">FT 140-61</t>
  </si>
  <si>
    <t xml:space="preserve">Max current in R2 and toroid winding (Amps)</t>
  </si>
  <si>
    <t xml:space="preserve">Wire MIN CSA (sq mm)</t>
  </si>
  <si>
    <t xml:space="preserve">FT 240-61</t>
  </si>
  <si>
    <t xml:space="preserve">Bridge coupling design dB</t>
  </si>
  <si>
    <t xml:space="preserve">Wire MIN Dia. (mm)</t>
  </si>
  <si>
    <t xml:space="preserve">??</t>
  </si>
  <si>
    <t xml:space="preserve">R2 dissipated power (Watts) at maximum permanent power</t>
  </si>
  <si>
    <t xml:space="preserve">AT MAXIMUM SWR :</t>
  </si>
  <si>
    <t xml:space="preserve">C1 (pF)</t>
  </si>
  <si>
    <t xml:space="preserve">2 x RG 402</t>
  </si>
  <si>
    <t xml:space="preserve">pF/m</t>
  </si>
  <si>
    <t xml:space="preserve">MEAN VALUE</t>
  </si>
  <si>
    <t xml:space="preserve">Max Voltage on C1 (Volts peak/peak)</t>
  </si>
  <si>
    <t xml:space="preserve"> 2 x 2000 V MAX</t>
  </si>
  <si>
    <t xml:space="preserve">MAXIMUM ERROR +/-</t>
  </si>
  <si>
    <t xml:space="preserve">%</t>
  </si>
  <si>
    <t xml:space="preserve">C2 (pF) adjustable (+ C2a fixed value if necessary)</t>
  </si>
  <si>
    <t xml:space="preserve">C1 MANUAL CALCULATION</t>
  </si>
  <si>
    <t xml:space="preserve">BRIDGE DIRECTIVITY</t>
  </si>
  <si>
    <t xml:space="preserve">dB</t>
  </si>
  <si>
    <t xml:space="preserve">VR1 variable resistor to adjust with Ohmmeter at value</t>
  </si>
  <si>
    <t xml:space="preserve">2 lengths of (mm)</t>
  </si>
  <si>
    <t xml:space="preserve">FWD Volts on R2  (Volts rms)</t>
  </si>
  <si>
    <t xml:space="preserve">C1 (pF) incl. strays</t>
  </si>
  <si>
    <t xml:space="preserve">REF Voltage on R2 (Volts rms)</t>
  </si>
  <si>
    <t xml:space="preserve">See Picture at page bottom</t>
  </si>
  <si>
    <t xml:space="preserve">FWD Apparent Power (Watts)</t>
  </si>
  <si>
    <t xml:space="preserve">REF Apparent Power (Watts)</t>
  </si>
  <si>
    <r>
      <rPr>
        <b val="true"/>
        <sz val="10"/>
        <rFont val="Arial"/>
        <family val="0"/>
      </rPr>
      <t xml:space="preserve">1N4148</t>
    </r>
    <r>
      <rPr>
        <sz val="10"/>
        <rFont val="Arial"/>
        <family val="0"/>
      </rPr>
      <t xml:space="preserve"> (PIV 100V, FV 0.3V @ 1uA) </t>
    </r>
    <r>
      <rPr>
        <b val="true"/>
        <sz val="10"/>
        <rFont val="Arial"/>
        <family val="0"/>
      </rPr>
      <t xml:space="preserve">High FV</t>
    </r>
    <r>
      <rPr>
        <sz val="10"/>
        <rFont val="Arial"/>
        <family val="0"/>
      </rPr>
      <t xml:space="preserve">.</t>
    </r>
  </si>
  <si>
    <t xml:space="preserve">Detection diode maximum Peak Inverse Voltage (Volts)</t>
  </si>
  <si>
    <t xml:space="preserve">See diode manufacturer data for values.</t>
  </si>
  <si>
    <t xml:space="preserve">Detection diode Treshold Forward Voltage (Volts)</t>
  </si>
  <si>
    <t xml:space="preserve">Quadratic detection below threshold voltage</t>
  </si>
  <si>
    <t xml:space="preserve">Estimated forward rectified voltage (DC Volts)</t>
  </si>
  <si>
    <t xml:space="preserve">Linear detection over threshold voltage (FV).</t>
  </si>
  <si>
    <t xml:space="preserve">Estimated reflected rectified voltage (DC Volts)</t>
  </si>
  <si>
    <r>
      <rPr>
        <b val="true"/>
        <sz val="10"/>
        <rFont val="Arial"/>
        <family val="2"/>
      </rPr>
      <t xml:space="preserve">1N5711</t>
    </r>
    <r>
      <rPr>
        <sz val="10"/>
        <rFont val="Arial"/>
        <family val="0"/>
      </rPr>
      <t xml:space="preserve"> (PIV 70V, FV 0.18V @ 1uA) is the best.</t>
    </r>
  </si>
  <si>
    <t xml:space="preserve">With output power (Watts)</t>
  </si>
  <si>
    <t xml:space="preserve">Auto SWR supply V &gt;</t>
  </si>
  <si>
    <t xml:space="preserve">Minimum reflected detected power will be (Watts)</t>
  </si>
  <si>
    <t xml:space="preserve">with directivity measured in tests</t>
  </si>
  <si>
    <t xml:space="preserve">Nota: If necessary, install a resistive divider to reduce FWD &amp; REF voltages outputs, for auto SWR lower supply voltage.</t>
  </si>
  <si>
    <t xml:space="preserve">To estimate maximum output voltages &amp; currents, modify max SWR (cell B5)</t>
  </si>
  <si>
    <t xml:space="preserve">IMPORTANT: C2 adjustment mus be made ONLY at bridge maximum frequency of service.</t>
  </si>
  <si>
    <r>
      <rPr>
        <b val="true"/>
        <sz val="10"/>
        <rFont val="Arial"/>
        <family val="2"/>
      </rPr>
      <t xml:space="preserve">Nota: Coaxial line must be grounded </t>
    </r>
    <r>
      <rPr>
        <b val="true"/>
        <u val="single"/>
        <sz val="10"/>
        <rFont val="Arial"/>
        <family val="0"/>
      </rPr>
      <t xml:space="preserve">ONLY 1 SIDE OF TOROID</t>
    </r>
    <r>
      <rPr>
        <b val="true"/>
        <sz val="10"/>
        <rFont val="Arial"/>
        <family val="0"/>
      </rPr>
      <t xml:space="preserve">, 1 x just behind toroid, AND 1 x at TX connector.</t>
    </r>
  </si>
  <si>
    <t xml:space="preserve">TOROIDS FLUX CALCULATIONS</t>
  </si>
  <si>
    <t xml:space="preserve">CALCUL DU FLUX DANS LES TORES</t>
  </si>
  <si>
    <t xml:space="preserve">Input data: Black on blue</t>
  </si>
  <si>
    <t xml:space="preserve">Données d'entrée: Noir sur fond bleu</t>
  </si>
  <si>
    <t xml:space="preserve">Results: Red on yellow</t>
  </si>
  <si>
    <t xml:space="preserve">Résultats: Rouge sur fond jaune</t>
  </si>
  <si>
    <t xml:space="preserve">IF FLUX IS TOO HIGH, INCREASE NB OF SECONDARY TURNS !!!!</t>
  </si>
  <si>
    <t xml:space="preserve">SI LE FLUX EST TROP IMPORTANT, AUGMENTER LE NB DE SPIRES SECONDAIRE !!!!</t>
  </si>
  <si>
    <t xml:space="preserve">RF Power</t>
  </si>
  <si>
    <t xml:space="preserve">Puissance HF</t>
  </si>
  <si>
    <t xml:space="preserve">Watts</t>
  </si>
  <si>
    <t xml:space="preserve">Minimum Frequency of use</t>
  </si>
  <si>
    <t xml:space="preserve">Frequence Mini de service</t>
  </si>
  <si>
    <t xml:space="preserve">MHz</t>
  </si>
  <si>
    <t xml:space="preserve">Primary impedance</t>
  </si>
  <si>
    <t xml:space="preserve">Impedance primaire</t>
  </si>
  <si>
    <t xml:space="preserve">Ohms</t>
  </si>
  <si>
    <t xml:space="preserve">Secondary TOTAL turns number</t>
  </si>
  <si>
    <t xml:space="preserve">Nb TOTAL de tours Secondaire</t>
  </si>
  <si>
    <t xml:space="preserve">Primary turns number</t>
  </si>
  <si>
    <t xml:space="preserve">Nb de tours primaire</t>
  </si>
  <si>
    <t xml:space="preserve">Transfer ratio</t>
  </si>
  <si>
    <t xml:space="preserve">Rapport de transformation</t>
  </si>
  <si>
    <t xml:space="preserve">Load secondary Impedance</t>
  </si>
  <si>
    <t xml:space="preserve">Impedance charge secondaire</t>
  </si>
  <si>
    <t xml:space="preserve">secondary RF voltage</t>
  </si>
  <si>
    <t xml:space="preserve">Tension HF au secondaire</t>
  </si>
  <si>
    <t xml:space="preserve">Volts</t>
  </si>
  <si>
    <t xml:space="preserve">Toroids</t>
  </si>
  <si>
    <t xml:space="preserve">Tores</t>
  </si>
  <si>
    <t xml:space="preserve">1 toroid nominal specific inductance (Al)</t>
  </si>
  <si>
    <t xml:space="preserve">Inductance specifique nominale (Al) d'un tore</t>
  </si>
  <si>
    <t xml:space="preserve">nH/Sp2</t>
  </si>
  <si>
    <t xml:space="preserve">1 toroid Cross sectional area</t>
  </si>
  <si>
    <t xml:space="preserve">Section d'un tore</t>
  </si>
  <si>
    <t xml:space="preserve">Cm2</t>
  </si>
  <si>
    <t xml:space="preserve">Maximum flux density for material 43</t>
  </si>
  <si>
    <t xml:space="preserve">Flux maximum pour Materiau 43</t>
  </si>
  <si>
    <t xml:space="preserve">Gauss</t>
  </si>
  <si>
    <t xml:space="preserve">Max flux to be used (20% of max flux)</t>
  </si>
  <si>
    <t xml:space="preserve">Flux à ne pas depasser (20% du flux maxi)</t>
  </si>
  <si>
    <t xml:space="preserve">Gaus</t>
  </si>
  <si>
    <t xml:space="preserve">NB of stacked toroids</t>
  </si>
  <si>
    <t xml:space="preserve">Nb de tores empilés</t>
  </si>
  <si>
    <t xml:space="preserve">Flux density</t>
  </si>
  <si>
    <t xml:space="preserve">Flux </t>
  </si>
  <si>
    <t xml:space="preserve">Section</t>
  </si>
  <si>
    <t xml:space="preserve">Maximum flux density for material 61</t>
  </si>
  <si>
    <t xml:space="preserve">Flux maximum pour Materiau 61</t>
  </si>
  <si>
    <t xml:space="preserve">Flux</t>
  </si>
  <si>
    <t xml:space="preserve">T 50-2</t>
  </si>
  <si>
    <t xml:space="preserve">T 80-2</t>
  </si>
  <si>
    <t xml:space="preserve">T 94-2</t>
  </si>
  <si>
    <t xml:space="preserve">T 130-2</t>
  </si>
  <si>
    <t xml:space="preserve">T 200-2</t>
  </si>
  <si>
    <t xml:space="preserve">Maximum flux density for material 2</t>
  </si>
  <si>
    <t xml:space="preserve">Flux maximum pour Materiau 2 </t>
  </si>
  <si>
    <t xml:space="preserve">NOTA: LE FLUX MAXI (400) DEFINI POUR LE MATERIAU 2 CORRESPOND A UNE ELEVATION DE TEMPERATURE DE ~ 20°C DU TORE.</t>
  </si>
  <si>
    <t xml:space="preserve">POUR LIMITER L'ELEVATION DE TEMPERATURE DU TORE A ~5°C , CHOISIR UNE DENSITE DE FLUX DE 200.</t>
  </si>
  <si>
    <t xml:space="preserve">NOTA: MAX FLUX DEFINED (400) FOR MATERIAL 2, IS DEFINED FOR TOROID TEMPERATURE INCREASE OF ~20°C.</t>
  </si>
  <si>
    <t xml:space="preserve">TO LIMIT TOROID TEMPERATURE INCREASE TO ~ 5°C, SELECT FLUX DENSITY 200.</t>
  </si>
  <si>
    <t xml:space="preserve">SWR Calculations by Ron Barker, G4JNH</t>
  </si>
  <si>
    <t xml:space="preserve">Enter Zo</t>
  </si>
  <si>
    <t xml:space="preserve">ohms</t>
  </si>
  <si>
    <t xml:space="preserve">Enter delivered power at wattmeter</t>
  </si>
  <si>
    <t xml:space="preserve">watts</t>
  </si>
  <si>
    <t xml:space="preserve">Enter SWR</t>
  </si>
  <si>
    <t xml:space="preserve">Angle of reflection coefficient at wattmeter</t>
  </si>
  <si>
    <t xml:space="preserve">degrees</t>
  </si>
  <si>
    <t xml:space="preserve">Magnitude of reflection coefficient is</t>
  </si>
  <si>
    <t xml:space="preserve">Forward voltage is</t>
  </si>
  <si>
    <t xml:space="preserve">volts (rms)</t>
  </si>
  <si>
    <t xml:space="preserve">Forward current is</t>
  </si>
  <si>
    <t xml:space="preserve">amps (rms)</t>
  </si>
  <si>
    <t xml:space="preserve">Forward power is</t>
  </si>
  <si>
    <t xml:space="preserve">Reflected voltage is</t>
  </si>
  <si>
    <t xml:space="preserve">Reflected current is</t>
  </si>
  <si>
    <t xml:space="preserve">Reflected power is</t>
  </si>
  <si>
    <t xml:space="preserve">Line voltage at Wattmeter is</t>
  </si>
  <si>
    <t xml:space="preserve">Phase angle referenced to forward voltage is</t>
  </si>
  <si>
    <t xml:space="preserve">radians</t>
  </si>
  <si>
    <t xml:space="preserve">Percentage of reflected power</t>
  </si>
  <si>
    <t xml:space="preserve">Percentage of reflected voltage</t>
  </si>
  <si>
    <t xml:space="preserve">Line current at wattmeter is</t>
  </si>
  <si>
    <t xml:space="preserve">Phase angle referenced to forward current is</t>
  </si>
  <si>
    <t xml:space="preserve">Coupling dB</t>
  </si>
  <si>
    <t xml:space="preserve">Coupling ratio</t>
  </si>
  <si>
    <t xml:space="preserve">Voltage derived from voltage sampler (Ev) is</t>
  </si>
  <si>
    <t xml:space="preserve">Voltage derived from current sampler (Ei) is</t>
  </si>
  <si>
    <t xml:space="preserve">Phase angle between Ev and Ei is</t>
  </si>
  <si>
    <t xml:space="preserve">Vector sum of Ev and Ei is</t>
  </si>
  <si>
    <t xml:space="preserve">Vector difference between Ev and Ei is</t>
  </si>
  <si>
    <t xml:space="preserve">Rectified voltage presented to forward power meter is</t>
  </si>
  <si>
    <t xml:space="preserve">volts DC</t>
  </si>
  <si>
    <t xml:space="preserve">Rectified voltage presented to reflected power meter is</t>
  </si>
  <si>
    <t xml:space="preserve">Derived magnitude of reflection coefficient is</t>
  </si>
  <si>
    <t xml:space="preserve">Derived SWR is</t>
  </si>
  <si>
    <t xml:space="preserve">Ev/Ei ratio</t>
  </si>
  <si>
    <t xml:space="preserve">Power, DC voltages are at 1:10 VSWR</t>
  </si>
  <si>
    <t xml:space="preserve">Estimated forward rectified voltage</t>
  </si>
  <si>
    <t xml:space="preserve">Estimated reverse Dc voltage</t>
  </si>
  <si>
    <t xml:space="preserve">10W</t>
  </si>
  <si>
    <t xml:space="preserve">20W</t>
  </si>
  <si>
    <t xml:space="preserve">30W</t>
  </si>
  <si>
    <t xml:space="preserve">50W</t>
  </si>
  <si>
    <t xml:space="preserve">70W</t>
  </si>
  <si>
    <t xml:space="preserve">90W</t>
  </si>
  <si>
    <t xml:space="preserve">110W</t>
  </si>
  <si>
    <t xml:space="preserve">150W</t>
  </si>
  <si>
    <t xml:space="preserve">200W</t>
  </si>
  <si>
    <t xml:space="preserve">250W</t>
  </si>
  <si>
    <t xml:space="preserve">300W</t>
  </si>
  <si>
    <t xml:space="preserve">350W</t>
  </si>
  <si>
    <t xml:space="preserve">400W</t>
  </si>
  <si>
    <t xml:space="preserve">450W</t>
  </si>
  <si>
    <t xml:space="preserve">500W</t>
  </si>
  <si>
    <t xml:space="preserve">550W</t>
  </si>
  <si>
    <t xml:space="preserve">600W</t>
  </si>
  <si>
    <t xml:space="preserve">650W</t>
  </si>
  <si>
    <t xml:space="preserve">700W</t>
  </si>
  <si>
    <t xml:space="preserve">750W</t>
  </si>
  <si>
    <t xml:space="preserve">800W</t>
  </si>
  <si>
    <t xml:space="preserve">850W</t>
  </si>
  <si>
    <t xml:space="preserve">900W</t>
  </si>
  <si>
    <t xml:space="preserve">950W</t>
  </si>
  <si>
    <t xml:space="preserve">1000W</t>
  </si>
  <si>
    <t xml:space="preserve">1050W</t>
  </si>
  <si>
    <t xml:space="preserve">1100W</t>
  </si>
  <si>
    <t xml:space="preserve">1150W</t>
  </si>
  <si>
    <t xml:space="preserve">1200W</t>
  </si>
  <si>
    <t xml:space="preserve">1250W</t>
  </si>
  <si>
    <t xml:space="preserve">1300W</t>
  </si>
  <si>
    <t xml:space="preserve">1350W</t>
  </si>
  <si>
    <t xml:space="preserve">1400W</t>
  </si>
  <si>
    <t xml:space="preserve">1450W</t>
  </si>
  <si>
    <t xml:space="preserve">1500W</t>
  </si>
  <si>
    <t xml:space="preserve">1550W</t>
  </si>
  <si>
    <t xml:space="preserve">1600W</t>
  </si>
  <si>
    <t xml:space="preserve">1650W</t>
  </si>
  <si>
    <t xml:space="preserve">1700W</t>
  </si>
  <si>
    <t xml:space="preserve">1750W</t>
  </si>
  <si>
    <t xml:space="preserve">1800W</t>
  </si>
  <si>
    <t xml:space="preserve">1850W</t>
  </si>
  <si>
    <t xml:space="preserve">1900W</t>
  </si>
  <si>
    <t xml:space="preserve">1950W</t>
  </si>
  <si>
    <t xml:space="preserve">2000W</t>
  </si>
  <si>
    <t xml:space="preserve">2250W</t>
  </si>
  <si>
    <t xml:space="preserve">2500W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</si>
</sst>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@"/>
    <numFmt numFmtId="166" formatCode="0"/>
    <numFmt numFmtId="167" formatCode="0.0"/>
    <numFmt numFmtId="168" formatCode="#,##0"/>
    <numFmt numFmtId="169" formatCode="#,##0.0"/>
    <numFmt numFmtId="170" formatCode="0.0000"/>
    <numFmt numFmtId="171" formatCode="0.00"/>
    <numFmt numFmtId="172" formatCode="#,##0.00"/>
    <numFmt numFmtId="173" formatCode="#,##0.000"/>
    <numFmt numFmtId="174" formatCode="0.000"/>
    <numFmt numFmtId="175" formatCode="# ???/???"/>
    <numFmt numFmtId="176" formatCode="General"/>
  </numFmts>
  <fonts count="32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Arial"/>
      <family val="2"/>
    </font>
    <font>
      <b val="true"/>
      <sz val="10"/>
      <color rgb="FF0000FF"/>
      <name val="Arial"/>
      <family val="2"/>
    </font>
    <font>
      <b val="true"/>
      <sz val="10"/>
      <color rgb="FF0000FF"/>
      <name val="Arial"/>
      <family val="0"/>
    </font>
    <font>
      <b val="true"/>
      <sz val="10"/>
      <name val="Arial"/>
      <family val="0"/>
    </font>
    <font>
      <b val="true"/>
      <sz val="10"/>
      <color rgb="FFFF0000"/>
      <name val="Arial"/>
      <family val="0"/>
    </font>
    <font>
      <b val="true"/>
      <u val="single"/>
      <sz val="10"/>
      <color rgb="FF0000FF"/>
      <name val="Arial"/>
      <family val="0"/>
    </font>
    <font>
      <u val="single"/>
      <sz val="10"/>
      <color rgb="FF0000FF"/>
      <name val="Arial"/>
      <family val="2"/>
    </font>
    <font>
      <b val="true"/>
      <sz val="10"/>
      <color rgb="FFFF0000"/>
      <name val="Arial"/>
      <family val="2"/>
    </font>
    <font>
      <b val="true"/>
      <u val="single"/>
      <sz val="10"/>
      <color rgb="FFFF0000"/>
      <name val="Arial"/>
      <family val="0"/>
    </font>
    <font>
      <sz val="10"/>
      <color rgb="FF0000FF"/>
      <name val="Arial"/>
      <family val="2"/>
    </font>
    <font>
      <b val="true"/>
      <u val="single"/>
      <sz val="10"/>
      <color rgb="FF3366FF"/>
      <name val="Arial"/>
      <family val="2"/>
    </font>
    <font>
      <b val="true"/>
      <u val="single"/>
      <sz val="9"/>
      <color rgb="FF0000FF"/>
      <name val="Arial"/>
      <family val="0"/>
    </font>
    <font>
      <sz val="9"/>
      <name val="Arial"/>
      <family val="2"/>
    </font>
    <font>
      <vertAlign val="superscript"/>
      <sz val="10"/>
      <name val="Arial"/>
      <family val="0"/>
    </font>
    <font>
      <b val="true"/>
      <sz val="9"/>
      <color rgb="FF0000FF"/>
      <name val="Arial"/>
      <family val="2"/>
    </font>
    <font>
      <b val="true"/>
      <sz val="9"/>
      <color rgb="FFFF0000"/>
      <name val="Arial"/>
      <family val="0"/>
    </font>
    <font>
      <b val="true"/>
      <sz val="9"/>
      <color rgb="FF0000FF"/>
      <name val="Arial"/>
      <family val="0"/>
    </font>
    <font>
      <b val="true"/>
      <u val="single"/>
      <sz val="9"/>
      <color rgb="FFFF0000"/>
      <name val="Arial"/>
      <family val="0"/>
    </font>
    <font>
      <b val="true"/>
      <sz val="9"/>
      <name val="Arial"/>
      <family val="0"/>
    </font>
    <font>
      <sz val="10"/>
      <color rgb="FFFF0000"/>
      <name val="Arial"/>
      <family val="2"/>
    </font>
    <font>
      <b val="true"/>
      <sz val="10"/>
      <color rgb="FF008000"/>
      <name val="Arial"/>
      <family val="2"/>
    </font>
    <font>
      <b val="true"/>
      <u val="single"/>
      <sz val="10"/>
      <name val="Arial"/>
      <family val="0"/>
    </font>
    <font>
      <b val="true"/>
      <sz val="12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sz val="8"/>
      <name val="Arial"/>
      <family val="2"/>
    </font>
    <font>
      <b val="true"/>
      <sz val="8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C0C0C0"/>
      </patternFill>
    </fill>
    <fill>
      <patternFill patternType="solid">
        <fgColor rgb="FFCCCCFF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thick">
        <color rgb="FF303030"/>
      </left>
      <right/>
      <top style="thick">
        <color rgb="FF303030"/>
      </top>
      <bottom/>
      <diagonal/>
    </border>
    <border diagonalUp="false" diagonalDown="false">
      <left/>
      <right style="thick">
        <color rgb="FF303030"/>
      </right>
      <top style="thick">
        <color rgb="FF303030"/>
      </top>
      <bottom/>
      <diagonal/>
    </border>
    <border diagonalUp="false" diagonalDown="false">
      <left style="thick">
        <color rgb="FF303030"/>
      </left>
      <right/>
      <top/>
      <bottom/>
      <diagonal/>
    </border>
    <border diagonalUp="false" diagonalDown="false">
      <left/>
      <right style="thick">
        <color rgb="FF303030"/>
      </right>
      <top/>
      <bottom/>
      <diagonal/>
    </border>
    <border diagonalUp="false" diagonalDown="false">
      <left style="thick">
        <color rgb="FF303030"/>
      </left>
      <right style="thick">
        <color rgb="FF303030"/>
      </right>
      <top/>
      <bottom/>
      <diagonal/>
    </border>
    <border diagonalUp="false" diagonalDown="false">
      <left style="thick">
        <color rgb="FF303030"/>
      </left>
      <right style="thick">
        <color rgb="FF303030"/>
      </right>
      <top/>
      <bottom style="thick">
        <color rgb="FF303030"/>
      </bottom>
      <diagonal/>
    </border>
    <border diagonalUp="false" diagonalDown="false">
      <left style="medium">
        <color rgb="FF303030"/>
      </left>
      <right/>
      <top style="medium">
        <color rgb="FF303030"/>
      </top>
      <bottom/>
      <diagonal/>
    </border>
    <border diagonalUp="false" diagonalDown="false">
      <left/>
      <right style="medium">
        <color rgb="FF303030"/>
      </right>
      <top style="medium">
        <color rgb="FF303030"/>
      </top>
      <bottom/>
      <diagonal/>
    </border>
    <border diagonalUp="false" diagonalDown="false">
      <left style="medium">
        <color rgb="FF303030"/>
      </left>
      <right/>
      <top/>
      <bottom/>
      <diagonal/>
    </border>
    <border diagonalUp="false" diagonalDown="false">
      <left/>
      <right style="medium">
        <color rgb="FF303030"/>
      </right>
      <top/>
      <bottom/>
      <diagonal/>
    </border>
    <border diagonalUp="false" diagonalDown="false">
      <left style="medium">
        <color rgb="FF303030"/>
      </left>
      <right/>
      <top/>
      <bottom style="medium">
        <color rgb="FF303030"/>
      </bottom>
      <diagonal/>
    </border>
    <border diagonalUp="false" diagonalDown="false">
      <left/>
      <right style="medium">
        <color rgb="FF303030"/>
      </right>
      <top/>
      <bottom style="medium">
        <color rgb="FF303030"/>
      </bottom>
      <diagonal/>
    </border>
    <border diagonalUp="false" diagonalDown="false">
      <left style="thick">
        <color rgb="FF303030"/>
      </left>
      <right style="thick">
        <color rgb="FF303030"/>
      </right>
      <top style="thick">
        <color rgb="FF303030"/>
      </top>
      <bottom/>
      <diagonal/>
    </border>
    <border diagonalUp="false" diagonalDown="false">
      <left/>
      <right/>
      <top style="thick">
        <color rgb="FF303030"/>
      </top>
      <bottom/>
      <diagonal/>
    </border>
    <border diagonalUp="false" diagonalDown="false">
      <left style="thick">
        <color rgb="FF303030"/>
      </left>
      <right/>
      <top/>
      <bottom style="thick">
        <color rgb="FF303030"/>
      </bottom>
      <diagonal/>
    </border>
    <border diagonalUp="false" diagonalDown="false">
      <left/>
      <right/>
      <top/>
      <bottom style="thick">
        <color rgb="FF303030"/>
      </bottom>
      <diagonal/>
    </border>
    <border diagonalUp="false" diagonalDown="false">
      <left/>
      <right style="thick">
        <color rgb="FF303030"/>
      </right>
      <top/>
      <bottom style="thick">
        <color rgb="FF30303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false" applyProtection="false"/>
  </cellStyleXfs>
  <cellXfs count="2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3" fontId="2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2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1" fontId="1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12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2" fillId="3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6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12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2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2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3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2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9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9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29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29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1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6" fontId="1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2" fillId="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2">
    <dxf>
      <font>
        <name val="Arial"/>
        <family val="0"/>
        <b val="1"/>
        <i val="1"/>
        <strike val="1"/>
      </font>
      <fill>
        <patternFill>
          <bgColor rgb="FFFF0000"/>
        </patternFill>
      </fill>
    </dxf>
    <dxf>
      <font>
        <name val="Arial"/>
        <family val="0"/>
        <b val="1"/>
        <i val="1"/>
      </font>
      <fill>
        <patternFill>
          <bgColor rgb="FFFFCC00"/>
        </patternFill>
      </fill>
    </dxf>
    <dxf>
      <font>
        <name val="Arial"/>
        <family val="0"/>
      </font>
    </dxf>
    <dxf>
      <font>
        <name val="Arial"/>
        <family val="0"/>
        <b val="1"/>
        <i val="0"/>
        <color rgb="00FFFFFF"/>
      </font>
      <fill>
        <patternFill>
          <bgColor rgb="FFFF0000"/>
        </patternFill>
      </fill>
    </dxf>
    <dxf>
      <font>
        <name val="Arial"/>
        <family val="0"/>
        <b val="1"/>
        <i val="0"/>
        <strike val="1"/>
      </font>
      <fill>
        <patternFill>
          <bgColor rgb="FFFF0000"/>
        </patternFill>
      </fill>
      <border diagonalUp="false" diagonalDown="false">
        <left/>
        <right/>
        <top/>
        <bottom/>
        <diagonal/>
      </border>
    </dxf>
    <dxf>
      <font>
        <name val="Arial"/>
        <family val="0"/>
        <b val="1"/>
        <i val="0"/>
        <strike val="1"/>
        <color rgb="00FFFFFF"/>
      </font>
      <fill>
        <patternFill>
          <bgColor rgb="FFFF0000"/>
        </patternFill>
      </fill>
    </dxf>
    <dxf>
      <font>
        <name val="Arial"/>
        <family val="0"/>
        <b val="1"/>
        <i val="0"/>
        <strike val="1"/>
        <color rgb="FFFF0000"/>
      </font>
      <fill>
        <patternFill>
          <bgColor rgb="FFFFCC99"/>
        </patternFill>
      </fill>
    </dxf>
    <dxf>
      <font>
        <name val="Arial"/>
        <family val="0"/>
        <strike val="1"/>
      </font>
    </dxf>
    <dxf>
      <font>
        <name val="Arial"/>
        <family val="0"/>
        <strike val="1"/>
      </font>
    </dxf>
    <dxf>
      <font>
        <name val="Arial"/>
        <family val="0"/>
        <strike val="1"/>
      </font>
    </dxf>
    <dxf>
      <font>
        <name val="Arial"/>
        <family val="0"/>
        <strike val="1"/>
      </font>
    </dxf>
    <dxf>
      <font>
        <name val="Arial"/>
        <family val="0"/>
        <strike val="1"/>
      </font>
    </dxf>
    <dxf>
      <font>
        <name val="Arial"/>
        <family val="0"/>
        <strike val="1"/>
      </font>
    </dxf>
    <dxf>
      <font>
        <name val="Arial"/>
        <family val="0"/>
        <strike val="1"/>
      </font>
    </dxf>
    <dxf>
      <font>
        <name val="Arial"/>
        <family val="0"/>
        <strike val="1"/>
      </font>
    </dxf>
    <dxf>
      <font>
        <name val="Arial"/>
        <family val="0"/>
        <strike val="1"/>
      </font>
    </dxf>
    <dxf>
      <font>
        <name val="Arial"/>
        <family val="0"/>
        <strike val="1"/>
      </font>
    </dxf>
    <dxf>
      <font>
        <name val="Arial"/>
        <family val="0"/>
        <strike val="1"/>
      </font>
    </dxf>
    <dxf>
      <font>
        <name val="Arial"/>
        <family val="0"/>
        <strike val="1"/>
      </font>
    </dxf>
    <dxf>
      <font>
        <name val="Arial"/>
        <family val="0"/>
        <strike val="1"/>
      </font>
    </dxf>
    <dxf>
      <font>
        <name val="Arial"/>
        <family val="0"/>
        <strike val="1"/>
      </font>
    </dxf>
    <dxf>
      <font>
        <name val="Arial"/>
        <family val="0"/>
        <strike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latin typeface="Arial"/>
              </a:rPr>
              <a:t>FWD DETECTION (mV)  @  FREQUENCY (MHz)</a:t>
            </a:r>
          </a:p>
        </c:rich>
      </c:tx>
      <c:layout>
        <c:manualLayout>
          <c:xMode val="edge"/>
          <c:yMode val="edge"/>
          <c:x val="0.17595496009122"/>
          <c:y val="0.0342325071888265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521094640821"/>
          <c:y val="0.130357387375051"/>
          <c:w val="0.860889395667047"/>
          <c:h val="0.744899356428865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'F1FRV SWR BRIDGE'!$G$4:$G$15</c:f>
              <c:strCache>
                <c:ptCount val="12"/>
                <c:pt idx="0">
                  <c:v>1,8</c:v>
                </c:pt>
                <c:pt idx="1">
                  <c:v>3,5</c:v>
                </c:pt>
                <c:pt idx="2">
                  <c:v>5,0</c:v>
                </c:pt>
                <c:pt idx="3">
                  <c:v>7,0</c:v>
                </c:pt>
                <c:pt idx="4">
                  <c:v>10,0</c:v>
                </c:pt>
                <c:pt idx="5">
                  <c:v>14,0</c:v>
                </c:pt>
                <c:pt idx="6">
                  <c:v>18,0</c:v>
                </c:pt>
                <c:pt idx="7">
                  <c:v>21,0</c:v>
                </c:pt>
                <c:pt idx="8">
                  <c:v>24,9</c:v>
                </c:pt>
                <c:pt idx="9">
                  <c:v>28,0</c:v>
                </c:pt>
                <c:pt idx="10">
                  <c:v>30,0</c:v>
                </c:pt>
                <c:pt idx="11">
                  <c:v>50,0</c:v>
                </c:pt>
              </c:strCache>
            </c:strRef>
          </c:cat>
          <c:val>
            <c:numRef>
              <c:f>'F1FRV SWR BRIDGE'!$H$4:$H$15</c:f>
              <c:numCache>
                <c:formatCode>General</c:formatCode>
                <c:ptCount val="12"/>
                <c:pt idx="0">
                  <c:v>690</c:v>
                </c:pt>
                <c:pt idx="1">
                  <c:v>693</c:v>
                </c:pt>
                <c:pt idx="2">
                  <c:v>694</c:v>
                </c:pt>
                <c:pt idx="3">
                  <c:v>695</c:v>
                </c:pt>
                <c:pt idx="4">
                  <c:v>689</c:v>
                </c:pt>
                <c:pt idx="5">
                  <c:v>680</c:v>
                </c:pt>
                <c:pt idx="6">
                  <c:v>678</c:v>
                </c:pt>
                <c:pt idx="7">
                  <c:v>679</c:v>
                </c:pt>
                <c:pt idx="8">
                  <c:v>680</c:v>
                </c:pt>
                <c:pt idx="9">
                  <c:v>689</c:v>
                </c:pt>
                <c:pt idx="10">
                  <c:v>682</c:v>
                </c:pt>
                <c:pt idx="11">
                  <c:v>683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990519"/>
        <c:axId val="37917270"/>
      </c:lineChart>
      <c:catAx>
        <c:axId val="45990519"/>
        <c:scaling>
          <c:orientation val="minMax"/>
        </c:scaling>
        <c:delete val="0"/>
        <c:axPos val="b"/>
        <c:numFmt formatCode="0.0" sourceLinked="1"/>
        <c:majorTickMark val="cross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917270"/>
        <c:crosses val="autoZero"/>
        <c:auto val="1"/>
        <c:lblAlgn val="ctr"/>
        <c:lblOffset val="100"/>
        <c:noMultiLvlLbl val="0"/>
      </c:catAx>
      <c:valAx>
        <c:axId val="37917270"/>
        <c:scaling>
          <c:orientation val="minMax"/>
          <c:max val="1000"/>
        </c:scaling>
        <c:delete val="0"/>
        <c:axPos val="l"/>
        <c:numFmt formatCode="0" sourceLinked="1"/>
        <c:majorTickMark val="cross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990519"/>
        <c:crossesAt val="1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'DC voltages '!$B$1</c:f>
              <c:strCache>
                <c:ptCount val="1"/>
                <c:pt idx="0">
                  <c:v>Estimated forward rectified voltage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5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6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7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'DC voltages '!$A$2:$A$48</c:f>
              <c:strCache>
                <c:ptCount val="47"/>
                <c:pt idx="0">
                  <c:v>10W</c:v>
                </c:pt>
                <c:pt idx="1">
                  <c:v>20W</c:v>
                </c:pt>
                <c:pt idx="2">
                  <c:v>30W</c:v>
                </c:pt>
                <c:pt idx="3">
                  <c:v>50W</c:v>
                </c:pt>
                <c:pt idx="4">
                  <c:v>70W</c:v>
                </c:pt>
                <c:pt idx="5">
                  <c:v>90W</c:v>
                </c:pt>
                <c:pt idx="6">
                  <c:v>110W</c:v>
                </c:pt>
                <c:pt idx="7">
                  <c:v>150W</c:v>
                </c:pt>
                <c:pt idx="8">
                  <c:v>200W</c:v>
                </c:pt>
                <c:pt idx="9">
                  <c:v>250W</c:v>
                </c:pt>
                <c:pt idx="10">
                  <c:v>300W</c:v>
                </c:pt>
                <c:pt idx="11">
                  <c:v>350W</c:v>
                </c:pt>
                <c:pt idx="12">
                  <c:v>400W</c:v>
                </c:pt>
                <c:pt idx="13">
                  <c:v>450W</c:v>
                </c:pt>
                <c:pt idx="14">
                  <c:v>500W</c:v>
                </c:pt>
                <c:pt idx="15">
                  <c:v>550W</c:v>
                </c:pt>
                <c:pt idx="16">
                  <c:v>600W</c:v>
                </c:pt>
                <c:pt idx="17">
                  <c:v>650W</c:v>
                </c:pt>
                <c:pt idx="18">
                  <c:v>700W</c:v>
                </c:pt>
                <c:pt idx="19">
                  <c:v>750W</c:v>
                </c:pt>
                <c:pt idx="20">
                  <c:v>800W</c:v>
                </c:pt>
                <c:pt idx="21">
                  <c:v>850W</c:v>
                </c:pt>
                <c:pt idx="22">
                  <c:v>900W</c:v>
                </c:pt>
                <c:pt idx="23">
                  <c:v>950W</c:v>
                </c:pt>
                <c:pt idx="24">
                  <c:v>1000W</c:v>
                </c:pt>
                <c:pt idx="25">
                  <c:v>1050W</c:v>
                </c:pt>
                <c:pt idx="26">
                  <c:v>1100W</c:v>
                </c:pt>
                <c:pt idx="27">
                  <c:v>1150W</c:v>
                </c:pt>
                <c:pt idx="28">
                  <c:v>1200W</c:v>
                </c:pt>
                <c:pt idx="29">
                  <c:v>1250W</c:v>
                </c:pt>
                <c:pt idx="30">
                  <c:v>1300W</c:v>
                </c:pt>
                <c:pt idx="31">
                  <c:v>1350W</c:v>
                </c:pt>
                <c:pt idx="32">
                  <c:v>1400W</c:v>
                </c:pt>
                <c:pt idx="33">
                  <c:v>1450W</c:v>
                </c:pt>
                <c:pt idx="34">
                  <c:v>1500W</c:v>
                </c:pt>
                <c:pt idx="35">
                  <c:v>1550W</c:v>
                </c:pt>
                <c:pt idx="36">
                  <c:v>1600W</c:v>
                </c:pt>
                <c:pt idx="37">
                  <c:v>1650W</c:v>
                </c:pt>
                <c:pt idx="38">
                  <c:v>1700W</c:v>
                </c:pt>
                <c:pt idx="39">
                  <c:v>1750W</c:v>
                </c:pt>
                <c:pt idx="40">
                  <c:v>1800W</c:v>
                </c:pt>
                <c:pt idx="41">
                  <c:v>1850W</c:v>
                </c:pt>
                <c:pt idx="42">
                  <c:v>1900W</c:v>
                </c:pt>
                <c:pt idx="43">
                  <c:v>1950W</c:v>
                </c:pt>
                <c:pt idx="44">
                  <c:v>2000W</c:v>
                </c:pt>
                <c:pt idx="45">
                  <c:v>2250W</c:v>
                </c:pt>
                <c:pt idx="46">
                  <c:v>2500W</c:v>
                </c:pt>
              </c:strCache>
            </c:strRef>
          </c:cat>
          <c:val>
            <c:numRef>
              <c:f>'DC voltages '!$B$2:$B$48</c:f>
              <c:numCache>
                <c:formatCode>General</c:formatCode>
                <c:ptCount val="47"/>
                <c:pt idx="0">
                  <c:v>0.41</c:v>
                </c:pt>
                <c:pt idx="1">
                  <c:v>0.61</c:v>
                </c:pt>
                <c:pt idx="2">
                  <c:v>0.76</c:v>
                </c:pt>
                <c:pt idx="3">
                  <c:v>1.01</c:v>
                </c:pt>
                <c:pt idx="4">
                  <c:v>1.21</c:v>
                </c:pt>
                <c:pt idx="5">
                  <c:v>1.384</c:v>
                </c:pt>
                <c:pt idx="6">
                  <c:v>1.538</c:v>
                </c:pt>
                <c:pt idx="7">
                  <c:v>1.808</c:v>
                </c:pt>
                <c:pt idx="8">
                  <c:v>2.099</c:v>
                </c:pt>
                <c:pt idx="9">
                  <c:v>2.356</c:v>
                </c:pt>
                <c:pt idx="10">
                  <c:v>2.558</c:v>
                </c:pt>
                <c:pt idx="11">
                  <c:v>2.801</c:v>
                </c:pt>
                <c:pt idx="12">
                  <c:v>3</c:v>
                </c:pt>
                <c:pt idx="13">
                  <c:v>3.186</c:v>
                </c:pt>
                <c:pt idx="14">
                  <c:v>3.362</c:v>
                </c:pt>
                <c:pt idx="15">
                  <c:v>3.53</c:v>
                </c:pt>
                <c:pt idx="16">
                  <c:v>3.691</c:v>
                </c:pt>
                <c:pt idx="17">
                  <c:v>3.844</c:v>
                </c:pt>
                <c:pt idx="18">
                  <c:v>3.992</c:v>
                </c:pt>
                <c:pt idx="19">
                  <c:v>4.135</c:v>
                </c:pt>
                <c:pt idx="20">
                  <c:v>4.273</c:v>
                </c:pt>
                <c:pt idx="21">
                  <c:v>4.407</c:v>
                </c:pt>
                <c:pt idx="22">
                  <c:v>4.537</c:v>
                </c:pt>
                <c:pt idx="23">
                  <c:v>4.663</c:v>
                </c:pt>
                <c:pt idx="24">
                  <c:v>4.786</c:v>
                </c:pt>
                <c:pt idx="25">
                  <c:v>4.906</c:v>
                </c:pt>
                <c:pt idx="26">
                  <c:v>5.023</c:v>
                </c:pt>
                <c:pt idx="27">
                  <c:v>5.138</c:v>
                </c:pt>
                <c:pt idx="28">
                  <c:v>5.25</c:v>
                </c:pt>
                <c:pt idx="29">
                  <c:v>5.36</c:v>
                </c:pt>
                <c:pt idx="30">
                  <c:v>5.467</c:v>
                </c:pt>
                <c:pt idx="31">
                  <c:v>5.573</c:v>
                </c:pt>
                <c:pt idx="32">
                  <c:v>5.677</c:v>
                </c:pt>
                <c:pt idx="33">
                  <c:v>5.778</c:v>
                </c:pt>
                <c:pt idx="34">
                  <c:v>5.879</c:v>
                </c:pt>
                <c:pt idx="35">
                  <c:v>5.977</c:v>
                </c:pt>
                <c:pt idx="36">
                  <c:v>6.074</c:v>
                </c:pt>
                <c:pt idx="37">
                  <c:v>6.169</c:v>
                </c:pt>
                <c:pt idx="38">
                  <c:v>6.263</c:v>
                </c:pt>
                <c:pt idx="39">
                  <c:v>6.355</c:v>
                </c:pt>
                <c:pt idx="40">
                  <c:v>6.447</c:v>
                </c:pt>
                <c:pt idx="41">
                  <c:v>6.537</c:v>
                </c:pt>
                <c:pt idx="42">
                  <c:v>6.625</c:v>
                </c:pt>
                <c:pt idx="43">
                  <c:v>6.713</c:v>
                </c:pt>
                <c:pt idx="44">
                  <c:v>6.799</c:v>
                </c:pt>
                <c:pt idx="45">
                  <c:v>7.216</c:v>
                </c:pt>
                <c:pt idx="46">
                  <c:v>7.611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'DC voltages '!$C$1</c:f>
              <c:strCache>
                <c:ptCount val="1"/>
                <c:pt idx="0">
                  <c:v>Estimated reverse Dc voltage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'DC voltages '!$A$2:$A$48</c:f>
              <c:strCache>
                <c:ptCount val="47"/>
                <c:pt idx="0">
                  <c:v>10W</c:v>
                </c:pt>
                <c:pt idx="1">
                  <c:v>20W</c:v>
                </c:pt>
                <c:pt idx="2">
                  <c:v>30W</c:v>
                </c:pt>
                <c:pt idx="3">
                  <c:v>50W</c:v>
                </c:pt>
                <c:pt idx="4">
                  <c:v>70W</c:v>
                </c:pt>
                <c:pt idx="5">
                  <c:v>90W</c:v>
                </c:pt>
                <c:pt idx="6">
                  <c:v>110W</c:v>
                </c:pt>
                <c:pt idx="7">
                  <c:v>150W</c:v>
                </c:pt>
                <c:pt idx="8">
                  <c:v>200W</c:v>
                </c:pt>
                <c:pt idx="9">
                  <c:v>250W</c:v>
                </c:pt>
                <c:pt idx="10">
                  <c:v>300W</c:v>
                </c:pt>
                <c:pt idx="11">
                  <c:v>350W</c:v>
                </c:pt>
                <c:pt idx="12">
                  <c:v>400W</c:v>
                </c:pt>
                <c:pt idx="13">
                  <c:v>450W</c:v>
                </c:pt>
                <c:pt idx="14">
                  <c:v>500W</c:v>
                </c:pt>
                <c:pt idx="15">
                  <c:v>550W</c:v>
                </c:pt>
                <c:pt idx="16">
                  <c:v>600W</c:v>
                </c:pt>
                <c:pt idx="17">
                  <c:v>650W</c:v>
                </c:pt>
                <c:pt idx="18">
                  <c:v>700W</c:v>
                </c:pt>
                <c:pt idx="19">
                  <c:v>750W</c:v>
                </c:pt>
                <c:pt idx="20">
                  <c:v>800W</c:v>
                </c:pt>
                <c:pt idx="21">
                  <c:v>850W</c:v>
                </c:pt>
                <c:pt idx="22">
                  <c:v>900W</c:v>
                </c:pt>
                <c:pt idx="23">
                  <c:v>950W</c:v>
                </c:pt>
                <c:pt idx="24">
                  <c:v>1000W</c:v>
                </c:pt>
                <c:pt idx="25">
                  <c:v>1050W</c:v>
                </c:pt>
                <c:pt idx="26">
                  <c:v>1100W</c:v>
                </c:pt>
                <c:pt idx="27">
                  <c:v>1150W</c:v>
                </c:pt>
                <c:pt idx="28">
                  <c:v>1200W</c:v>
                </c:pt>
                <c:pt idx="29">
                  <c:v>1250W</c:v>
                </c:pt>
                <c:pt idx="30">
                  <c:v>1300W</c:v>
                </c:pt>
                <c:pt idx="31">
                  <c:v>1350W</c:v>
                </c:pt>
                <c:pt idx="32">
                  <c:v>1400W</c:v>
                </c:pt>
                <c:pt idx="33">
                  <c:v>1450W</c:v>
                </c:pt>
                <c:pt idx="34">
                  <c:v>1500W</c:v>
                </c:pt>
                <c:pt idx="35">
                  <c:v>1550W</c:v>
                </c:pt>
                <c:pt idx="36">
                  <c:v>1600W</c:v>
                </c:pt>
                <c:pt idx="37">
                  <c:v>1650W</c:v>
                </c:pt>
                <c:pt idx="38">
                  <c:v>1700W</c:v>
                </c:pt>
                <c:pt idx="39">
                  <c:v>1750W</c:v>
                </c:pt>
                <c:pt idx="40">
                  <c:v>1800W</c:v>
                </c:pt>
                <c:pt idx="41">
                  <c:v>1850W</c:v>
                </c:pt>
                <c:pt idx="42">
                  <c:v>1900W</c:v>
                </c:pt>
                <c:pt idx="43">
                  <c:v>1950W</c:v>
                </c:pt>
                <c:pt idx="44">
                  <c:v>2000W</c:v>
                </c:pt>
                <c:pt idx="45">
                  <c:v>2250W</c:v>
                </c:pt>
                <c:pt idx="46">
                  <c:v>2500W</c:v>
                </c:pt>
              </c:strCache>
            </c:strRef>
          </c:cat>
          <c:val>
            <c:numRef>
              <c:f>'DC voltages '!$C$2:$C$48</c:f>
              <c:numCache>
                <c:formatCode>General</c:formatCode>
                <c:ptCount val="47"/>
                <c:pt idx="0">
                  <c:v>0.32</c:v>
                </c:pt>
                <c:pt idx="1">
                  <c:v>0.48</c:v>
                </c:pt>
                <c:pt idx="2">
                  <c:v>0.61</c:v>
                </c:pt>
                <c:pt idx="3">
                  <c:v>0.81</c:v>
                </c:pt>
                <c:pt idx="4">
                  <c:v>0.97</c:v>
                </c:pt>
                <c:pt idx="5">
                  <c:v>1.119</c:v>
                </c:pt>
                <c:pt idx="6">
                  <c:v>1.244</c:v>
                </c:pt>
                <c:pt idx="7">
                  <c:v>1.466</c:v>
                </c:pt>
                <c:pt idx="8">
                  <c:v>1.704</c:v>
                </c:pt>
                <c:pt idx="9">
                  <c:v>1.914</c:v>
                </c:pt>
                <c:pt idx="10">
                  <c:v>2.104</c:v>
                </c:pt>
                <c:pt idx="11">
                  <c:v>2.278</c:v>
                </c:pt>
                <c:pt idx="12">
                  <c:v>2.441</c:v>
                </c:pt>
                <c:pt idx="13">
                  <c:v>2.593</c:v>
                </c:pt>
                <c:pt idx="14">
                  <c:v>2.738</c:v>
                </c:pt>
                <c:pt idx="15">
                  <c:v>2.875</c:v>
                </c:pt>
                <c:pt idx="16">
                  <c:v>3.006</c:v>
                </c:pt>
                <c:pt idx="17">
                  <c:v>3.132</c:v>
                </c:pt>
                <c:pt idx="18">
                  <c:v>3.253</c:v>
                </c:pt>
                <c:pt idx="19">
                  <c:v>3.37</c:v>
                </c:pt>
                <c:pt idx="20">
                  <c:v>3.483</c:v>
                </c:pt>
                <c:pt idx="21">
                  <c:v>3.592</c:v>
                </c:pt>
                <c:pt idx="22">
                  <c:v>3.698</c:v>
                </c:pt>
                <c:pt idx="23">
                  <c:v>3.802</c:v>
                </c:pt>
                <c:pt idx="24">
                  <c:v>3.902</c:v>
                </c:pt>
                <c:pt idx="25">
                  <c:v>4.001</c:v>
                </c:pt>
                <c:pt idx="26">
                  <c:v>4.096</c:v>
                </c:pt>
                <c:pt idx="27">
                  <c:v>4.19</c:v>
                </c:pt>
                <c:pt idx="28">
                  <c:v>4.282</c:v>
                </c:pt>
                <c:pt idx="29">
                  <c:v>4.372</c:v>
                </c:pt>
                <c:pt idx="30">
                  <c:v>4.46</c:v>
                </c:pt>
                <c:pt idx="31">
                  <c:v>4.546</c:v>
                </c:pt>
                <c:pt idx="32">
                  <c:v>4.631</c:v>
                </c:pt>
                <c:pt idx="33">
                  <c:v>4.714</c:v>
                </c:pt>
                <c:pt idx="34">
                  <c:v>4.796</c:v>
                </c:pt>
                <c:pt idx="35">
                  <c:v>4.877</c:v>
                </c:pt>
                <c:pt idx="36">
                  <c:v>4.956</c:v>
                </c:pt>
                <c:pt idx="37">
                  <c:v>5.034</c:v>
                </c:pt>
                <c:pt idx="38">
                  <c:v>5.111</c:v>
                </c:pt>
                <c:pt idx="39">
                  <c:v>5.186</c:v>
                </c:pt>
                <c:pt idx="40">
                  <c:v>5.261</c:v>
                </c:pt>
                <c:pt idx="41">
                  <c:v>5.335</c:v>
                </c:pt>
                <c:pt idx="42">
                  <c:v>5.407</c:v>
                </c:pt>
                <c:pt idx="43">
                  <c:v>5.479</c:v>
                </c:pt>
                <c:pt idx="44">
                  <c:v>5.55</c:v>
                </c:pt>
                <c:pt idx="45">
                  <c:v>5.891</c:v>
                </c:pt>
                <c:pt idx="46">
                  <c:v>6.213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991185"/>
        <c:axId val="20244296"/>
      </c:lineChart>
      <c:catAx>
        <c:axId val="989911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244296"/>
        <c:crosses val="autoZero"/>
        <c:auto val="1"/>
        <c:lblAlgn val="ctr"/>
        <c:lblOffset val="100"/>
        <c:noMultiLvlLbl val="0"/>
      </c:catAx>
      <c:valAx>
        <c:axId val="20244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9911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wmf"/><Relationship Id="rId2" Type="http://schemas.openxmlformats.org/officeDocument/2006/relationships/image" Target="../media/image10.wmf"/><Relationship Id="rId3" Type="http://schemas.openxmlformats.org/officeDocument/2006/relationships/image" Target="../media/image11.wmf"/><Relationship Id="rId4" Type="http://schemas.openxmlformats.org/officeDocument/2006/relationships/image" Target="../media/image12.wmf"/><Relationship Id="rId5" Type="http://schemas.openxmlformats.org/officeDocument/2006/relationships/image" Target="../media/image13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4.wmf"/><Relationship Id="rId3" Type="http://schemas.openxmlformats.org/officeDocument/2006/relationships/image" Target="../media/image15.jpeg"/><Relationship Id="rId4" Type="http://schemas.openxmlformats.org/officeDocument/2006/relationships/image" Target="../media/image1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312120</xdr:colOff>
      <xdr:row>66</xdr:row>
      <xdr:rowOff>128880</xdr:rowOff>
    </xdr:from>
    <xdr:to>
      <xdr:col>14</xdr:col>
      <xdr:colOff>137160</xdr:colOff>
      <xdr:row>82</xdr:row>
      <xdr:rowOff>155880</xdr:rowOff>
    </xdr:to>
    <xdr:pic>
      <xdr:nvPicPr>
        <xdr:cNvPr id="0" name="Image 11" descr=""/>
        <xdr:cNvPicPr/>
      </xdr:nvPicPr>
      <xdr:blipFill>
        <a:blip r:embed="rId1"/>
        <a:stretch/>
      </xdr:blipFill>
      <xdr:spPr>
        <a:xfrm>
          <a:off x="8271720" y="12408480"/>
          <a:ext cx="2941560" cy="3003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318240</xdr:colOff>
      <xdr:row>67</xdr:row>
      <xdr:rowOff>57600</xdr:rowOff>
    </xdr:from>
    <xdr:to>
      <xdr:col>9</xdr:col>
      <xdr:colOff>410040</xdr:colOff>
      <xdr:row>75</xdr:row>
      <xdr:rowOff>4320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5940360" y="12522960"/>
          <a:ext cx="1650240" cy="1435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123480</xdr:colOff>
      <xdr:row>47</xdr:row>
      <xdr:rowOff>114840</xdr:rowOff>
    </xdr:from>
    <xdr:to>
      <xdr:col>14</xdr:col>
      <xdr:colOff>247320</xdr:colOff>
      <xdr:row>66</xdr:row>
      <xdr:rowOff>116640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8083080" y="8859240"/>
          <a:ext cx="3240360" cy="353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50</xdr:row>
      <xdr:rowOff>51120</xdr:rowOff>
    </xdr:from>
    <xdr:to>
      <xdr:col>10</xdr:col>
      <xdr:colOff>169920</xdr:colOff>
      <xdr:row>66</xdr:row>
      <xdr:rowOff>185400</xdr:rowOff>
    </xdr:to>
    <xdr:pic>
      <xdr:nvPicPr>
        <xdr:cNvPr id="3" name="Picture 1" descr=""/>
        <xdr:cNvPicPr/>
      </xdr:nvPicPr>
      <xdr:blipFill>
        <a:blip r:embed="rId4"/>
        <a:stretch/>
      </xdr:blipFill>
      <xdr:spPr>
        <a:xfrm>
          <a:off x="4843080" y="9353520"/>
          <a:ext cx="3286440" cy="3111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357840</xdr:colOff>
      <xdr:row>75</xdr:row>
      <xdr:rowOff>10080</xdr:rowOff>
    </xdr:from>
    <xdr:to>
      <xdr:col>9</xdr:col>
      <xdr:colOff>442800</xdr:colOff>
      <xdr:row>79</xdr:row>
      <xdr:rowOff>52920</xdr:rowOff>
    </xdr:to>
    <xdr:pic>
      <xdr:nvPicPr>
        <xdr:cNvPr id="4" name="Picture 3" descr=""/>
        <xdr:cNvPicPr/>
      </xdr:nvPicPr>
      <xdr:blipFill>
        <a:blip r:embed="rId5"/>
        <a:stretch/>
      </xdr:blipFill>
      <xdr:spPr>
        <a:xfrm>
          <a:off x="4421520" y="13964040"/>
          <a:ext cx="3201840" cy="786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1440</xdr:colOff>
      <xdr:row>16</xdr:row>
      <xdr:rowOff>117720</xdr:rowOff>
    </xdr:from>
    <xdr:to>
      <xdr:col>11</xdr:col>
      <xdr:colOff>353520</xdr:colOff>
      <xdr:row>30</xdr:row>
      <xdr:rowOff>141840</xdr:rowOff>
    </xdr:to>
    <xdr:graphicFrame>
      <xdr:nvGraphicFramePr>
        <xdr:cNvPr id="5" name="Chart 14"/>
        <xdr:cNvGraphicFramePr/>
      </xdr:nvGraphicFramePr>
      <xdr:xfrm>
        <a:off x="8537400" y="3094560"/>
        <a:ext cx="505116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30</xdr:row>
      <xdr:rowOff>15120</xdr:rowOff>
    </xdr:from>
    <xdr:to>
      <xdr:col>4</xdr:col>
      <xdr:colOff>796320</xdr:colOff>
      <xdr:row>45</xdr:row>
      <xdr:rowOff>145440</xdr:rowOff>
    </xdr:to>
    <xdr:pic>
      <xdr:nvPicPr>
        <xdr:cNvPr id="6" name="Picture 145" descr=""/>
        <xdr:cNvPicPr/>
      </xdr:nvPicPr>
      <xdr:blipFill>
        <a:blip r:embed="rId2"/>
        <a:stretch/>
      </xdr:blipFill>
      <xdr:spPr>
        <a:xfrm>
          <a:off x="0" y="5596560"/>
          <a:ext cx="7245360" cy="2921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844560</xdr:colOff>
      <xdr:row>31</xdr:row>
      <xdr:rowOff>96120</xdr:rowOff>
    </xdr:from>
    <xdr:to>
      <xdr:col>6</xdr:col>
      <xdr:colOff>1103760</xdr:colOff>
      <xdr:row>45</xdr:row>
      <xdr:rowOff>159120</xdr:rowOff>
    </xdr:to>
    <xdr:pic>
      <xdr:nvPicPr>
        <xdr:cNvPr id="7" name="Picture 123" descr="Image1"/>
        <xdr:cNvPicPr/>
      </xdr:nvPicPr>
      <xdr:blipFill>
        <a:blip r:embed="rId3"/>
        <a:stretch/>
      </xdr:blipFill>
      <xdr:spPr>
        <a:xfrm>
          <a:off x="7293600" y="5863680"/>
          <a:ext cx="2346120" cy="266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302760</xdr:colOff>
      <xdr:row>31</xdr:row>
      <xdr:rowOff>58320</xdr:rowOff>
    </xdr:from>
    <xdr:to>
      <xdr:col>11</xdr:col>
      <xdr:colOff>353520</xdr:colOff>
      <xdr:row>45</xdr:row>
      <xdr:rowOff>114480</xdr:rowOff>
    </xdr:to>
    <xdr:pic>
      <xdr:nvPicPr>
        <xdr:cNvPr id="8" name="Picture 13" descr="10kw"/>
        <xdr:cNvPicPr/>
      </xdr:nvPicPr>
      <xdr:blipFill>
        <a:blip r:embed="rId4"/>
        <a:stretch/>
      </xdr:blipFill>
      <xdr:spPr>
        <a:xfrm>
          <a:off x="10337400" y="5825880"/>
          <a:ext cx="3251160" cy="2660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260280</xdr:colOff>
      <xdr:row>0</xdr:row>
      <xdr:rowOff>0</xdr:rowOff>
    </xdr:from>
    <xdr:to>
      <xdr:col>14</xdr:col>
      <xdr:colOff>457200</xdr:colOff>
      <xdr:row>43</xdr:row>
      <xdr:rowOff>55080</xdr:rowOff>
    </xdr:to>
    <xdr:graphicFrame>
      <xdr:nvGraphicFramePr>
        <xdr:cNvPr id="9" name=""/>
        <xdr:cNvGraphicFramePr/>
      </xdr:nvGraphicFramePr>
      <xdr:xfrm>
        <a:off x="7445880" y="0"/>
        <a:ext cx="10236240" cy="805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B9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95" activeCellId="0" sqref="A95"/>
    </sheetView>
  </sheetViews>
  <sheetFormatPr defaultColWidth="11.0546875" defaultRowHeight="14.65" zeroHeight="false" outlineLevelRow="0" outlineLevelCol="0"/>
  <cols>
    <col collapsed="false" customWidth="true" hidden="false" outlineLevel="0" max="1" min="1" style="0" width="13.43"/>
  </cols>
  <sheetData>
    <row r="1" customFormat="false" ht="14.65" hidden="false" customHeight="false" outlineLevel="0" collapsed="false">
      <c r="A1" s="1" t="s">
        <v>0</v>
      </c>
      <c r="B1" s="2" t="s">
        <v>1</v>
      </c>
    </row>
    <row r="2" customFormat="false" ht="14.65" hidden="false" customHeight="false" outlineLevel="0" collapsed="false">
      <c r="A2" s="0" t="s">
        <v>2</v>
      </c>
    </row>
    <row r="3" customFormat="false" ht="14.65" hidden="false" customHeight="false" outlineLevel="0" collapsed="false">
      <c r="A3" s="0" t="s">
        <v>3</v>
      </c>
    </row>
    <row r="4" customFormat="false" ht="14.65" hidden="false" customHeight="false" outlineLevel="0" collapsed="false">
      <c r="A4" s="0" t="s">
        <v>4</v>
      </c>
    </row>
    <row r="5" customFormat="false" ht="14.65" hidden="false" customHeight="false" outlineLevel="0" collapsed="false">
      <c r="A5" s="0" t="s">
        <v>5</v>
      </c>
    </row>
    <row r="6" customFormat="false" ht="14.65" hidden="false" customHeight="false" outlineLevel="0" collapsed="false">
      <c r="A6" s="0" t="s">
        <v>6</v>
      </c>
    </row>
    <row r="7" customFormat="false" ht="14.65" hidden="false" customHeight="false" outlineLevel="0" collapsed="false">
      <c r="A7" s="0" t="s">
        <v>7</v>
      </c>
    </row>
    <row r="9" customFormat="false" ht="14.65" hidden="false" customHeight="false" outlineLevel="0" collapsed="false">
      <c r="A9" s="1" t="s">
        <v>8</v>
      </c>
      <c r="B9" s="2" t="s">
        <v>9</v>
      </c>
    </row>
    <row r="10" customFormat="false" ht="14.65" hidden="false" customHeight="false" outlineLevel="0" collapsed="false">
      <c r="A10" s="0" t="s">
        <v>10</v>
      </c>
    </row>
    <row r="11" customFormat="false" ht="14.65" hidden="false" customHeight="false" outlineLevel="0" collapsed="false">
      <c r="A11" s="0" t="s">
        <v>11</v>
      </c>
    </row>
    <row r="13" customFormat="false" ht="14.65" hidden="false" customHeight="false" outlineLevel="0" collapsed="false">
      <c r="A13" s="1" t="s">
        <v>12</v>
      </c>
      <c r="B13" s="2" t="s">
        <v>13</v>
      </c>
    </row>
    <row r="14" customFormat="false" ht="14.65" hidden="false" customHeight="false" outlineLevel="0" collapsed="false">
      <c r="A14" s="0" t="s">
        <v>14</v>
      </c>
    </row>
    <row r="15" customFormat="false" ht="14.65" hidden="false" customHeight="false" outlineLevel="0" collapsed="false">
      <c r="A15" s="0" t="s">
        <v>15</v>
      </c>
    </row>
    <row r="17" customFormat="false" ht="14.65" hidden="false" customHeight="false" outlineLevel="0" collapsed="false">
      <c r="A17" s="1" t="s">
        <v>16</v>
      </c>
      <c r="B17" s="2" t="s">
        <v>17</v>
      </c>
    </row>
    <row r="18" customFormat="false" ht="14.65" hidden="false" customHeight="false" outlineLevel="0" collapsed="false">
      <c r="A18" s="0" t="s">
        <v>18</v>
      </c>
    </row>
    <row r="19" customFormat="false" ht="14.65" hidden="false" customHeight="false" outlineLevel="0" collapsed="false">
      <c r="A19" s="0" t="s">
        <v>19</v>
      </c>
    </row>
    <row r="21" customFormat="false" ht="14.65" hidden="false" customHeight="false" outlineLevel="0" collapsed="false">
      <c r="A21" s="1" t="s">
        <v>20</v>
      </c>
      <c r="B21" s="1" t="s">
        <v>21</v>
      </c>
    </row>
    <row r="22" customFormat="false" ht="14.65" hidden="false" customHeight="false" outlineLevel="0" collapsed="false">
      <c r="A22" s="0" t="s">
        <v>22</v>
      </c>
    </row>
    <row r="23" customFormat="false" ht="14.65" hidden="false" customHeight="false" outlineLevel="0" collapsed="false">
      <c r="A23" s="0" t="s">
        <v>23</v>
      </c>
    </row>
    <row r="24" customFormat="false" ht="14.65" hidden="false" customHeight="false" outlineLevel="0" collapsed="false">
      <c r="A24" s="0" t="s">
        <v>24</v>
      </c>
    </row>
    <row r="26" customFormat="false" ht="14.65" hidden="false" customHeight="false" outlineLevel="0" collapsed="false">
      <c r="A26" s="1" t="s">
        <v>25</v>
      </c>
      <c r="B26" s="1" t="s">
        <v>26</v>
      </c>
    </row>
    <row r="27" customFormat="false" ht="14.65" hidden="false" customHeight="false" outlineLevel="0" collapsed="false">
      <c r="A27" s="0" t="s">
        <v>27</v>
      </c>
    </row>
    <row r="28" customFormat="false" ht="14.65" hidden="false" customHeight="false" outlineLevel="0" collapsed="false">
      <c r="A28" s="0" t="s">
        <v>28</v>
      </c>
    </row>
    <row r="29" customFormat="false" ht="14.65" hidden="false" customHeight="false" outlineLevel="0" collapsed="false">
      <c r="A29" s="0" t="s">
        <v>29</v>
      </c>
    </row>
    <row r="31" customFormat="false" ht="14.65" hidden="false" customHeight="false" outlineLevel="0" collapsed="false">
      <c r="A31" s="1" t="s">
        <v>30</v>
      </c>
      <c r="B31" s="1" t="s">
        <v>31</v>
      </c>
    </row>
    <row r="32" customFormat="false" ht="14.65" hidden="false" customHeight="false" outlineLevel="0" collapsed="false">
      <c r="A32" s="0" t="s">
        <v>32</v>
      </c>
    </row>
    <row r="34" customFormat="false" ht="14.65" hidden="false" customHeight="false" outlineLevel="0" collapsed="false">
      <c r="A34" s="1" t="s">
        <v>33</v>
      </c>
      <c r="B34" s="1" t="s">
        <v>34</v>
      </c>
    </row>
    <row r="35" customFormat="false" ht="14.65" hidden="false" customHeight="false" outlineLevel="0" collapsed="false">
      <c r="A35" s="0" t="s">
        <v>35</v>
      </c>
    </row>
    <row r="36" customFormat="false" ht="14.65" hidden="false" customHeight="false" outlineLevel="0" collapsed="false">
      <c r="A36" s="0" t="s">
        <v>36</v>
      </c>
    </row>
    <row r="38" customFormat="false" ht="14.65" hidden="false" customHeight="false" outlineLevel="0" collapsed="false">
      <c r="A38" s="1" t="s">
        <v>37</v>
      </c>
      <c r="B38" s="1" t="s">
        <v>38</v>
      </c>
    </row>
    <row r="39" customFormat="false" ht="14.65" hidden="false" customHeight="false" outlineLevel="0" collapsed="false">
      <c r="A39" s="0" t="s">
        <v>39</v>
      </c>
    </row>
    <row r="40" customFormat="false" ht="14.65" hidden="false" customHeight="false" outlineLevel="0" collapsed="false">
      <c r="A40" s="0" t="s">
        <v>40</v>
      </c>
    </row>
    <row r="41" customFormat="false" ht="14.65" hidden="false" customHeight="false" outlineLevel="0" collapsed="false">
      <c r="A41" s="0" t="s">
        <v>41</v>
      </c>
    </row>
    <row r="42" customFormat="false" ht="14.65" hidden="false" customHeight="false" outlineLevel="0" collapsed="false">
      <c r="A42" s="0" t="s">
        <v>42</v>
      </c>
    </row>
    <row r="44" customFormat="false" ht="14.65" hidden="false" customHeight="false" outlineLevel="0" collapsed="false">
      <c r="A44" s="1" t="s">
        <v>43</v>
      </c>
      <c r="B44" s="1" t="s">
        <v>44</v>
      </c>
    </row>
    <row r="45" customFormat="false" ht="14.65" hidden="false" customHeight="false" outlineLevel="0" collapsed="false">
      <c r="A45" s="0" t="s">
        <v>45</v>
      </c>
    </row>
    <row r="47" customFormat="false" ht="14.65" hidden="false" customHeight="false" outlineLevel="0" collapsed="false">
      <c r="A47" s="1" t="s">
        <v>46</v>
      </c>
      <c r="B47" s="1" t="s">
        <v>47</v>
      </c>
    </row>
    <row r="48" customFormat="false" ht="14.65" hidden="false" customHeight="false" outlineLevel="0" collapsed="false">
      <c r="A48" s="0" t="s">
        <v>48</v>
      </c>
    </row>
    <row r="49" customFormat="false" ht="14.65" hidden="false" customHeight="false" outlineLevel="0" collapsed="false">
      <c r="A49" s="0" t="s">
        <v>49</v>
      </c>
    </row>
    <row r="51" customFormat="false" ht="14.65" hidden="false" customHeight="false" outlineLevel="0" collapsed="false">
      <c r="A51" s="1" t="s">
        <v>50</v>
      </c>
      <c r="B51" s="1" t="s">
        <v>51</v>
      </c>
    </row>
    <row r="52" customFormat="false" ht="14.65" hidden="false" customHeight="false" outlineLevel="0" collapsed="false">
      <c r="A52" s="0" t="s">
        <v>52</v>
      </c>
    </row>
    <row r="54" customFormat="false" ht="14.65" hidden="false" customHeight="false" outlineLevel="0" collapsed="false">
      <c r="A54" s="1" t="s">
        <v>53</v>
      </c>
      <c r="B54" s="1" t="s">
        <v>54</v>
      </c>
    </row>
    <row r="55" customFormat="false" ht="14.65" hidden="false" customHeight="false" outlineLevel="0" collapsed="false">
      <c r="A55" s="0" t="s">
        <v>55</v>
      </c>
    </row>
    <row r="57" customFormat="false" ht="14.65" hidden="false" customHeight="false" outlineLevel="0" collapsed="false">
      <c r="A57" s="1" t="s">
        <v>56</v>
      </c>
      <c r="B57" s="1" t="s">
        <v>57</v>
      </c>
    </row>
    <row r="58" customFormat="false" ht="14.65" hidden="false" customHeight="false" outlineLevel="0" collapsed="false">
      <c r="A58" s="0" t="s">
        <v>58</v>
      </c>
    </row>
    <row r="59" customFormat="false" ht="14.65" hidden="false" customHeight="false" outlineLevel="0" collapsed="false">
      <c r="A59" s="0" t="s">
        <v>59</v>
      </c>
    </row>
    <row r="61" customFormat="false" ht="14.65" hidden="false" customHeight="false" outlineLevel="0" collapsed="false">
      <c r="A61" s="1" t="s">
        <v>60</v>
      </c>
      <c r="B61" s="1" t="s">
        <v>61</v>
      </c>
    </row>
    <row r="62" customFormat="false" ht="14.65" hidden="false" customHeight="false" outlineLevel="0" collapsed="false">
      <c r="A62" s="0" t="s">
        <v>62</v>
      </c>
    </row>
    <row r="64" customFormat="false" ht="14.65" hidden="false" customHeight="false" outlineLevel="0" collapsed="false">
      <c r="A64" s="1" t="s">
        <v>63</v>
      </c>
      <c r="B64" s="1" t="s">
        <v>64</v>
      </c>
    </row>
    <row r="65" customFormat="false" ht="14.65" hidden="false" customHeight="false" outlineLevel="0" collapsed="false">
      <c r="A65" s="0" t="s">
        <v>65</v>
      </c>
    </row>
    <row r="67" customFormat="false" ht="14.65" hidden="false" customHeight="false" outlineLevel="0" collapsed="false">
      <c r="A67" s="1" t="s">
        <v>66</v>
      </c>
      <c r="B67" s="1" t="s">
        <v>67</v>
      </c>
    </row>
    <row r="68" customFormat="false" ht="14.65" hidden="false" customHeight="false" outlineLevel="0" collapsed="false">
      <c r="A68" s="0" t="s">
        <v>68</v>
      </c>
    </row>
    <row r="70" customFormat="false" ht="14.65" hidden="false" customHeight="false" outlineLevel="0" collapsed="false">
      <c r="A70" s="1" t="s">
        <v>69</v>
      </c>
      <c r="B70" s="1" t="s">
        <v>70</v>
      </c>
    </row>
    <row r="71" customFormat="false" ht="14.65" hidden="false" customHeight="false" outlineLevel="0" collapsed="false">
      <c r="A71" s="0" t="s">
        <v>71</v>
      </c>
    </row>
    <row r="73" customFormat="false" ht="14.65" hidden="false" customHeight="false" outlineLevel="0" collapsed="false">
      <c r="A73" s="1" t="s">
        <v>72</v>
      </c>
      <c r="B73" s="1" t="s">
        <v>73</v>
      </c>
    </row>
    <row r="74" customFormat="false" ht="14.65" hidden="false" customHeight="false" outlineLevel="0" collapsed="false">
      <c r="A74" s="0" t="s">
        <v>74</v>
      </c>
    </row>
    <row r="76" customFormat="false" ht="14.65" hidden="false" customHeight="false" outlineLevel="0" collapsed="false">
      <c r="A76" s="1" t="s">
        <v>75</v>
      </c>
      <c r="B76" s="1" t="s">
        <v>76</v>
      </c>
    </row>
    <row r="77" customFormat="false" ht="14.65" hidden="false" customHeight="false" outlineLevel="0" collapsed="false">
      <c r="A77" s="0" t="s">
        <v>77</v>
      </c>
    </row>
    <row r="79" customFormat="false" ht="14.65" hidden="false" customHeight="false" outlineLevel="0" collapsed="false">
      <c r="A79" s="1" t="s">
        <v>78</v>
      </c>
      <c r="B79" s="1" t="s">
        <v>79</v>
      </c>
    </row>
    <row r="80" customFormat="false" ht="14.65" hidden="false" customHeight="false" outlineLevel="0" collapsed="false">
      <c r="A80" s="0" t="s">
        <v>80</v>
      </c>
    </row>
    <row r="81" customFormat="false" ht="14.65" hidden="false" customHeight="false" outlineLevel="0" collapsed="false">
      <c r="A81" s="0" t="s">
        <v>81</v>
      </c>
    </row>
    <row r="82" customFormat="false" ht="14.65" hidden="false" customHeight="false" outlineLevel="0" collapsed="false">
      <c r="A82" s="0" t="s">
        <v>82</v>
      </c>
    </row>
    <row r="83" customFormat="false" ht="14.65" hidden="false" customHeight="false" outlineLevel="0" collapsed="false">
      <c r="A83" s="0" t="s">
        <v>83</v>
      </c>
    </row>
    <row r="85" customFormat="false" ht="14.65" hidden="false" customHeight="false" outlineLevel="0" collapsed="false">
      <c r="A85" s="0" t="s">
        <v>84</v>
      </c>
    </row>
    <row r="86" customFormat="false" ht="14.65" hidden="false" customHeight="false" outlineLevel="0" collapsed="false">
      <c r="A86" s="0" t="s">
        <v>85</v>
      </c>
    </row>
    <row r="88" customFormat="false" ht="14.65" hidden="false" customHeight="false" outlineLevel="0" collapsed="false">
      <c r="A88" s="1" t="s">
        <v>86</v>
      </c>
      <c r="B88" s="1" t="s">
        <v>87</v>
      </c>
    </row>
    <row r="89" customFormat="false" ht="14.65" hidden="false" customHeight="false" outlineLevel="0" collapsed="false">
      <c r="A89" s="0" t="s">
        <v>88</v>
      </c>
    </row>
    <row r="90" customFormat="false" ht="14.65" hidden="false" customHeight="false" outlineLevel="0" collapsed="false">
      <c r="A90" s="0" t="s">
        <v>89</v>
      </c>
    </row>
    <row r="91" customFormat="false" ht="14.65" hidden="false" customHeight="false" outlineLevel="0" collapsed="false">
      <c r="A91" s="0" t="s">
        <v>90</v>
      </c>
    </row>
    <row r="92" customFormat="false" ht="14.65" hidden="false" customHeight="false" outlineLevel="0" collapsed="false">
      <c r="A92" s="0" t="s">
        <v>91</v>
      </c>
    </row>
    <row r="93" customFormat="false" ht="14.65" hidden="false" customHeight="false" outlineLevel="0" collapsed="false">
      <c r="A93" s="0" t="s">
        <v>92</v>
      </c>
    </row>
    <row r="95" customFormat="false" ht="14.65" hidden="false" customHeight="false" outlineLevel="0" collapsed="false">
      <c r="A95" s="1" t="s">
        <v>93</v>
      </c>
      <c r="B95" s="1" t="s">
        <v>94</v>
      </c>
    </row>
    <row r="96" customFormat="false" ht="14.65" hidden="false" customHeight="false" outlineLevel="0" collapsed="false">
      <c r="A96" s="3" t="s">
        <v>95</v>
      </c>
    </row>
  </sheetData>
  <sheetProtection sheet="true" objects="true" scenarios="true" insertColumns="false" insertRows="false" deleteColumns="false" deleteRows="false"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true"/>
  </sheetPr>
  <dimension ref="A1:B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4453125" defaultRowHeight="14.65" zeroHeight="false" outlineLevelRow="0" outlineLevelCol="0"/>
  <cols>
    <col collapsed="false" customWidth="true" hidden="false" outlineLevel="0" max="1" min="1" style="0" width="52.93"/>
    <col collapsed="false" customWidth="true" hidden="false" outlineLevel="0" max="2" min="2" style="4" width="13.52"/>
    <col collapsed="false" customWidth="true" hidden="false" outlineLevel="0" max="3" min="3" style="5" width="3.53"/>
    <col collapsed="false" customWidth="true" hidden="false" outlineLevel="0" max="4" min="4" style="0" width="21.42"/>
    <col collapsed="false" customWidth="true" hidden="false" outlineLevel="0" max="5" min="5" style="6" width="28.05"/>
    <col collapsed="false" customWidth="true" hidden="false" outlineLevel="0" max="6" min="6" style="6" width="1.53"/>
    <col collapsed="false" customWidth="true" hidden="false" outlineLevel="0" max="7" min="7" style="6" width="21.24"/>
    <col collapsed="false" customWidth="true" hidden="false" outlineLevel="0" max="8" min="8" style="6" width="17.15"/>
    <col collapsed="false" customWidth="true" hidden="false" outlineLevel="0" max="9" min="9" style="6" width="4.26"/>
    <col collapsed="false" customWidth="true" hidden="false" outlineLevel="0" max="10" min="10" style="6" width="18.51"/>
    <col collapsed="false" customWidth="true" hidden="false" outlineLevel="0" max="11" min="11" style="6" width="5.43"/>
    <col collapsed="false" customWidth="true" hidden="false" outlineLevel="0" max="12" min="12" style="6" width="6.43"/>
    <col collapsed="false" customWidth="false" hidden="false" outlineLevel="0" max="13" min="13" style="7" width="11.43"/>
    <col collapsed="false" customWidth="false" hidden="true" outlineLevel="0" max="15" min="14" style="8" width="11.43"/>
    <col collapsed="false" customWidth="false" hidden="false" outlineLevel="0" max="16" min="16" style="9" width="11.43"/>
    <col collapsed="false" customWidth="false" hidden="false" outlineLevel="0" max="17" min="17" style="10" width="11.43"/>
    <col collapsed="false" customWidth="false" hidden="false" outlineLevel="0" max="18" min="18" style="11" width="11.43"/>
    <col collapsed="false" customWidth="false" hidden="false" outlineLevel="0" max="64" min="19" style="6" width="11.43"/>
  </cols>
  <sheetData>
    <row r="1" customFormat="false" ht="14.65" hidden="false" customHeight="false" outlineLevel="0" collapsed="false">
      <c r="A1" s="12" t="s">
        <v>96</v>
      </c>
      <c r="B1" s="13"/>
      <c r="C1" s="14"/>
      <c r="D1" s="15" t="s">
        <v>97</v>
      </c>
      <c r="E1" s="16"/>
      <c r="F1" s="16"/>
      <c r="G1" s="17" t="s">
        <v>98</v>
      </c>
      <c r="H1" s="18"/>
    </row>
    <row r="2" customFormat="false" ht="14.65" hidden="false" customHeight="false" outlineLevel="0" collapsed="false">
      <c r="A2" s="12"/>
      <c r="B2" s="19"/>
      <c r="C2" s="20"/>
      <c r="D2" s="21" t="s">
        <v>99</v>
      </c>
      <c r="E2" s="16"/>
      <c r="F2" s="16"/>
      <c r="G2" s="22" t="s">
        <v>100</v>
      </c>
      <c r="H2" s="23"/>
      <c r="I2" s="23"/>
      <c r="J2" s="23"/>
      <c r="K2" s="24" t="s">
        <v>101</v>
      </c>
    </row>
    <row r="3" customFormat="false" ht="14.65" hidden="false" customHeight="false" outlineLevel="0" collapsed="false">
      <c r="A3" s="25" t="s">
        <v>102</v>
      </c>
      <c r="B3" s="26" t="n">
        <v>50</v>
      </c>
      <c r="C3" s="27"/>
      <c r="D3" s="28"/>
      <c r="E3" s="28"/>
      <c r="F3" s="16"/>
      <c r="G3" s="29" t="s">
        <v>103</v>
      </c>
      <c r="H3" s="30" t="s">
        <v>104</v>
      </c>
      <c r="I3" s="23"/>
      <c r="J3" s="30" t="s">
        <v>105</v>
      </c>
      <c r="K3" s="23"/>
      <c r="L3" s="23"/>
      <c r="M3" s="31"/>
      <c r="P3" s="8"/>
      <c r="Q3" s="32"/>
      <c r="R3" s="3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</row>
    <row r="4" customFormat="false" ht="14.65" hidden="false" customHeight="false" outlineLevel="0" collapsed="false">
      <c r="A4" s="25" t="s">
        <v>106</v>
      </c>
      <c r="B4" s="34" t="n">
        <v>2250</v>
      </c>
      <c r="C4" s="27"/>
      <c r="D4" s="28"/>
      <c r="E4" s="28"/>
      <c r="F4" s="35"/>
      <c r="G4" s="29" t="n">
        <v>1.8</v>
      </c>
      <c r="H4" s="36" t="n">
        <v>690</v>
      </c>
      <c r="I4" s="37" t="s">
        <v>107</v>
      </c>
      <c r="J4" s="38" t="n">
        <v>0.1</v>
      </c>
      <c r="K4" s="37" t="s">
        <v>107</v>
      </c>
      <c r="L4" s="23"/>
      <c r="M4" s="31"/>
      <c r="N4" s="39" t="s">
        <v>108</v>
      </c>
      <c r="O4" s="8" t="n">
        <v>480</v>
      </c>
      <c r="P4" s="8"/>
      <c r="Q4" s="32"/>
      <c r="R4" s="3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</row>
    <row r="5" customFormat="false" ht="14.65" hidden="false" customHeight="false" outlineLevel="0" collapsed="false">
      <c r="A5" s="40" t="s">
        <v>109</v>
      </c>
      <c r="B5" s="41" t="n">
        <v>10</v>
      </c>
      <c r="C5" s="42"/>
      <c r="D5" s="28"/>
      <c r="E5" s="28"/>
      <c r="F5" s="43"/>
      <c r="G5" s="29" t="n">
        <v>3.5</v>
      </c>
      <c r="H5" s="36" t="n">
        <v>693</v>
      </c>
      <c r="I5" s="37" t="s">
        <v>107</v>
      </c>
      <c r="J5" s="38" t="n">
        <v>0.1</v>
      </c>
      <c r="K5" s="37" t="s">
        <v>107</v>
      </c>
      <c r="L5" s="23"/>
      <c r="M5" s="31"/>
      <c r="N5" s="39" t="s">
        <v>110</v>
      </c>
      <c r="O5" s="8" t="n">
        <v>470</v>
      </c>
      <c r="P5" s="14"/>
      <c r="Q5" s="44"/>
      <c r="R5" s="3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</row>
    <row r="6" customFormat="false" ht="14.65" hidden="false" customHeight="false" outlineLevel="0" collapsed="false">
      <c r="A6" s="25" t="s">
        <v>111</v>
      </c>
      <c r="B6" s="41" t="s">
        <v>112</v>
      </c>
      <c r="C6" s="45" t="s">
        <v>113</v>
      </c>
      <c r="D6" s="46" t="s">
        <v>114</v>
      </c>
      <c r="E6" s="46"/>
      <c r="F6" s="47"/>
      <c r="G6" s="29" t="n">
        <v>5</v>
      </c>
      <c r="H6" s="36" t="n">
        <v>694</v>
      </c>
      <c r="I6" s="37" t="s">
        <v>107</v>
      </c>
      <c r="J6" s="38" t="n">
        <v>0.1</v>
      </c>
      <c r="K6" s="37" t="s">
        <v>107</v>
      </c>
      <c r="L6" s="48"/>
      <c r="M6" s="31"/>
      <c r="N6" s="39" t="s">
        <v>115</v>
      </c>
      <c r="O6" s="8" t="n">
        <v>510</v>
      </c>
      <c r="R6" s="49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</row>
    <row r="7" customFormat="false" ht="14.65" hidden="false" customHeight="false" outlineLevel="0" collapsed="false">
      <c r="A7" s="50" t="s">
        <v>116</v>
      </c>
      <c r="B7" s="51" t="n">
        <f aca="false">IF(E7&gt;1,"True AL",IF(B6=N4,O4)+IF(B6=N5,O5)+IF(B6=N6,O6)+IF(B6=N7,O7)+IF(B6=N8,O8)+IF(B6=N9,O9)+IF(B6=N10,O10)+IF(B6=N11,O11)+IF(B6=N12,O12)+IF(B6=N13,O13)+IF(B6=N14,O14)+IF(B6=N15,O15)+IF(B6=N16,O16)+IF(B6=N17,O17)+IF(B6=N18,O18))</f>
        <v>885</v>
      </c>
      <c r="C7" s="45" t="s">
        <v>113</v>
      </c>
      <c r="D7" s="52" t="s">
        <v>117</v>
      </c>
      <c r="E7" s="53"/>
      <c r="F7" s="54"/>
      <c r="G7" s="29" t="n">
        <v>7</v>
      </c>
      <c r="H7" s="36" t="n">
        <v>695</v>
      </c>
      <c r="I7" s="37" t="s">
        <v>107</v>
      </c>
      <c r="J7" s="38" t="n">
        <v>0.1</v>
      </c>
      <c r="K7" s="37" t="s">
        <v>107</v>
      </c>
      <c r="L7" s="55"/>
      <c r="M7" s="31"/>
      <c r="N7" s="56" t="s">
        <v>112</v>
      </c>
      <c r="O7" s="8" t="n">
        <v>885</v>
      </c>
      <c r="P7" s="57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</row>
    <row r="8" customFormat="false" ht="14.65" hidden="false" customHeight="false" outlineLevel="0" collapsed="false">
      <c r="A8" s="58" t="s">
        <v>118</v>
      </c>
      <c r="B8" s="59" t="n">
        <v>8</v>
      </c>
      <c r="C8" s="45"/>
      <c r="D8" s="60" t="s">
        <v>119</v>
      </c>
      <c r="E8" s="61"/>
      <c r="F8" s="61"/>
      <c r="G8" s="29" t="n">
        <v>10</v>
      </c>
      <c r="H8" s="36" t="n">
        <v>689</v>
      </c>
      <c r="I8" s="37" t="s">
        <v>107</v>
      </c>
      <c r="J8" s="38" t="n">
        <v>0.1</v>
      </c>
      <c r="K8" s="37" t="s">
        <v>107</v>
      </c>
      <c r="L8" s="31"/>
      <c r="M8" s="31"/>
      <c r="N8" s="62" t="s">
        <v>120</v>
      </c>
      <c r="O8" s="8" t="n">
        <v>1075</v>
      </c>
      <c r="P8" s="63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</row>
    <row r="9" customFormat="false" ht="14.65" hidden="false" customHeight="false" outlineLevel="0" collapsed="false">
      <c r="A9" s="64" t="s">
        <v>121</v>
      </c>
      <c r="B9" s="65" t="n">
        <f aca="false">IF(ISBLANK(E7),(((B7*(B8^2))/1000)*0.99),(((E7*(B8^2))/1000)*0.99))</f>
        <v>56.0736</v>
      </c>
      <c r="C9" s="66"/>
      <c r="D9" s="67" t="s">
        <v>122</v>
      </c>
      <c r="E9" s="68"/>
      <c r="F9" s="69"/>
      <c r="G9" s="29" t="n">
        <v>14</v>
      </c>
      <c r="H9" s="36" t="n">
        <v>680</v>
      </c>
      <c r="I9" s="37" t="s">
        <v>107</v>
      </c>
      <c r="J9" s="38" t="n">
        <v>0.1</v>
      </c>
      <c r="K9" s="37" t="s">
        <v>107</v>
      </c>
      <c r="M9" s="31"/>
      <c r="N9" s="39" t="s">
        <v>123</v>
      </c>
      <c r="O9" s="8" t="n">
        <v>69</v>
      </c>
      <c r="P9" s="63"/>
      <c r="Q9" s="6"/>
      <c r="R9" s="6"/>
    </row>
    <row r="10" customFormat="false" ht="14.65" hidden="false" customHeight="false" outlineLevel="0" collapsed="false">
      <c r="A10" s="25" t="s">
        <v>124</v>
      </c>
      <c r="B10" s="70" t="n">
        <v>1.8</v>
      </c>
      <c r="C10" s="71"/>
      <c r="D10" s="67" t="s">
        <v>125</v>
      </c>
      <c r="E10" s="72"/>
      <c r="F10" s="73"/>
      <c r="G10" s="29" t="n">
        <v>18</v>
      </c>
      <c r="H10" s="36" t="n">
        <v>678</v>
      </c>
      <c r="I10" s="37" t="s">
        <v>107</v>
      </c>
      <c r="J10" s="38" t="n">
        <v>0.1</v>
      </c>
      <c r="K10" s="37" t="s">
        <v>107</v>
      </c>
      <c r="L10" s="74"/>
      <c r="M10" s="31"/>
      <c r="N10" s="39" t="s">
        <v>126</v>
      </c>
      <c r="O10" s="8" t="n">
        <v>75</v>
      </c>
      <c r="P10" s="63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</row>
    <row r="11" customFormat="false" ht="14.65" hidden="false" customHeight="false" outlineLevel="0" collapsed="false">
      <c r="A11" s="75" t="s">
        <v>127</v>
      </c>
      <c r="B11" s="66" t="n">
        <f aca="false">(2*PI()*B10*B9)/B12</f>
        <v>126.83549507064</v>
      </c>
      <c r="C11" s="76" t="s">
        <v>113</v>
      </c>
      <c r="D11" s="77" t="s">
        <v>128</v>
      </c>
      <c r="E11" s="78"/>
      <c r="F11" s="16"/>
      <c r="G11" s="29" t="n">
        <v>21</v>
      </c>
      <c r="H11" s="36" t="n">
        <v>679</v>
      </c>
      <c r="I11" s="37" t="s">
        <v>107</v>
      </c>
      <c r="J11" s="38" t="n">
        <v>0.1</v>
      </c>
      <c r="K11" s="37" t="s">
        <v>107</v>
      </c>
      <c r="L11" s="79"/>
      <c r="M11" s="31"/>
      <c r="N11" s="39" t="s">
        <v>129</v>
      </c>
      <c r="O11" s="8" t="n">
        <v>80</v>
      </c>
      <c r="P11" s="63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</row>
    <row r="12" customFormat="false" ht="14.65" hidden="false" customHeight="false" outlineLevel="0" collapsed="false">
      <c r="A12" s="80" t="s">
        <v>130</v>
      </c>
      <c r="B12" s="81" t="n">
        <v>5</v>
      </c>
      <c r="C12" s="82"/>
      <c r="D12" s="77" t="s">
        <v>131</v>
      </c>
      <c r="E12" s="83"/>
      <c r="F12" s="84"/>
      <c r="G12" s="29" t="n">
        <v>24.9</v>
      </c>
      <c r="H12" s="36" t="n">
        <v>680</v>
      </c>
      <c r="I12" s="37" t="s">
        <v>107</v>
      </c>
      <c r="J12" s="38" t="n">
        <v>0.1</v>
      </c>
      <c r="K12" s="37" t="s">
        <v>107</v>
      </c>
      <c r="L12" s="37"/>
      <c r="M12" s="31"/>
      <c r="N12" s="56" t="s">
        <v>132</v>
      </c>
      <c r="O12" s="8" t="n">
        <v>140</v>
      </c>
      <c r="P12" s="63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</row>
    <row r="13" customFormat="false" ht="14.65" hidden="false" customHeight="false" outlineLevel="0" collapsed="false">
      <c r="A13" s="85" t="s">
        <v>133</v>
      </c>
      <c r="B13" s="86" t="n">
        <f aca="false">((B5*B15)/B12)^0.5</f>
        <v>3.74971684293045</v>
      </c>
      <c r="C13" s="87" t="s">
        <v>113</v>
      </c>
      <c r="D13" s="88" t="s">
        <v>134</v>
      </c>
      <c r="E13" s="89" t="n">
        <f aca="false">CEILING(B13/3,0.01)</f>
        <v>1.25</v>
      </c>
      <c r="F13" s="84"/>
      <c r="G13" s="29" t="n">
        <v>28</v>
      </c>
      <c r="H13" s="36" t="n">
        <v>689</v>
      </c>
      <c r="I13" s="37" t="s">
        <v>107</v>
      </c>
      <c r="J13" s="38" t="n">
        <v>0.1</v>
      </c>
      <c r="K13" s="37" t="s">
        <v>107</v>
      </c>
      <c r="L13" s="37"/>
      <c r="M13" s="31"/>
      <c r="N13" s="62" t="s">
        <v>135</v>
      </c>
      <c r="O13" s="8" t="n">
        <v>170</v>
      </c>
      <c r="P13" s="63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</row>
    <row r="14" customFormat="false" ht="14.65" hidden="false" customHeight="false" outlineLevel="0" collapsed="false">
      <c r="A14" s="28" t="s">
        <v>136</v>
      </c>
      <c r="B14" s="90" t="n">
        <f aca="false">20*LOG10(((1*B3*B8)/B12)*2*(2^0.5))</f>
        <v>47.0926996097583</v>
      </c>
      <c r="C14" s="82"/>
      <c r="D14" s="88" t="s">
        <v>137</v>
      </c>
      <c r="E14" s="89" t="n">
        <f aca="false">CEILING(SQRT(E13/3.14)*2,0.01)</f>
        <v>1.27</v>
      </c>
      <c r="F14" s="91"/>
      <c r="G14" s="92" t="n">
        <v>30</v>
      </c>
      <c r="H14" s="36" t="n">
        <v>682</v>
      </c>
      <c r="I14" s="37" t="s">
        <v>107</v>
      </c>
      <c r="J14" s="38" t="n">
        <v>0.1</v>
      </c>
      <c r="K14" s="37" t="s">
        <v>107</v>
      </c>
      <c r="L14" s="93"/>
      <c r="M14" s="94"/>
      <c r="N14" s="8" t="s">
        <v>138</v>
      </c>
      <c r="O14" s="8" t="n">
        <v>4.9</v>
      </c>
      <c r="P14" s="6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</row>
    <row r="15" customFormat="false" ht="14.65" hidden="false" customHeight="false" outlineLevel="0" collapsed="false">
      <c r="A15" s="85" t="s">
        <v>139</v>
      </c>
      <c r="B15" s="87" t="n">
        <f aca="false">((0.1*B4/(10^(B14/20)))*B5)*0.707</f>
        <v>7.03018820107814</v>
      </c>
      <c r="C15" s="95" t="s">
        <v>113</v>
      </c>
      <c r="D15" s="96" t="s">
        <v>140</v>
      </c>
      <c r="E15" s="97" t="n">
        <f aca="false">$B$5</f>
        <v>10</v>
      </c>
      <c r="F15" s="84"/>
      <c r="G15" s="92" t="n">
        <v>50</v>
      </c>
      <c r="H15" s="36" t="n">
        <v>683</v>
      </c>
      <c r="I15" s="37" t="s">
        <v>107</v>
      </c>
      <c r="J15" s="38" t="n">
        <v>0.1</v>
      </c>
      <c r="K15" s="37" t="s">
        <v>107</v>
      </c>
      <c r="L15" s="98"/>
      <c r="M15" s="99"/>
      <c r="N15" s="8" t="s">
        <v>138</v>
      </c>
      <c r="O15" s="8" t="n">
        <v>5.5</v>
      </c>
      <c r="P15" s="63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</row>
    <row r="16" customFormat="false" ht="14.65" hidden="false" customHeight="false" outlineLevel="0" collapsed="false">
      <c r="A16" s="25" t="s">
        <v>141</v>
      </c>
      <c r="B16" s="100" t="n">
        <v>0.96</v>
      </c>
      <c r="C16" s="45" t="s">
        <v>113</v>
      </c>
      <c r="D16" s="101" t="s">
        <v>142</v>
      </c>
      <c r="E16" s="102" t="s">
        <v>143</v>
      </c>
      <c r="F16" s="84"/>
      <c r="G16" s="103" t="s">
        <v>144</v>
      </c>
      <c r="H16" s="104" t="n">
        <f aca="false">AVERAGE(H4:H15)</f>
        <v>686</v>
      </c>
      <c r="I16" s="105" t="s">
        <v>107</v>
      </c>
      <c r="J16" s="106" t="n">
        <f aca="false">AVERAGE(J4:J15)</f>
        <v>0.1</v>
      </c>
      <c r="K16" s="105" t="s">
        <v>107</v>
      </c>
      <c r="L16" s="93"/>
      <c r="M16" s="94"/>
      <c r="N16" s="8" t="s">
        <v>138</v>
      </c>
      <c r="O16" s="8" t="n">
        <v>8.4</v>
      </c>
      <c r="P16" s="6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</row>
    <row r="17" customFormat="false" ht="14.65" hidden="false" customHeight="false" outlineLevel="0" collapsed="false">
      <c r="A17" s="64" t="s">
        <v>145</v>
      </c>
      <c r="B17" s="107" t="n">
        <f aca="false">'G4JNH Data'!B13*(2^0.5)</f>
        <v>1500</v>
      </c>
      <c r="C17" s="108"/>
      <c r="D17" s="109" t="s">
        <v>146</v>
      </c>
      <c r="E17" s="110" t="n">
        <v>95.1</v>
      </c>
      <c r="F17" s="84"/>
      <c r="G17" s="111" t="s">
        <v>147</v>
      </c>
      <c r="H17" s="112" t="n">
        <f aca="false">200*((STDEVP(H4:H15))/H16)</f>
        <v>1.76137696408084</v>
      </c>
      <c r="I17" s="105" t="s">
        <v>148</v>
      </c>
      <c r="J17" s="93"/>
      <c r="K17" s="93"/>
      <c r="L17" s="93"/>
      <c r="M17" s="94"/>
      <c r="N17" s="8" t="s">
        <v>138</v>
      </c>
      <c r="O17" s="8" t="n">
        <v>11</v>
      </c>
      <c r="P17" s="6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</row>
    <row r="18" customFormat="false" ht="14.65" hidden="false" customHeight="false" outlineLevel="0" collapsed="false">
      <c r="A18" s="113" t="s">
        <v>149</v>
      </c>
      <c r="B18" s="114" t="n">
        <f aca="false">(2*B8*B16*B3)/B12-B16</f>
        <v>152.64</v>
      </c>
      <c r="C18" s="82"/>
      <c r="D18" s="115" t="s">
        <v>150</v>
      </c>
      <c r="E18" s="115"/>
      <c r="F18" s="84"/>
      <c r="G18" s="111" t="s">
        <v>151</v>
      </c>
      <c r="H18" s="112" t="n">
        <f aca="false">10*LOG10(H16/J16)</f>
        <v>38.3632411570675</v>
      </c>
      <c r="I18" s="105" t="s">
        <v>152</v>
      </c>
      <c r="J18" s="93"/>
      <c r="K18" s="93"/>
      <c r="L18" s="93"/>
      <c r="M18" s="94"/>
      <c r="N18" s="8" t="s">
        <v>138</v>
      </c>
      <c r="O18" s="8" t="n">
        <v>12</v>
      </c>
      <c r="P18" s="6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</row>
    <row r="19" customFormat="false" ht="14.65" hidden="false" customHeight="false" outlineLevel="0" collapsed="false">
      <c r="A19" s="113" t="s">
        <v>153</v>
      </c>
      <c r="B19" s="116" t="n">
        <f aca="false">2*B9*10^-6/((B12*((B16+B18)*10^-12)))</f>
        <v>146025</v>
      </c>
      <c r="C19" s="108"/>
      <c r="D19" s="117" t="s">
        <v>154</v>
      </c>
      <c r="E19" s="118" t="n">
        <v>20</v>
      </c>
      <c r="F19" s="84"/>
      <c r="G19" s="93"/>
      <c r="H19" s="93"/>
      <c r="I19" s="93"/>
      <c r="J19" s="93"/>
      <c r="K19" s="93"/>
      <c r="L19" s="23"/>
      <c r="M19" s="31"/>
      <c r="P19" s="8"/>
      <c r="Q19" s="32"/>
      <c r="R19" s="3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</row>
    <row r="20" customFormat="false" ht="14.65" hidden="false" customHeight="false" outlineLevel="0" collapsed="false">
      <c r="A20" s="0" t="s">
        <v>155</v>
      </c>
      <c r="B20" s="119" t="n">
        <f aca="false">'G4JNH Data'!B24</f>
        <v>5.15625</v>
      </c>
      <c r="C20" s="82"/>
      <c r="D20" s="120" t="s">
        <v>156</v>
      </c>
      <c r="E20" s="121" t="n">
        <f aca="false">CEILING((((E17/1000)*E19)/2),0.01)</f>
        <v>0.96</v>
      </c>
      <c r="F20" s="84"/>
      <c r="G20" s="23"/>
      <c r="H20" s="23"/>
      <c r="I20" s="23"/>
      <c r="J20" s="23"/>
      <c r="K20" s="23"/>
      <c r="L20" s="122"/>
      <c r="M20" s="122"/>
      <c r="N20" s="62"/>
      <c r="O20" s="62"/>
      <c r="P20" s="99"/>
      <c r="Q20" s="123"/>
      <c r="R20" s="124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</row>
    <row r="21" customFormat="false" ht="14.65" hidden="false" customHeight="false" outlineLevel="0" collapsed="false">
      <c r="A21" s="64" t="s">
        <v>157</v>
      </c>
      <c r="B21" s="125" t="n">
        <f aca="false">'G4JNH Data'!B25</f>
        <v>4.21875</v>
      </c>
      <c r="C21" s="126"/>
      <c r="D21" s="127" t="s">
        <v>158</v>
      </c>
      <c r="E21" s="127"/>
      <c r="F21" s="84"/>
      <c r="G21" s="128"/>
      <c r="H21" s="122"/>
      <c r="I21" s="122"/>
      <c r="J21" s="122"/>
      <c r="K21" s="122"/>
      <c r="L21" s="93"/>
      <c r="M21" s="129"/>
      <c r="R21" s="10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</row>
    <row r="22" customFormat="false" ht="14.65" hidden="false" customHeight="false" outlineLevel="0" collapsed="false">
      <c r="A22" s="64" t="s">
        <v>159</v>
      </c>
      <c r="B22" s="119" t="n">
        <f aca="false">'G4JNH Data'!B9</f>
        <v>6806.25</v>
      </c>
      <c r="C22" s="126"/>
      <c r="D22" s="122"/>
      <c r="E22" s="122"/>
      <c r="F22" s="130"/>
      <c r="G22" s="93"/>
      <c r="H22" s="93"/>
      <c r="I22" s="93"/>
      <c r="J22" s="93"/>
      <c r="K22" s="93"/>
      <c r="L22" s="122"/>
      <c r="M22" s="122"/>
      <c r="N22" s="39"/>
      <c r="O22" s="62"/>
      <c r="P22" s="99"/>
      <c r="Q22" s="123"/>
      <c r="R22" s="124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</row>
    <row r="23" customFormat="false" ht="14.65" hidden="false" customHeight="false" outlineLevel="0" collapsed="false">
      <c r="A23" s="64" t="s">
        <v>160</v>
      </c>
      <c r="B23" s="119" t="n">
        <f aca="false">'G4JNH Data'!B12</f>
        <v>4556.25</v>
      </c>
      <c r="C23" s="126"/>
      <c r="D23" s="131" t="s">
        <v>161</v>
      </c>
      <c r="E23" s="132"/>
      <c r="F23" s="130"/>
      <c r="G23" s="18"/>
      <c r="H23" s="122"/>
      <c r="I23" s="122"/>
      <c r="J23" s="122"/>
      <c r="K23" s="122"/>
      <c r="L23" s="93"/>
      <c r="M23" s="129"/>
      <c r="N23" s="39"/>
      <c r="O23" s="39"/>
      <c r="P23" s="14"/>
      <c r="Q23" s="44"/>
      <c r="R23" s="10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</row>
    <row r="24" customFormat="false" ht="14.65" hidden="false" customHeight="false" outlineLevel="0" collapsed="false">
      <c r="A24" s="25" t="s">
        <v>162</v>
      </c>
      <c r="B24" s="133" t="n">
        <v>70</v>
      </c>
      <c r="C24" s="45" t="s">
        <v>113</v>
      </c>
      <c r="D24" s="134" t="s">
        <v>163</v>
      </c>
      <c r="E24" s="135"/>
      <c r="F24" s="130"/>
      <c r="G24" s="93"/>
      <c r="H24" s="93"/>
      <c r="I24" s="93"/>
      <c r="J24" s="93"/>
      <c r="K24" s="93"/>
      <c r="L24" s="93"/>
      <c r="M24" s="129"/>
      <c r="N24" s="39"/>
      <c r="R24" s="10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</row>
    <row r="25" customFormat="false" ht="14.65" hidden="false" customHeight="false" outlineLevel="0" collapsed="false">
      <c r="A25" s="25" t="s">
        <v>164</v>
      </c>
      <c r="B25" s="136" t="n">
        <v>0.18</v>
      </c>
      <c r="C25" s="45" t="s">
        <v>113</v>
      </c>
      <c r="D25" s="137" t="s">
        <v>165</v>
      </c>
      <c r="E25" s="135"/>
      <c r="F25" s="130"/>
      <c r="G25" s="98"/>
      <c r="H25" s="98"/>
      <c r="I25" s="98"/>
      <c r="J25" s="98"/>
      <c r="K25" s="98"/>
      <c r="L25" s="98"/>
      <c r="M25" s="122"/>
      <c r="N25" s="39"/>
      <c r="P25" s="138"/>
      <c r="Q25" s="139"/>
      <c r="R25" s="140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</row>
    <row r="26" customFormat="false" ht="14.65" hidden="false" customHeight="false" outlineLevel="0" collapsed="false">
      <c r="A26" s="85" t="s">
        <v>166</v>
      </c>
      <c r="B26" s="141" t="n">
        <f aca="false">IF(B20&gt;B25,((B25+(B20-B25)*1.414)),B20)</f>
        <v>7.21641750000001</v>
      </c>
      <c r="C26" s="95"/>
      <c r="D26" s="137" t="s">
        <v>167</v>
      </c>
      <c r="E26" s="135"/>
      <c r="F26" s="69"/>
      <c r="G26" s="98"/>
      <c r="H26" s="98"/>
      <c r="I26" s="98"/>
      <c r="J26" s="98"/>
      <c r="K26" s="98"/>
      <c r="L26" s="98"/>
      <c r="M26" s="122"/>
      <c r="N26" s="39"/>
      <c r="P26" s="138"/>
      <c r="Q26" s="139"/>
      <c r="R26" s="140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</row>
    <row r="27" customFormat="false" ht="14.65" hidden="false" customHeight="false" outlineLevel="0" collapsed="false">
      <c r="A27" s="85" t="s">
        <v>168</v>
      </c>
      <c r="B27" s="141" t="n">
        <f aca="false">IF(B21&gt;B25,((B25+(B21-B25)*1.414)),B21)</f>
        <v>5.8907925</v>
      </c>
      <c r="C27" s="142"/>
      <c r="D27" s="143" t="s">
        <v>169</v>
      </c>
      <c r="E27" s="144"/>
      <c r="F27" s="69"/>
      <c r="G27" s="98"/>
      <c r="H27" s="98"/>
      <c r="I27" s="98"/>
      <c r="J27" s="98"/>
      <c r="K27" s="98"/>
      <c r="L27" s="98"/>
      <c r="M27" s="122"/>
      <c r="P27" s="138"/>
      <c r="Q27" s="139"/>
      <c r="R27" s="140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</row>
    <row r="28" customFormat="false" ht="14.65" hidden="false" customHeight="false" outlineLevel="0" collapsed="false">
      <c r="A28" s="145" t="s">
        <v>170</v>
      </c>
      <c r="B28" s="146" t="n">
        <v>2500</v>
      </c>
      <c r="C28" s="147"/>
      <c r="D28" s="148" t="s">
        <v>171</v>
      </c>
      <c r="E28" s="149" t="n">
        <f aca="false">ROUNDUP(B26+2,1)</f>
        <v>9.3</v>
      </c>
      <c r="F28" s="150"/>
      <c r="G28" s="98"/>
      <c r="H28" s="98"/>
      <c r="I28" s="98"/>
      <c r="J28" s="98"/>
      <c r="K28" s="98"/>
      <c r="L28" s="98"/>
      <c r="M28" s="122"/>
      <c r="P28" s="138"/>
      <c r="Q28" s="139"/>
      <c r="R28" s="140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</row>
    <row r="29" customFormat="false" ht="14.65" hidden="false" customHeight="false" outlineLevel="0" collapsed="false">
      <c r="A29" s="150" t="s">
        <v>172</v>
      </c>
      <c r="B29" s="151" t="n">
        <f aca="false">(1/(H16/J16))*B28</f>
        <v>0.364431486880466</v>
      </c>
      <c r="C29" s="152" t="s">
        <v>113</v>
      </c>
      <c r="D29" s="150" t="s">
        <v>173</v>
      </c>
      <c r="E29" s="150"/>
    </row>
    <row r="30" customFormat="false" ht="14.65" hidden="false" customHeight="false" outlineLevel="0" collapsed="false">
      <c r="A30" s="153" t="s">
        <v>174</v>
      </c>
      <c r="L30" s="48"/>
      <c r="M30" s="18"/>
      <c r="R30" s="49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</row>
    <row r="31" customFormat="false" ht="14.65" hidden="false" customHeight="false" outlineLevel="0" collapsed="false">
      <c r="A31" s="153" t="s">
        <v>175</v>
      </c>
      <c r="B31" s="150"/>
      <c r="C31" s="150"/>
      <c r="D31" s="48"/>
      <c r="E31" s="48"/>
      <c r="G31" s="48"/>
      <c r="H31" s="48"/>
      <c r="I31" s="48"/>
      <c r="J31" s="48"/>
      <c r="K31" s="48"/>
      <c r="L31" s="48"/>
      <c r="M31" s="18"/>
      <c r="R31" s="49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</row>
    <row r="32" customFormat="false" ht="14.65" hidden="false" customHeight="false" outlineLevel="0" collapsed="false">
      <c r="A32" s="150" t="s">
        <v>176</v>
      </c>
      <c r="G32" s="48"/>
      <c r="H32" s="48"/>
      <c r="I32" s="48"/>
      <c r="J32" s="48"/>
      <c r="K32" s="48"/>
    </row>
    <row r="33" customFormat="false" ht="14.65" hidden="false" customHeight="false" outlineLevel="0" collapsed="false">
      <c r="A33" s="150" t="s">
        <v>177</v>
      </c>
    </row>
  </sheetData>
  <sheetProtection sheet="true" objects="true" scenarios="true" insertColumns="false" insertRows="false" deleteColumns="false" deleteRows="false"/>
  <mergeCells count="3">
    <mergeCell ref="D6:E6"/>
    <mergeCell ref="D18:E18"/>
    <mergeCell ref="D21:E21"/>
  </mergeCells>
  <conditionalFormatting sqref="B11">
    <cfRule type="cellIs" priority="2" operator="lessThan" aboveAverage="0" equalAverage="0" bottom="0" percent="0" rank="0" text="" dxfId="0">
      <formula>5</formula>
    </cfRule>
    <cfRule type="cellIs" priority="3" operator="between" aboveAverage="0" equalAverage="0" bottom="0" percent="0" rank="0" text="" dxfId="1">
      <formula>5</formula>
      <formula>6.999</formula>
    </cfRule>
    <cfRule type="cellIs" priority="4" operator="greaterThanOrEqual" aboveAverage="0" equalAverage="0" bottom="0" percent="0" rank="0" text="" dxfId="2">
      <formula>7</formula>
    </cfRule>
  </conditionalFormatting>
  <conditionalFormatting sqref="B24">
    <cfRule type="cellIs" priority="5" operator="lessThan" aboveAverage="0" equalAverage="0" bottom="0" percent="0" rank="0" text="" dxfId="3">
      <formula>$B$20*2.828</formula>
    </cfRule>
  </conditionalFormatting>
  <conditionalFormatting sqref="B5">
    <cfRule type="cellIs" priority="6" operator="lessThan" aboveAverage="0" equalAverage="0" bottom="0" percent="0" rank="0" text="" dxfId="4">
      <formula>1</formula>
    </cfRule>
    <cfRule type="cellIs" priority="7" operator="greaterThan" aboveAverage="0" equalAverage="0" bottom="0" percent="0" rank="0" text="" dxfId="5">
      <formula>10</formula>
    </cfRule>
  </conditionalFormatting>
  <conditionalFormatting sqref="B8">
    <cfRule type="cellIs" priority="8" operator="greaterThan" aboveAverage="0" equalAverage="0" bottom="0" percent="0" rank="0" text="" dxfId="6">
      <formula>10</formula>
    </cfRule>
  </conditionalFormatting>
  <dataValidations count="1">
    <dataValidation allowBlank="true" operator="equal" showDropDown="false" showErrorMessage="true" showInputMessage="false" sqref="B6" type="list">
      <formula1>$N$4:$N$13</formula1>
      <formula2>0</formula2>
    </dataValidation>
  </dataValidations>
  <hyperlinks>
    <hyperlink ref="D2" location="REVISIONS!A88" display="( See revisions page )"/>
    <hyperlink ref="D6" location="'FLUX CALC'!A1" display="CLICK HERE FOR TOROID FLUX VERIFICATION PAGE !!"/>
  </hyperlinks>
  <printOptions headings="false" gridLines="false" gridLinesSet="true" horizontalCentered="true" verticalCentered="false"/>
  <pageMargins left="0.39375" right="0.39375" top="0.7875" bottom="0.590277777777778" header="0.39375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&amp;Lf1frv@sfr.fr&amp;CMODIFIED BRUENE BRIDGE CALCULATION SHEET&amp;R&amp;D</oddHeader>
    <oddFooter>&amp;CEXCEL SHEET AND BRIDGE PRINTED CIRCUIT BOARD AVAILABLE AT F1FRV WEB SITE: http://f1frv.free.fr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BL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546875" defaultRowHeight="14.65" zeroHeight="false" outlineLevelRow="0" outlineLevelCol="0"/>
  <cols>
    <col collapsed="false" customWidth="true" hidden="false" outlineLevel="0" max="1" min="1" style="0" width="35.95"/>
    <col collapsed="false" customWidth="true" hidden="false" outlineLevel="0" max="2" min="2" style="64" width="38.49"/>
    <col collapsed="false" customWidth="true" hidden="false" outlineLevel="0" max="3" min="3" style="4" width="11.16"/>
    <col collapsed="false" customWidth="true" hidden="false" outlineLevel="0" max="4" min="4" style="4" width="10.71"/>
    <col collapsed="false" customWidth="true" hidden="false" outlineLevel="0" max="5" min="5" style="4" width="9.71"/>
    <col collapsed="false" customWidth="true" hidden="false" outlineLevel="0" max="6" min="6" style="4" width="8.52"/>
    <col collapsed="false" customWidth="true" hidden="false" outlineLevel="0" max="7" min="7" style="64" width="9.43"/>
    <col collapsed="false" customWidth="true" hidden="false" outlineLevel="0" max="8" min="8" style="64" width="7.8"/>
    <col collapsed="false" customWidth="false" hidden="true" outlineLevel="0" max="12" min="10" style="0" width="11.04"/>
  </cols>
  <sheetData>
    <row r="1" customFormat="false" ht="14.65" hidden="false" customHeight="false" outlineLevel="0" collapsed="false">
      <c r="A1" s="154" t="s">
        <v>178</v>
      </c>
      <c r="B1" s="154" t="s">
        <v>179</v>
      </c>
      <c r="C1" s="155"/>
      <c r="D1" s="155"/>
      <c r="E1" s="155" t="str">
        <f aca="false">'F1FRV SWR BRIDGE'!D1</f>
        <v>F1FRV January 2020 REVISION 13</v>
      </c>
      <c r="F1" s="156"/>
      <c r="G1" s="157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</row>
    <row r="2" customFormat="false" ht="14.65" hidden="true" customHeight="false" outlineLevel="0" collapsed="false">
      <c r="A2" s="159" t="s">
        <v>180</v>
      </c>
      <c r="B2" s="159" t="s">
        <v>181</v>
      </c>
      <c r="C2" s="160"/>
      <c r="D2" s="5"/>
      <c r="E2" s="5"/>
      <c r="F2" s="5"/>
      <c r="G2" s="157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158"/>
      <c r="BL2" s="158"/>
    </row>
    <row r="3" customFormat="false" ht="15.75" hidden="false" customHeight="true" outlineLevel="0" collapsed="false">
      <c r="A3" s="85" t="s">
        <v>182</v>
      </c>
      <c r="B3" s="85" t="s">
        <v>183</v>
      </c>
      <c r="C3" s="161"/>
      <c r="D3" s="5"/>
      <c r="E3" s="5"/>
      <c r="F3" s="5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158"/>
      <c r="BL3" s="158"/>
    </row>
    <row r="4" customFormat="false" ht="12" hidden="false" customHeight="true" outlineLevel="0" collapsed="false">
      <c r="A4" s="158"/>
      <c r="B4" s="158"/>
      <c r="C4" s="158"/>
      <c r="D4" s="158"/>
      <c r="E4" s="5"/>
      <c r="F4" s="5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158"/>
      <c r="BL4" s="158"/>
    </row>
    <row r="5" customFormat="false" ht="14.65" hidden="false" customHeight="false" outlineLevel="0" collapsed="false">
      <c r="A5" s="162" t="s">
        <v>184</v>
      </c>
      <c r="B5" s="158"/>
      <c r="C5" s="5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158"/>
      <c r="BL5" s="158"/>
    </row>
    <row r="6" customFormat="false" ht="14.65" hidden="false" customHeight="false" outlineLevel="0" collapsed="false">
      <c r="A6" s="162" t="s">
        <v>185</v>
      </c>
      <c r="B6" s="158"/>
      <c r="C6" s="5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158"/>
      <c r="BL6" s="158"/>
    </row>
    <row r="7" customFormat="false" ht="14.65" hidden="false" customHeight="false" outlineLevel="0" collapsed="false">
      <c r="A7" s="4"/>
      <c r="B7" s="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</row>
    <row r="8" customFormat="false" ht="14.65" hidden="true" customHeight="false" outlineLevel="0" collapsed="false">
      <c r="A8" s="158" t="s">
        <v>186</v>
      </c>
      <c r="B8" s="28" t="s">
        <v>187</v>
      </c>
      <c r="C8" s="163" t="n">
        <f aca="false">'F1FRV SWR BRIDGE'!B4</f>
        <v>2250</v>
      </c>
      <c r="D8" s="164" t="s">
        <v>188</v>
      </c>
      <c r="E8" s="165"/>
      <c r="F8" s="5"/>
      <c r="G8" s="158"/>
      <c r="H8" s="158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</row>
    <row r="9" customFormat="false" ht="14.65" hidden="true" customHeight="false" outlineLevel="0" collapsed="false">
      <c r="A9" s="158" t="s">
        <v>189</v>
      </c>
      <c r="B9" s="28" t="s">
        <v>190</v>
      </c>
      <c r="C9" s="160" t="n">
        <f aca="false">'F1FRV SWR BRIDGE'!B10</f>
        <v>1.8</v>
      </c>
      <c r="D9" s="164" t="s">
        <v>191</v>
      </c>
      <c r="E9" s="165"/>
      <c r="F9" s="5"/>
      <c r="G9" s="158"/>
      <c r="H9" s="158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</row>
    <row r="10" customFormat="false" ht="14.65" hidden="true" customHeight="false" outlineLevel="0" collapsed="false">
      <c r="A10" s="158" t="s">
        <v>192</v>
      </c>
      <c r="B10" s="28" t="s">
        <v>193</v>
      </c>
      <c r="C10" s="160" t="n">
        <f aca="false">'F1FRV SWR BRIDGE'!B3</f>
        <v>50</v>
      </c>
      <c r="D10" s="164" t="s">
        <v>194</v>
      </c>
      <c r="E10" s="165"/>
      <c r="F10" s="5"/>
      <c r="G10" s="158"/>
      <c r="H10" s="158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</row>
    <row r="11" customFormat="false" ht="14.65" hidden="true" customHeight="false" outlineLevel="0" collapsed="false">
      <c r="A11" s="158" t="s">
        <v>195</v>
      </c>
      <c r="B11" s="28" t="s">
        <v>196</v>
      </c>
      <c r="C11" s="166" t="n">
        <f aca="false">'F1FRV SWR BRIDGE'!B8</f>
        <v>8</v>
      </c>
      <c r="D11" s="164"/>
      <c r="E11" s="165"/>
      <c r="F11" s="158"/>
      <c r="G11" s="28"/>
      <c r="H11" s="158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</row>
    <row r="12" customFormat="false" ht="14.65" hidden="true" customHeight="false" outlineLevel="0" collapsed="false">
      <c r="A12" s="158" t="s">
        <v>197</v>
      </c>
      <c r="B12" s="28" t="s">
        <v>198</v>
      </c>
      <c r="C12" s="167" t="n">
        <v>1</v>
      </c>
      <c r="D12" s="164"/>
      <c r="E12" s="165"/>
      <c r="F12" s="158"/>
      <c r="G12" s="28"/>
      <c r="H12" s="158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</row>
    <row r="13" customFormat="false" ht="14.65" hidden="true" customHeight="false" outlineLevel="0" collapsed="false">
      <c r="A13" s="85" t="s">
        <v>199</v>
      </c>
      <c r="B13" s="85" t="s">
        <v>200</v>
      </c>
      <c r="C13" s="168" t="n">
        <f aca="false">((C12/C11)^2)</f>
        <v>0.015625</v>
      </c>
      <c r="D13" s="164"/>
      <c r="E13" s="165"/>
      <c r="F13" s="5"/>
      <c r="G13" s="158"/>
      <c r="H13" s="158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</row>
    <row r="14" customFormat="false" ht="14.65" hidden="true" customHeight="false" outlineLevel="0" collapsed="false">
      <c r="A14" s="85" t="s">
        <v>201</v>
      </c>
      <c r="B14" s="85" t="s">
        <v>202</v>
      </c>
      <c r="C14" s="169" t="n">
        <f aca="false">C10*((C12/C11)^2)</f>
        <v>0.78125</v>
      </c>
      <c r="D14" s="161" t="s">
        <v>194</v>
      </c>
      <c r="E14" s="165"/>
      <c r="F14" s="5"/>
      <c r="G14" s="158"/>
      <c r="H14" s="158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</row>
    <row r="15" customFormat="false" ht="14.65" hidden="true" customHeight="false" outlineLevel="0" collapsed="false">
      <c r="A15" s="85" t="s">
        <v>203</v>
      </c>
      <c r="B15" s="85" t="s">
        <v>204</v>
      </c>
      <c r="C15" s="86" t="n">
        <f aca="false">SQRT(C8*C14)</f>
        <v>41.9262745781211</v>
      </c>
      <c r="D15" s="170" t="s">
        <v>205</v>
      </c>
      <c r="E15" s="165"/>
      <c r="F15" s="171"/>
      <c r="G15" s="158"/>
      <c r="H15" s="158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</row>
    <row r="16" customFormat="false" ht="14.65" hidden="false" customHeight="false" outlineLevel="0" collapsed="false">
      <c r="A16" s="172" t="s">
        <v>206</v>
      </c>
      <c r="B16" s="173" t="s">
        <v>207</v>
      </c>
      <c r="C16" s="174" t="s">
        <v>108</v>
      </c>
      <c r="D16" s="174" t="s">
        <v>110</v>
      </c>
      <c r="E16" s="174" t="s">
        <v>115</v>
      </c>
      <c r="F16" s="174" t="s">
        <v>112</v>
      </c>
      <c r="G16" s="174" t="s">
        <v>120</v>
      </c>
      <c r="H16" s="175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</row>
    <row r="17" customFormat="false" ht="14.65" hidden="false" customHeight="false" outlineLevel="0" collapsed="false">
      <c r="A17" s="176" t="s">
        <v>208</v>
      </c>
      <c r="B17" s="177" t="s">
        <v>209</v>
      </c>
      <c r="C17" s="44" t="n">
        <f aca="false">'F1FRV SWR BRIDGE'!O4</f>
        <v>480</v>
      </c>
      <c r="D17" s="44" t="n">
        <f aca="false">'F1FRV SWR BRIDGE'!O5</f>
        <v>470</v>
      </c>
      <c r="E17" s="44" t="n">
        <f aca="false">'F1FRV SWR BRIDGE'!O6</f>
        <v>510</v>
      </c>
      <c r="F17" s="44" t="n">
        <f aca="false">'F1FRV SWR BRIDGE'!O7</f>
        <v>885</v>
      </c>
      <c r="G17" s="44" t="n">
        <f aca="false">'F1FRV SWR BRIDGE'!O8</f>
        <v>1075</v>
      </c>
      <c r="H17" s="178" t="s">
        <v>210</v>
      </c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</row>
    <row r="18" customFormat="false" ht="14.65" hidden="false" customHeight="false" outlineLevel="0" collapsed="false">
      <c r="A18" s="176" t="s">
        <v>211</v>
      </c>
      <c r="B18" s="177" t="s">
        <v>212</v>
      </c>
      <c r="C18" s="44" t="n">
        <v>0.133</v>
      </c>
      <c r="D18" s="179" t="n">
        <v>0.246</v>
      </c>
      <c r="E18" s="179" t="n">
        <v>0.375</v>
      </c>
      <c r="F18" s="179" t="n">
        <v>0.806</v>
      </c>
      <c r="G18" s="179" t="n">
        <v>1.61</v>
      </c>
      <c r="H18" s="178" t="s">
        <v>213</v>
      </c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</row>
    <row r="19" customFormat="false" ht="14.65" hidden="false" customHeight="false" outlineLevel="0" collapsed="false">
      <c r="A19" s="176" t="s">
        <v>214</v>
      </c>
      <c r="B19" s="180" t="s">
        <v>215</v>
      </c>
      <c r="C19" s="181" t="n">
        <v>2750</v>
      </c>
      <c r="D19" s="182" t="n">
        <v>2750</v>
      </c>
      <c r="E19" s="182" t="n">
        <v>2750</v>
      </c>
      <c r="F19" s="182" t="n">
        <f aca="false">E19</f>
        <v>2750</v>
      </c>
      <c r="G19" s="182" t="n">
        <f aca="false">E19</f>
        <v>2750</v>
      </c>
      <c r="H19" s="183" t="s">
        <v>216</v>
      </c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</row>
    <row r="20" customFormat="false" ht="14.65" hidden="false" customHeight="false" outlineLevel="0" collapsed="false">
      <c r="A20" s="176" t="s">
        <v>217</v>
      </c>
      <c r="B20" s="177" t="s">
        <v>218</v>
      </c>
      <c r="C20" s="19" t="n">
        <f aca="false">C19/5</f>
        <v>550</v>
      </c>
      <c r="D20" s="19" t="n">
        <f aca="false">D19/5</f>
        <v>550</v>
      </c>
      <c r="E20" s="19" t="n">
        <f aca="false">E19/5</f>
        <v>550</v>
      </c>
      <c r="F20" s="19" t="n">
        <f aca="false">E20</f>
        <v>550</v>
      </c>
      <c r="G20" s="19" t="n">
        <f aca="false">E20</f>
        <v>550</v>
      </c>
      <c r="H20" s="184" t="s">
        <v>219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</row>
    <row r="21" customFormat="false" ht="14.65" hidden="true" customHeight="false" outlineLevel="0" collapsed="false">
      <c r="A21" s="176" t="s">
        <v>220</v>
      </c>
      <c r="B21" s="177" t="s">
        <v>221</v>
      </c>
      <c r="C21" s="185" t="n">
        <v>1</v>
      </c>
      <c r="D21" s="185" t="n">
        <v>1</v>
      </c>
      <c r="E21" s="185" t="n">
        <v>1</v>
      </c>
      <c r="F21" s="185" t="n">
        <v>1</v>
      </c>
      <c r="G21" s="185" t="n">
        <v>1</v>
      </c>
      <c r="H21" s="178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</row>
    <row r="22" customFormat="false" ht="14.65" hidden="false" customHeight="false" outlineLevel="0" collapsed="false">
      <c r="A22" s="186" t="s">
        <v>222</v>
      </c>
      <c r="B22" s="187" t="s">
        <v>223</v>
      </c>
      <c r="C22" s="188" t="n">
        <f aca="false">(C15*100)/(4.44*(C18*C21)*C11*C9)</f>
        <v>493.047965471593</v>
      </c>
      <c r="D22" s="188" t="n">
        <f aca="false">(C15*100)/(4.44*(D18*D21)*C11*C9)</f>
        <v>266.566582958219</v>
      </c>
      <c r="E22" s="188" t="n">
        <f aca="false">(C15*100)/(4.44*(E18*E21)*C11*C9)</f>
        <v>174.867678420592</v>
      </c>
      <c r="F22" s="188" t="n">
        <f aca="false">(C15*100)/(4.44*(F18*F21)*C11*C9)</f>
        <v>81.3590315232281</v>
      </c>
      <c r="G22" s="188" t="n">
        <f aca="false">(C15*100)/(4.44*(G18*G21)*C11*C9)</f>
        <v>40.7300493215664</v>
      </c>
      <c r="H22" s="189" t="s">
        <v>216</v>
      </c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</row>
    <row r="23" customFormat="false" ht="14.65" hidden="false" customHeight="false" outlineLevel="0" collapsed="false">
      <c r="A23" s="190"/>
      <c r="B23" s="158"/>
      <c r="C23" s="5"/>
      <c r="D23" s="158"/>
      <c r="E23" s="158"/>
      <c r="F23" s="158"/>
      <c r="G23" s="158"/>
      <c r="H23" s="158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</row>
    <row r="24" customFormat="false" ht="14.65" hidden="false" customHeight="false" outlineLevel="0" collapsed="false">
      <c r="A24" s="172" t="s">
        <v>206</v>
      </c>
      <c r="B24" s="173" t="s">
        <v>207</v>
      </c>
      <c r="C24" s="174" t="s">
        <v>123</v>
      </c>
      <c r="D24" s="174" t="s">
        <v>126</v>
      </c>
      <c r="E24" s="174" t="s">
        <v>129</v>
      </c>
      <c r="F24" s="174" t="s">
        <v>132</v>
      </c>
      <c r="G24" s="174" t="s">
        <v>135</v>
      </c>
      <c r="H24" s="175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</row>
    <row r="25" customFormat="false" ht="14.65" hidden="false" customHeight="false" outlineLevel="0" collapsed="false">
      <c r="A25" s="176" t="s">
        <v>208</v>
      </c>
      <c r="B25" s="177" t="s">
        <v>209</v>
      </c>
      <c r="C25" s="44" t="n">
        <f aca="false">'F1FRV SWR BRIDGE'!O9</f>
        <v>69</v>
      </c>
      <c r="D25" s="44" t="n">
        <f aca="false">'F1FRV SWR BRIDGE'!O10</f>
        <v>75</v>
      </c>
      <c r="E25" s="44" t="n">
        <f aca="false">'F1FRV SWR BRIDGE'!O11</f>
        <v>80</v>
      </c>
      <c r="F25" s="44" t="n">
        <f aca="false">'F1FRV SWR BRIDGE'!O12</f>
        <v>140</v>
      </c>
      <c r="G25" s="44" t="n">
        <f aca="false">'F1FRV SWR BRIDGE'!O13</f>
        <v>170</v>
      </c>
      <c r="H25" s="178" t="s">
        <v>210</v>
      </c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</row>
    <row r="26" customFormat="false" ht="14.65" hidden="false" customHeight="false" outlineLevel="0" collapsed="false">
      <c r="A26" s="176" t="s">
        <v>211</v>
      </c>
      <c r="B26" s="177" t="s">
        <v>224</v>
      </c>
      <c r="C26" s="44" t="n">
        <v>0.133</v>
      </c>
      <c r="D26" s="179" t="n">
        <v>0.246</v>
      </c>
      <c r="E26" s="179" t="n">
        <v>0.375</v>
      </c>
      <c r="F26" s="179" t="n">
        <v>0.806</v>
      </c>
      <c r="G26" s="179" t="n">
        <v>1.61</v>
      </c>
      <c r="H26" s="178" t="s">
        <v>213</v>
      </c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</row>
    <row r="27" customFormat="false" ht="14.65" hidden="false" customHeight="false" outlineLevel="0" collapsed="false">
      <c r="A27" s="176" t="s">
        <v>225</v>
      </c>
      <c r="B27" s="180" t="s">
        <v>226</v>
      </c>
      <c r="C27" s="181" t="n">
        <v>2350</v>
      </c>
      <c r="D27" s="182" t="n">
        <v>2350</v>
      </c>
      <c r="E27" s="182" t="n">
        <v>2350</v>
      </c>
      <c r="F27" s="182" t="n">
        <v>2350</v>
      </c>
      <c r="G27" s="182" t="n">
        <v>2350</v>
      </c>
      <c r="H27" s="183" t="s">
        <v>216</v>
      </c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</row>
    <row r="28" customFormat="false" ht="14.65" hidden="false" customHeight="false" outlineLevel="0" collapsed="false">
      <c r="A28" s="176" t="s">
        <v>217</v>
      </c>
      <c r="B28" s="177" t="s">
        <v>218</v>
      </c>
      <c r="C28" s="19" t="n">
        <f aca="false">C27/5</f>
        <v>470</v>
      </c>
      <c r="D28" s="19" t="n">
        <f aca="false">D27/5</f>
        <v>470</v>
      </c>
      <c r="E28" s="19" t="n">
        <f aca="false">E27/5</f>
        <v>470</v>
      </c>
      <c r="F28" s="19" t="n">
        <f aca="false">E28</f>
        <v>470</v>
      </c>
      <c r="G28" s="19" t="n">
        <f aca="false">E28</f>
        <v>470</v>
      </c>
      <c r="H28" s="184" t="s">
        <v>219</v>
      </c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</row>
    <row r="29" customFormat="false" ht="14.65" hidden="true" customHeight="false" outlineLevel="0" collapsed="false">
      <c r="A29" s="176" t="s">
        <v>220</v>
      </c>
      <c r="B29" s="177" t="s">
        <v>221</v>
      </c>
      <c r="C29" s="185" t="n">
        <v>1</v>
      </c>
      <c r="D29" s="185" t="n">
        <v>1</v>
      </c>
      <c r="E29" s="185" t="n">
        <v>1</v>
      </c>
      <c r="F29" s="185" t="n">
        <v>1</v>
      </c>
      <c r="G29" s="185" t="n">
        <v>1</v>
      </c>
      <c r="H29" s="178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</row>
    <row r="30" customFormat="false" ht="14.65" hidden="false" customHeight="false" outlineLevel="0" collapsed="false">
      <c r="A30" s="186" t="s">
        <v>222</v>
      </c>
      <c r="B30" s="187" t="s">
        <v>227</v>
      </c>
      <c r="C30" s="188" t="n">
        <f aca="false">(C15*100)/(4.44*(C29*C26)*C11*C9)</f>
        <v>493.047965471593</v>
      </c>
      <c r="D30" s="188" t="n">
        <f aca="false">(C15*100)/(4.44*(D29*D26)*C11*C9)</f>
        <v>266.566582958219</v>
      </c>
      <c r="E30" s="188" t="n">
        <f aca="false">(C15*100)/(4.44*(E29*E26)*C11*C9)</f>
        <v>174.867678420592</v>
      </c>
      <c r="F30" s="188" t="n">
        <f aca="false">(C15*100)/(4.44*(F26*F29)*C11*C9)</f>
        <v>81.3590315232281</v>
      </c>
      <c r="G30" s="188" t="n">
        <f aca="false">(C15*100)/(4.44*(G29*G26)*C11*C9)</f>
        <v>40.7300493215664</v>
      </c>
      <c r="H30" s="189" t="s">
        <v>216</v>
      </c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</row>
    <row r="31" customFormat="false" ht="14.65" hidden="true" customHeight="false" outlineLevel="0" collapsed="false">
      <c r="A31" s="3"/>
      <c r="B31" s="158"/>
      <c r="C31" s="5"/>
      <c r="D31" s="5"/>
      <c r="E31" s="5"/>
      <c r="F31" s="5"/>
      <c r="G31" s="158"/>
      <c r="H31" s="158"/>
    </row>
    <row r="32" customFormat="false" ht="14.65" hidden="true" customHeight="false" outlineLevel="0" collapsed="false">
      <c r="A32" s="172" t="s">
        <v>206</v>
      </c>
      <c r="B32" s="173" t="s">
        <v>207</v>
      </c>
      <c r="C32" s="174" t="s">
        <v>228</v>
      </c>
      <c r="D32" s="174" t="s">
        <v>229</v>
      </c>
      <c r="E32" s="174" t="s">
        <v>230</v>
      </c>
      <c r="F32" s="174" t="s">
        <v>231</v>
      </c>
      <c r="G32" s="174" t="s">
        <v>232</v>
      </c>
      <c r="H32" s="175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</row>
    <row r="33" customFormat="false" ht="14.65" hidden="true" customHeight="false" outlineLevel="0" collapsed="false">
      <c r="A33" s="176" t="s">
        <v>208</v>
      </c>
      <c r="B33" s="177" t="s">
        <v>209</v>
      </c>
      <c r="C33" s="44" t="n">
        <f aca="false">'F1FRV SWR BRIDGE'!O14</f>
        <v>4.9</v>
      </c>
      <c r="D33" s="44" t="n">
        <f aca="false">'F1FRV SWR BRIDGE'!O15</f>
        <v>5.5</v>
      </c>
      <c r="E33" s="44" t="n">
        <f aca="false">'F1FRV SWR BRIDGE'!O16</f>
        <v>8.4</v>
      </c>
      <c r="F33" s="44" t="n">
        <f aca="false">'F1FRV SWR BRIDGE'!O17</f>
        <v>11</v>
      </c>
      <c r="G33" s="44" t="n">
        <f aca="false">'F1FRV SWR BRIDGE'!O18</f>
        <v>12</v>
      </c>
      <c r="H33" s="178" t="s">
        <v>210</v>
      </c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</row>
    <row r="34" customFormat="false" ht="14.65" hidden="true" customHeight="false" outlineLevel="0" collapsed="false">
      <c r="A34" s="176" t="s">
        <v>211</v>
      </c>
      <c r="B34" s="177" t="s">
        <v>224</v>
      </c>
      <c r="C34" s="44" t="n">
        <v>0.112</v>
      </c>
      <c r="D34" s="179" t="n">
        <v>0.231</v>
      </c>
      <c r="E34" s="179" t="n">
        <v>0.362</v>
      </c>
      <c r="F34" s="179" t="n">
        <v>0.698</v>
      </c>
      <c r="G34" s="179" t="n">
        <v>1.27</v>
      </c>
      <c r="H34" s="178" t="s">
        <v>213</v>
      </c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</row>
    <row r="35" customFormat="false" ht="14.65" hidden="true" customHeight="false" outlineLevel="0" collapsed="false">
      <c r="A35" s="176" t="s">
        <v>233</v>
      </c>
      <c r="B35" s="180" t="s">
        <v>234</v>
      </c>
      <c r="C35" s="191" t="n">
        <v>400</v>
      </c>
      <c r="D35" s="191" t="n">
        <v>400</v>
      </c>
      <c r="E35" s="191" t="n">
        <v>400</v>
      </c>
      <c r="F35" s="191" t="n">
        <v>400</v>
      </c>
      <c r="G35" s="191" t="n">
        <v>400</v>
      </c>
      <c r="H35" s="183" t="s">
        <v>216</v>
      </c>
      <c r="I35" s="64"/>
      <c r="J35" s="64"/>
      <c r="K35" s="192" t="n">
        <v>400</v>
      </c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</row>
    <row r="36" customFormat="false" ht="14.65" hidden="true" customHeight="false" outlineLevel="0" collapsed="false">
      <c r="A36" s="176" t="s">
        <v>217</v>
      </c>
      <c r="B36" s="177" t="s">
        <v>218</v>
      </c>
      <c r="C36" s="19" t="n">
        <f aca="false">C35/5</f>
        <v>80</v>
      </c>
      <c r="D36" s="19" t="n">
        <f aca="false">D35/5</f>
        <v>80</v>
      </c>
      <c r="E36" s="19" t="n">
        <f aca="false">E35/5</f>
        <v>80</v>
      </c>
      <c r="F36" s="19" t="n">
        <f aca="false">F35/5</f>
        <v>80</v>
      </c>
      <c r="G36" s="19" t="n">
        <f aca="false">G35/5</f>
        <v>80</v>
      </c>
      <c r="H36" s="184" t="s">
        <v>219</v>
      </c>
      <c r="I36" s="64"/>
      <c r="J36" s="64"/>
      <c r="K36" s="192" t="n">
        <v>200</v>
      </c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</row>
    <row r="37" customFormat="false" ht="14.65" hidden="true" customHeight="false" outlineLevel="0" collapsed="false">
      <c r="A37" s="176" t="s">
        <v>220</v>
      </c>
      <c r="B37" s="177" t="s">
        <v>221</v>
      </c>
      <c r="C37" s="185" t="n">
        <v>1</v>
      </c>
      <c r="D37" s="185" t="n">
        <v>1</v>
      </c>
      <c r="E37" s="185" t="n">
        <v>1</v>
      </c>
      <c r="F37" s="185" t="n">
        <v>1</v>
      </c>
      <c r="G37" s="185" t="n">
        <v>1</v>
      </c>
      <c r="H37" s="178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</row>
    <row r="38" customFormat="false" ht="14.65" hidden="true" customHeight="false" outlineLevel="0" collapsed="false">
      <c r="A38" s="186" t="s">
        <v>222</v>
      </c>
      <c r="B38" s="187" t="s">
        <v>227</v>
      </c>
      <c r="C38" s="188" t="n">
        <f aca="false">(C15*100)/(4.44*(C37*C34)*C11*C9)</f>
        <v>585.494458997517</v>
      </c>
      <c r="D38" s="188" t="n">
        <f aca="false">(C15*100)/(4.44*(D37*D34)*C11*C9)</f>
        <v>283.876101332129</v>
      </c>
      <c r="E38" s="188" t="n">
        <f aca="false">(C15*100)/(4.44*(E37*E34)*C11*C9)</f>
        <v>181.147456927408</v>
      </c>
      <c r="F38" s="188" t="n">
        <f aca="false">(C15*100)/(4.44*(F34*F37)*C11*C9)</f>
        <v>93.9475349680829</v>
      </c>
      <c r="G38" s="188" t="n">
        <f aca="false">(C15*100)/(4.44*(G37*G34)*C11*C9)</f>
        <v>51.6341570139542</v>
      </c>
      <c r="H38" s="189" t="s">
        <v>216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</row>
    <row r="39" customFormat="false" ht="14.65" hidden="true" customHeight="false" outlineLevel="0" collapsed="false"/>
    <row r="40" customFormat="false" ht="14.65" hidden="true" customHeight="false" outlineLevel="0" collapsed="false">
      <c r="A40" s="1" t="s">
        <v>235</v>
      </c>
    </row>
    <row r="41" customFormat="false" ht="14.65" hidden="true" customHeight="false" outlineLevel="0" collapsed="false">
      <c r="A41" s="1" t="s">
        <v>236</v>
      </c>
    </row>
    <row r="42" customFormat="false" ht="14.65" hidden="true" customHeight="false" outlineLevel="0" collapsed="false"/>
    <row r="43" customFormat="false" ht="14.65" hidden="true" customHeight="false" outlineLevel="0" collapsed="false">
      <c r="A43" s="1" t="s">
        <v>237</v>
      </c>
    </row>
    <row r="44" customFormat="false" ht="14.65" hidden="true" customHeight="false" outlineLevel="0" collapsed="false">
      <c r="A44" s="1" t="s">
        <v>238</v>
      </c>
    </row>
    <row r="45" customFormat="false" ht="14.65" hidden="true" customHeight="false" outlineLevel="0" collapsed="false"/>
  </sheetData>
  <sheetProtection sheet="true" objects="true" scenarios="true" insertColumns="false" insertRows="false" deleteColumns="false" deleteRows="false"/>
  <conditionalFormatting sqref="C38">
    <cfRule type="cellIs" priority="2" operator="greaterThan" aboveAverage="0" equalAverage="0" bottom="0" percent="0" rank="0" text="" dxfId="7">
      <formula>$C$36</formula>
    </cfRule>
  </conditionalFormatting>
  <conditionalFormatting sqref="D38">
    <cfRule type="cellIs" priority="3" operator="greaterThan" aboveAverage="0" equalAverage="0" bottom="0" percent="0" rank="0" text="" dxfId="8">
      <formula>$D$36</formula>
    </cfRule>
  </conditionalFormatting>
  <conditionalFormatting sqref="E38">
    <cfRule type="cellIs" priority="4" operator="greaterThan" aboveAverage="0" equalAverage="0" bottom="0" percent="0" rank="0" text="" dxfId="9">
      <formula>$E$36</formula>
    </cfRule>
  </conditionalFormatting>
  <conditionalFormatting sqref="F38">
    <cfRule type="cellIs" priority="5" operator="greaterThan" aboveAverage="0" equalAverage="0" bottom="0" percent="0" rank="0" text="" dxfId="10">
      <formula>$F$36</formula>
    </cfRule>
  </conditionalFormatting>
  <conditionalFormatting sqref="G38">
    <cfRule type="cellIs" priority="6" operator="greaterThan" aboveAverage="0" equalAverage="0" bottom="0" percent="0" rank="0" text="" dxfId="11">
      <formula>$G$36</formula>
    </cfRule>
  </conditionalFormatting>
  <conditionalFormatting sqref="C22">
    <cfRule type="cellIs" priority="7" operator="greaterThan" aboveAverage="0" equalAverage="0" bottom="0" percent="0" rank="0" text="" dxfId="12">
      <formula>$C$20</formula>
    </cfRule>
  </conditionalFormatting>
  <conditionalFormatting sqref="D22">
    <cfRule type="cellIs" priority="8" operator="greaterThan" aboveAverage="0" equalAverage="0" bottom="0" percent="0" rank="0" text="" dxfId="13">
      <formula>$D$20</formula>
    </cfRule>
  </conditionalFormatting>
  <conditionalFormatting sqref="E22">
    <cfRule type="cellIs" priority="9" operator="greaterThan" aboveAverage="0" equalAverage="0" bottom="0" percent="0" rank="0" text="" dxfId="14">
      <formula>$E$20</formula>
    </cfRule>
  </conditionalFormatting>
  <conditionalFormatting sqref="F22">
    <cfRule type="cellIs" priority="10" operator="greaterThan" aboveAverage="0" equalAverage="0" bottom="0" percent="0" rank="0" text="" dxfId="15">
      <formula>$F$20</formula>
    </cfRule>
  </conditionalFormatting>
  <conditionalFormatting sqref="G22">
    <cfRule type="cellIs" priority="11" operator="greaterThan" aboveAverage="0" equalAverage="0" bottom="0" percent="0" rank="0" text="" dxfId="16">
      <formula>$G$20</formula>
    </cfRule>
  </conditionalFormatting>
  <conditionalFormatting sqref="G30">
    <cfRule type="cellIs" priority="12" operator="greaterThan" aboveAverage="0" equalAverage="0" bottom="0" percent="0" rank="0" text="" dxfId="17">
      <formula>$G$28</formula>
    </cfRule>
  </conditionalFormatting>
  <conditionalFormatting sqref="F30">
    <cfRule type="cellIs" priority="13" operator="greaterThan" aboveAverage="0" equalAverage="0" bottom="0" percent="0" rank="0" text="" dxfId="18">
      <formula>$F$28</formula>
    </cfRule>
  </conditionalFormatting>
  <conditionalFormatting sqref="E30">
    <cfRule type="cellIs" priority="14" operator="greaterThan" aboveAverage="0" equalAverage="0" bottom="0" percent="0" rank="0" text="" dxfId="19">
      <formula>$E$28</formula>
    </cfRule>
  </conditionalFormatting>
  <conditionalFormatting sqref="D30">
    <cfRule type="cellIs" priority="15" operator="greaterThan" aboveAverage="0" equalAverage="0" bottom="0" percent="0" rank="0" text="" dxfId="20">
      <formula>$D$28</formula>
    </cfRule>
  </conditionalFormatting>
  <conditionalFormatting sqref="C30">
    <cfRule type="cellIs" priority="16" operator="greaterThan" aboveAverage="0" equalAverage="0" bottom="0" percent="0" rank="0" text="" dxfId="21">
      <formula>$C$28</formula>
    </cfRule>
  </conditionalFormatting>
  <dataValidations count="1">
    <dataValidation allowBlank="true" operator="equal" showDropDown="false" showErrorMessage="true" showInputMessage="false" sqref="C35:G35" type="list">
      <formula1>$K$35:$K$36</formula1>
      <formula2>0</formula2>
    </dataValidation>
  </dataValidations>
  <printOptions headings="false" gridLines="false" gridLinesSet="true" horizontalCentered="false" verticalCentered="false"/>
  <pageMargins left="0.7" right="0.579861111111111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BL3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" activeCellId="0" sqref="A1"/>
    </sheetView>
  </sheetViews>
  <sheetFormatPr defaultColWidth="9.171875" defaultRowHeight="14.65" zeroHeight="false" outlineLevelRow="0" outlineLevelCol="0"/>
  <cols>
    <col collapsed="false" customWidth="true" hidden="false" outlineLevel="0" max="1" min="1" style="0" width="45.48"/>
    <col collapsed="false" customWidth="false" hidden="true" outlineLevel="0" max="4" min="3" style="0" width="9.16"/>
    <col collapsed="false" customWidth="false" hidden="true" outlineLevel="0" max="7" min="6" style="0" width="9.16"/>
    <col collapsed="false" customWidth="false" hidden="true" outlineLevel="0" max="10" min="9" style="0" width="9.16"/>
    <col collapsed="false" customWidth="false" hidden="true" outlineLevel="0" max="13" min="12" style="0" width="9.16"/>
    <col collapsed="false" customWidth="true" hidden="false" outlineLevel="0" max="15" min="15" style="0" width="10.52"/>
  </cols>
  <sheetData>
    <row r="1" customFormat="false" ht="14.65" hidden="false" customHeight="false" outlineLevel="0" collapsed="false">
      <c r="A1" s="1" t="s">
        <v>239</v>
      </c>
      <c r="B1" s="193"/>
    </row>
    <row r="2" customFormat="false" ht="14.65" hidden="false" customHeight="false" outlineLevel="0" collapsed="false">
      <c r="A2" s="194" t="s">
        <v>240</v>
      </c>
      <c r="B2" s="195" t="n">
        <f aca="false">'F1FRV SWR BRIDGE'!B3</f>
        <v>50</v>
      </c>
      <c r="C2" s="195" t="n">
        <f aca="false">B2</f>
        <v>50</v>
      </c>
      <c r="D2" s="195" t="n">
        <f aca="false">C2</f>
        <v>50</v>
      </c>
      <c r="E2" s="195" t="n">
        <f aca="false">D2</f>
        <v>50</v>
      </c>
      <c r="F2" s="195" t="n">
        <f aca="false">E2</f>
        <v>50</v>
      </c>
      <c r="G2" s="195" t="n">
        <f aca="false">F2</f>
        <v>50</v>
      </c>
      <c r="H2" s="195" t="n">
        <f aca="false">G2</f>
        <v>50</v>
      </c>
      <c r="I2" s="195" t="n">
        <f aca="false">H2</f>
        <v>50</v>
      </c>
      <c r="J2" s="195" t="n">
        <f aca="false">I2</f>
        <v>50</v>
      </c>
      <c r="K2" s="195" t="n">
        <f aca="false">J2</f>
        <v>50</v>
      </c>
      <c r="L2" s="195" t="n">
        <f aca="false">K2</f>
        <v>50</v>
      </c>
      <c r="M2" s="195" t="n">
        <f aca="false">L2</f>
        <v>50</v>
      </c>
      <c r="N2" s="195" t="n">
        <f aca="false">M2</f>
        <v>50</v>
      </c>
      <c r="O2" s="196" t="s">
        <v>241</v>
      </c>
      <c r="P2" s="195"/>
      <c r="Q2" s="195"/>
      <c r="R2" s="195"/>
      <c r="S2" s="195"/>
      <c r="T2" s="195"/>
      <c r="U2" s="195"/>
      <c r="V2" s="195"/>
      <c r="W2" s="195"/>
      <c r="X2" s="195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  <c r="AU2" s="194"/>
      <c r="AV2" s="194"/>
      <c r="AW2" s="194"/>
      <c r="AX2" s="194"/>
      <c r="AY2" s="194"/>
      <c r="AZ2" s="194"/>
      <c r="BA2" s="194"/>
      <c r="BB2" s="194"/>
      <c r="BC2" s="194"/>
      <c r="BD2" s="194"/>
      <c r="BE2" s="194"/>
      <c r="BF2" s="194"/>
      <c r="BG2" s="194"/>
      <c r="BH2" s="194"/>
      <c r="BI2" s="194"/>
      <c r="BJ2" s="194"/>
      <c r="BK2" s="194"/>
      <c r="BL2" s="194"/>
    </row>
    <row r="3" customFormat="false" ht="14.65" hidden="false" customHeight="false" outlineLevel="0" collapsed="false">
      <c r="A3" s="194" t="s">
        <v>242</v>
      </c>
      <c r="B3" s="195" t="n">
        <f aca="false">'F1FRV SWR BRIDGE'!B4</f>
        <v>2250</v>
      </c>
      <c r="C3" s="195" t="n">
        <f aca="false">B3</f>
        <v>2250</v>
      </c>
      <c r="D3" s="195" t="n">
        <f aca="false">C3</f>
        <v>2250</v>
      </c>
      <c r="E3" s="195" t="n">
        <f aca="false">D3</f>
        <v>2250</v>
      </c>
      <c r="F3" s="195" t="n">
        <f aca="false">E3</f>
        <v>2250</v>
      </c>
      <c r="G3" s="195" t="n">
        <f aca="false">F3</f>
        <v>2250</v>
      </c>
      <c r="H3" s="195" t="n">
        <f aca="false">G3</f>
        <v>2250</v>
      </c>
      <c r="I3" s="195" t="n">
        <f aca="false">H3</f>
        <v>2250</v>
      </c>
      <c r="J3" s="195" t="n">
        <f aca="false">I3</f>
        <v>2250</v>
      </c>
      <c r="K3" s="195" t="n">
        <f aca="false">J3</f>
        <v>2250</v>
      </c>
      <c r="L3" s="195" t="n">
        <f aca="false">K3</f>
        <v>2250</v>
      </c>
      <c r="M3" s="195" t="n">
        <f aca="false">L3</f>
        <v>2250</v>
      </c>
      <c r="N3" s="195" t="n">
        <f aca="false">M3</f>
        <v>2250</v>
      </c>
      <c r="O3" s="194" t="s">
        <v>243</v>
      </c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194"/>
      <c r="AV3" s="194"/>
      <c r="AW3" s="194"/>
      <c r="AX3" s="194"/>
      <c r="AY3" s="194"/>
      <c r="AZ3" s="194"/>
      <c r="BA3" s="194"/>
      <c r="BB3" s="194"/>
      <c r="BC3" s="194"/>
      <c r="BD3" s="194"/>
      <c r="BE3" s="194"/>
      <c r="BF3" s="194"/>
      <c r="BG3" s="194"/>
      <c r="BH3" s="194"/>
      <c r="BI3" s="194"/>
      <c r="BJ3" s="194"/>
      <c r="BK3" s="194"/>
      <c r="BL3" s="194"/>
    </row>
    <row r="4" customFormat="false" ht="14.65" hidden="false" customHeight="false" outlineLevel="0" collapsed="false">
      <c r="A4" s="194" t="s">
        <v>244</v>
      </c>
      <c r="B4" s="197" t="n">
        <f aca="false">'F1FRV SWR BRIDGE'!B5</f>
        <v>10</v>
      </c>
      <c r="C4" s="197" t="n">
        <f aca="false">B4</f>
        <v>10</v>
      </c>
      <c r="D4" s="197" t="n">
        <f aca="false">C4</f>
        <v>10</v>
      </c>
      <c r="E4" s="197" t="n">
        <f aca="false">D4</f>
        <v>10</v>
      </c>
      <c r="F4" s="197" t="n">
        <f aca="false">E4</f>
        <v>10</v>
      </c>
      <c r="G4" s="197" t="n">
        <f aca="false">F4</f>
        <v>10</v>
      </c>
      <c r="H4" s="197" t="n">
        <f aca="false">G4</f>
        <v>10</v>
      </c>
      <c r="I4" s="197" t="n">
        <f aca="false">H4</f>
        <v>10</v>
      </c>
      <c r="J4" s="197" t="n">
        <f aca="false">I4</f>
        <v>10</v>
      </c>
      <c r="K4" s="197" t="n">
        <f aca="false">J4</f>
        <v>10</v>
      </c>
      <c r="L4" s="197" t="n">
        <f aca="false">K4</f>
        <v>10</v>
      </c>
      <c r="M4" s="197" t="n">
        <f aca="false">L4</f>
        <v>10</v>
      </c>
      <c r="N4" s="197" t="n">
        <f aca="false">M4</f>
        <v>10</v>
      </c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4"/>
      <c r="AT4" s="194"/>
      <c r="AU4" s="194"/>
      <c r="AV4" s="194"/>
      <c r="AW4" s="194"/>
      <c r="AX4" s="194"/>
      <c r="AY4" s="194"/>
      <c r="AZ4" s="194"/>
      <c r="BA4" s="194"/>
      <c r="BB4" s="194"/>
      <c r="BC4" s="194"/>
      <c r="BD4" s="194"/>
      <c r="BE4" s="194"/>
      <c r="BF4" s="194"/>
      <c r="BG4" s="194"/>
      <c r="BH4" s="194"/>
      <c r="BI4" s="194"/>
      <c r="BJ4" s="194"/>
      <c r="BK4" s="194"/>
      <c r="BL4" s="194"/>
    </row>
    <row r="5" customFormat="false" ht="14.65" hidden="false" customHeight="false" outlineLevel="0" collapsed="false">
      <c r="A5" s="1" t="s">
        <v>245</v>
      </c>
      <c r="B5" s="198" t="n">
        <v>0</v>
      </c>
      <c r="C5" s="198" t="n">
        <v>15</v>
      </c>
      <c r="D5" s="198" t="n">
        <v>30</v>
      </c>
      <c r="E5" s="198" t="n">
        <v>45</v>
      </c>
      <c r="F5" s="198" t="n">
        <v>60</v>
      </c>
      <c r="G5" s="198" t="n">
        <v>75</v>
      </c>
      <c r="H5" s="198" t="n">
        <v>90</v>
      </c>
      <c r="I5" s="198" t="n">
        <v>105</v>
      </c>
      <c r="J5" s="198" t="n">
        <v>120</v>
      </c>
      <c r="K5" s="198" t="n">
        <v>135</v>
      </c>
      <c r="L5" s="198" t="n">
        <v>150</v>
      </c>
      <c r="M5" s="198" t="n">
        <v>165</v>
      </c>
      <c r="N5" s="198" t="n">
        <v>180</v>
      </c>
      <c r="O5" s="1" t="s">
        <v>246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customFormat="false" ht="14.65" hidden="false" customHeight="false" outlineLevel="0" collapsed="false">
      <c r="A6" s="0" t="s">
        <v>247</v>
      </c>
      <c r="B6" s="199" t="n">
        <f aca="false">(B4-1)/(B4+1)</f>
        <v>0.818181818181818</v>
      </c>
      <c r="C6" s="199" t="n">
        <f aca="false">(C4-1)/(C4+1)</f>
        <v>0.818181818181818</v>
      </c>
      <c r="D6" s="199" t="n">
        <f aca="false">(D4-1)/(D4+1)</f>
        <v>0.818181818181818</v>
      </c>
      <c r="E6" s="199" t="n">
        <f aca="false">(E4-1)/(E4+1)</f>
        <v>0.818181818181818</v>
      </c>
      <c r="F6" s="199" t="n">
        <f aca="false">(F4-1)/(F4+1)</f>
        <v>0.818181818181818</v>
      </c>
      <c r="G6" s="199" t="n">
        <f aca="false">(G4-1)/(G4+1)</f>
        <v>0.818181818181818</v>
      </c>
      <c r="H6" s="199" t="n">
        <f aca="false">(H4-1)/(H4+1)</f>
        <v>0.818181818181818</v>
      </c>
      <c r="I6" s="199" t="n">
        <f aca="false">(I4-1)/(I4+1)</f>
        <v>0.818181818181818</v>
      </c>
      <c r="J6" s="199" t="n">
        <f aca="false">(J4-1)/(J4+1)</f>
        <v>0.818181818181818</v>
      </c>
      <c r="K6" s="199" t="n">
        <f aca="false">(K4-1)/(K4+1)</f>
        <v>0.818181818181818</v>
      </c>
      <c r="L6" s="199" t="n">
        <f aca="false">(L4-1)/(L4+1)</f>
        <v>0.818181818181818</v>
      </c>
      <c r="M6" s="199" t="n">
        <f aca="false">(M4-1)/(M4+1)</f>
        <v>0.818181818181818</v>
      </c>
      <c r="N6" s="199" t="n">
        <f aca="false">(N4-1)/(N4+1)</f>
        <v>0.818181818181818</v>
      </c>
    </row>
    <row r="7" customFormat="false" ht="14.65" hidden="false" customHeight="false" outlineLevel="0" collapsed="false">
      <c r="A7" s="0" t="s">
        <v>248</v>
      </c>
      <c r="B7" s="200" t="n">
        <f aca="false">(B3*B2/(1-B6^2))^0.5</f>
        <v>583.363094478902</v>
      </c>
      <c r="C7" s="200" t="n">
        <f aca="false">(C3*C2/(1-C6^2))^0.5</f>
        <v>583.363094478902</v>
      </c>
      <c r="D7" s="200" t="n">
        <f aca="false">(D3*D2/(1-D6^2))^0.5</f>
        <v>583.363094478902</v>
      </c>
      <c r="E7" s="200" t="n">
        <f aca="false">(E3*E2/(1-E6^2))^0.5</f>
        <v>583.363094478902</v>
      </c>
      <c r="F7" s="200" t="n">
        <f aca="false">(F3*F2/(1-F6^2))^0.5</f>
        <v>583.363094478902</v>
      </c>
      <c r="G7" s="200" t="n">
        <f aca="false">(G3*G2/(1-G6^2))^0.5</f>
        <v>583.363094478902</v>
      </c>
      <c r="H7" s="200" t="n">
        <f aca="false">(H3*H2/(1-H6^2))^0.5</f>
        <v>583.363094478902</v>
      </c>
      <c r="I7" s="200" t="n">
        <f aca="false">(I3*I2/(1-I6^2))^0.5</f>
        <v>583.363094478902</v>
      </c>
      <c r="J7" s="200" t="n">
        <f aca="false">(J3*J2/(1-J6^2))^0.5</f>
        <v>583.363094478902</v>
      </c>
      <c r="K7" s="200" t="n">
        <f aca="false">(K3*K2/(1-K6^2))^0.5</f>
        <v>583.363094478902</v>
      </c>
      <c r="L7" s="200" t="n">
        <f aca="false">(L3*L2/(1-L6^2))^0.5</f>
        <v>583.363094478902</v>
      </c>
      <c r="M7" s="200" t="n">
        <f aca="false">(M3*M2/(1-M6^2))^0.5</f>
        <v>583.363094478902</v>
      </c>
      <c r="N7" s="200" t="n">
        <f aca="false">(N3*N2/(1-N6^2))^0.5</f>
        <v>583.363094478902</v>
      </c>
      <c r="O7" s="0" t="s">
        <v>249</v>
      </c>
    </row>
    <row r="8" customFormat="false" ht="14.65" hidden="false" customHeight="false" outlineLevel="0" collapsed="false">
      <c r="A8" s="0" t="s">
        <v>250</v>
      </c>
      <c r="B8" s="199" t="n">
        <f aca="false">B7/B2</f>
        <v>11.667261889578</v>
      </c>
      <c r="C8" s="199" t="n">
        <f aca="false">C7/C2</f>
        <v>11.667261889578</v>
      </c>
      <c r="D8" s="199" t="n">
        <f aca="false">D7/D2</f>
        <v>11.667261889578</v>
      </c>
      <c r="E8" s="199" t="n">
        <f aca="false">E7/E2</f>
        <v>11.667261889578</v>
      </c>
      <c r="F8" s="199" t="n">
        <f aca="false">F7/F2</f>
        <v>11.667261889578</v>
      </c>
      <c r="G8" s="199" t="n">
        <f aca="false">G7/G2</f>
        <v>11.667261889578</v>
      </c>
      <c r="H8" s="199" t="n">
        <f aca="false">H7/H2</f>
        <v>11.667261889578</v>
      </c>
      <c r="I8" s="199" t="n">
        <f aca="false">I7/I2</f>
        <v>11.667261889578</v>
      </c>
      <c r="J8" s="199" t="n">
        <f aca="false">J7/J2</f>
        <v>11.667261889578</v>
      </c>
      <c r="K8" s="199" t="n">
        <f aca="false">K7/K2</f>
        <v>11.667261889578</v>
      </c>
      <c r="L8" s="199" t="n">
        <f aca="false">L7/L2</f>
        <v>11.667261889578</v>
      </c>
      <c r="M8" s="199" t="n">
        <f aca="false">M7/M2</f>
        <v>11.667261889578</v>
      </c>
      <c r="N8" s="199" t="n">
        <f aca="false">N7/N2</f>
        <v>11.667261889578</v>
      </c>
      <c r="O8" s="0" t="s">
        <v>251</v>
      </c>
    </row>
    <row r="9" customFormat="false" ht="14.65" hidden="false" customHeight="false" outlineLevel="0" collapsed="false">
      <c r="A9" s="194" t="s">
        <v>252</v>
      </c>
      <c r="B9" s="195" t="n">
        <f aca="false">B7*B8</f>
        <v>6806.25</v>
      </c>
      <c r="C9" s="195" t="n">
        <f aca="false">C7*C8</f>
        <v>6806.25</v>
      </c>
      <c r="D9" s="195" t="n">
        <f aca="false">D7*D8</f>
        <v>6806.25</v>
      </c>
      <c r="E9" s="195" t="n">
        <f aca="false">E7*E8</f>
        <v>6806.25</v>
      </c>
      <c r="F9" s="195" t="n">
        <f aca="false">F7*F8</f>
        <v>6806.25</v>
      </c>
      <c r="G9" s="195" t="n">
        <f aca="false">G7*G8</f>
        <v>6806.25</v>
      </c>
      <c r="H9" s="195" t="n">
        <f aca="false">H7*H8</f>
        <v>6806.25</v>
      </c>
      <c r="I9" s="195" t="n">
        <f aca="false">I7*I8</f>
        <v>6806.25</v>
      </c>
      <c r="J9" s="195" t="n">
        <f aca="false">J7*J8</f>
        <v>6806.25</v>
      </c>
      <c r="K9" s="195" t="n">
        <f aca="false">K7*K8</f>
        <v>6806.25</v>
      </c>
      <c r="L9" s="195" t="n">
        <f aca="false">L7*L8</f>
        <v>6806.25</v>
      </c>
      <c r="M9" s="195" t="n">
        <f aca="false">M7*M8</f>
        <v>6806.25</v>
      </c>
      <c r="N9" s="195" t="n">
        <f aca="false">N7*N8</f>
        <v>6806.25</v>
      </c>
      <c r="O9" s="194" t="s">
        <v>243</v>
      </c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</row>
    <row r="10" customFormat="false" ht="14.65" hidden="false" customHeight="false" outlineLevel="0" collapsed="false">
      <c r="A10" s="0" t="s">
        <v>253</v>
      </c>
      <c r="B10" s="200" t="n">
        <f aca="false">B7*B6</f>
        <v>477.297077300919</v>
      </c>
      <c r="C10" s="200" t="n">
        <f aca="false">C7*C6</f>
        <v>477.297077300919</v>
      </c>
      <c r="D10" s="200" t="n">
        <f aca="false">D7*D6</f>
        <v>477.297077300919</v>
      </c>
      <c r="E10" s="200" t="n">
        <f aca="false">E7*E6</f>
        <v>477.297077300919</v>
      </c>
      <c r="F10" s="200" t="n">
        <f aca="false">F7*F6</f>
        <v>477.297077300919</v>
      </c>
      <c r="G10" s="200" t="n">
        <f aca="false">G7*G6</f>
        <v>477.297077300919</v>
      </c>
      <c r="H10" s="200" t="n">
        <f aca="false">H7*H6</f>
        <v>477.297077300919</v>
      </c>
      <c r="I10" s="200" t="n">
        <f aca="false">I7*I6</f>
        <v>477.297077300919</v>
      </c>
      <c r="J10" s="200" t="n">
        <f aca="false">J7*J6</f>
        <v>477.297077300919</v>
      </c>
      <c r="K10" s="200" t="n">
        <f aca="false">K7*K6</f>
        <v>477.297077300919</v>
      </c>
      <c r="L10" s="200" t="n">
        <f aca="false">L7*L6</f>
        <v>477.297077300919</v>
      </c>
      <c r="M10" s="200" t="n">
        <f aca="false">M7*M6</f>
        <v>477.297077300919</v>
      </c>
      <c r="N10" s="200" t="n">
        <f aca="false">N7*N6</f>
        <v>477.297077300919</v>
      </c>
      <c r="O10" s="0" t="s">
        <v>249</v>
      </c>
    </row>
    <row r="11" customFormat="false" ht="14.65" hidden="false" customHeight="false" outlineLevel="0" collapsed="false">
      <c r="A11" s="0" t="s">
        <v>254</v>
      </c>
      <c r="B11" s="199" t="n">
        <f aca="false">B10/B2</f>
        <v>9.54594154601839</v>
      </c>
      <c r="C11" s="199" t="n">
        <f aca="false">C10/C2</f>
        <v>9.54594154601839</v>
      </c>
      <c r="D11" s="199" t="n">
        <f aca="false">D10/D2</f>
        <v>9.54594154601839</v>
      </c>
      <c r="E11" s="199" t="n">
        <f aca="false">E10/E2</f>
        <v>9.54594154601839</v>
      </c>
      <c r="F11" s="199" t="n">
        <f aca="false">F10/F2</f>
        <v>9.54594154601839</v>
      </c>
      <c r="G11" s="199" t="n">
        <f aca="false">G10/G2</f>
        <v>9.54594154601839</v>
      </c>
      <c r="H11" s="199" t="n">
        <f aca="false">H10/H2</f>
        <v>9.54594154601839</v>
      </c>
      <c r="I11" s="199" t="n">
        <f aca="false">I10/I2</f>
        <v>9.54594154601839</v>
      </c>
      <c r="J11" s="199" t="n">
        <f aca="false">J10/J2</f>
        <v>9.54594154601839</v>
      </c>
      <c r="K11" s="199" t="n">
        <f aca="false">K10/K2</f>
        <v>9.54594154601839</v>
      </c>
      <c r="L11" s="199" t="n">
        <f aca="false">L10/L2</f>
        <v>9.54594154601839</v>
      </c>
      <c r="M11" s="199" t="n">
        <f aca="false">M10/M2</f>
        <v>9.54594154601839</v>
      </c>
      <c r="N11" s="199" t="n">
        <f aca="false">N10/N2</f>
        <v>9.54594154601839</v>
      </c>
      <c r="O11" s="0" t="s">
        <v>251</v>
      </c>
    </row>
    <row r="12" customFormat="false" ht="14.65" hidden="false" customHeight="false" outlineLevel="0" collapsed="false">
      <c r="A12" s="194" t="s">
        <v>255</v>
      </c>
      <c r="B12" s="195" t="n">
        <f aca="false">B10*B11</f>
        <v>4556.25</v>
      </c>
      <c r="C12" s="195" t="n">
        <f aca="false">C10*C11</f>
        <v>4556.25</v>
      </c>
      <c r="D12" s="195" t="n">
        <f aca="false">D10*D11</f>
        <v>4556.25</v>
      </c>
      <c r="E12" s="195" t="n">
        <f aca="false">E10*E11</f>
        <v>4556.25</v>
      </c>
      <c r="F12" s="195" t="n">
        <f aca="false">F10*F11</f>
        <v>4556.25</v>
      </c>
      <c r="G12" s="195" t="n">
        <f aca="false">G10*G11</f>
        <v>4556.25</v>
      </c>
      <c r="H12" s="195" t="n">
        <f aca="false">H10*H11</f>
        <v>4556.25</v>
      </c>
      <c r="I12" s="195" t="n">
        <f aca="false">I10*I11</f>
        <v>4556.25</v>
      </c>
      <c r="J12" s="195" t="n">
        <f aca="false">J10*J11</f>
        <v>4556.25</v>
      </c>
      <c r="K12" s="195" t="n">
        <f aca="false">K10*K11</f>
        <v>4556.25</v>
      </c>
      <c r="L12" s="195" t="n">
        <f aca="false">L10*L11</f>
        <v>4556.25</v>
      </c>
      <c r="M12" s="195" t="n">
        <f aca="false">M10*M11</f>
        <v>4556.25</v>
      </c>
      <c r="N12" s="195" t="n">
        <f aca="false">N10*N11</f>
        <v>4556.25</v>
      </c>
      <c r="O12" s="194" t="s">
        <v>243</v>
      </c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94"/>
      <c r="BB12" s="194"/>
      <c r="BC12" s="194"/>
      <c r="BD12" s="194"/>
      <c r="BE12" s="194"/>
      <c r="BF12" s="194"/>
      <c r="BG12" s="194"/>
      <c r="BH12" s="194"/>
      <c r="BI12" s="194"/>
      <c r="BJ12" s="194"/>
      <c r="BK12" s="194"/>
      <c r="BL12" s="194"/>
    </row>
    <row r="13" customFormat="false" ht="14.65" hidden="false" customHeight="false" outlineLevel="0" collapsed="false">
      <c r="A13" s="0" t="s">
        <v>256</v>
      </c>
      <c r="B13" s="200" t="n">
        <f aca="false">(B7^2+B10^2+2*B7*B10*COS(RADIANS(B5)))^0.5</f>
        <v>1060.66017177982</v>
      </c>
      <c r="C13" s="200" t="n">
        <f aca="false">(C7^2+C10^2+2*C7*C10*COS(RADIANS(C5)))^0.5</f>
        <v>1051.67720547453</v>
      </c>
      <c r="D13" s="200" t="n">
        <f aca="false">(D7^2+D10^2+2*D7*D10*COS(RADIANS(D5)))^0.5</f>
        <v>1024.88677264001</v>
      </c>
      <c r="E13" s="200" t="n">
        <f aca="false">(E7^2+E10^2+2*E7*E10*COS(RADIANS(E5)))^0.5</f>
        <v>980.762503755755</v>
      </c>
      <c r="F13" s="200" t="n">
        <f aca="false">(F7^2+F10^2+2*F7*F10*COS(RADIANS(F5)))^0.5</f>
        <v>920.088310978897</v>
      </c>
      <c r="G13" s="200" t="n">
        <f aca="false">(G7^2+G10^2+2*G7*G10*COS(RADIANS(G5)))^0.5</f>
        <v>843.951927387731</v>
      </c>
      <c r="H13" s="200" t="n">
        <f aca="false">(H7^2+H10^2+2*H7*H10*COS(RADIANS(H5)))^0.5</f>
        <v>753.740671584067</v>
      </c>
      <c r="I13" s="200" t="n">
        <f aca="false">(I7^2+I10^2+2*I7*I10*COS(RADIANS(I5)))^0.5</f>
        <v>651.149095260474</v>
      </c>
      <c r="J13" s="200" t="n">
        <f aca="false">(J7^2+J10^2+2*J7*J10*COS(RADIANS(J5)))^0.5</f>
        <v>538.226253540275</v>
      </c>
      <c r="K13" s="200" t="n">
        <f aca="false">(K7^2+K10^2+2*K7*K10*COS(RADIANS(K5)))^0.5</f>
        <v>417.558272851516</v>
      </c>
      <c r="L13" s="200" t="n">
        <f aca="false">(L7^2+L10^2+2*L7*L10*COS(RADIANS(L5)))^0.5</f>
        <v>293.013827775313</v>
      </c>
      <c r="M13" s="200" t="n">
        <f aca="false">(M7^2+M10^2+2*M7*M10*COS(RADIANS(M5)))^0.5</f>
        <v>173.853546081968</v>
      </c>
      <c r="N13" s="200" t="n">
        <f aca="false">(N7^2+N10^2+2*N7*N10*COS(RADIANS(N5)))^0.5</f>
        <v>106.066017177982</v>
      </c>
      <c r="O13" s="0" t="s">
        <v>249</v>
      </c>
    </row>
    <row r="14" customFormat="false" ht="14.65" hidden="false" customHeight="false" outlineLevel="0" collapsed="false">
      <c r="A14" s="0" t="s">
        <v>257</v>
      </c>
      <c r="B14" s="199" t="n">
        <f aca="false">ATAN(B10*SIN(RADIANS(B5))/(B7+B10*COS(RADIANS(B5))))</f>
        <v>0</v>
      </c>
      <c r="C14" s="199" t="n">
        <f aca="false">ATAN(C10*SIN(RADIANS(C5))/(C7+C10*COS(RADIANS(C5))))</f>
        <v>0.117735204678789</v>
      </c>
      <c r="D14" s="199" t="n">
        <f aca="false">ATAN(D10*SIN(RADIANS(D5))/(D7+D10*COS(RADIANS(D5))))</f>
        <v>0.235010878423839</v>
      </c>
      <c r="E14" s="199" t="n">
        <f aca="false">ATAN(E10*SIN(RADIANS(E5))/(E7+E10*COS(RADIANS(E5))))</f>
        <v>0.351301390375265</v>
      </c>
      <c r="F14" s="199" t="n">
        <f aca="false">ATAN(F10*SIN(RADIANS(F5))/(F7+F10*COS(RADIANS(F5))))</f>
        <v>0.465927770713873</v>
      </c>
      <c r="G14" s="199" t="n">
        <f aca="false">ATAN(G10*SIN(RADIANS(G5))/(G7+G10*COS(RADIANS(G5))))</f>
        <v>0.577915839235016</v>
      </c>
      <c r="H14" s="199" t="n">
        <f aca="false">ATAN(H10*SIN(RADIANS(H5))/(H7+H10*COS(RADIANS(H5))))</f>
        <v>0.685729510906286</v>
      </c>
      <c r="I14" s="199" t="n">
        <f aca="false">ATAN(I10*SIN(RADIANS(I5))/(I7+I10*COS(RADIANS(I5))))</f>
        <v>0.786705689344197</v>
      </c>
      <c r="J14" s="199" t="n">
        <f aca="false">ATAN(J10*SIN(RADIANS(J5))/(J7+J10*COS(RADIANS(J5))))</f>
        <v>0.875693997194184</v>
      </c>
      <c r="K14" s="199" t="n">
        <f aca="false">ATAN(K10*SIN(RADIANS(K5))/(K7+K10*COS(RADIANS(K5))))</f>
        <v>0.941208753524033</v>
      </c>
      <c r="L14" s="199" t="n">
        <f aca="false">ATAN(L10*SIN(RADIANS(L5))/(L7+L10*COS(RADIANS(L5))))</f>
        <v>0.951800824416038</v>
      </c>
      <c r="M14" s="199" t="n">
        <f aca="false">ATAN(M10*SIN(RADIANS(M5))/(M7+M10*COS(RADIANS(M5))))</f>
        <v>0.790295374394729</v>
      </c>
      <c r="N14" s="199" t="n">
        <f aca="false">ATAN(N10*SIN(RADIANS(N5))/(N7+N10*COS(RADIANS(N5))))</f>
        <v>5.51091059616308E-016</v>
      </c>
      <c r="O14" s="0" t="s">
        <v>258</v>
      </c>
    </row>
    <row r="15" customFormat="false" ht="14.65" hidden="false" customHeight="false" outlineLevel="0" collapsed="false">
      <c r="A15" s="0" t="s">
        <v>259</v>
      </c>
      <c r="B15" s="201" t="n">
        <f aca="false">(B12/B9)*100</f>
        <v>66.9421487603306</v>
      </c>
      <c r="C15" s="201" t="n">
        <f aca="false">(C12/C9)*100</f>
        <v>66.9421487603306</v>
      </c>
      <c r="D15" s="201" t="n">
        <f aca="false">(D12/D9)*100</f>
        <v>66.9421487603306</v>
      </c>
      <c r="E15" s="201" t="n">
        <f aca="false">(E12/E9)*100</f>
        <v>66.9421487603306</v>
      </c>
      <c r="F15" s="201" t="n">
        <f aca="false">(F12/F9)*100</f>
        <v>66.9421487603306</v>
      </c>
      <c r="G15" s="201" t="n">
        <f aca="false">(G12/G9)*100</f>
        <v>66.9421487603306</v>
      </c>
      <c r="H15" s="201" t="n">
        <f aca="false">(H12/H9)*100</f>
        <v>66.9421487603306</v>
      </c>
      <c r="I15" s="201" t="n">
        <f aca="false">(I12/I9)*100</f>
        <v>66.9421487603306</v>
      </c>
      <c r="J15" s="201" t="n">
        <f aca="false">(J12/J9)*100</f>
        <v>66.9421487603306</v>
      </c>
      <c r="K15" s="201" t="n">
        <f aca="false">(K12/K9)*100</f>
        <v>66.9421487603306</v>
      </c>
      <c r="L15" s="201" t="n">
        <f aca="false">(L12/L9)*100</f>
        <v>66.9421487603306</v>
      </c>
      <c r="M15" s="201" t="n">
        <f aca="false">(M12/M9)*100</f>
        <v>66.9421487603306</v>
      </c>
      <c r="N15" s="201" t="n">
        <f aca="false">(N12/N9)*100</f>
        <v>66.9421487603306</v>
      </c>
      <c r="O15" s="0" t="s">
        <v>148</v>
      </c>
    </row>
    <row r="16" customFormat="false" ht="14.65" hidden="false" customHeight="false" outlineLevel="0" collapsed="false">
      <c r="A16" s="0" t="s">
        <v>260</v>
      </c>
      <c r="B16" s="201" t="n">
        <f aca="false">(B10/B7)*100</f>
        <v>81.8181818181818</v>
      </c>
      <c r="C16" s="201" t="n">
        <f aca="false">(C10/C7)*100</f>
        <v>81.8181818181818</v>
      </c>
      <c r="D16" s="201" t="n">
        <f aca="false">(D10/D7)*100</f>
        <v>81.8181818181818</v>
      </c>
      <c r="E16" s="201" t="n">
        <f aca="false">(E10/E7)*100</f>
        <v>81.8181818181818</v>
      </c>
      <c r="F16" s="201" t="n">
        <f aca="false">(F10/F7)*100</f>
        <v>81.8181818181818</v>
      </c>
      <c r="G16" s="201" t="n">
        <f aca="false">(G10/G7)*100</f>
        <v>81.8181818181818</v>
      </c>
      <c r="H16" s="201" t="n">
        <f aca="false">(H10/H7)*100</f>
        <v>81.8181818181818</v>
      </c>
      <c r="I16" s="201" t="n">
        <f aca="false">(I10/I7)*100</f>
        <v>81.8181818181818</v>
      </c>
      <c r="J16" s="201" t="n">
        <f aca="false">(J10/J7)*100</f>
        <v>81.8181818181818</v>
      </c>
      <c r="K16" s="201" t="n">
        <f aca="false">(K10/K7)*100</f>
        <v>81.8181818181818</v>
      </c>
      <c r="L16" s="201" t="n">
        <f aca="false">(L10/L7)*100</f>
        <v>81.8181818181818</v>
      </c>
      <c r="M16" s="201" t="n">
        <f aca="false">(M10/M7)*100</f>
        <v>81.8181818181818</v>
      </c>
      <c r="N16" s="201" t="n">
        <f aca="false">(N10/N7)*100</f>
        <v>81.8181818181818</v>
      </c>
      <c r="O16" s="0" t="s">
        <v>148</v>
      </c>
    </row>
    <row r="17" customFormat="false" ht="14.65" hidden="false" customHeight="false" outlineLevel="0" collapsed="false">
      <c r="A17" s="0" t="s">
        <v>261</v>
      </c>
      <c r="B17" s="199" t="n">
        <f aca="false">(B8^2+B11^2+2*B8*B11*COS(RADIANS(B5+180)))^0.5</f>
        <v>2.12132034355964</v>
      </c>
      <c r="C17" s="199" t="n">
        <f aca="false">(C8^2+C11^2+2*C8*C11*COS(RADIANS(C5+180)))^0.5</f>
        <v>3.47707092163936</v>
      </c>
      <c r="D17" s="199" t="n">
        <f aca="false">(D8^2+D11^2+2*D8*D11*COS(RADIANS(D5+180)))^0.5</f>
        <v>5.86027655550626</v>
      </c>
      <c r="E17" s="199" t="n">
        <f aca="false">(E8^2+E11^2+2*E8*E11*COS(RADIANS(E5+180)))^0.5</f>
        <v>8.35116545703032</v>
      </c>
      <c r="F17" s="199" t="n">
        <f aca="false">(F8^2+F11^2+2*F8*F11*COS(RADIANS(F5+180)))^0.5</f>
        <v>10.7645250708055</v>
      </c>
      <c r="G17" s="199" t="n">
        <f aca="false">(G8^2+G11^2+2*G8*G11*COS(RADIANS(G5+180)))^0.5</f>
        <v>13.0229819052095</v>
      </c>
      <c r="H17" s="199" t="n">
        <f aca="false">(H8^2+H11^2+2*H8*H11*COS(RADIANS(H5+180)))^0.5</f>
        <v>15.0748134316813</v>
      </c>
      <c r="I17" s="199" t="n">
        <f aca="false">(I8^2+I11^2+2*I8*I11*COS(RADIANS(I5+180)))^0.5</f>
        <v>16.8790385477546</v>
      </c>
      <c r="J17" s="199" t="n">
        <f aca="false">(J8^2+J11^2+2*J8*J11*COS(RADIANS(J5+180)))^0.5</f>
        <v>18.4017662195779</v>
      </c>
      <c r="K17" s="199" t="n">
        <f aca="false">(K8^2+K11^2+2*K8*K11*COS(RADIANS(K5+180)))^0.5</f>
        <v>19.6152500751151</v>
      </c>
      <c r="L17" s="199" t="n">
        <f aca="false">(L8^2+L11^2+2*L8*L11*COS(RADIANS(L5+180)))^0.5</f>
        <v>20.4977354528002</v>
      </c>
      <c r="M17" s="199" t="n">
        <f aca="false">(M8^2+M11^2+2*M8*M11*COS(RADIANS(M5+180)))^0.5</f>
        <v>21.0335441094907</v>
      </c>
      <c r="N17" s="199" t="n">
        <f aca="false">(N8^2+N11^2+2*N8*N11*COS(RADIANS(N5+180)))^0.5</f>
        <v>21.2132034355964</v>
      </c>
      <c r="O17" s="0" t="s">
        <v>251</v>
      </c>
    </row>
    <row r="18" customFormat="false" ht="14.65" hidden="false" customHeight="false" outlineLevel="0" collapsed="false">
      <c r="A18" s="0" t="s">
        <v>262</v>
      </c>
      <c r="B18" s="199" t="n">
        <f aca="false">ATAN(B11*SIN(RADIANS(B5+180))/(B8+B11*COS(RADIANS(B5+180))))</f>
        <v>5.51091059616308E-016</v>
      </c>
      <c r="C18" s="199" t="n">
        <f aca="false">ATAN(C11*SIN(RADIANS(C5+180))/(C8+C11*COS(RADIANS(C5+180))))</f>
        <v>-0.790295374394728</v>
      </c>
      <c r="D18" s="199" t="n">
        <f aca="false">ATAN(D11*SIN(RADIANS(D5+180))/(D8+D11*COS(RADIANS(D5+180))))</f>
        <v>-0.951800824416038</v>
      </c>
      <c r="E18" s="199" t="n">
        <f aca="false">ATAN(E11*SIN(RADIANS(E5+180))/(E8+E11*COS(RADIANS(E5+180))))</f>
        <v>-0.941208753524033</v>
      </c>
      <c r="F18" s="199" t="n">
        <f aca="false">ATAN(F11*SIN(RADIANS(F5+180))/(F8+F11*COS(RADIANS(F5+180))))</f>
        <v>-0.875693997194185</v>
      </c>
      <c r="G18" s="199" t="n">
        <f aca="false">ATAN(G11*SIN(RADIANS(G5+180))/(G8+G11*COS(RADIANS(G5+180))))</f>
        <v>-0.786705689344197</v>
      </c>
      <c r="H18" s="199" t="n">
        <f aca="false">ATAN(H11*SIN(RADIANS(H5+180))/(H8+H11*COS(RADIANS(H5+180))))</f>
        <v>-0.685729510906286</v>
      </c>
      <c r="I18" s="199" t="n">
        <f aca="false">ATAN(I11*SIN(RADIANS(I5+180))/(I8+I11*COS(RADIANS(I5+180))))</f>
        <v>-0.577915839235016</v>
      </c>
      <c r="J18" s="199" t="n">
        <f aca="false">ATAN(J11*SIN(RADIANS(J5+180))/(J8+J11*COS(RADIANS(J5+180))))</f>
        <v>-0.465927770713873</v>
      </c>
      <c r="K18" s="199" t="n">
        <f aca="false">ATAN(K11*SIN(RADIANS(K5+180))/(K8+K11*COS(RADIANS(K5+180))))</f>
        <v>-0.351301390375265</v>
      </c>
      <c r="L18" s="199" t="n">
        <f aca="false">ATAN(L11*SIN(RADIANS(L5+180))/(L8+L11*COS(RADIANS(L5+180))))</f>
        <v>-0.235010878423839</v>
      </c>
      <c r="M18" s="199" t="n">
        <f aca="false">ATAN(M11*SIN(RADIANS(M5+180))/(M8+M11*COS(RADIANS(M5+180))))</f>
        <v>-0.117735204678789</v>
      </c>
      <c r="N18" s="199" t="n">
        <f aca="false">ATAN(N11*SIN(RADIANS(N5+180))/(N8+N11*COS(RADIANS(N5+180))))</f>
        <v>-1.10218211923262E-016</v>
      </c>
      <c r="O18" s="0" t="s">
        <v>258</v>
      </c>
    </row>
    <row r="19" customFormat="false" ht="14.65" hidden="false" customHeight="false" outlineLevel="0" collapsed="false">
      <c r="A19" s="194" t="s">
        <v>263</v>
      </c>
      <c r="B19" s="202" t="n">
        <f aca="false">'F1FRV SWR BRIDGE'!B14</f>
        <v>47.0926996097583</v>
      </c>
      <c r="C19" s="203" t="n">
        <f aca="false">B19</f>
        <v>47.0926996097583</v>
      </c>
      <c r="D19" s="203" t="n">
        <f aca="false">C19</f>
        <v>47.0926996097583</v>
      </c>
      <c r="E19" s="203" t="n">
        <f aca="false">D19</f>
        <v>47.0926996097583</v>
      </c>
      <c r="F19" s="203" t="n">
        <f aca="false">E19</f>
        <v>47.0926996097583</v>
      </c>
      <c r="G19" s="203" t="n">
        <f aca="false">F19</f>
        <v>47.0926996097583</v>
      </c>
      <c r="H19" s="203" t="n">
        <f aca="false">G19</f>
        <v>47.0926996097583</v>
      </c>
      <c r="I19" s="203" t="n">
        <f aca="false">H19</f>
        <v>47.0926996097583</v>
      </c>
      <c r="J19" s="203" t="n">
        <f aca="false">I19</f>
        <v>47.0926996097583</v>
      </c>
      <c r="K19" s="203" t="n">
        <f aca="false">J19</f>
        <v>47.0926996097583</v>
      </c>
      <c r="L19" s="203" t="n">
        <f aca="false">K19</f>
        <v>47.0926996097583</v>
      </c>
      <c r="M19" s="203" t="n">
        <f aca="false">L19</f>
        <v>47.0926996097583</v>
      </c>
      <c r="N19" s="203" t="n">
        <f aca="false">M19</f>
        <v>47.0926996097583</v>
      </c>
      <c r="O19" s="194" t="s">
        <v>152</v>
      </c>
      <c r="P19" s="194"/>
      <c r="Q19" s="194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  <c r="BA19" s="194"/>
      <c r="BB19" s="194"/>
      <c r="BC19" s="194"/>
      <c r="BD19" s="194"/>
      <c r="BE19" s="194"/>
      <c r="BF19" s="194"/>
      <c r="BG19" s="194"/>
      <c r="BH19" s="194"/>
      <c r="BI19" s="194"/>
      <c r="BJ19" s="194"/>
      <c r="BK19" s="194"/>
      <c r="BL19" s="194"/>
    </row>
    <row r="20" customFormat="false" ht="14.65" hidden="false" customHeight="false" outlineLevel="0" collapsed="false">
      <c r="A20" s="194" t="s">
        <v>264</v>
      </c>
      <c r="B20" s="203" t="n">
        <f aca="false">10^(B19/20)</f>
        <v>226.274169979695</v>
      </c>
      <c r="C20" s="203" t="n">
        <f aca="false">B20</f>
        <v>226.274169979695</v>
      </c>
      <c r="D20" s="203" t="n">
        <f aca="false">C20</f>
        <v>226.274169979695</v>
      </c>
      <c r="E20" s="203" t="n">
        <f aca="false">D20</f>
        <v>226.274169979695</v>
      </c>
      <c r="F20" s="203" t="n">
        <f aca="false">E20</f>
        <v>226.274169979695</v>
      </c>
      <c r="G20" s="203" t="n">
        <f aca="false">F20</f>
        <v>226.274169979695</v>
      </c>
      <c r="H20" s="203" t="n">
        <f aca="false">G20</f>
        <v>226.274169979695</v>
      </c>
      <c r="I20" s="203" t="n">
        <f aca="false">H20</f>
        <v>226.274169979695</v>
      </c>
      <c r="J20" s="203" t="n">
        <f aca="false">I20</f>
        <v>226.274169979695</v>
      </c>
      <c r="K20" s="203" t="n">
        <f aca="false">J20</f>
        <v>226.274169979695</v>
      </c>
      <c r="L20" s="203" t="n">
        <f aca="false">K20</f>
        <v>226.274169979695</v>
      </c>
      <c r="M20" s="203" t="n">
        <f aca="false">L20</f>
        <v>226.274169979695</v>
      </c>
      <c r="N20" s="203" t="n">
        <f aca="false">M20</f>
        <v>226.274169979695</v>
      </c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194"/>
      <c r="BG20" s="194"/>
      <c r="BH20" s="194"/>
      <c r="BI20" s="194"/>
      <c r="BJ20" s="194"/>
      <c r="BK20" s="194"/>
      <c r="BL20" s="194"/>
    </row>
    <row r="21" customFormat="false" ht="14.65" hidden="false" customHeight="false" outlineLevel="0" collapsed="false">
      <c r="A21" s="0" t="s">
        <v>265</v>
      </c>
      <c r="B21" s="199" t="n">
        <f aca="false">B13/B20</f>
        <v>4.6875</v>
      </c>
      <c r="C21" s="199" t="n">
        <f aca="false">C13/C20</f>
        <v>4.64780052256476</v>
      </c>
      <c r="D21" s="199" t="n">
        <f aca="false">D13/D20</f>
        <v>4.52940241801343</v>
      </c>
      <c r="E21" s="199" t="n">
        <f aca="false">E13/E20</f>
        <v>4.33439885711995</v>
      </c>
      <c r="F21" s="199" t="n">
        <f aca="false">F13/F20</f>
        <v>4.06625427489785</v>
      </c>
      <c r="G21" s="199" t="n">
        <f aca="false">G13/G20</f>
        <v>3.72977581782076</v>
      </c>
      <c r="H21" s="199" t="n">
        <f aca="false">H13/H20</f>
        <v>3.33109462583248</v>
      </c>
      <c r="I21" s="199" t="n">
        <f aca="false">I13/I20</f>
        <v>2.87769963013854</v>
      </c>
      <c r="J21" s="199" t="n">
        <f aca="false">J13/J20</f>
        <v>2.37864646056849</v>
      </c>
      <c r="K21" s="199" t="n">
        <f aca="false">K13/K20</f>
        <v>1.84536428921156</v>
      </c>
      <c r="L21" s="199" t="n">
        <f aca="false">L13/L20</f>
        <v>1.29495040375844</v>
      </c>
      <c r="M21" s="199" t="n">
        <f aca="false">M13/M20</f>
        <v>0.768331383549299</v>
      </c>
      <c r="N21" s="199" t="n">
        <f aca="false">N13/N20</f>
        <v>0.46875</v>
      </c>
      <c r="O21" s="0" t="s">
        <v>249</v>
      </c>
    </row>
    <row r="22" customFormat="false" ht="14.65" hidden="false" customHeight="false" outlineLevel="0" collapsed="false">
      <c r="A22" s="0" t="s">
        <v>266</v>
      </c>
      <c r="B22" s="199" t="n">
        <f aca="false">B17/(B20/B2)</f>
        <v>0.46875</v>
      </c>
      <c r="C22" s="199" t="n">
        <f aca="false">C17/(C20/C2)</f>
        <v>0.768331383549298</v>
      </c>
      <c r="D22" s="199" t="n">
        <f aca="false">D17/(D20/D2)</f>
        <v>1.29495040375844</v>
      </c>
      <c r="E22" s="199" t="n">
        <f aca="false">E17/(E20/E2)</f>
        <v>1.84536428921156</v>
      </c>
      <c r="F22" s="199" t="n">
        <f aca="false">F17/(F20/F2)</f>
        <v>2.37864646056849</v>
      </c>
      <c r="G22" s="199" t="n">
        <f aca="false">G17/(G20/G2)</f>
        <v>2.87769963013854</v>
      </c>
      <c r="H22" s="199" t="n">
        <f aca="false">H17/(H20/H2)</f>
        <v>3.33109462583248</v>
      </c>
      <c r="I22" s="199" t="n">
        <f aca="false">I17/(I20/I2)</f>
        <v>3.72977581782076</v>
      </c>
      <c r="J22" s="199" t="n">
        <f aca="false">J17/(J20/J2)</f>
        <v>4.06625427489785</v>
      </c>
      <c r="K22" s="199" t="n">
        <f aca="false">K17/(K20/K2)</f>
        <v>4.33439885711995</v>
      </c>
      <c r="L22" s="199" t="n">
        <f aca="false">L17/(L20/L2)</f>
        <v>4.52940241801343</v>
      </c>
      <c r="M22" s="199" t="n">
        <f aca="false">M17/(M20/M2)</f>
        <v>4.64780052256476</v>
      </c>
      <c r="N22" s="199" t="n">
        <f aca="false">N17/(N20/N2)</f>
        <v>4.6875</v>
      </c>
      <c r="O22" s="0" t="s">
        <v>249</v>
      </c>
    </row>
    <row r="23" customFormat="false" ht="14.65" hidden="false" customHeight="false" outlineLevel="0" collapsed="false">
      <c r="A23" s="0" t="s">
        <v>267</v>
      </c>
      <c r="B23" s="199" t="n">
        <f aca="false">B18-B14</f>
        <v>5.51091059616308E-016</v>
      </c>
      <c r="C23" s="199" t="n">
        <f aca="false">C18-C14</f>
        <v>-0.908030579073517</v>
      </c>
      <c r="D23" s="199" t="n">
        <f aca="false">D18-D14</f>
        <v>-1.18681170283988</v>
      </c>
      <c r="E23" s="199" t="n">
        <f aca="false">E18-E14</f>
        <v>-1.2925101438993</v>
      </c>
      <c r="F23" s="199" t="n">
        <f aca="false">F18-F14</f>
        <v>-1.34162176790806</v>
      </c>
      <c r="G23" s="199" t="n">
        <f aca="false">G18-G14</f>
        <v>-1.36462152857921</v>
      </c>
      <c r="H23" s="199" t="n">
        <f aca="false">H18-H14</f>
        <v>-1.37145902181257</v>
      </c>
      <c r="I23" s="199" t="n">
        <f aca="false">I18-I14</f>
        <v>-1.36462152857921</v>
      </c>
      <c r="J23" s="199" t="n">
        <f aca="false">J18-J14</f>
        <v>-1.34162176790806</v>
      </c>
      <c r="K23" s="199" t="n">
        <f aca="false">K18-K14</f>
        <v>-1.2925101438993</v>
      </c>
      <c r="L23" s="199" t="n">
        <f aca="false">L18-L14</f>
        <v>-1.18681170283988</v>
      </c>
      <c r="M23" s="199" t="n">
        <f aca="false">M18-M14</f>
        <v>-0.908030579073518</v>
      </c>
      <c r="N23" s="199" t="n">
        <f aca="false">N18-N14</f>
        <v>-6.6130927153957E-016</v>
      </c>
      <c r="O23" s="0" t="s">
        <v>258</v>
      </c>
    </row>
    <row r="24" customFormat="false" ht="14.65" hidden="false" customHeight="false" outlineLevel="0" collapsed="false">
      <c r="A24" s="0" t="s">
        <v>268</v>
      </c>
      <c r="B24" s="199" t="n">
        <f aca="false">(B21^2+B22^2+2*B21*B22*COS(B23))^0.5</f>
        <v>5.15625</v>
      </c>
      <c r="C24" s="199" t="n">
        <f aca="false">(C21^2+C22^2+2*C21*C22*COS(C23))^0.5</f>
        <v>5.15625</v>
      </c>
      <c r="D24" s="199" t="n">
        <f aca="false">(D21^2+D22^2+2*D21*D22*COS(D23))^0.5</f>
        <v>5.15625</v>
      </c>
      <c r="E24" s="199" t="n">
        <f aca="false">(E21^2+E22^2+2*E21*E22*COS(E23))^0.5</f>
        <v>5.15625</v>
      </c>
      <c r="F24" s="199" t="n">
        <f aca="false">(F21^2+F22^2+2*F21*F22*COS(F23))^0.5</f>
        <v>5.15625</v>
      </c>
      <c r="G24" s="199" t="n">
        <f aca="false">(G21^2+G22^2+2*G21*G22*COS(G23))^0.5</f>
        <v>5.15625</v>
      </c>
      <c r="H24" s="199" t="n">
        <f aca="false">(H21^2+H22^2+2*H21*H22*COS(H23))^0.5</f>
        <v>5.15625</v>
      </c>
      <c r="I24" s="199" t="n">
        <f aca="false">(I21^2+I22^2+2*I21*I22*COS(I23))^0.5</f>
        <v>5.15625</v>
      </c>
      <c r="J24" s="199" t="n">
        <f aca="false">(J21^2+J22^2+2*J21*J22*COS(J23))^0.5</f>
        <v>5.15625</v>
      </c>
      <c r="K24" s="199" t="n">
        <f aca="false">(K21^2+K22^2+2*K21*K22*COS(K23))^0.5</f>
        <v>5.15625</v>
      </c>
      <c r="L24" s="199" t="n">
        <f aca="false">(L21^2+L22^2+2*L21*L22*COS(L23))^0.5</f>
        <v>5.15625</v>
      </c>
      <c r="M24" s="199" t="n">
        <f aca="false">(M21^2+M22^2+2*M21*M22*COS(M23))^0.5</f>
        <v>5.15625</v>
      </c>
      <c r="N24" s="199" t="n">
        <f aca="false">(N21^2+N22^2+2*N21*N22*COS(N23))^0.5</f>
        <v>5.15625</v>
      </c>
      <c r="O24" s="0" t="s">
        <v>249</v>
      </c>
    </row>
    <row r="25" customFormat="false" ht="14.65" hidden="false" customHeight="false" outlineLevel="0" collapsed="false">
      <c r="A25" s="0" t="s">
        <v>269</v>
      </c>
      <c r="B25" s="199" t="n">
        <f aca="false">(B21^2+B22^2-2*B21*B22*COS(B23))^0.5</f>
        <v>4.21875</v>
      </c>
      <c r="C25" s="199" t="n">
        <f aca="false">(C21^2+C22^2-2*C21*C22*COS(C23))^0.5</f>
        <v>4.21875</v>
      </c>
      <c r="D25" s="199" t="n">
        <f aca="false">(D21^2+D22^2-2*D21*D22*COS(D23))^0.5</f>
        <v>4.21875</v>
      </c>
      <c r="E25" s="199" t="n">
        <f aca="false">(E21^2+E22^2-2*E21*E22*COS(E23))^0.5</f>
        <v>4.21875</v>
      </c>
      <c r="F25" s="199" t="n">
        <f aca="false">(F21^2+F22^2-2*F21*F22*COS(F23))^0.5</f>
        <v>4.21875</v>
      </c>
      <c r="G25" s="199" t="n">
        <f aca="false">(G21^2+G22^2-2*G21*G22*COS(G23))^0.5</f>
        <v>4.21875</v>
      </c>
      <c r="H25" s="199" t="n">
        <f aca="false">(H21^2+H22^2-2*H21*H22*COS(H23))^0.5</f>
        <v>4.21875</v>
      </c>
      <c r="I25" s="199" t="n">
        <f aca="false">(I21^2+I22^2-2*I21*I22*COS(I23))^0.5</f>
        <v>4.21875</v>
      </c>
      <c r="J25" s="199" t="n">
        <f aca="false">(J21^2+J22^2-2*J21*J22*COS(J23))^0.5</f>
        <v>4.21875</v>
      </c>
      <c r="K25" s="199" t="n">
        <f aca="false">(K21^2+K22^2-2*K21*K22*COS(K23))^0.5</f>
        <v>4.21875</v>
      </c>
      <c r="L25" s="199" t="n">
        <f aca="false">(L21^2+L22^2-2*L21*L22*COS(L23))^0.5</f>
        <v>4.21875</v>
      </c>
      <c r="M25" s="199" t="n">
        <f aca="false">(M21^2+M22^2-2*M21*M22*COS(M23))^0.5</f>
        <v>4.21875</v>
      </c>
      <c r="N25" s="199" t="n">
        <f aca="false">(N21^2+N22^2-2*N21*N22*COS(N23))^0.5</f>
        <v>4.21875</v>
      </c>
      <c r="O25" s="0" t="s">
        <v>249</v>
      </c>
    </row>
    <row r="26" customFormat="false" ht="14.65" hidden="false" customHeight="false" outlineLevel="0" collapsed="false">
      <c r="A26" s="0" t="s">
        <v>270</v>
      </c>
      <c r="B26" s="199" t="n">
        <f aca="false">2^0.5*B24</f>
        <v>7.29203868098628</v>
      </c>
      <c r="C26" s="199" t="n">
        <f aca="false">2^0.5*C24</f>
        <v>7.29203868098628</v>
      </c>
      <c r="D26" s="199" t="n">
        <f aca="false">2^0.5*D24</f>
        <v>7.29203868098628</v>
      </c>
      <c r="E26" s="199" t="n">
        <f aca="false">2^0.5*E24</f>
        <v>7.29203868098628</v>
      </c>
      <c r="F26" s="199" t="n">
        <f aca="false">2^0.5*F24</f>
        <v>7.29203868098628</v>
      </c>
      <c r="G26" s="199" t="n">
        <f aca="false">2^0.5*G24</f>
        <v>7.29203868098628</v>
      </c>
      <c r="H26" s="199" t="n">
        <f aca="false">2^0.5*H24</f>
        <v>7.29203868098628</v>
      </c>
      <c r="I26" s="199" t="n">
        <f aca="false">2^0.5*I24</f>
        <v>7.29203868098627</v>
      </c>
      <c r="J26" s="199" t="n">
        <f aca="false">2^0.5*J24</f>
        <v>7.29203868098628</v>
      </c>
      <c r="K26" s="199" t="n">
        <f aca="false">2^0.5*K24</f>
        <v>7.29203868098628</v>
      </c>
      <c r="L26" s="199" t="n">
        <f aca="false">2^0.5*L24</f>
        <v>7.29203868098628</v>
      </c>
      <c r="M26" s="199" t="n">
        <f aca="false">2^0.5*M24</f>
        <v>7.29203868098628</v>
      </c>
      <c r="N26" s="199" t="n">
        <f aca="false">2^0.5*N24</f>
        <v>7.29203868098628</v>
      </c>
      <c r="O26" s="0" t="s">
        <v>271</v>
      </c>
    </row>
    <row r="27" customFormat="false" ht="14.65" hidden="false" customHeight="false" outlineLevel="0" collapsed="false">
      <c r="A27" s="0" t="s">
        <v>272</v>
      </c>
      <c r="B27" s="199" t="n">
        <f aca="false">2^0.5*B25</f>
        <v>5.9662134662615</v>
      </c>
      <c r="C27" s="199" t="n">
        <f aca="false">2^0.5*C25</f>
        <v>5.9662134662615</v>
      </c>
      <c r="D27" s="199" t="n">
        <f aca="false">2^0.5*D25</f>
        <v>5.9662134662615</v>
      </c>
      <c r="E27" s="199" t="n">
        <f aca="false">2^0.5*E25</f>
        <v>5.9662134662615</v>
      </c>
      <c r="F27" s="199" t="n">
        <f aca="false">2^0.5*F25</f>
        <v>5.9662134662615</v>
      </c>
      <c r="G27" s="199" t="n">
        <f aca="false">2^0.5*G25</f>
        <v>5.9662134662615</v>
      </c>
      <c r="H27" s="199" t="n">
        <f aca="false">2^0.5*H25</f>
        <v>5.9662134662615</v>
      </c>
      <c r="I27" s="199" t="n">
        <f aca="false">2^0.5*I25</f>
        <v>5.9662134662615</v>
      </c>
      <c r="J27" s="199" t="n">
        <f aca="false">2^0.5*J25</f>
        <v>5.9662134662615</v>
      </c>
      <c r="K27" s="199" t="n">
        <f aca="false">2^0.5*K25</f>
        <v>5.9662134662615</v>
      </c>
      <c r="L27" s="199" t="n">
        <f aca="false">2^0.5*L25</f>
        <v>5.9662134662615</v>
      </c>
      <c r="M27" s="199" t="n">
        <f aca="false">2^0.5*M25</f>
        <v>5.9662134662615</v>
      </c>
      <c r="N27" s="199" t="n">
        <f aca="false">2^0.5*N25</f>
        <v>5.9662134662615</v>
      </c>
      <c r="O27" s="0" t="s">
        <v>271</v>
      </c>
    </row>
    <row r="28" customFormat="false" ht="14.65" hidden="false" customHeight="false" outlineLevel="0" collapsed="false">
      <c r="A28" s="0" t="s">
        <v>273</v>
      </c>
      <c r="B28" s="199" t="n">
        <f aca="false">B27/B26</f>
        <v>0.818181818181818</v>
      </c>
      <c r="C28" s="199" t="n">
        <f aca="false">C27/C26</f>
        <v>0.818181818181818</v>
      </c>
      <c r="D28" s="199" t="n">
        <f aca="false">D27/D26</f>
        <v>0.818181818181818</v>
      </c>
      <c r="E28" s="199" t="n">
        <f aca="false">E27/E26</f>
        <v>0.818181818181818</v>
      </c>
      <c r="F28" s="199" t="n">
        <f aca="false">F27/F26</f>
        <v>0.818181818181818</v>
      </c>
      <c r="G28" s="199" t="n">
        <f aca="false">G27/G26</f>
        <v>0.818181818181818</v>
      </c>
      <c r="H28" s="199" t="n">
        <f aca="false">H27/H26</f>
        <v>0.818181818181818</v>
      </c>
      <c r="I28" s="199" t="n">
        <f aca="false">I27/I26</f>
        <v>0.818181818181818</v>
      </c>
      <c r="J28" s="199" t="n">
        <f aca="false">J27/J26</f>
        <v>0.818181818181818</v>
      </c>
      <c r="K28" s="199" t="n">
        <f aca="false">K27/K26</f>
        <v>0.818181818181818</v>
      </c>
      <c r="L28" s="199" t="n">
        <f aca="false">L27/L26</f>
        <v>0.818181818181818</v>
      </c>
      <c r="M28" s="199" t="n">
        <f aca="false">M27/M26</f>
        <v>0.818181818181818</v>
      </c>
      <c r="N28" s="199" t="n">
        <f aca="false">N27/N26</f>
        <v>0.818181818181818</v>
      </c>
    </row>
    <row r="29" customFormat="false" ht="14.65" hidden="false" customHeight="false" outlineLevel="0" collapsed="false">
      <c r="A29" s="0" t="s">
        <v>274</v>
      </c>
      <c r="B29" s="204" t="n">
        <f aca="false">(1+B28)/(1-B28)</f>
        <v>9.99999999999998</v>
      </c>
      <c r="C29" s="204" t="n">
        <f aca="false">(1+C28)/(1-C28)</f>
        <v>9.99999999999999</v>
      </c>
      <c r="D29" s="204" t="n">
        <f aca="false">(1+D28)/(1-D28)</f>
        <v>9.99999999999999</v>
      </c>
      <c r="E29" s="204" t="n">
        <f aca="false">(1+E28)/(1-E28)</f>
        <v>10</v>
      </c>
      <c r="F29" s="204" t="n">
        <f aca="false">(1+F28)/(1-F28)</f>
        <v>9.99999999999999</v>
      </c>
      <c r="G29" s="204" t="n">
        <f aca="false">(1+G28)/(1-G28)</f>
        <v>10</v>
      </c>
      <c r="H29" s="204" t="n">
        <f aca="false">(1+H28)/(1-H28)</f>
        <v>9.99999999999998</v>
      </c>
      <c r="I29" s="204" t="n">
        <f aca="false">(1+I28)/(1-I28)</f>
        <v>10</v>
      </c>
      <c r="J29" s="204" t="n">
        <f aca="false">(1+J28)/(1-J28)</f>
        <v>9.99999999999999</v>
      </c>
      <c r="K29" s="204" t="n">
        <f aca="false">(1+K28)/(1-K28)</f>
        <v>9.99999999999999</v>
      </c>
      <c r="L29" s="204" t="n">
        <f aca="false">(1+L28)/(1-L28)</f>
        <v>10</v>
      </c>
      <c r="M29" s="204" t="n">
        <f aca="false">(1+M28)/(1-M28)</f>
        <v>9.99999999999999</v>
      </c>
      <c r="N29" s="204" t="n">
        <f aca="false">(1+N28)/(1-N28)</f>
        <v>10</v>
      </c>
    </row>
    <row r="30" customFormat="false" ht="14.65" hidden="false" customHeight="false" outlineLevel="0" collapsed="false">
      <c r="A30" s="0" t="s">
        <v>275</v>
      </c>
      <c r="B30" s="204" t="n">
        <f aca="false">B21/B22</f>
        <v>10</v>
      </c>
      <c r="C30" s="204" t="n">
        <f aca="false">C21/C22</f>
        <v>6.04921342805795</v>
      </c>
      <c r="D30" s="204" t="n">
        <f aca="false">D21/D22</f>
        <v>3.49774200221673</v>
      </c>
      <c r="E30" s="204" t="n">
        <f aca="false">E21/E22</f>
        <v>2.34880390959112</v>
      </c>
      <c r="F30" s="204" t="n">
        <f aca="false">F21/F22</f>
        <v>1.70948240619416</v>
      </c>
      <c r="G30" s="204" t="n">
        <f aca="false">G21/G22</f>
        <v>1.29609629120368</v>
      </c>
      <c r="H30" s="204" t="n">
        <f aca="false">H21/H22</f>
        <v>1</v>
      </c>
      <c r="I30" s="204" t="n">
        <f aca="false">I21/I22</f>
        <v>0.771547613234279</v>
      </c>
      <c r="J30" s="204" t="n">
        <f aca="false">J21/J22</f>
        <v>0.584972384843849</v>
      </c>
      <c r="K30" s="204" t="n">
        <f aca="false">K21/K22</f>
        <v>0.425748610140078</v>
      </c>
      <c r="L30" s="204" t="n">
        <f aca="false">L21/L22</f>
        <v>0.285898731057419</v>
      </c>
      <c r="M30" s="204" t="n">
        <f aca="false">M21/M22</f>
        <v>0.165310748561411</v>
      </c>
      <c r="N30" s="204" t="n">
        <f aca="false">N21/N22</f>
        <v>0.1</v>
      </c>
    </row>
    <row r="31" customFormat="false" ht="14.65" hidden="false" customHeight="false" outlineLevel="0" collapsed="false">
      <c r="B31" s="201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</row>
    <row r="32" customFormat="false" ht="14.65" hidden="false" customHeight="false" outlineLevel="0" collapsed="false">
      <c r="A32" s="205"/>
    </row>
  </sheetData>
  <sheetProtection sheet="true" objects="true" scenarios="true" insertColumns="false" insertRows="false" deleteColumns="false" deleteRows="false"/>
  <printOptions headings="false" gridLines="false" gridLinesSet="true" horizontalCentered="false" verticalCentered="false"/>
  <pageMargins left="0.708333333333333" right="0.275694444444444" top="0.984027777777778" bottom="0.984027777777778" header="0.511805555555555" footer="0.511805555555555"/>
  <pageSetup paperSize="9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48" activeCellId="0" sqref="C4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04"/>
    <col collapsed="false" customWidth="true" hidden="false" outlineLevel="0" max="2" min="2" style="0" width="36.68"/>
    <col collapsed="false" customWidth="true" hidden="false" outlineLevel="0" max="3" min="3" style="0" width="31.12"/>
    <col collapsed="false" customWidth="true" hidden="false" outlineLevel="0" max="4" min="4" style="0" width="27.09"/>
  </cols>
  <sheetData>
    <row r="1" customFormat="false" ht="14.65" hidden="false" customHeight="false" outlineLevel="0" collapsed="false">
      <c r="A1" s="0" t="s">
        <v>276</v>
      </c>
      <c r="B1" s="0" t="s">
        <v>277</v>
      </c>
      <c r="C1" s="0" t="s">
        <v>278</v>
      </c>
    </row>
    <row r="2" customFormat="false" ht="14.65" hidden="false" customHeight="false" outlineLevel="0" collapsed="false">
      <c r="A2" s="0" t="s">
        <v>279</v>
      </c>
      <c r="B2" s="0" t="n">
        <v>0.41</v>
      </c>
      <c r="C2" s="0" t="n">
        <v>0.32</v>
      </c>
    </row>
    <row r="3" customFormat="false" ht="14.65" hidden="false" customHeight="false" outlineLevel="0" collapsed="false">
      <c r="A3" s="0" t="s">
        <v>280</v>
      </c>
      <c r="B3" s="0" t="n">
        <v>0.61</v>
      </c>
      <c r="C3" s="0" t="n">
        <v>0.48</v>
      </c>
    </row>
    <row r="4" customFormat="false" ht="14.65" hidden="false" customHeight="false" outlineLevel="0" collapsed="false">
      <c r="A4" s="0" t="s">
        <v>281</v>
      </c>
      <c r="B4" s="0" t="n">
        <v>0.76</v>
      </c>
      <c r="C4" s="0" t="n">
        <v>0.61</v>
      </c>
    </row>
    <row r="5" customFormat="false" ht="14.65" hidden="false" customHeight="false" outlineLevel="0" collapsed="false">
      <c r="A5" s="0" t="s">
        <v>282</v>
      </c>
      <c r="B5" s="206" t="n">
        <v>1.01</v>
      </c>
      <c r="C5" s="0" t="n">
        <v>0.81</v>
      </c>
    </row>
    <row r="6" customFormat="false" ht="14.65" hidden="false" customHeight="false" outlineLevel="0" collapsed="false">
      <c r="A6" s="0" t="s">
        <v>283</v>
      </c>
      <c r="B6" s="0" t="n">
        <v>1.21</v>
      </c>
      <c r="C6" s="0" t="n">
        <v>0.97</v>
      </c>
    </row>
    <row r="7" customFormat="false" ht="14.65" hidden="false" customHeight="false" outlineLevel="0" collapsed="false">
      <c r="A7" s="0" t="s">
        <v>284</v>
      </c>
      <c r="B7" s="0" t="n">
        <v>1.384</v>
      </c>
      <c r="C7" s="0" t="n">
        <v>1.119</v>
      </c>
    </row>
    <row r="8" customFormat="false" ht="14.65" hidden="false" customHeight="false" outlineLevel="0" collapsed="false">
      <c r="A8" s="0" t="s">
        <v>285</v>
      </c>
      <c r="B8" s="206" t="n">
        <v>1.538</v>
      </c>
      <c r="C8" s="0" t="n">
        <v>1.244</v>
      </c>
    </row>
    <row r="9" customFormat="false" ht="14.65" hidden="false" customHeight="false" outlineLevel="0" collapsed="false">
      <c r="A9" s="0" t="s">
        <v>286</v>
      </c>
      <c r="B9" s="0" t="n">
        <v>1.808</v>
      </c>
      <c r="C9" s="0" t="n">
        <v>1.466</v>
      </c>
    </row>
    <row r="10" customFormat="false" ht="14.65" hidden="false" customHeight="false" outlineLevel="0" collapsed="false">
      <c r="A10" s="0" t="s">
        <v>287</v>
      </c>
      <c r="B10" s="0" t="n">
        <v>2.099</v>
      </c>
      <c r="C10" s="0" t="n">
        <v>1.704</v>
      </c>
    </row>
    <row r="11" customFormat="false" ht="14.65" hidden="false" customHeight="false" outlineLevel="0" collapsed="false">
      <c r="A11" s="0" t="s">
        <v>288</v>
      </c>
      <c r="B11" s="0" t="n">
        <v>2.356</v>
      </c>
      <c r="C11" s="0" t="n">
        <v>1.914</v>
      </c>
    </row>
    <row r="12" customFormat="false" ht="14.65" hidden="false" customHeight="false" outlineLevel="0" collapsed="false">
      <c r="A12" s="0" t="s">
        <v>289</v>
      </c>
      <c r="B12" s="0" t="n">
        <v>2.558</v>
      </c>
      <c r="C12" s="0" t="n">
        <v>2.104</v>
      </c>
    </row>
    <row r="13" customFormat="false" ht="14.65" hidden="false" customHeight="false" outlineLevel="0" collapsed="false">
      <c r="A13" s="0" t="s">
        <v>290</v>
      </c>
      <c r="B13" s="0" t="n">
        <v>2.801</v>
      </c>
      <c r="C13" s="0" t="n">
        <v>2.278</v>
      </c>
    </row>
    <row r="14" customFormat="false" ht="14.65" hidden="false" customHeight="false" outlineLevel="0" collapsed="false">
      <c r="A14" s="0" t="s">
        <v>291</v>
      </c>
      <c r="B14" s="0" t="n">
        <v>3</v>
      </c>
      <c r="C14" s="0" t="n">
        <v>2.441</v>
      </c>
    </row>
    <row r="15" customFormat="false" ht="14.65" hidden="false" customHeight="false" outlineLevel="0" collapsed="false">
      <c r="A15" s="0" t="s">
        <v>292</v>
      </c>
      <c r="B15" s="0" t="n">
        <v>3.186</v>
      </c>
      <c r="C15" s="0" t="n">
        <v>2.593</v>
      </c>
    </row>
    <row r="16" customFormat="false" ht="14.65" hidden="false" customHeight="false" outlineLevel="0" collapsed="false">
      <c r="A16" s="0" t="s">
        <v>293</v>
      </c>
      <c r="B16" s="0" t="n">
        <v>3.362</v>
      </c>
      <c r="C16" s="0" t="n">
        <v>2.738</v>
      </c>
    </row>
    <row r="17" customFormat="false" ht="14.65" hidden="false" customHeight="false" outlineLevel="0" collapsed="false">
      <c r="A17" s="0" t="s">
        <v>294</v>
      </c>
      <c r="B17" s="0" t="n">
        <v>3.53</v>
      </c>
      <c r="C17" s="0" t="n">
        <v>2.875</v>
      </c>
    </row>
    <row r="18" customFormat="false" ht="14.65" hidden="false" customHeight="false" outlineLevel="0" collapsed="false">
      <c r="A18" s="0" t="s">
        <v>295</v>
      </c>
      <c r="B18" s="0" t="n">
        <v>3.691</v>
      </c>
      <c r="C18" s="0" t="n">
        <v>3.006</v>
      </c>
    </row>
    <row r="19" customFormat="false" ht="14.65" hidden="false" customHeight="false" outlineLevel="0" collapsed="false">
      <c r="A19" s="0" t="s">
        <v>296</v>
      </c>
      <c r="B19" s="0" t="n">
        <v>3.844</v>
      </c>
      <c r="C19" s="0" t="n">
        <v>3.132</v>
      </c>
    </row>
    <row r="20" customFormat="false" ht="14.65" hidden="false" customHeight="false" outlineLevel="0" collapsed="false">
      <c r="A20" s="0" t="s">
        <v>297</v>
      </c>
      <c r="B20" s="0" t="n">
        <v>3.992</v>
      </c>
      <c r="C20" s="0" t="n">
        <v>3.253</v>
      </c>
    </row>
    <row r="21" customFormat="false" ht="14.65" hidden="false" customHeight="false" outlineLevel="0" collapsed="false">
      <c r="A21" s="0" t="s">
        <v>298</v>
      </c>
      <c r="B21" s="0" t="n">
        <v>4.135</v>
      </c>
      <c r="C21" s="0" t="n">
        <v>3.37</v>
      </c>
    </row>
    <row r="22" customFormat="false" ht="14.65" hidden="false" customHeight="false" outlineLevel="0" collapsed="false">
      <c r="A22" s="0" t="s">
        <v>299</v>
      </c>
      <c r="B22" s="0" t="n">
        <v>4.273</v>
      </c>
      <c r="C22" s="0" t="n">
        <v>3.483</v>
      </c>
    </row>
    <row r="23" customFormat="false" ht="14.65" hidden="false" customHeight="false" outlineLevel="0" collapsed="false">
      <c r="A23" s="0" t="s">
        <v>300</v>
      </c>
      <c r="B23" s="0" t="n">
        <v>4.407</v>
      </c>
      <c r="C23" s="0" t="n">
        <v>3.592</v>
      </c>
    </row>
    <row r="24" customFormat="false" ht="14.65" hidden="false" customHeight="false" outlineLevel="0" collapsed="false">
      <c r="A24" s="0" t="s">
        <v>301</v>
      </c>
      <c r="B24" s="0" t="n">
        <v>4.537</v>
      </c>
      <c r="C24" s="0" t="n">
        <v>3.698</v>
      </c>
    </row>
    <row r="25" customFormat="false" ht="14.65" hidden="false" customHeight="false" outlineLevel="0" collapsed="false">
      <c r="A25" s="0" t="s">
        <v>302</v>
      </c>
      <c r="B25" s="0" t="n">
        <v>4.663</v>
      </c>
      <c r="C25" s="0" t="n">
        <v>3.802</v>
      </c>
    </row>
    <row r="26" customFormat="false" ht="14.65" hidden="false" customHeight="false" outlineLevel="0" collapsed="false">
      <c r="A26" s="0" t="s">
        <v>303</v>
      </c>
      <c r="B26" s="0" t="n">
        <v>4.786</v>
      </c>
      <c r="C26" s="0" t="n">
        <v>3.902</v>
      </c>
    </row>
    <row r="27" customFormat="false" ht="14.65" hidden="false" customHeight="false" outlineLevel="0" collapsed="false">
      <c r="A27" s="0" t="s">
        <v>304</v>
      </c>
      <c r="B27" s="0" t="n">
        <v>4.906</v>
      </c>
      <c r="C27" s="0" t="n">
        <v>4.001</v>
      </c>
    </row>
    <row r="28" customFormat="false" ht="14.65" hidden="false" customHeight="false" outlineLevel="0" collapsed="false">
      <c r="A28" s="0" t="s">
        <v>305</v>
      </c>
      <c r="B28" s="0" t="n">
        <v>5.023</v>
      </c>
      <c r="C28" s="0" t="n">
        <v>4.096</v>
      </c>
    </row>
    <row r="29" customFormat="false" ht="14.65" hidden="false" customHeight="false" outlineLevel="0" collapsed="false">
      <c r="A29" s="0" t="s">
        <v>306</v>
      </c>
      <c r="B29" s="0" t="n">
        <v>5.138</v>
      </c>
      <c r="C29" s="0" t="n">
        <v>4.19</v>
      </c>
    </row>
    <row r="30" customFormat="false" ht="14.65" hidden="false" customHeight="false" outlineLevel="0" collapsed="false">
      <c r="A30" s="0" t="s">
        <v>307</v>
      </c>
      <c r="B30" s="0" t="n">
        <v>5.25</v>
      </c>
      <c r="C30" s="0" t="n">
        <v>4.282</v>
      </c>
    </row>
    <row r="31" customFormat="false" ht="14.65" hidden="false" customHeight="false" outlineLevel="0" collapsed="false">
      <c r="A31" s="0" t="s">
        <v>308</v>
      </c>
      <c r="B31" s="0" t="n">
        <v>5.36</v>
      </c>
      <c r="C31" s="0" t="n">
        <v>4.372</v>
      </c>
    </row>
    <row r="32" customFormat="false" ht="14.65" hidden="false" customHeight="false" outlineLevel="0" collapsed="false">
      <c r="A32" s="0" t="s">
        <v>309</v>
      </c>
      <c r="B32" s="0" t="n">
        <v>5.467</v>
      </c>
      <c r="C32" s="0" t="n">
        <v>4.46</v>
      </c>
    </row>
    <row r="33" customFormat="false" ht="14.65" hidden="false" customHeight="false" outlineLevel="0" collapsed="false">
      <c r="A33" s="0" t="s">
        <v>310</v>
      </c>
      <c r="B33" s="0" t="n">
        <v>5.573</v>
      </c>
      <c r="C33" s="0" t="n">
        <v>4.546</v>
      </c>
    </row>
    <row r="34" customFormat="false" ht="14.65" hidden="false" customHeight="false" outlineLevel="0" collapsed="false">
      <c r="A34" s="0" t="s">
        <v>311</v>
      </c>
      <c r="B34" s="0" t="n">
        <v>5.677</v>
      </c>
      <c r="C34" s="0" t="n">
        <v>4.631</v>
      </c>
    </row>
    <row r="35" customFormat="false" ht="14.65" hidden="false" customHeight="false" outlineLevel="0" collapsed="false">
      <c r="A35" s="0" t="s">
        <v>312</v>
      </c>
      <c r="B35" s="0" t="n">
        <v>5.778</v>
      </c>
      <c r="C35" s="0" t="n">
        <v>4.714</v>
      </c>
    </row>
    <row r="36" customFormat="false" ht="14.65" hidden="false" customHeight="false" outlineLevel="0" collapsed="false">
      <c r="A36" s="0" t="s">
        <v>313</v>
      </c>
      <c r="B36" s="0" t="n">
        <v>5.879</v>
      </c>
      <c r="C36" s="0" t="n">
        <v>4.796</v>
      </c>
    </row>
    <row r="37" customFormat="false" ht="14.65" hidden="false" customHeight="false" outlineLevel="0" collapsed="false">
      <c r="A37" s="0" t="s">
        <v>314</v>
      </c>
      <c r="B37" s="0" t="n">
        <v>5.977</v>
      </c>
      <c r="C37" s="0" t="n">
        <v>4.877</v>
      </c>
    </row>
    <row r="38" customFormat="false" ht="14.65" hidden="false" customHeight="false" outlineLevel="0" collapsed="false">
      <c r="A38" s="0" t="s">
        <v>315</v>
      </c>
      <c r="B38" s="0" t="n">
        <v>6.074</v>
      </c>
      <c r="C38" s="0" t="n">
        <v>4.956</v>
      </c>
    </row>
    <row r="39" customFormat="false" ht="14.65" hidden="false" customHeight="false" outlineLevel="0" collapsed="false">
      <c r="A39" s="0" t="s">
        <v>316</v>
      </c>
      <c r="B39" s="0" t="n">
        <v>6.169</v>
      </c>
      <c r="C39" s="0" t="n">
        <v>5.034</v>
      </c>
    </row>
    <row r="40" customFormat="false" ht="14.65" hidden="false" customHeight="false" outlineLevel="0" collapsed="false">
      <c r="A40" s="0" t="s">
        <v>317</v>
      </c>
      <c r="B40" s="0" t="n">
        <v>6.263</v>
      </c>
      <c r="C40" s="0" t="n">
        <v>5.111</v>
      </c>
    </row>
    <row r="41" customFormat="false" ht="14.65" hidden="false" customHeight="false" outlineLevel="0" collapsed="false">
      <c r="A41" s="0" t="s">
        <v>318</v>
      </c>
      <c r="B41" s="0" t="n">
        <v>6.355</v>
      </c>
      <c r="C41" s="0" t="n">
        <v>5.186</v>
      </c>
    </row>
    <row r="42" customFormat="false" ht="14.65" hidden="false" customHeight="false" outlineLevel="0" collapsed="false">
      <c r="A42" s="0" t="s">
        <v>319</v>
      </c>
      <c r="B42" s="0" t="n">
        <v>6.447</v>
      </c>
      <c r="C42" s="0" t="n">
        <v>5.261</v>
      </c>
    </row>
    <row r="43" customFormat="false" ht="14.65" hidden="false" customHeight="false" outlineLevel="0" collapsed="false">
      <c r="A43" s="0" t="s">
        <v>320</v>
      </c>
      <c r="B43" s="0" t="n">
        <v>6.537</v>
      </c>
      <c r="C43" s="0" t="n">
        <v>5.335</v>
      </c>
    </row>
    <row r="44" customFormat="false" ht="14.65" hidden="false" customHeight="false" outlineLevel="0" collapsed="false">
      <c r="A44" s="0" t="s">
        <v>321</v>
      </c>
      <c r="B44" s="0" t="n">
        <v>6.625</v>
      </c>
      <c r="C44" s="0" t="n">
        <v>5.407</v>
      </c>
    </row>
    <row r="45" customFormat="false" ht="14.65" hidden="false" customHeight="false" outlineLevel="0" collapsed="false">
      <c r="A45" s="0" t="s">
        <v>322</v>
      </c>
      <c r="B45" s="0" t="n">
        <v>6.713</v>
      </c>
      <c r="C45" s="0" t="n">
        <v>5.479</v>
      </c>
    </row>
    <row r="46" customFormat="false" ht="14.65" hidden="false" customHeight="false" outlineLevel="0" collapsed="false">
      <c r="A46" s="0" t="s">
        <v>323</v>
      </c>
      <c r="B46" s="0" t="n">
        <v>6.799</v>
      </c>
      <c r="C46" s="0" t="n">
        <v>5.55</v>
      </c>
    </row>
    <row r="47" customFormat="false" ht="14.65" hidden="false" customHeight="false" outlineLevel="0" collapsed="false">
      <c r="A47" s="0" t="s">
        <v>324</v>
      </c>
      <c r="B47" s="0" t="n">
        <v>7.216</v>
      </c>
      <c r="C47" s="0" t="n">
        <v>5.891</v>
      </c>
    </row>
    <row r="48" customFormat="false" ht="14.65" hidden="false" customHeight="false" outlineLevel="0" collapsed="false">
      <c r="A48" s="0" t="s">
        <v>325</v>
      </c>
      <c r="B48" s="0" t="n">
        <v>7.611</v>
      </c>
      <c r="C48" s="0" t="n">
        <v>6.213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2020-09-26T02:17:36Z</dcterms:created>
  <dc:creator/>
  <dc:description/>
  <dc:language>nb-NO</dc:language>
  <cp:lastModifiedBy/>
  <dcterms:modified xsi:type="dcterms:W3CDTF">2020-09-26T04:02:14Z</dcterms:modified>
  <cp:revision>13</cp:revision>
  <dc:subject/>
  <dc:title>SWR &amp; POWER BRIDGE</dc:title>
</cp:coreProperties>
</file>