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shboard" sheetId="1" r:id="rId4"/>
    <sheet state="hidden" name="Dashboard Template" sheetId="2" r:id="rId5"/>
    <sheet state="visible" name="Roadmap" sheetId="3" r:id="rId6"/>
    <sheet state="visible" name="Test case scenarios" sheetId="4" r:id="rId7"/>
    <sheet state="visible" name="Epic management" sheetId="5" r:id="rId8"/>
    <sheet state="visible" name="Team performance" sheetId="6" r:id="rId9"/>
    <sheet state="visible" name="Initial roadmap" sheetId="7" r:id="rId10"/>
    <sheet state="visible" name="Meetings" sheetId="8" r:id="rId11"/>
    <sheet state="visible" name="Action points" sheetId="9" r:id="rId12"/>
    <sheet state="visible" name="Q&amp;A" sheetId="10" r:id="rId13"/>
    <sheet state="visible" name="Resources" sheetId="11" r:id="rId14"/>
    <sheet state="visible" name="Roadmap setting" sheetId="12" r:id="rId15"/>
    <sheet state="visible" name="Budget" sheetId="13" r:id="rId16"/>
    <sheet state="visible" name="Change log" sheetId="14" r:id="rId17"/>
    <sheet state="visible" name="Error Log" sheetId="15" r:id="rId18"/>
  </sheets>
  <definedNames>
    <definedName hidden="1" localSheetId="5" name="Z_BD6B73A2_F07F_4EC8_9B81_5C24EB2376D5_.wvu.FilterData">'Team performance'!$A$47:$A$61</definedName>
  </definedNames>
  <calcPr/>
  <customWorkbookViews>
    <customWorkbookView activeSheetId="0" maximized="1" windowHeight="0" windowWidth="0" guid="{BD6B73A2-F07F-4EC8-9B81-5C24EB2376D5}"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Calculates the amount of deficit in hours by month for each role.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Select the correct type of User story vs task from this column. 
User stories are only used to describe new features
Bugs are used to describe tasks that are worked on to resolve an issue.
Chore's are used by the technical team to describe technical tasks needed for infrastructure that do not have a visual appearance. Chore's are usually required to be implemented as the base for some user stories to be able to work. </t>
      </text>
    </comment>
    <comment authorId="0" ref="C2">
      <text>
        <t xml:space="preserve">Features should be written as user stories (not technical, not as tasks)
Bugs and Chore are written as tasks.
All User stories / Bugs and Chores must be added as a link to the actual User story / task.</t>
      </text>
    </comment>
    <comment authorId="0" ref="E2">
      <text>
        <t xml:space="preserve">Includes all type of Backed development like:
WebApp development
API development
DevOps development
Mobile development</t>
      </text>
    </comment>
    <comment authorId="0" ref="F2">
      <text>
        <t xml:space="preserve">Includes all type of Frontend development like:
WebApp development
HTML / CSS
Mobile development</t>
      </text>
    </comment>
    <comment authorId="0" ref="O2">
      <text>
        <t xml:space="preserve">MVP is an early version of the product that is created with minimum effort and development time. It may lack many features but has what is needed to launch</t>
      </text>
    </comment>
    <comment authorId="0" ref="W2">
      <text>
        <t xml:space="preserve">Roman Pichler created the concept of the Minimal Marketable Product (MMP) as a strategy to minimize investment risk. An MMP contains just enough functionality to be viable for launch, marketing, and sales. It focuses on a lean, minimal product with the smallest possible feature set. This approach allows for quicker development and reduced costs. If the product fails, less time and money are lost. If it succeeds, it starts earning money sooner. He cited the original Apple iPhone where it didn’t match feature for feature the incumbents but sold great, and the features held back caused the continuous cycle of upgrades, which continues to this day.</t>
      </text>
    </comment>
    <comment authorId="0" ref="AE2">
      <text>
        <t xml:space="preserve">The concept of a Minimum Loveable Product (MLP) takes the idea of product development to focusing on emotional engagement with the user. Unlike MVPs, which are often bare-bones versions of a product, an MLP aims to deliver not just functionality but also a delightful user experience. The goal is to create a product that users not only find useful but also form an emotional connection with, increasing the likelihood of adoption and long-term engagement. An MLP often includes well-thought-out design, intuitive user interfaces, and features that go beyond the basic requirements, aiming to 'wow' the user from the first interaction.</t>
      </text>
    </comment>
    <comment authorId="0" ref="AM2">
      <text>
        <t xml:space="preserve">MAP (at Bugloos) stands for the Most Awesome Product. The team goes all out both on features and technical architecture. It contains all that is needed and then some.</t>
      </text>
    </comment>
    <comment authorId="0" ref="AN2">
      <text>
        <t xml:space="preserve">After completing a feature make sure to set the date that the feature was delivered in this column.
Feature delivery is when the feature is uploaded to the live server (or stage if live is not present yet).</t>
      </text>
    </comment>
    <comment authorId="0" ref="AO2">
      <text>
        <t xml:space="preserve">To estimate the required backend delivery date the ideal team resources output is calculated based on the Resources tab "Ideal output p/w"
Only the backend development row is used since the required rebalancing of the other roles is already deducted from the backend development hours and should be in balance with the rest of the development roles.</t>
      </text>
    </comment>
    <comment authorId="0" ref="AP2">
      <text>
        <t xml:space="preserve">To estimate the required frontend delivery date the ideal team resources output is calculated based on the Resources tab "Ideal output p/w"
Only the fronten development row is used since the required rebalancing of the other roles is already deducted from the frontend development hours and should be in balance with the rest of the development roles.</t>
      </text>
    </comment>
    <comment authorId="0" ref="AQ2">
      <text>
        <t xml:space="preserve">To estimate the backend delivery date the current active team resources output is calculated based on the Resources tab "Required rebalanced output p/w"
Only the backend development row is used since the required rebalancing of the other roles is already deducted from the backend development hours and should be in balance with the rest of the development roles.</t>
      </text>
    </comment>
    <comment authorId="0" ref="AR2">
      <text>
        <t xml:space="preserve">To estimate the frontend delivery date the current active team resources output is calculated based on the Resources tab "Required rebalanced output p/w"
Only the frontend development row is used since the required rebalancing of the other roles is already deducted from the backend development hours and should be in balance with the rest of the development roles.</t>
      </text>
    </comment>
    <comment authorId="0" ref="AS2">
      <text>
        <t xml:space="preserve">Calculates the highest date between the backend and frontend estimated delivery date. 
This column should not manually be edited.</t>
      </text>
    </comment>
    <comment authorId="0" ref="AT2">
      <text>
        <t xml:space="preserve">After completing a feature make sure to set the date that the feature was delivered in this column.
Feature delivery is when the feature is uploaded to the live server (or stage if live is not present yet).</t>
      </text>
    </comment>
    <comment authorId="0" ref="AU2">
      <text>
        <t xml:space="preserve">After completing a feature make sure to set the date that the feature was delivered in this column.
Feature delivery is when the feature is uploaded to the live server (or stage if live is not present yet).</t>
      </text>
    </comment>
    <comment authorId="0" ref="B190">
      <text>
        <t xml:space="preserve">The balance of Must have, Should have and Could have features is calculated and shown here. 
The goal is to have approximately:
Must 40%
Should 30%
Could 30%
This way the project has enough flexibility in prioritization to be able to protect the budget and deadline if needed.
Won't have's are ignored in the calculation</t>
      </text>
    </comment>
    <comment authorId="0" ref="AO190">
      <text>
        <t xml:space="preserve">The required backend delivery date including the projects risk margin.</t>
      </text>
    </comment>
    <comment authorId="0" ref="AS190">
      <text>
        <t xml:space="preserve">The estimated delivery date 
including the project risk margin.</t>
      </text>
    </comment>
    <comment authorId="0" ref="AS191">
      <text>
        <t xml:space="preserve">The amount of working days needed to complete the project.</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
      <text>
        <t xml:space="preserve">E= Epic, 
SP= Sprint, 
Each SP= 2 weeks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If team member is not present in the drop down make sure to add him in the Resources sheet. 
Do not manually add team members here. Only select Team members from the select box.</t>
      </text>
    </comment>
    <comment authorId="0" ref="U2">
      <text>
        <t xml:space="preserve">If result is anything other than "As expected" reason must be filled in per person. 
Also use this field to enter explanation when needed for example a developer did not manage to deliver the amount of tasks he/she was responsible for but it was because the PM/PO did not accept/reject the user stories on time.</t>
      </text>
    </comment>
    <comment authorId="0" ref="B3">
      <text>
        <t xml:space="preserve">The output performance is based on what was Delivered and what was expected.
Formula multiplies negative and positive performance to reflect severity of not reaching a scrum commitment and overreaching a commitment.</t>
      </text>
    </comment>
    <comment authorId="0" ref="C3">
      <text>
        <t xml:space="preserve">The quality of the work delivered is the sum of all Performance + Soft Skill + Agile scrum metrics.</t>
      </text>
    </comment>
    <comment authorId="0" ref="D3">
      <text>
        <t xml:space="preserve">This column is auto generated and based on the expected output of this team member in the Resources tab.
AND his previous 3 sprint outputs if present</t>
      </text>
    </comment>
    <comment authorId="0" ref="E3">
      <text>
        <t xml:space="preserve">The amount of user story points (hours) promised by the team member for that sprint.
This may not contain Chores and Bugs or other tasks.
If the amount promised is lower than what is automatically estimated make sure to have entered the correct output expectations in the Resources tab for that person.</t>
      </text>
    </comment>
    <comment authorId="0" ref="F3">
      <text>
        <t xml:space="preserve">Actual user story points or hours delivered at the end of the sprint.
This can not contain hours or points spent on Chores and Bugs or other tasks.
The definition of Delivered is:
1. A user story (not a task) 
2. Code review has been done by another developer.
3. Feature has been tested on live or production server (not dev or local) 
4. Has been approved by Product Manager (PO)</t>
      </text>
    </comment>
    <comment authorId="0" ref="G3">
      <text>
        <t xml:space="preserve">Developer: 
Code readability, functionality, efficiency, maintainability. Use of correct coding standards, use of design patterns.
Technical coach: 
Feedback, guidance, mentoring, support, communication, collaboration, roadmap updates
Product Manager (PO): 
Protecting project scope, effective product backlog management, user story detail, meeting reports, customer satisfaction, decision making, resolving project impediments, roadmap updates
UI/UX designer:
Eye for detail, design standards are implemented, design margins are thought of.</t>
      </text>
    </comment>
    <comment authorId="0" ref="H3">
      <text>
        <t xml:space="preserve">Developer: 
Code documentation, Project  documentation updates. Making sure documentation time spent is according to project chosen plan.
Technical coach: 
Same as developer + correct monitoring of team documentation standards, giving feedback to team, making sure the overall project documentation quality is maintained correctly. Making sure technical project discovery documents are kept updated.
Product owner: 
Updating the project roadmap tabs: Meetings, Action points and Roadmap. Making sure all meetings have a video recording and detailed meeting report. Making sure needed project discovery documents are kept updated.
UI/UX designer:
Design files (AdobeXD, Figma) documents of project must be kept updated. Project design standard files, colorscheme must be kept updated.</t>
      </text>
    </comment>
    <comment authorId="0" ref="I3">
      <text>
        <t xml:space="preserve">Developer: 
Each developed code should be tested by the developer responsible for it on the development server (not only local!), Testing must be done comprehensively by trying multiple scenarios for testing the feature from a users point of view.
Technical coach: 
Same as developer + correct monitoring of team testing standards, giving feedback to team, making sure user story / task rejection rate is kept low. Making sure Automated &amp; Security testing is implemented based on project chosen plan.
Product owner: 
Testing user stories on time to prevent risks in sprint goals. Testing thoroughly and thus making sure no issues will be found by the stakeholder or system users. Testing  as a bad user meaning that all possible (instead of all logical) scenarios be tested.
UI/UX designer:
Design prototype flow must be consistent and tested for all available buttons. Margins and spaces in design should all have a  clear standard for spacing. Colorscheme and design standard must be checked for each design development.</t>
      </text>
    </comment>
    <comment authorId="0" ref="J3">
      <text>
        <t xml:space="preserve">Determine how this person performed within the team:
* Did he/she help others when they needed help? 
* Did he/she deliver on his/her promised? Did H
* Did he she stay longer to finish tasks when the team needed it.
* Did he/she help in resolving team impediments? </t>
      </text>
    </comment>
    <comment authorId="0" ref="K3">
      <text>
        <t xml:space="preserve">Being a leader means not waiting for others to tell you wat to do but taking initiative.
* Did this person take initiative to continue their work effectively when they got stuck on a task?
* Did this person try to motivate itself when he/she or the team got in difficulties?
* Did this person try to motivate the team to be the best they can be?
* Did this person use creativity to find solutions for issues.
* Did this person contribute to resolving another persons or team challenges without this being requested?</t>
      </text>
    </comment>
    <comment authorId="0" ref="L3">
      <text>
        <t xml:space="preserve">How good were this persons skills in:
* Active listening: paying close attention to what others are saying instead of only oneself's opinion, asking clarifying questions
* Efficient and direct communication: saying what is on one’s mind clearly; being straight to the point and avoiding long speeches
* Friendliness: using a friendly attitude &amp; tone; reducing tensions by speaking calmly and friendly
* Participation and confidence: participating in group conversations; being confident in ideas of oneself and sharing them with others openly.
* Empathy: Considering colleagues’ feelings &amp; emotions; considering others’ situation &amp; sympathizing in their hard times.
* Open mindedness: being flexible towards new and different opinions &amp; points of view
* Respect: avoiding any insult or making fun of someone even in non-verbal communication; trying not to interrupt a colleague
* Negative feedback: Having the confidence to give negative feedback; giving constructive &amp; unemotional feedback</t>
      </text>
    </comment>
    <comment authorId="0" ref="M3">
      <text>
        <t xml:space="preserve">How much did this person adhere to our core values?
* Friendship: Inviting colleagues and joining them in happy and sad moments; being happy for friends victories and achievements
* Loyalty and dedication: Being committed to supporting business objectives; being dedicated to the job requirements
* Positive attitude and energy: Keeping non work-related negativity outside the office
* Responsibility and passion: Not leaving work before delivering committed tasks
* Professionalism and integrity: Being focused only on work in working time; Arranging time-off on time without causing problems for others
* Bugless and high quality: Paying attention to details; working with quality checks, reviewing what has been made
* Discipline and efficiency: Valuing time, comparing output to time spent; thinking smart
* Innovation and improvement: Investing in R&amp;D outside working hours; showing initiative for personal and team improvement</t>
      </text>
    </comment>
    <comment authorId="0" ref="N3">
      <text>
        <t xml:space="preserve">For all team members: Daily work reports that:
1. Are sent at the end of each day
2. Cover all tasks and meetings
3. Tasks are correctly time tracked
4. Impediments are communicated
5. Planning is made clear
6. Comments are answered
For Technical coach:
7. Team work reports are reviewed daily
8. All concerned mentioned are answered as comments in the work report of the team member
9. Team impediments are resolved on time.</t>
      </text>
    </comment>
    <comment authorId="0" ref="O3">
      <text>
        <t xml:space="preserve">How well did this person:
* comment their opinion on user stories and tasks for ideas on better development
* Share their experiences &amp; ideas in Scrum Poker or other important meetings
* Share their experiences &amp; ideas in Daily standups?</t>
      </text>
    </comment>
    <comment authorId="0" ref="P3">
      <text>
        <t xml:space="preserve">How professional did this person behave:
* When he gave feedback to others to prevent his feedback to become personal or communicated with emotions?
* When he received feedback how professionally did he take the feedback and allowed for an welcoming atmosphere.
* When he was in a (potential) conflict with a a team member
* When he had the chance to help or try to resolve a (potential) conflict between team members
* When he knew a team member was not adhering to the communication or core values.</t>
      </text>
    </comment>
    <comment authorId="0" ref="Q3">
      <text>
        <t xml:space="preserve">How well does this person participate in daily standups?
* Speaking brief but clearly on what has been done the day before, what will be done today?
* Mentioning impediments
* Mentioning if there is a lack of tasks to work on for the day
* Asking for help if needed
* Speaking out when he can help others</t>
      </text>
    </comment>
    <comment authorId="0" ref="R3">
      <text>
        <t xml:space="preserve">How well does this person participate in the project retrospective meetings?
* Adding his items and speaking often in the retro's
* Speaking about the difficult and sad moment he has experienced
* Daring to confront others in a professional way to improve team structures or performance
* Providing ideas for team improvement</t>
      </text>
    </comment>
    <comment authorId="0" ref="S3">
      <text>
        <t xml:space="preserve">How well does this person perform in sprint demo's?
* Does the person present their work during the demo in a prepared, efficient and professional way?
* Does the person present in good English and if needed has he/she taken the time to practiced his/her English presentation?
* Did the functionality that the person was responsible for work well during the demo?</t>
      </text>
    </comment>
    <comment authorId="0" ref="T3">
      <text>
        <t xml:space="preserve">How well does this person participate in Scrum Poker &amp; other User Story &amp; Task review related meetings?
* Does the person actively speak up and mention his/her opinion?
* Does the person try to find a common ground when differences occur?
* Did the person come prepared into the meeting, having reviewed the tasks / user stories?
* Does the person try to keep the meeting efficient &amp; professional?
* Does the person try to give good solutions and estimations to further help the project goals?</t>
      </text>
    </comment>
    <comment authorId="0" ref="A46">
      <text>
        <t xml:space="preserve">This helper row is used to find the starting row for the x last sprints.
This value is used so that when searching for the x last sprints the calculation begins from the correct sprint onwards
The cells with Letters are used to make it easier to implement the formulas needed in the corresponding columns</t>
      </text>
    </comment>
    <comment authorId="0" ref="B46">
      <text>
        <t xml:space="preserve">Row number from which to count x last sprints</t>
      </text>
    </comment>
    <comment authorId="0" ref="D46">
      <text>
        <t xml:space="preserve">Used to printout the last sprint number row (Currently unused)</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Select the correct type of User story vs task from this column. 
User stories are only used to describe new features
Bugs are used to describe tasks that are worked on to resolve an issue.
Chore's are used by the technical team to describe technical tasks needed for infrastructure that do not have a visual appearance. Chore's are usually required to be implemented as the base for some user stories to be able to work. </t>
      </text>
    </comment>
    <comment authorId="0" ref="B2">
      <text>
        <t xml:space="preserve">Features should be written as user stories (not technical, not as tasks)
Bugs and Chore are written as tasks.
All User stories / Bugs and Chores must be added as a link to the actual User story / task.</t>
      </text>
    </comment>
    <comment authorId="0" ref="D2">
      <text>
        <t xml:space="preserve">Includes all type of Backed development like:
WebApp development
API development
DevOps development
Mobile development</t>
      </text>
    </comment>
    <comment authorId="0" ref="E2">
      <text>
        <t xml:space="preserve">Includes all type of Frontend development like:
WebApp development
HTML / CSS
Mobile development</t>
      </text>
    </comment>
    <comment authorId="0" ref="N2">
      <text>
        <t xml:space="preserve">MVP is an early version of the product that is created with minimum effort and development time. It may lack many features but has what is needed to launch</t>
      </text>
    </comment>
    <comment authorId="0" ref="V2">
      <text>
        <t xml:space="preserve">Roman Pichler created the concept of the Minimal Marketable Product (MMP) as a strategy to minimize investment risk. An MMP contains just enough functionality to be viable for launch, marketing, and sales. It focuses on a lean, minimal product with the smallest possible feature set. This approach allows for quicker development and reduced costs. If the product fails, less time and money are lost. If it succeeds, it starts earning money sooner. He cited the original Apple iPhone where it didn’t match feature for feature the incumbents but sold great, and the features held back caused the continuous cycle of upgrades, which continues to this day.</t>
      </text>
    </comment>
    <comment authorId="0" ref="AD2">
      <text>
        <t xml:space="preserve">The concept of a Minimum Loveable Product (MLP) takes the idea of product development to focusing on emotional engagement with the user. Unlike MVPs, which are often bare-bones versions of a product, an MLP aims to deliver not just functionality but also a delightful user experience. The goal is to create a product that users not only find useful but also form an emotional connection with, increasing the likelihood of adoption and long-term engagement. An MLP often includes well-thought-out design, intuitive user interfaces, and features that go beyond the basic requirements, aiming to 'wow' the user from the first interaction.</t>
      </text>
    </comment>
    <comment authorId="0" ref="AL2">
      <text>
        <t xml:space="preserve">MAP (at Bugloos) stands for the Most Awesome Product. The team goes all out both on features and technical architecture. It contains all that is needed and then some.</t>
      </text>
    </comment>
    <comment authorId="0" ref="AM2">
      <text>
        <t xml:space="preserve">After completing a feature make sure to set the date that the feature was delivered in this column.
Feature delivery is when the feature is uploaded to the live server (or stage if live is not present yet).</t>
      </text>
    </comment>
    <comment authorId="0" ref="AN2">
      <text>
        <t xml:space="preserve">To estimate the required backend delivery date the ideal team resources output is calculated based on the Resources tab "Ideal output p/w"
Only the backend development row is used since the required rebalancing of the other roles is already deducted from the backend development hours and should be in balance with the rest of the development roles.</t>
      </text>
    </comment>
    <comment authorId="0" ref="AO2">
      <text>
        <t xml:space="preserve">To estimate the required frontend delivery date the ideal team resources output is calculated based on the Resources tab "Ideal output p/w"
Only the fronten development row is used since the required rebalancing of the other roles is already deducted from the frontend development hours and should be in balance with the rest of the development roles.</t>
      </text>
    </comment>
    <comment authorId="0" ref="AP2">
      <text>
        <t xml:space="preserve">To estimate the backend delivery date the current active team resources output is calculated based on the Resources tab "Required rebalanced output p/w"
Only the backend development row is used since the required rebalancing of the other roles is already deducted from the backend development hours and should be in balance with the rest of the development roles.</t>
      </text>
    </comment>
    <comment authorId="0" ref="AQ2">
      <text>
        <t xml:space="preserve">To estimate the frontend delivery date the current active team resources output is calculated based on the Resources tab "Required rebalanced output p/w"
Only the frontend development row is used since the required rebalancing of the other roles is already deducted from the backend development hours and should be in balance with the rest of the development roles.</t>
      </text>
    </comment>
    <comment authorId="0" ref="AR2">
      <text>
        <t xml:space="preserve">Calculates the highest date between the backend and frontend estimated delivery date. 
This column should not manually be edited.</t>
      </text>
    </comment>
    <comment authorId="0" ref="AS2">
      <text>
        <t xml:space="preserve">After completing a feature make sure to set the date that the feature was delivered in this column.
Feature delivery is when the feature is uploaded to the live server (or stage if live is not present yet).</t>
      </text>
    </comment>
    <comment authorId="0" ref="AT2">
      <text>
        <t xml:space="preserve">After completing a feature make sure to set the date that the feature was delivered in this column.
Feature delivery is when the feature is uploaded to the live server (or stage if live is not present yet).</t>
      </text>
    </comment>
    <comment authorId="0" ref="AN175">
      <text>
        <t xml:space="preserve">The required backend delivery date including the projects risk margin.</t>
      </text>
    </comment>
    <comment authorId="0" ref="AO175">
      <text>
        <t xml:space="preserve">The required backend delivery date including the projects risk margin.</t>
      </text>
    </comment>
    <comment authorId="0" ref="AP175">
      <text>
        <t xml:space="preserve">The estimated backend delivery date including the projects risk margin.</t>
      </text>
    </comment>
    <comment authorId="0" ref="AQ175">
      <text>
        <t xml:space="preserve">The estimated frontend delivery date including the projects risk margin.</t>
      </text>
    </comment>
    <comment authorId="0" ref="AR175">
      <text>
        <t xml:space="preserve">The estimated delivery date 
including the project risk margin.</t>
      </text>
    </comment>
    <comment authorId="0" ref="AR176">
      <text>
        <t xml:space="preserve">The amount of working days needed to complete the project.</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Enter your team members name completely as it is written in their Bitrix24 profile page.
First name &amp; Last name
Example: Armin Ghassemi
Hint: use the @ sign to find people in the company automatically.</t>
      </text>
    </comment>
    <comment authorId="0" ref="B2">
      <text>
        <t xml:space="preserve">You can retrieve the personnel number of each colleague from their Bitrix24 profile page. 
If working with freelancers outside the company enter 0 as personnel number
Personnel numbers are always 2 or 3 digits. Example: xx / xxx</t>
      </text>
    </comment>
    <comment authorId="0" ref="C2">
      <text>
        <t xml:space="preserve">Is the team member still working on the project?
Instead of removing team members when they leave the project just deactivate their status.
If a team member is temporarly not on your project you can keep their status enabled here but instead enter their away time in the table below "Team members time off"</t>
      </text>
    </comment>
    <comment authorId="0" ref="D2">
      <text>
        <t xml:space="preserve">The role the team member has within the project (not per se his normal role).
If someone has multiple roles select his main role.
Example a Full stack developer that is only working on backend in a project should get the Backend developer role.
If you need to add a role notify the responsible person for this roadmap document so that that role is added in the template for others.</t>
      </text>
    </comment>
    <comment authorId="0" ref="E2">
      <text>
        <t xml:space="preserve">If a team member has a technical coach or chapter lead responsibility check the corresponding tick box</t>
      </text>
    </comment>
    <comment authorId="0" ref="F2">
      <text>
        <t xml:space="preserve">Determines the team members seniority multiplier which is used to calculate the expected output per week of this resource. The more Senior the resource is the higher is the expected work output per week.</t>
      </text>
    </comment>
    <comment authorId="0" ref="G2">
      <text>
        <t xml:space="preserve">Changing this column value changes the estimated work output value. 
During the project this value should be updated according to the actual output of the team member based on his 3 latest sprints average delivered value in the Team performance tab (velocity).</t>
      </text>
    </comment>
    <comment authorId="0" ref="H2">
      <text>
        <t xml:space="preserve">The working hours of the team member per week in total. regardless of whether the team member is dedicated on this project or not.</t>
      </text>
    </comment>
    <comment authorId="0" ref="I2">
      <text>
        <t xml:space="preserve">All project related time reservations that are needed for the project development but do not contribute directly to the roadmap output (tasks).
All time estimates mentioned here are estimated based on the amount of time reserved for the item on a weekly basis. Some items might take place multiple times a week and some only once a month.</t>
      </text>
    </comment>
    <comment authorId="0" ref="Q2">
      <text>
        <t xml:space="preserve">All personal time reservations for work or events that are not related to this project.
All time estimates mentioned here are estimated based on the amount of time reserved for the item on a weekly basis. Some items might take place multiple times a week and some only once a month.</t>
      </text>
    </comment>
    <comment authorId="0" ref="T2">
      <text>
        <t xml:space="preserve">All company time reservations for work or events that are not related to this project.
All time estimates mentioned here are estimated based on the amount of time reserved for the item on a weekly basis. Some items might take place multiple times a week and some only once a month.</t>
      </text>
    </comment>
    <comment authorId="0" ref="Y2">
      <text>
        <t xml:space="preserve">Enter any other time the person is withheld to work on the project due to another important responsibility unrelated to this project. 
Only enter this field if the person will stay committed to work on another project for the entire duration of this project. 
If his other project commitment is temporarily enter this data in the table below "Extra ordinary events impacting team members working hours"</t>
      </text>
    </comment>
    <comment authorId="0" ref="Z2">
      <text>
        <t xml:space="preserve">The amount of time the team member is committed to this project.
Working hours - Other projects commitment - non project related reservations.</t>
      </text>
    </comment>
    <comment authorId="0" ref="AC2">
      <text>
        <t xml:space="preserve">This columnshows the actual velocity this team member currently has had for the last 3 sprints.</t>
      </text>
    </comment>
    <comment authorId="0" ref="AD2">
      <text>
        <t xml:space="preserve">This column is updating the date each time the team resources fields have been checked. 
This must be checked every 2 weeks to be sure it is still up to date.</t>
      </text>
    </comment>
    <comment authorId="0" ref="I3">
      <text>
        <t xml:space="preserve">Amount of time reserved for project retrospectives per week. If you have a 30 min retrospective at the end of each 2 weekly sprint then you should reserve 0,25 hours per weeks in this column.
This column is auto generated based on the amount of working hours within the team. If the total working hours is more than 6 full time team members an hour retro every 2 weeks is expected. Otherwise a half hour retro is expected.</t>
      </text>
    </comment>
    <comment authorId="0" ref="J3">
      <text>
        <t xml:space="preserve">Auto generated by Role of team member. Non technical roles get 0 hours reserved. Supervisor gets most hours, then developers and then Quality Assurance roles. Exact time reservation hours is based on amount of team members.</t>
      </text>
    </comment>
    <comment authorId="0" ref="K3">
      <text>
        <t xml:space="preserve">This time is reserved for reviewing next weeks planning, tasks and prioritizing.
Planning time for technical coach and Product owner is more due to the answers and arrangements needed for other team members.
Column is auto generated based on the working hours the team member</t>
      </text>
    </comment>
    <comment authorId="0" ref="L3">
      <text>
        <t xml:space="preserve">This column is used for time reservation for communication that takes place outside what has been planned. Usually this are small questions and answers that are brought up during task development.
Time reservation for Product owner and Technical coach is more due to their management.
Formula is 50% more than the weekly planning formula and based on the working hours of the team member.</t>
      </text>
    </comment>
    <comment authorId="0" ref="M3">
      <text>
        <t xml:space="preserve">The sprint demo is usually half an hour a week if sprints are on a weekly basis or 1 hour every 2 weeks if sprints are every other week. Either way the time reservation becomes 0,50 per week regardless of the amount of team members or sprint cycle.</t>
      </text>
    </comment>
    <comment authorId="0" ref="N3">
      <text>
        <t xml:space="preserve">The sprint retro rehearsal should not be needed throughout the entire project. If the team is properly trained in scrum there should not be any time reserved for this.
If the team is not properly trained this should be a priority so in either case this column should not be used or used temporary.
If demo rehearsals take place it should be of same value as the actual sprint demo's</t>
      </text>
    </comment>
    <comment authorId="0" ref="O3">
      <text>
        <t xml:space="preserve">Scrum poker needed time is auto calculated by the amount of working hours in the team, 
1-4 full time team members = 0,50 hours per week
5-6 full time team members = 1,00
7-8 full time team members = 1,50 
9+ = 2,00 hour's</t>
      </text>
    </comment>
    <comment authorId="0" ref="P3">
      <text>
        <t xml:space="preserve">15 minutes is reserved per day for daily standups making this value 1,25 per week by default.</t>
      </text>
    </comment>
    <comment authorId="0" ref="Q3">
      <text>
        <t xml:space="preserve">The regular time the person can take a time off from work based on his working hours. For someone working full time (40 hours) that is 4.5 hours per week.
This column is auto generated</t>
      </text>
    </comment>
    <comment authorId="0" ref="R3">
      <text>
        <t xml:space="preserve">The amount of National holiday's that on average occur during a working day divided by the amount of average working days per year.
Average holidays on working days per year is 21 which makes it 3,23 hours on a weekly basis that need to be reserved.</t>
      </text>
    </comment>
    <comment authorId="0" ref="S3">
      <text>
        <t xml:space="preserve">Time allowance for each team member based on company policy for their Individual development plan (IDP) or to be used for research and development (R&amp;D).
Maximum is 3 hours per week. In case of a projects forced deadline this time should be removed.
All workshops &amp; training programs organized by the company which the team member follows should be seen as IDP or R&amp;D time.</t>
      </text>
    </comment>
    <comment authorId="0" ref="T3">
      <text>
        <t xml:space="preserve">Time reservation for the company week retrospective held at the end of each week with all company personnel.
This time can not be deducted and is always 0,50.</t>
      </text>
    </comment>
    <comment authorId="0" ref="U3">
      <text>
        <t xml:space="preserve">Time reservation for the monthly chapter retrospectives held by each company department. 
For example developers have a 1 hour per month developers retrospective and Product owners have their monthly retrospective. 
Time is fixed at 0,25 per week since the chapter retro's are always 1 hour per month.</t>
      </text>
    </comment>
    <comment authorId="0" ref="V3">
      <text>
        <t xml:space="preserve">This company management meeting is held by all supervisors within the company and is not related to this specific project. 
The company management meeting is held once a month and used as a Q/A and brainstorming session for all supervisors.</t>
      </text>
    </comment>
    <comment authorId="0" ref="W3">
      <text>
        <t xml:space="preserve">This column automatically reserves 30 min per week of technical coaches on the project for new personnel (hiring process) interview responsibilities.</t>
      </text>
    </comment>
    <comment authorId="0" ref="X3">
      <text>
        <t xml:space="preserve">This column automatically reserves 30 min per week of technical coaches on the project for assessment responsibilities of the developers.</t>
      </text>
    </comment>
    <comment authorId="0" ref="A24">
      <text>
        <t xml:space="preserve">Here you can track any special event that has caused a team member to either work more or less. Think of events such as:
* Approved extra work
* Sickness
* Being placed temporarily on a different project</t>
      </text>
    </comment>
    <comment authorId="0" ref="A25">
      <text>
        <t xml:space="preserve">If team member is not present in the drop down make sure to add him in the table above. 
Do not manually add team members here. Only select Team members from the drop down.</t>
      </text>
    </comment>
    <comment authorId="0" ref="B25">
      <text>
        <t xml:space="preserve">What was the reason for the team members absence?
Do not enter Personal time off's or National holidays here. These are already calculated in the table above.</t>
      </text>
    </comment>
    <comment authorId="0" ref="C25">
      <text>
        <t xml:space="preserve">Enter the start date for the absentee.
Do not enter long durations that  include weekends or national holidays.</t>
      </text>
    </comment>
    <comment authorId="0" ref="E25">
      <text>
        <t xml:space="preserve">Enter the end date of the persons absence.
Do not enter long durations that  include weekends or national holidays.</t>
      </text>
    </comment>
    <comment authorId="0" ref="G25">
      <text>
        <t xml:space="preserve">This field is to enter how many working hours per day the person was working extra or was absent.
By default it calculates the persons absence based on the persons working hours - Other projects permanent commitment hours / 5 to get that persons daily commitment hours to this project
If the person was only absent part of the day make sure to edit this field and enter the precise absent time in hours : minutes.</t>
      </text>
    </comment>
    <comment authorId="0" ref="H25">
      <text>
        <t xml:space="preserve">Calculates the total amount this person deviates from their normal expected working schedule for the chosen period. </t>
      </text>
    </comment>
    <comment authorId="0" ref="A51">
      <text>
        <t xml:space="preserve">All team activities mentioned here are estimated based on the amount of time reserved for the item on a weekly basis. Some items might take place multiple times a week and some only once a month.</t>
      </text>
    </comment>
    <comment authorId="0" ref="H51">
      <text>
        <t xml:space="preserve">This column shows the resources deficit. If the project has more resources than needed the deficit will be negative, otherwise it's positive.</t>
      </text>
    </comment>
    <comment authorId="0" ref="A52">
      <text>
        <t xml:space="preserve">Do not rename, add or delete roles.
If you need to add a role notify the responsible person for this roadmap document so that that role is added in the template for others.</t>
      </text>
    </comment>
    <comment authorId="0" ref="B52">
      <text>
        <t xml:space="preserve">This is the project output that is needed per week to reach the deadline. If no deadline is given or it's overdue this becomes the ideal output p/w based on the balance of the remaining work.</t>
      </text>
    </comment>
    <comment authorId="0" ref="D52">
      <text>
        <t xml:space="preserve">The sum of the expected task output p/w of all team members based on their role.</t>
      </text>
    </comment>
    <comment authorId="0" ref="E52">
      <text>
        <t xml:space="preserve">The weekly output per role that is  required based on the chosen roadmap.
Based on the Task expected output this column rebalances the output to match the required output based on the selected roadmap.
If a role is not filled by a team member but is part of the chosen roadmap it is automatically calculated based on the Roadmap setting percentage that is reserved for that role.
For example if the roadmap chosen by the stakeholder requires 15% automated backend testing but there is no dedicated role selected for this then 15% of the expected backend developer hours output is deducted and reserved for automated backend testing.
The deficit column is used for the Backend and frontend development rows to either reserve hours for unfilled roles or to add hours if those roles are overfilled.</t>
      </text>
    </comment>
    <comment authorId="0" ref="H52">
      <text>
        <t xml:space="preserve">Difference between what is needed (Roadmap required output p/w) and what is expected (Task expected output p/w).
This column basicly shows what resources the team has in excess or is in need of.</t>
      </text>
    </comment>
    <comment authorId="0" ref="I52">
      <text>
        <t xml:space="preserve">The total roadmap estimated hours regardless of what has been completed and what not.</t>
      </text>
    </comment>
    <comment authorId="0" ref="J52">
      <text>
        <t xml:space="preserve">The total roadmap estimated hours regardless of what has been completed and what not.</t>
      </text>
    </comment>
    <comment authorId="0" ref="K52">
      <text>
        <t xml:space="preserve">The remaining backend hours for each role as estimated in the Roadmap</t>
      </text>
    </comment>
    <comment authorId="0" ref="L52">
      <text>
        <t xml:space="preserve">The remaining frontend hours for each role as estimated in the Roadmap</t>
      </text>
    </comment>
    <comment authorId="0" ref="M52">
      <text>
        <t xml:space="preserve">The total remaining hours for each role as estimated in the Roadmap</t>
      </text>
    </comment>
    <comment authorId="0" ref="N52">
      <text>
        <t xml:space="preserve">The total remaining work for each project role in weeks based on either the deadline set in Roadmap setting or if no deadline is set it's based on the fastest performing resource (Backend vs Frontend development) and the additionally needed resources to keep up with the fastest performing resource.  </t>
      </text>
    </comment>
    <comment authorId="0" ref="O52">
      <text>
        <t xml:space="preserve">The total remaining work for each project role in weeks based on the current assigned resources. </t>
      </text>
    </comment>
    <comment authorId="0" ref="P52">
      <text>
        <t xml:space="preserve">The ideal output per week based on the total amount of work instead of the remaining amount of work.
This data is used to calculate the required delivery date for each feature in the Roadmap sheet.
It takes into consideration if the project has a determined starting date or not. Even if no starting date is determined but there is a task delivery on a specific date it uses that as the projects starting date for its calculations.</t>
      </text>
    </comment>
    <comment authorId="0" ref="D54">
      <text>
        <t xml:space="preserve">The "Full stack development" field is hidden and only used to add it's hours divided by the balance of what is needed between Backend and Frontend development hours.</t>
      </text>
    </comment>
    <comment authorId="0" ref="D55">
      <text>
        <t xml:space="preserve">Apart from counting all Backend development hours also add the hidden field "Full stack developer" hours divided by the balance of what is needed between Backend and Frontend development hours.
The hidden field "Dev Ops development" hours are also added completely to this field. </t>
      </text>
    </comment>
    <comment authorId="0" ref="D56">
      <text>
        <t xml:space="preserve">Apart from counting all Backend development hours also add the hidden field "Full stack developer" hours divided by the balance of what is needed between Backend and Frontend development hours.</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0">
      <text>
        <t xml:space="preserve">Are the project sprints every 1 or every 2 weeks?</t>
      </text>
    </comment>
    <comment authorId="0" ref="A11">
      <text>
        <t xml:space="preserve">The project focus determines how the Product Owner manages the project. The options are:
Scope based:
In this case the focus is on making sure all roadmap features are delivered, the feature delivery is of higher importance than the project financial budget.
Budget based:
When a project is managed based on the budget agreed the priority is making sure that the project does not exceed it's pre determined budget. If needed lower priority features will be deducted if budget is reached.
Fixed price:
When managing a project fixed price both the features and budget are guaranteed. Instead a risk margin is added since the entire project risk is with the development team.</t>
      </text>
    </comment>
    <comment authorId="0" ref="D11">
      <text>
        <t xml:space="preserve">The risk margin is automatically entered if the project focus is "fixed price" otherwise the risk margin is 0%
If the project is fixed price you can manually edit the risk margin percentage based on the risks calculated by the development team.
Default value for fixed price is 15%</t>
      </text>
    </comment>
    <comment authorId="0" ref="B12">
      <text>
        <t xml:space="preserve">An MVP is an early version of the product that is created with minimum effort and development time. It may lack many features but has what is needed to launch</t>
      </text>
    </comment>
    <comment authorId="0" ref="C12">
      <text>
        <t xml:space="preserve">An MMR stands for minimum marketable release — a full release of a product that satisfies current user needs. </t>
      </text>
    </comment>
    <comment authorId="0" ref="D12">
      <text>
        <t xml:space="preserve">The MLP stand for the Most Lovable Product. It contains exactly what is needed to launch and meet the users expectations and make them love the product.</t>
      </text>
    </comment>
    <comment authorId="0" ref="E12">
      <text>
        <t xml:space="preserve">The MAP (at Bugloos) stands for the Most Awesome Product. The team goes all out both on features and technical architecture. It contains all that is needed and then some.</t>
      </text>
    </comment>
    <comment authorId="0" ref="E14">
      <text>
        <t xml:space="preserve">Check this tick box if UI/UX design prototyping is part of the roadmap commitment </t>
      </text>
    </comment>
    <comment authorId="0" ref="A21">
      <text>
        <t xml:space="preserve">This row is automatically calculated based on the project related meetings that are filled in the Resources tab. Make sure to select the team members and enter their working hours correctly there so that this calculation is made correctly. 
If team members are unclear the default value entered should be 25%
</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
      <text>
        <t xml:space="preserve">After completing a feature make sure to set the date that the feature was delivered in this column.
Feature delivery is when the feature is uploaded to the live server (or stage if live is not present yet).</t>
      </text>
    </comment>
    <comment authorId="0" ref="D6">
      <text>
        <t xml:space="preserve">Refers to the estimated number of hours allocated for completing a project within the set timeframe.
</t>
      </text>
    </comment>
    <comment authorId="0" ref="E6">
      <text>
        <t xml:space="preserve">Refers to the total number of hours spent within the allocated timeframe in relation to the Budgeted Cost.</t>
      </text>
    </comment>
    <comment authorId="0" ref="I6">
      <text>
        <t xml:space="preserve">The value of the actual work completed within a timeframe.</t>
      </text>
    </comment>
    <comment authorId="0" ref="J6">
      <text>
        <t xml:space="preserve">The value of the work that should have been completed at a given timeframe.</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Choose the type of update you have made to this document. If any change is made to the Roadmap features/estimations or the Resources tab one of these should be selected even if more updates have been made to other parts.
If you have made no changes to the Roadmap or Resources tab choose "Other"</t>
      </text>
    </comment>
  </commentList>
</comments>
</file>

<file path=xl/sharedStrings.xml><?xml version="1.0" encoding="utf-8"?>
<sst xmlns="http://schemas.openxmlformats.org/spreadsheetml/2006/main" count="2565" uniqueCount="1411">
  <si>
    <t>Roadmap deficit prognose</t>
  </si>
  <si>
    <t>PROJECT MANAGEMENT PLAN DASHBOARD TEMPLATE</t>
  </si>
  <si>
    <t>https://www.smartsheet.com/try-it?trp=11440&amp;utm_source=integrated+content&amp;utm_campaign=/content/google-sheets-project-management-templates&amp;utm_medium=Project+Management+Plan+Dashboard+google+sheets+11440&amp;lpa=Project+Management+Plan+Dashboard+google+sheets+11440&amp;lx=PFpZZjisDNTS-Ddigi3MyABAgeTPLDIL8TQRu558b7w</t>
  </si>
  <si>
    <t>CAMPAIGN NAME</t>
  </si>
  <si>
    <t>DATE</t>
  </si>
  <si>
    <t>PROJECT  STATUS</t>
  </si>
  <si>
    <t>% COMPLETE</t>
  </si>
  <si>
    <t>00/00/00</t>
  </si>
  <si>
    <t>ON TRACK</t>
  </si>
  <si>
    <t>TASK TIMELINE</t>
  </si>
  <si>
    <t>DASHBOARD DATA</t>
  </si>
  <si>
    <t>TASK TABLE</t>
  </si>
  <si>
    <t>TASK NAME</t>
  </si>
  <si>
    <t>ASSIGNED TO</t>
  </si>
  <si>
    <t>START 
DATE</t>
  </si>
  <si>
    <t>END 
DATE</t>
  </si>
  <si>
    <r>
      <rPr>
        <rFont val="Fira Sans"/>
        <b/>
        <color theme="0"/>
        <sz val="10.0"/>
      </rPr>
      <t>DURATION</t>
    </r>
    <r>
      <rPr>
        <rFont val="Fira Sans"/>
        <b val="0"/>
        <color theme="0"/>
        <sz val="10.0"/>
      </rPr>
      <t xml:space="preserve"> 
in days</t>
    </r>
  </si>
  <si>
    <t>STATUS</t>
  </si>
  <si>
    <t>PRIORITY</t>
  </si>
  <si>
    <t>COMMENTS</t>
  </si>
  <si>
    <t>Set Kick-Off Meeting</t>
  </si>
  <si>
    <t>Alex B.</t>
  </si>
  <si>
    <t>Complete</t>
  </si>
  <si>
    <t>High</t>
  </si>
  <si>
    <t>Agree on Objectives</t>
  </si>
  <si>
    <t>Frank C.</t>
  </si>
  <si>
    <t>Medium</t>
  </si>
  <si>
    <t>Detailed Requests</t>
  </si>
  <si>
    <t>Jacob S.</t>
  </si>
  <si>
    <t>Low</t>
  </si>
  <si>
    <t>Hardware Requests</t>
  </si>
  <si>
    <t>Final Resource Plan</t>
  </si>
  <si>
    <t>Staffing</t>
  </si>
  <si>
    <t>Overdue</t>
  </si>
  <si>
    <t>Technical Requests</t>
  </si>
  <si>
    <t>In Progress</t>
  </si>
  <si>
    <t>Testing</t>
  </si>
  <si>
    <t>Kennedy K.</t>
  </si>
  <si>
    <t>Dev. Complete</t>
  </si>
  <si>
    <t>Hardware Configuration</t>
  </si>
  <si>
    <t>On Hold</t>
  </si>
  <si>
    <t>System Testing</t>
  </si>
  <si>
    <t>Not Started</t>
  </si>
  <si>
    <t>LAUNCH</t>
  </si>
  <si>
    <t>TASK STATUS %</t>
  </si>
  <si>
    <t>BUDGET</t>
  </si>
  <si>
    <t>COUNT</t>
  </si>
  <si>
    <t>%</t>
  </si>
  <si>
    <t>PLANNED</t>
  </si>
  <si>
    <t>ACTUAL</t>
  </si>
  <si>
    <t>TOTAL</t>
  </si>
  <si>
    <t>TASK PRIORITY %</t>
  </si>
  <si>
    <t>PENDING ITEMS</t>
  </si>
  <si>
    <t>Decisions</t>
  </si>
  <si>
    <t>Actions</t>
  </si>
  <si>
    <t xml:space="preserve">Change Requests </t>
  </si>
  <si>
    <t xml:space="preserve">                                                                                                                                                                    </t>
  </si>
  <si>
    <t>User story / task</t>
  </si>
  <si>
    <t>User story description</t>
  </si>
  <si>
    <t>Total time</t>
  </si>
  <si>
    <t>MVP</t>
  </si>
  <si>
    <t>Total Time</t>
  </si>
  <si>
    <t>MMP</t>
  </si>
  <si>
    <t>MLP</t>
  </si>
  <si>
    <t>MAP</t>
  </si>
  <si>
    <t>Estimated duriation</t>
  </si>
  <si>
    <t>Backend req. delivery</t>
  </si>
  <si>
    <t>Frontend req. delivery</t>
  </si>
  <si>
    <t>Backend est. delivery</t>
  </si>
  <si>
    <t>Frontend est. delivery</t>
  </si>
  <si>
    <t>Estimated delivery date</t>
  </si>
  <si>
    <t>Actual duration</t>
  </si>
  <si>
    <t>Actual delivered date</t>
  </si>
  <si>
    <t>Comment</t>
  </si>
  <si>
    <t>Team communication &amp; management activities</t>
  </si>
  <si>
    <t>Epic 0: Analysis and basic setups</t>
  </si>
  <si>
    <t>Analysis and Environment Setup</t>
  </si>
  <si>
    <t>Chore</t>
  </si>
  <si>
    <t xml:space="preserve">Onboarding the team members on the project	</t>
  </si>
  <si>
    <t>Review AlbertHeijn API scraper functions and APIs</t>
  </si>
  <si>
    <t>Review Picnic API scraper and it's API end points</t>
  </si>
  <si>
    <t>Review Jumbo web scraper and it's available APIs</t>
  </si>
  <si>
    <t>Review plus web scraper and API end points</t>
  </si>
  <si>
    <t>Technical budgeting strategy R&amp;D to maintain the initial budget</t>
  </si>
  <si>
    <t>Prepare backend development repository</t>
  </si>
  <si>
    <t>Basic setup of backend repository and its API doc structure</t>
  </si>
  <si>
    <t>Basic setup of Android and IOS applications using Capacitor</t>
  </si>
  <si>
    <t xml:space="preserve">Prepare UI/UX design system </t>
  </si>
  <si>
    <t>Setting up project management infrastructure</t>
  </si>
  <si>
    <t xml:space="preserve">December 29 to January 23 </t>
  </si>
  <si>
    <t>Epic 1 : Build the core system infrastructure, product aggregation, and admin panel basics.</t>
  </si>
  <si>
    <t>Sprint 1  - 29 Dec to Jan 9</t>
  </si>
  <si>
    <t>Must</t>
  </si>
  <si>
    <t>As a developer, I want to design the database structure</t>
  </si>
  <si>
    <t>Deploy project on development server</t>
  </si>
  <si>
    <t>As a DevOps engineer I want to set up project's infrastructure</t>
  </si>
  <si>
    <t>As [developer] I have to setup &amp; dockerize a aggregator codebase</t>
  </si>
  <si>
    <t>Feature</t>
  </si>
  <si>
    <t>As an admin, I want to log in to the portal so that I can access and manage the system securely</t>
  </si>
  <si>
    <t>As an admin, I want to set a password during my first login or after a reset so that I can securely access my account</t>
  </si>
  <si>
    <t>Should</t>
  </si>
  <si>
    <t>As an admin, I want to use the "Forgot Password" feature so that I can recover access to my account if I forget my credentials</t>
  </si>
  <si>
    <t>As an admin, I want to receive welcome and reset password emails so that I am guided through account setup or recovery</t>
  </si>
  <si>
    <t>As an admin, I want to log out of the portal so that I can ensure my account's security when leaving the session</t>
  </si>
  <si>
    <t>As a developer, I want to retrieve product data from supermarket APIs so that I can maintain an up-to-date product catalog.</t>
  </si>
  <si>
    <t>As a system administrator, I want periodic data fetches to occur every 24 hours so that the database remains current without manual intervention.</t>
  </si>
  <si>
    <t>As a developer, I want the system to respect API rate limits so that we comply with supermarket policies and avoid service interruptions.</t>
  </si>
  <si>
    <t>As an admin, I want to create a new category so that I can organize items effectively</t>
  </si>
  <si>
    <t>As an admin, I want to view all categories in a list or grid so that I can understand the current structure</t>
  </si>
  <si>
    <t xml:space="preserve">As an admin, I want to create a new label so that I can tag and identify items more effectively. </t>
  </si>
  <si>
    <t>As an admin, I want to view all labels in a list or grid so that I can see which labels are available.</t>
  </si>
  <si>
    <t>As an admin, I want to edit existing labels so that I can correct errors or update their attributes.</t>
  </si>
  <si>
    <t>Could</t>
  </si>
  <si>
    <t>As an admin, I want to delete a label so that I can remove outdated or unused labels from the system</t>
  </si>
  <si>
    <t>As an admin, I want to search for specific labels by name or keyword so that I can locate them efficiently</t>
  </si>
  <si>
    <t>As an admin, I want to edit existing categories so that I can update their names or attributes as needed</t>
  </si>
  <si>
    <t>As an admin, I want to search for specific categories by name or keyword so that I can find them quickly</t>
  </si>
  <si>
    <t>As an admin, I want to delete a category so that I can remove unused or irrelevant ones from the system</t>
  </si>
  <si>
    <t>As a developer I want to prepare the development environment</t>
  </si>
  <si>
    <t>Sprint 2 - 12 Jan to 23 Jan</t>
  </si>
  <si>
    <t>Implement cron jobs to fetch and update data in develop environment</t>
  </si>
  <si>
    <t>We need to map and sync captured data from aggregators to supermarty</t>
  </si>
  <si>
    <t>As a developer, I want an automated process to relate the market products in different supermarkets to the corresponding system products in the system</t>
  </si>
  <si>
    <t xml:space="preserve">As an admin, I want to create a new system product so that I can add new products to the system. </t>
  </si>
  <si>
    <t>As an admin, I want to publish or unpublish system products so that I can control what is visible to end users.</t>
  </si>
  <si>
    <t>As an admin, I want to search for products by name or tags so that I can quickly find specific items in the system.</t>
  </si>
  <si>
    <t>As an admin, I want to view a list of system products so that I can monitor and manage product data efficiently.</t>
  </si>
  <si>
    <t>As an admin, I want to filter categories based on certain criteria (e.g., status, type) so that I can narrow down the results</t>
  </si>
  <si>
    <t>As a user, I want to see similar products grouped together so that I can choose the best option easily.</t>
  </si>
  <si>
    <t>As an admin, I want to filter products by various attributes so that I can refine the product list for specific management tasks.</t>
  </si>
  <si>
    <t>As a user, I want prices to be displayed in a standard format (e.g., price per kg and total price) so that I can compare products easily.</t>
  </si>
  <si>
    <t>As a user, I want product weights to be standardized (e.g., grams, liters) so that I can easily understand and compare the quantities of different items.</t>
  </si>
  <si>
    <t>As an admin, I want to filter labels based on certain criteria (e.g., type, associated categories) so that I can refine the results</t>
  </si>
  <si>
    <t>Jumbo | As a developer, I want to retrieve product data from supermarket APIs so that I can maintain an up-to-date product catalog.</t>
  </si>
  <si>
    <t>As a user, I want nutritional information to be standardized so that I can make informed choices about my purchases.</t>
  </si>
  <si>
    <t>As [developer] I have to refactor aggregation services &amp; make them more safe in which times that might be error happened</t>
  </si>
  <si>
    <t>January 26 to February 20</t>
  </si>
  <si>
    <t>Epic 2: Meal management, Bag management, Categories page for users, Product list for users, Product single page for users, Authentication, Bags for users, meals for users</t>
  </si>
  <si>
    <t>Sprint 3 - Jan 26 to Feb 6</t>
  </si>
  <si>
    <t>As a team member, I want to implement feedback from the previous epic so that the product aligns with stakeholder expectations and enhances user satisfaction.</t>
  </si>
  <si>
    <t>As a DevOps, I want to set up the frontend infrastructure so that the project has a scalable and maintainable foundation</t>
  </si>
  <si>
    <t>As an admin, I want to have an overview of all bags so that I can monitor and manage their contents effectively.</t>
  </si>
  <si>
    <t>As an admin, I want to add new bags so that I can include additional inventory into the system.</t>
  </si>
  <si>
    <t>As an admin, I want to edit bag details so that I can update information accurately when needed.</t>
  </si>
  <si>
    <t>As an admin, I want to delete bags so that I can remove outdated or irrelevant items from the system.</t>
  </si>
  <si>
    <t>As an admin, I want to filter bags so that I can quickly locate specific items or groups for review.</t>
  </si>
  <si>
    <t>As an admin, I want to have an overview of all meals so that I can manage and monitor meal plans comprehensively.</t>
  </si>
  <si>
    <t>As an admin, I want to add new meals so that I can expand and update the available meal options.</t>
  </si>
  <si>
    <t>As an admin, I want to edit meal details so that I can update ingredients, recipes, or other relevant information as needed.</t>
  </si>
  <si>
    <t>As an admin, I want to delete meals so that I can remove obsolete or undesired options from the system.</t>
  </si>
  <si>
    <t>As an admin, I want to search and filter meals so that I can quickly locate specific meals or categories for efficient management.</t>
  </si>
  <si>
    <t>As an admin, I want to view an overview of users, including their name, and other details, so that I can quickly understand user profiles and manage them efficiently.</t>
  </si>
  <si>
    <t>As an admin, I want to edit a user's information and change their role so that I can update their permissions or account details as necessary.</t>
  </si>
  <si>
    <t>As a user, I want to prepare the page structure</t>
  </si>
  <si>
    <t>As a user, I want to view a product's header so that I can quickly identify the product.</t>
  </si>
  <si>
    <t>As a user, I want to see the title, description, and price of a product so that I can understand what it is and how much it costs.</t>
  </si>
  <si>
    <t>As a user, I want to view the Nutri-score and labels of a product so that I can make informed choices about its nutritional value.</t>
  </si>
  <si>
    <t>As a user, I want to compare supermarket prices for a product so that I can choose the most affordable option.</t>
  </si>
  <si>
    <t>As a user, I want to add a product to my cart directly from the price comparison list so that I can shop conveniently.</t>
  </si>
  <si>
    <t>As a user, I want to access the detailed nutritional information of a product so that I can assess if it meets my dietary needs.</t>
  </si>
  <si>
    <t>As a user, I want to see a list of similar products so that I can explore alternatives.</t>
  </si>
  <si>
    <t>As a user, I want to discover meals that include the product so that I can find ideas for using it.</t>
  </si>
  <si>
    <t>As a user, I want to view the category header and title so that I know which type of products I am browsing.</t>
  </si>
  <si>
    <t>As a user, I want to see a list of sub-categories so that I can narrow down my search to specific types of products.</t>
  </si>
  <si>
    <t>As a user, I want to see a list of categories and so that I can narrow down my search to specific types of products.</t>
  </si>
  <si>
    <t>As a user, I want to view related recipes in a selected category so that I can find cooking inspiration.</t>
  </si>
  <si>
    <t>As a user, I want to see the products in a selected category with lazy loading so that I can browse efficiently without waiting for all items to load at once.</t>
  </si>
  <si>
    <t>As a user, I want to filter products based on labels and food types so that I can easily find what suits my preferences or needs.</t>
  </si>
  <si>
    <t>Sprint 4 - Feb 9 to Feb 21</t>
  </si>
  <si>
    <t>As a user, I want to see a list of similar bags so that I can explore alternatives.</t>
  </si>
  <si>
    <t>Bag category and meal category management in admin panel</t>
  </si>
  <si>
    <t>As an admin, I want to create meal category so I can categorize my meals in meaningful groups</t>
  </si>
  <si>
    <t>As an admin, I want to have an overview of the meal categories so that I can see the meal categories at 1 glance</t>
  </si>
  <si>
    <t>As an admin, I want to have the ability to delete the meal categories so that I can get rid of the unwanted meal categories</t>
  </si>
  <si>
    <t>As an admin, I want to have the ability to edit the meal categories so that I can adjust the needed info in meal categories</t>
  </si>
  <si>
    <t>As an admin, I want to create bag category so I can categorize my bags in meaningful groups</t>
  </si>
  <si>
    <t>As an admin, I want to have an overview of the bags categories so that I can see the bag categories at 1 glance</t>
  </si>
  <si>
    <t>As an admin, I want to have the ability to delete the bag categories so that I can get rid of the unwanted bag categories</t>
  </si>
  <si>
    <t>As an admin, I want to have the ability to edit the bag categories so that I can adjust the needed info in bag categories</t>
  </si>
  <si>
    <t>Authentication</t>
  </si>
  <si>
    <t>As a user, I want to sign up so that I can create an account and access the platform.</t>
  </si>
  <si>
    <t>As a user, I want to log in so that I can access my account securely.</t>
  </si>
  <si>
    <t>As a user, I want to set a password during my first login or reset process so that I can secure my account.</t>
  </si>
  <si>
    <t>As a user, I want to have my session automatically refreshed so that I don't have to log in repeatedly.</t>
  </si>
  <si>
    <t>As a user, I want to log out so that I can secure my account after using the platform.</t>
  </si>
  <si>
    <t>February 23 to March 18</t>
  </si>
  <si>
    <t>Epic 3: Discover, Shoping cart and check out pages in user portal, meal and bag categories</t>
  </si>
  <si>
    <t>Sprint 5 - Feb 23 to March 6</t>
  </si>
  <si>
    <t>Meal categories and details in user panel</t>
  </si>
  <si>
    <t>As a user, I want to see the meal categories so that I can find relevent meals easily via navigating within the meal categories</t>
  </si>
  <si>
    <t xml:space="preserve">As a user, I want to see the Popular meal recipes block in meal category so that I can see the most intresting recipes </t>
  </si>
  <si>
    <t>As a user, I want to see the meal list connected to a meal category so that I can find the recipe that I like</t>
  </si>
  <si>
    <t>As a user, I want to see the header, title, and total price of a meal so that I can understand what it is and how much it costs.</t>
  </si>
  <si>
    <t xml:space="preserve">As a user, I want to see the meal's recipe as a plain text so that I can learn how to cook it </t>
  </si>
  <si>
    <t>As a user, I want to view the Nutri-score of a meal so that I can make informed choices about its nutritional value.</t>
  </si>
  <si>
    <t>As a user, I want to compare supermarket prices for a meal so that I can choose the most affordable option.</t>
  </si>
  <si>
    <t>As a user, I want to see the list of the grocery items in the meal and add a product to my cart directly from the price comparison list so that I can shop conveniently.</t>
  </si>
  <si>
    <t>Bags categories and details in user panel</t>
  </si>
  <si>
    <t>As a user, I want to see the bag categories so that I can find relevent bagls easily via navigating within the bag categories</t>
  </si>
  <si>
    <t>As a user, I want to see the Popular bags block in meal category so that I can see the most intresting bags</t>
  </si>
  <si>
    <t>As a user, I want to see the bag list connected to a bag category so that I can find the bag that I like</t>
  </si>
  <si>
    <t>As a user, I want to see the header, title, description, and total price of a bag so that I can understand what it is and how much it costs.</t>
  </si>
  <si>
    <t>As a user, I want to view the Nutri-score of a bag so that I can make informed choices about its nutritional value.</t>
  </si>
  <si>
    <t>As a user, I want to compare supermarket prices for a bag so that I can choose the most affordable option.</t>
  </si>
  <si>
    <t>As a user, I want to see the list of the grocery items in the bag and add a product to my cart directly from the price comparison list so that I can shop conveniently.</t>
  </si>
  <si>
    <t>Sprint 6 -  March 9 to March 18</t>
  </si>
  <si>
    <t>Discover, Bags, and Meal pages</t>
  </si>
  <si>
    <t>As a user, I want to view my shopping list so that I can keep track of items to purchase.</t>
  </si>
  <si>
    <t>As a user, I want to see a list of similar meals so that I can explore alternatives.</t>
  </si>
  <si>
    <t>As a user, I want to explore the discover page so that I can browse different products, meals, and bags.</t>
  </si>
  <si>
    <t>As a user, I want to be able to switch between tabs in the discover page so that I can filter the data</t>
  </si>
  <si>
    <t xml:space="preserve">As an admin, I want to be able to upload vertical rectangle thumbnail to be shown </t>
  </si>
  <si>
    <t>Shopping cart and Check out</t>
  </si>
  <si>
    <t>As a user, I want to view the Nutri-Scores and labels for my shopping list so that I can make healthy choices.</t>
  </si>
  <si>
    <t>As a user, I want to see a nutritional information table for my shopping list so that I can evaluate my diet.</t>
  </si>
  <si>
    <t>Nutritional values and charactristic of meals and bags</t>
  </si>
  <si>
    <t>As a user, I want to access the detailed nutritional information of a meal so that I can assess if it meets my dietary needs.</t>
  </si>
  <si>
    <t>As a user, I want know the charactristic of a meal to beware if it is having specific features such as halal, gluten-free, ...</t>
  </si>
  <si>
    <t>As a user, I want to access the detailed nutritional information of a bag so that I can assess if it meets my dietary needs.</t>
  </si>
  <si>
    <t>As a user, I want know the charactristic of a bag to beware if it is having specific features such as halal, gluten-free, ...</t>
  </si>
  <si>
    <t>April 6 to May 1</t>
  </si>
  <si>
    <t>Epic 4: miscellaneous</t>
  </si>
  <si>
    <t>Sprint 7 - April 6 to April  17</t>
  </si>
  <si>
    <t>Feedback on the admin panel</t>
  </si>
  <si>
    <t>Feedback</t>
  </si>
  <si>
    <t>Make the market product list selectable via select boxes</t>
  </si>
  <si>
    <t>As an admin, I want to create/edit labels directly in bag/meal/product pages</t>
  </si>
  <si>
    <t>As an admin, I want to see the categories based on their parent on the category overview page</t>
  </si>
  <si>
    <t>Nutritional value visibility in meal creation for admins.</t>
  </si>
  <si>
    <t>The navigation menu should be organized based on hierarchy</t>
  </si>
  <si>
    <t>Sprint 8 - April 21 to May 5</t>
  </si>
  <si>
    <t>As a user, I want to redirect my shopping list to the AlbertHeijn web store so that I can complete my purchase.</t>
  </si>
  <si>
    <t>As a user, I want to redirect my shopping list to the Plus web store so that I can complete my purchase.</t>
  </si>
  <si>
    <t>As a user, I want to redirect my shopping list to the Jumbo web store so that I can complete my purchase.</t>
  </si>
  <si>
    <t>As a user, I want to have single market product pages so that I can see see the real data of each market product</t>
  </si>
  <si>
    <t>As a user, I want to see the application in Dutch</t>
  </si>
  <si>
    <t>As a user, I want to add meals and bags to my shopping cart and complete the flow of shopping</t>
  </si>
  <si>
    <t>As a user, I want to be able to delete my account so that if I decide not to continue on the app I can remove my data</t>
  </si>
  <si>
    <t>As a user/admin, I want to receive emails in neat template with Super Marty's color pallate</t>
  </si>
  <si>
    <t>Adding tags/labels to products</t>
  </si>
  <si>
    <t>As a user, I want to filter products/ meals, and bags with the labels attached to them</t>
  </si>
  <si>
    <t>As an admin, I want to be able to skip the markets while creating product groups</t>
  </si>
  <si>
    <t>As a user, I want to be able to start the check out process for Plus</t>
  </si>
  <si>
    <t>As an admin, I want to define the order of appearance for product/bag/ meal categories</t>
  </si>
  <si>
    <t>As a user, I want to have a profile page, in which I can manage my account details</t>
  </si>
  <si>
    <t xml:space="preserve">Filters for product overview in the admin panel
</t>
  </si>
  <si>
    <t xml:space="preserve">Separating minerals from fat, and energy, etc </t>
  </si>
  <si>
    <t>Miscellaneous</t>
  </si>
  <si>
    <t>As a user, I want to provide information about my intolerances so that the platform can personalize my experience.</t>
  </si>
  <si>
    <t>As a user, I want to have a search bar so that I can find the products that I am looking for</t>
  </si>
  <si>
    <t>As a user, I want to create a custom bag so that I can personalize my shopping experience with my preferred items.</t>
  </si>
  <si>
    <t>As a user, I want to share my bag with others so that they can see and collaborate on my selected items.</t>
  </si>
  <si>
    <t xml:space="preserve">As a user, I want to filter products based on the market so that I can see only the items available in my preferred store.
</t>
  </si>
  <si>
    <t>As a user, I want to receive personalized suggestions so that I can quickly find relevant products based on my preferences and shopping history.</t>
  </si>
  <si>
    <t>As a user, I want to add items to my favorites so that I can easily access and purchase them later.</t>
  </si>
  <si>
    <t>As a user, I want to save my custom bags so that I can reuse them for future shopping sessions.</t>
  </si>
  <si>
    <t>As a user, I want to share a bag or meal in other apps and social media so that I can recommend products to friends and family.</t>
  </si>
  <si>
    <t>As a user, I want to set minimum and maximum price ranges so that I can find products that fit within my budget.</t>
  </si>
  <si>
    <t>As a user, I want to find the nearest market so that I can shop conveniently and reduce travel time.</t>
  </si>
  <si>
    <t xml:space="preserve">As a user, I want to like, dislike, or rate bags/meals so that I can improve recommendations and help other users make better choices.
</t>
  </si>
  <si>
    <t>As a user, I want to filter products based on various criteria such as so that I can quickly find what I am looking for.</t>
  </si>
  <si>
    <t>As an admin, I want a section where I can create and manage non-food product packages, so that I can organize and sell non-food items separately from food-related products.</t>
  </si>
  <si>
    <t>As an admin, I want to input data for creating bags, including the number of days, number of people, and meal types, so that I can generate meal bags with the appropriate quantities for customers.</t>
  </si>
  <si>
    <t>Release of the Platform</t>
  </si>
  <si>
    <t>Setup and configure live server</t>
  </si>
  <si>
    <t>Setup application</t>
  </si>
  <si>
    <t xml:space="preserve">Insert the base data </t>
  </si>
  <si>
    <t xml:space="preserve">configure the monitoring and backup </t>
  </si>
  <si>
    <t xml:space="preserve">Total remaining time </t>
  </si>
  <si>
    <t>Super Marty | Test Case Scenarios</t>
  </si>
  <si>
    <t>Module</t>
  </si>
  <si>
    <t>Scenario Description</t>
  </si>
  <si>
    <t>Preconditions</t>
  </si>
  <si>
    <t>Test Steps</t>
  </si>
  <si>
    <t>Expected Result</t>
  </si>
  <si>
    <t>Type</t>
  </si>
  <si>
    <t>User Registration – Successful Sign-Up</t>
  </si>
  <si>
    <t>User is not logged in; no account exists.</t>
  </si>
  <si>
    <t>1. Navigate to Sign-Up page
 2. Enter a valid email and password
 3. Click 'Sign Up/Register'</t>
  </si>
  <si>
    <t>Account is created and user is registered.</t>
  </si>
  <si>
    <t>Positive</t>
  </si>
  <si>
    <t>User Registration – Email Already Registered</t>
  </si>
  <si>
    <t>Email already exists in system.</t>
  </si>
  <si>
    <t>1. Navigate to Sign-Up page
 2. Enter existing email and password
 3. Submit form</t>
  </si>
  <si>
    <t>Error: Email already in use</t>
  </si>
  <si>
    <t>Negative</t>
  </si>
  <si>
    <t>User Registration – Invalid Email Format</t>
  </si>
  <si>
    <t>None</t>
  </si>
  <si>
    <t>1. Enter 'user@@domain' as email
 2. Submit</t>
  </si>
  <si>
    <t>Validation error: Invalid email format</t>
  </si>
  <si>
    <t>Validation</t>
  </si>
  <si>
    <t>User Registration – Weak Password</t>
  </si>
  <si>
    <t>1. Enter valid email and weak password
 2. Submit</t>
  </si>
  <si>
    <t>Validation error: Password too weak</t>
  </si>
  <si>
    <t>User Registration – Missing Required Fields</t>
  </si>
  <si>
    <t>1. Leave email or password blank
 2. Submit</t>
  </si>
  <si>
    <t>Validation errors shown</t>
  </si>
  <si>
    <t>User Login – Successful</t>
  </si>
  <si>
    <t>User account exists</t>
  </si>
  <si>
    <t>1. Enter valid credentials
 2. Submit</t>
  </si>
  <si>
    <t>Login successful</t>
  </si>
  <si>
    <t>User Login – Incorrect Password</t>
  </si>
  <si>
    <t>User exists</t>
  </si>
  <si>
    <t>1. Enter wrong password
 2. Submit</t>
  </si>
  <si>
    <t>Login denied with error</t>
  </si>
  <si>
    <t>User Login – Unregistered Email</t>
  </si>
  <si>
    <t>Email not registered</t>
  </si>
  <si>
    <t>1. Enter unregistered email
 2. Submit</t>
  </si>
  <si>
    <t>Forgot Password – Registered Email</t>
  </si>
  <si>
    <t>Email exists</t>
  </si>
  <si>
    <t>1. Submit password reset request</t>
  </si>
  <si>
    <t>Password reset link sent</t>
  </si>
  <si>
    <t>Forgot Password – Unregistered Email</t>
  </si>
  <si>
    <t>Email does not exist</t>
  </si>
  <si>
    <t>No reset sent or generic message</t>
  </si>
  <si>
    <t>Password Reset – Successful</t>
  </si>
  <si>
    <t>Valid reset link</t>
  </si>
  <si>
    <t>1. Enter new password
 2. Submit</t>
  </si>
  <si>
    <t>Password updated</t>
  </si>
  <si>
    <t>Password Reset – Expired Link</t>
  </si>
  <si>
    <t>Reset link expired</t>
  </si>
  <si>
    <t>1. Open expired link</t>
  </si>
  <si>
    <t>Error shown, prompt to request again</t>
  </si>
  <si>
    <t>Account Deletion – User Initiated</t>
  </si>
  <si>
    <t>User logged in</t>
  </si>
  <si>
    <t>1. Click delete account
 2. Confirm</t>
  </si>
  <si>
    <t>Account and data removed</t>
  </si>
  <si>
    <t>Post-Deletion Access</t>
  </si>
  <si>
    <t>Account deleted</t>
  </si>
  <si>
    <t>1. Attempt login</t>
  </si>
  <si>
    <t>Access denied</t>
  </si>
  <si>
    <t>Edge</t>
  </si>
  <si>
    <t>Product management</t>
  </si>
  <si>
    <t>Daily Product Data Sync – All Markets</t>
  </si>
  <si>
    <t>Scheduled sync time; APIs available</t>
  </si>
  <si>
    <t>1. Trigger sync
 2. Monitor completion</t>
  </si>
  <si>
    <t>Products updated from all 3 markets</t>
  </si>
  <si>
    <t>Daily Sync – Partial Failure</t>
  </si>
  <si>
    <t>One API unavailable</t>
  </si>
  <si>
    <t>1. Trigger sync with one failed API</t>
  </si>
  <si>
    <t>Other markets update, one fails with log</t>
  </si>
  <si>
    <t>Create Product Category (Top-Level)</t>
  </si>
  <si>
    <t>Admin logged in</t>
  </si>
  <si>
    <t>1. Add category name
 2. Save</t>
  </si>
  <si>
    <t>Top-level category created</t>
  </si>
  <si>
    <t>Create Nested Product Category</t>
  </si>
  <si>
    <t>At least one category exists</t>
  </si>
  <si>
    <t>1. Choose parent
 2. Add sub-category
 3. Save</t>
  </si>
  <si>
    <t>Sub-category created</t>
  </si>
  <si>
    <t>Category Creation – Validation Errors</t>
  </si>
  <si>
    <t>Admin on create form</t>
  </si>
  <si>
    <t>1. Leave name blank or duplicate
 2. Save</t>
  </si>
  <si>
    <t>Error shown for required or duplicate name</t>
  </si>
  <si>
    <t>Navigate Category Hierarchy</t>
  </si>
  <si>
    <t>Nested categories exist</t>
  </si>
  <si>
    <t>1. Click to expand parent category</t>
  </si>
  <si>
    <t>Sub-categories shown</t>
  </si>
  <si>
    <t>Product Grouping &amp; Normalization</t>
  </si>
  <si>
    <t>Equivalent products exist</t>
  </si>
  <si>
    <t>1. Run aggregation
 2. View group result</t>
  </si>
  <si>
    <t>Products grouped and normalized</t>
  </si>
  <si>
    <t>Upload Product Image</t>
  </si>
  <si>
    <t>Product group exists</t>
  </si>
  <si>
    <t>1. Upload valid image
 2. Save</t>
  </si>
  <si>
    <t>Image added to group</t>
  </si>
  <si>
    <t>Upload Invalid Product Image</t>
  </si>
  <si>
    <t>Admin editing product group</t>
  </si>
  <si>
    <t>1. Upload unsupported format
 2. Save</t>
  </si>
  <si>
    <t>Validation error shown</t>
  </si>
  <si>
    <t>View Product Details (User)</t>
  </si>
  <si>
    <t>Product group available</t>
  </si>
  <si>
    <t>1. Open product page</t>
  </si>
  <si>
    <t>See NutriScore, nutrition, and comparisons</t>
  </si>
  <si>
    <t>Add Product to Cart</t>
  </si>
  <si>
    <t>User on product detail</t>
  </si>
  <si>
    <t>1. Choose store
 2. Click add to cart</t>
  </si>
  <si>
    <t>Product added under selected store</t>
  </si>
  <si>
    <t>View Market-Specific Product Page</t>
  </si>
  <si>
    <t>Multiple store listings available</t>
  </si>
  <si>
    <t>1. Click on specific market link</t>
  </si>
  <si>
    <t>Market product page shown</t>
  </si>
  <si>
    <t>Shopping Cart Grouping</t>
  </si>
  <si>
    <t>Cart contains items from different stores</t>
  </si>
  <si>
    <t>1. View cart</t>
  </si>
  <si>
    <t>Items grouped by store</t>
  </si>
  <si>
    <t>Plus Market Checkout Flow</t>
  </si>
  <si>
    <t>Cart has Plus items</t>
  </si>
  <si>
    <t>1. Checkout</t>
  </si>
  <si>
    <t>Plus items checked out individually</t>
  </si>
  <si>
    <t>Cart Persistence – Keep</t>
  </si>
  <si>
    <t>Previous cart saved</t>
  </si>
  <si>
    <t>1. Relaunch app
 2. Select keep cart</t>
  </si>
  <si>
    <t>Cart restored</t>
  </si>
  <si>
    <t>Cart Persistence – Discard</t>
  </si>
  <si>
    <t>1. Relaunch app
 2. Select discard cart</t>
  </si>
  <si>
    <t>Cart cleared</t>
  </si>
  <si>
    <t>Bag management</t>
  </si>
  <si>
    <t>Create Bag Category (Admin)</t>
  </si>
  <si>
    <t>1. Open bag category panel
 2. Enter name
 3. Save</t>
  </si>
  <si>
    <t>Category created</t>
  </si>
  <si>
    <t>Bag Category Creation – Validation</t>
  </si>
  <si>
    <t>Error shown for invalid name</t>
  </si>
  <si>
    <t>Create Bag (Admin)</t>
  </si>
  <si>
    <t>Product groups and category exist</t>
  </si>
  <si>
    <t>1. Enter name
 2. Add products
 3. Assign category/label
 4. Save</t>
  </si>
  <si>
    <t>Bag created</t>
  </si>
  <si>
    <t>Create Bag – Missing Fields</t>
  </si>
  <si>
    <t>1. Leave required fields empty
 2. Save</t>
  </si>
  <si>
    <t>Assign Label to Bag</t>
  </si>
  <si>
    <t>Labels exist</t>
  </si>
  <si>
    <t>1. Edit bag
 2. Select label
 3. Save</t>
  </si>
  <si>
    <t>Label assigned to bag</t>
  </si>
  <si>
    <t>Attach Meal to Bag</t>
  </si>
  <si>
    <t>Meals exist</t>
  </si>
  <si>
    <t>1. Edit bag
 2. Attach meal
 3. Save</t>
  </si>
  <si>
    <t>Meal linked to bag</t>
  </si>
  <si>
    <t>Remove Attached Meal</t>
  </si>
  <si>
    <t>Bag has a linked meal</t>
  </si>
  <si>
    <t>1. Edit bag
 2. Remove meal
 3. Save</t>
  </si>
  <si>
    <t>Meal removed from bag</t>
  </si>
  <si>
    <t>View Bag Nutritional Info (Admin)</t>
  </si>
  <si>
    <t>Bag has products with nutrition</t>
  </si>
  <si>
    <t>1. Open bag detail</t>
  </si>
  <si>
    <t>Nutritional chart shown</t>
  </si>
  <si>
    <t>View Bag Details (User)</t>
  </si>
  <si>
    <t>Published bag exists</t>
  </si>
  <si>
    <t>1. Open bag on user side</t>
  </si>
  <si>
    <t>Contents, labels, nutrition, related meals shown</t>
  </si>
  <si>
    <t>Add Bag to Cart – Single Store</t>
  </si>
  <si>
    <t>Bag and store data available</t>
  </si>
  <si>
    <t>1. Choose store
 2. Add all items</t>
  </si>
  <si>
    <t>All items added from that store</t>
  </si>
  <si>
    <t>Add Bag to Cart – Best Price</t>
  </si>
  <si>
    <t>Bag has products</t>
  </si>
  <si>
    <t>1. Add with 'best price' option</t>
  </si>
  <si>
    <t>Cheapest items per product added</t>
  </si>
  <si>
    <t>Partial Bag Add – Remove Item</t>
  </si>
  <si>
    <t>Bag open in user view</t>
  </si>
  <si>
    <t>1. Deselect product
 2. Add to cart</t>
  </si>
  <si>
    <t>All except removed item added</t>
  </si>
  <si>
    <t>Related Meal Link (User)</t>
  </si>
  <si>
    <t>Bag has related meal</t>
  </si>
  <si>
    <t>1. Click related meal</t>
  </si>
  <si>
    <t>Navigates to meal page</t>
  </si>
  <si>
    <t>Meal management</t>
  </si>
  <si>
    <t>Create Meal (Admin)</t>
  </si>
  <si>
    <t>Product items exist</t>
  </si>
  <si>
    <t>1. Enter name, recipe, ingredients
 2. Save</t>
  </si>
  <si>
    <t>Meal created</t>
  </si>
  <si>
    <t>Meal Creation – Missing Fields</t>
  </si>
  <si>
    <t>1. Leave name or ingredients blank
 2. Save</t>
  </si>
  <si>
    <t>Attach Label to Meal</t>
  </si>
  <si>
    <t>1. Assign label during meal creation
 2. Save</t>
  </si>
  <si>
    <t>Label added to meal</t>
  </si>
  <si>
    <t>Attach Bag to Meal</t>
  </si>
  <si>
    <t>Bags exist</t>
  </si>
  <si>
    <t>1. Link bag to meal
 2. Save</t>
  </si>
  <si>
    <t>Bag associated with meal</t>
  </si>
  <si>
    <t>View Meal Nutritional Info (Admin)</t>
  </si>
  <si>
    <t>Meal has ingredients with nutrition</t>
  </si>
  <si>
    <t>1. Open meal detail</t>
  </si>
  <si>
    <t>Nutritional summary displayed</t>
  </si>
  <si>
    <t>View Meal Details (User)</t>
  </si>
  <si>
    <t>Meal published</t>
  </si>
  <si>
    <t>1. Open meal on user side</t>
  </si>
  <si>
    <t>Ingredients, steps, labels, nutrition shown</t>
  </si>
  <si>
    <t>Add Meal to Cart – All Ingredients</t>
  </si>
  <si>
    <t>User on meal page</t>
  </si>
  <si>
    <t>1. Click 'Add All to Cart'</t>
  </si>
  <si>
    <t>All ingredients added to cart</t>
  </si>
  <si>
    <t>Partial Meal Add – Remove Ingredient</t>
  </si>
  <si>
    <t>Meal has optional ingredients</t>
  </si>
  <si>
    <t>1. Deselect one item
 2. Add to cart</t>
  </si>
  <si>
    <t>Selected ingredients added</t>
  </si>
  <si>
    <t>Related Bag Link (User)</t>
  </si>
  <si>
    <t>1. Click on related bag</t>
  </si>
  <si>
    <t>Navigates to bag page</t>
  </si>
  <si>
    <t>Label management</t>
  </si>
  <si>
    <t>Create New Label</t>
  </si>
  <si>
    <t>1. Enter label name
 2. Save</t>
  </si>
  <si>
    <t>Label is created</t>
  </si>
  <si>
    <t>Create Label – Empty Name</t>
  </si>
  <si>
    <t>Admin on label creation page</t>
  </si>
  <si>
    <t>1. Leave name blank
 2. Submit</t>
  </si>
  <si>
    <t>Validation error: name required</t>
  </si>
  <si>
    <t>Create Label – Duplicate Name</t>
  </si>
  <si>
    <t>Label with same name exists</t>
  </si>
  <si>
    <t>1. Enter existing label name
 2. Submit</t>
  </si>
  <si>
    <t>Error shown for duplicate</t>
  </si>
  <si>
    <t>Inline Label Creation</t>
  </si>
  <si>
    <t>Admin creating product, bag or meal</t>
  </si>
  <si>
    <t>1. Type new label in label field
 2. Create inline</t>
  </si>
  <si>
    <t>Label added to list and assigned</t>
  </si>
  <si>
    <t>Assign Label to Product</t>
  </si>
  <si>
    <t>Label and product exist</t>
  </si>
  <si>
    <t>1. Edit product
 2. Select label
 3. Save</t>
  </si>
  <si>
    <t>Product tagged with label</t>
  </si>
  <si>
    <t>Assign Label to Meal/Bag</t>
  </si>
  <si>
    <t>Label exists</t>
  </si>
  <si>
    <t>1. Edit meal or bag
 2. Select label
 3. Save</t>
  </si>
  <si>
    <t>Label shown in item details</t>
  </si>
  <si>
    <t>Filter Content by Label (User Side)</t>
  </si>
  <si>
    <t>Items tagged with label</t>
  </si>
  <si>
    <t>1. Apply filter on user interface</t>
  </si>
  <si>
    <t>Only tagged items shown</t>
  </si>
  <si>
    <t>User anagement</t>
  </si>
  <si>
    <t>Invite New Admin</t>
  </si>
  <si>
    <t>1. Enter email
 2. Send invite</t>
  </si>
  <si>
    <t>Invitation sent</t>
  </si>
  <si>
    <t>Invite Admin – Invalid Email</t>
  </si>
  <si>
    <t>On invite form</t>
  </si>
  <si>
    <t>1. Enter malformed email
 2. Send</t>
  </si>
  <si>
    <t>Validation error for email</t>
  </si>
  <si>
    <t>Invite Admin – Email Already in Use</t>
  </si>
  <si>
    <t>Admin email exists</t>
  </si>
  <si>
    <t>1. Enter existing admin email
 2. Send</t>
  </si>
  <si>
    <t>Error: Already an admin</t>
  </si>
  <si>
    <t>Accept Invitation – Set Password</t>
  </si>
  <si>
    <t>Valid invite link</t>
  </si>
  <si>
    <t>1. Open invite link
 2. Set password</t>
  </si>
  <si>
    <t>Admin account created</t>
  </si>
  <si>
    <t>Accept Invite – Weak Password</t>
  </si>
  <si>
    <t>1. Set weak password
 2. Submit</t>
  </si>
  <si>
    <t>Validation error for password</t>
  </si>
  <si>
    <t>Accept Invite – Expired Link</t>
  </si>
  <si>
    <t>Link expired or used</t>
  </si>
  <si>
    <t>1. Open link</t>
  </si>
  <si>
    <t>Error: Link invalid/expired</t>
  </si>
  <si>
    <t>New Admin Login &amp; Access</t>
  </si>
  <si>
    <t>Password set via invite</t>
  </si>
  <si>
    <t>1. Login as new admin</t>
  </si>
  <si>
    <t>Admin panel accessible</t>
  </si>
  <si>
    <t>Equal Permissions for Admins</t>
  </si>
  <si>
    <t>Multiple admins exist</t>
  </si>
  <si>
    <t>1. Log in as any admin
 2. Access admin features</t>
  </si>
  <si>
    <t>All admins have same permissions</t>
  </si>
  <si>
    <t>Normal User Access to Admin</t>
  </si>
  <si>
    <t>Non-admin user logged in</t>
  </si>
  <si>
    <t>1. Try to open admin panel</t>
  </si>
  <si>
    <t>Access denied or redirected</t>
  </si>
  <si>
    <t>✓</t>
  </si>
  <si>
    <t>Scope</t>
  </si>
  <si>
    <t>Action</t>
  </si>
  <si>
    <t>Due Date</t>
  </si>
  <si>
    <t>Assignee</t>
  </si>
  <si>
    <t>Remark</t>
  </si>
  <si>
    <t>Progress</t>
  </si>
  <si>
    <t>Epic 0 - Implementation</t>
  </si>
  <si>
    <t>E0 - SP2</t>
  </si>
  <si>
    <t>E= Epic, SP= Sprint, Each SP= 2 weeks</t>
  </si>
  <si>
    <t>Define Owners and Contributors: Assign specific owners (e.g., PM, HM) for each item in the checklist for better management.</t>
  </si>
  <si>
    <t>Allocate the resources and roles for the project</t>
  </si>
  <si>
    <t>Define the project monthly budget and resources weekly budget and update it in the roadmap related tabs (Budgeting and resources)</t>
  </si>
  <si>
    <t>Send an email and inform the stakeholder about planned resources and budget of reserved hours of month</t>
  </si>
  <si>
    <t>Ask financial team to send the pre-invoice of the reserved resources of month before start</t>
  </si>
  <si>
    <t>Prepare project management tools (Jira, Bitrix workgroup), and drives (Google drive, and Bitrix drive), scrum online etc.</t>
  </si>
  <si>
    <t>Defining the decision maker stakeholdet, Introduce representatives</t>
  </si>
  <si>
    <t>Recieve stakeholder's final approval on contract, NL digital terms, etc</t>
  </si>
  <si>
    <t>Recieve stakeholder's final approval on the workflows and wireframes from project discovery</t>
  </si>
  <si>
    <t>Recieve stakeholder's final approval on the roadmap (feature list) of chosen plan and being aware any change request other than this list is a new feature and affects deadline and scope</t>
  </si>
  <si>
    <t>Assign the Agile coach for the stakholders to train</t>
  </si>
  <si>
    <t>Set a meeting to explain the Agile practices and resposibiltie to the stakeholder</t>
  </si>
  <si>
    <t>Explain Agile practices and responsibilities to the stakeholders; prepare email and video materials for more clarity.</t>
  </si>
  <si>
    <t>Prepare Agile Flow Agreement file: Including how we work, agile, stakeholders responsibility, the consequences of not participating and all other onboarding items that explained in the kickoff meeting and have a written agreement afterwards via Email.</t>
  </si>
  <si>
    <t>Recieve stakeholder's final approval on Agile method's details, their responsibilities and how we work</t>
  </si>
  <si>
    <t>Recieve stakeholder's final approval on knowing our support system: Importance of SLA and 3 months free support after launch. After that even the bugfixing will be under paid SLA</t>
  </si>
  <si>
    <t>Include design review sessions with stakeholders before the final approval of wireframes. Ensures that design aligns with business goals and stakeholder expectations before committing to development.</t>
  </si>
  <si>
    <t>Update the roadmap with onboarding and R&amp;D time if it's missed</t>
  </si>
  <si>
    <t xml:space="preserve">Prepare/ update project roadmap file with the latest version of its template, make sure including the pre-development time, and onboarding to the file (Epic 0),Enter the due dates for epic 0 implementation and epi 1 prepration and implementation. </t>
  </si>
  <si>
    <t>Add project files list with their links in a message and pin it in the workgroup chat so it will be accesible easier for team</t>
  </si>
  <si>
    <t>Set a meeting with project discovery team to get introduced to project concept and the document structure to be onboarded, invite platform/enabling team</t>
  </si>
  <si>
    <t>All team to read the documents, check the designs and master the project</t>
  </si>
  <si>
    <t>Set a meeting with team and explain the epics and their goal, and define time budget, add design team for more collaboration</t>
  </si>
  <si>
    <t>Add task for the designer to prepare Design system (UI/UX)</t>
  </si>
  <si>
    <t>Design/update the user flow</t>
  </si>
  <si>
    <t>Setup project meetings and ceremonies such as Daily, Epic planning, Groomings and design reviews, Scrum pokers, Retrospectives and Budget review with finance</t>
  </si>
  <si>
    <t>Ask the enabling team to prepare infrastructure suggestions (server, storage, etc) and share with DevOps and team</t>
  </si>
  <si>
    <t>Email stakeholder with the needed server, storage, and other needed services with thier links to purchase</t>
  </si>
  <si>
    <t>Request DevOps team to set the Development environment and related configurations</t>
  </si>
  <si>
    <t>Define the technical infrastructure for the DevOps team: Needed services to be imstalled</t>
  </si>
  <si>
    <t>Prepare Servers and Tools: Provide server configurations, domains, and certificates (e.g., SSL) as needed for the project.</t>
  </si>
  <si>
    <t>Prepare GIT and repositories</t>
  </si>
  <si>
    <t>Gather the required standard in develop and structure and CI/CDs</t>
  </si>
  <si>
    <t>Prepare development environment and share with team</t>
  </si>
  <si>
    <t>Break roadmap features into epics with specific goals and values to deliver
Suggestion: Instead of numbers, name the epics with their goals. i.e. Payment Epic</t>
  </si>
  <si>
    <t>Rewrite the roadmap items' titles as user stories</t>
  </si>
  <si>
    <t>Prioritize the features based on MoSCoW</t>
  </si>
  <si>
    <t>Present new roadmap to the platform/enabling team and revise based on their feedback</t>
  </si>
  <si>
    <t>Gather the required 3rd parties, requested subscription plan and pricing, from enabling team and email stakeholder to provide them</t>
  </si>
  <si>
    <t>Stakeholder to create account on the required third parties for us and enter their payment information then (e.g Mailer, Payment gateways, API providers)</t>
  </si>
  <si>
    <t>Define the contact point and responsible person in communication with 3rd parties</t>
  </si>
  <si>
    <t>Request DevOps team to set the staging environment</t>
  </si>
  <si>
    <t>Prepare staging environment and share with team</t>
  </si>
  <si>
    <t>Share staging server information with Stakeholder</t>
  </si>
  <si>
    <t>Update Epics Management Steps: Mark the items that are done, review and in case of need update the assignees, due date and write the remark</t>
  </si>
  <si>
    <t xml:space="preserve">Epic 3 - Preparation </t>
  </si>
  <si>
    <t>Phase 1: Strategic Alignment (Initial Planning)</t>
  </si>
  <si>
    <t>Define Epic Objectives: Clearly outline what the epic aims to achieve within the one-month timeline.</t>
  </si>
  <si>
    <t>Feature Prioritization: List features for the epic and prioritize them using the MoSCoW method.</t>
  </si>
  <si>
    <t>Stakeholder Alignment: Confirm that all stakeholders agree on the epic’s scope and deliverable feature list.</t>
  </si>
  <si>
    <t>Revise Feature List: Update the epic feature list based on stakeholder feedback if necessary.</t>
  </si>
  <si>
    <t>Dependencies Assessment: Identify any dependencies within or outside the epic to prevent blockers during execution.</t>
  </si>
  <si>
    <t>Phase 2: Requirement Gathering (Preparation)</t>
  </si>
  <si>
    <t>Stakeholder Discussions: Conduct concise sessions to gather detailed requirements specific to the epic.</t>
  </si>
  <si>
    <t>Review Documents: Read existing project documents, check designs, and master the project details.</t>
  </si>
  <si>
    <t>Define User Stories: Break down requirements into clear and actionable user stories with specific goals.</t>
  </si>
  <si>
    <t>Acceptance Criteria: Define testable acceptance criteria for each user story to ensure delivery readiness.</t>
  </si>
  <si>
    <t>Review User Stories: Review the userstories abd their ACs then comment your questions and suggested ACs to be reviewed and added.</t>
  </si>
  <si>
    <t>Create PRD: Draft a detailed Product Requirements Document (PRD) for stakeholder approval.</t>
  </si>
  <si>
    <t>Add Design Task: Assign design tasks for the design team based on the approved epic feature list.</t>
  </si>
  <si>
    <t>Compliance Review: Ensure any compliance (e.g., data security, accessibility) required for this epic is addressed.</t>
  </si>
  <si>
    <t>Phase 3: Risk Management and Compliance (Early Assessment)</t>
  </si>
  <si>
    <t>Risk Identification: Highlight risks directly affecting the one-month delivery goal.</t>
  </si>
  <si>
    <t>Mitigation Plans: Prepare quick-win solutions for critical risks (e.g., resource availability, technical bottlenecks).</t>
  </si>
  <si>
    <t>Phase 4: Technical Preparations (Pre-Execution)</t>
  </si>
  <si>
    <t>Feasibility Study: Conduct a quick assessment of technical feasibility for the planned deliverables.</t>
  </si>
  <si>
    <t>Architecture Review: Ensure the epic fits into the existing architecture with minimal adjustments.</t>
  </si>
  <si>
    <t>Infrastructure Definition: Involve Enabling team in case of need to prepare infrastructure suggestions or review team suggestions to make the final choice.</t>
  </si>
  <si>
    <t>Epic Discovery: Conduct required meetings review ACs, tech solutions to reach userstories goals, content and designs and define if any other requirment is still remained inorder to estimate the features.</t>
  </si>
  <si>
    <t>Announce Resource Needs: Inform the finance team about resource allocation, billable hours, and epic details.</t>
  </si>
  <si>
    <t>Phase 5: Design and UX (Concurrent with Technical Preparations)</t>
  </si>
  <si>
    <t>Design System: Add a task for the designer to prepare the design system (UI/UX) for upcoming epic.</t>
  </si>
  <si>
    <t>Reserve Designer Time: Submit designer resource request.</t>
  </si>
  <si>
    <t>Wireframes or Mockups: Create lightweight designs for features (if applicable).</t>
  </si>
  <si>
    <t>Review Design: Provide feedback, finalize, and share designs with stakeholders, clearly communicating deadlines.</t>
  </si>
  <si>
    <t>Design Approval: Ask the technical team for approval on designs to ensure feasibility.</t>
  </si>
  <si>
    <t>Present Designs: Share the designs with stakeholders, ensuring clarity on deadlines and objectives.</t>
  </si>
  <si>
    <t>Stakeholder Approval: Ensuring that designes are meeting stakeholders requirments and objectives.</t>
  </si>
  <si>
    <t>Phase 6: Epic Planning (Detailed Execution Planning)</t>
  </si>
  <si>
    <t>Team alignment: Share the epic objective and prioritized features with the team and get their approval that they are inline to commit the Must Haves and Should haves</t>
  </si>
  <si>
    <t>Estimation: Estimate effort (story points or time) for all user stories to ensure they fit within the one-month timeframe</t>
  </si>
  <si>
    <t>Compare Velocity: Compare epics’ estimated points with the team’s velocity, removing low-priority tasks that don’t fit in the epic.</t>
  </si>
  <si>
    <t>Update Backlog: Update the backlog and draft your suggested sprints scopes for the sprint planning meetings.</t>
  </si>
  <si>
    <t>First Sprint Planning: Schedule and conduct the first sprint planning meeting for the epic, the plan of each member based on their velocity and time capacity should be finalized and comitted by the end of this meeting.</t>
  </si>
  <si>
    <t>Second Sprint Planning: Plan subsequent sprints within the epic to address remaining tasks, the plan of each member based on their velocity and time capacity should be finalized and comitted by the end of this meeting.</t>
  </si>
  <si>
    <t>Phase 7: Communication and Documentation (Ongoing Throughout)</t>
  </si>
  <si>
    <t>Kickoff Meeting: Align the team on the goals, scope, and timeline of the epic.</t>
  </si>
  <si>
    <t>Documentation: Keep requirements, user stories, and scope clearly documented for reference.</t>
  </si>
  <si>
    <t>Epic 3 - Implementation</t>
  </si>
  <si>
    <t>Stakeholder Updates: Send emails informing stakeholders about planning progress, resources, and timelines.</t>
  </si>
  <si>
    <t>Phase 8: Execution and Delivery</t>
  </si>
  <si>
    <t>Delivered Feature List: After the epic is complete, send the delivered feature list to stakeholders for approval or feedback.</t>
  </si>
  <si>
    <t>Feedback Deadline: If stakeholders do not provide feedback by the deadline, send an email clarifying that delayed feedback will not be addressed in the current scope.</t>
  </si>
  <si>
    <t xml:space="preserve">Epic 4 - Preparation </t>
  </si>
  <si>
    <t>E0 - SP1</t>
  </si>
  <si>
    <t>Make sure epic consist of 40% Must haves, 40% should haves, 20% could haves</t>
  </si>
  <si>
    <t>Epic 4 - Implementation</t>
  </si>
  <si>
    <t>E1 - SP1, SP2</t>
  </si>
  <si>
    <t xml:space="preserve"> </t>
  </si>
  <si>
    <t>Test Implemented Stories: Continuously test user stories during development to ensure quality.</t>
  </si>
  <si>
    <t>Sprint Report Meetings: Review progress and deliverables with the finance team during sprint reporting sessions.</t>
  </si>
  <si>
    <t>Epic 4 - Finalization</t>
  </si>
  <si>
    <t>E1 - SP2, E2 - SP1</t>
  </si>
  <si>
    <t xml:space="preserve">Epic 5 - Preparation </t>
  </si>
  <si>
    <t>Meeting</t>
  </si>
  <si>
    <t>Product Manager</t>
  </si>
  <si>
    <t>Task</t>
  </si>
  <si>
    <t>Team</t>
  </si>
  <si>
    <t>Design team</t>
  </si>
  <si>
    <t>Not applicable for epic 4 which is the sum up phase</t>
  </si>
  <si>
    <t>Product Manager, Team, Finance team , Design team</t>
  </si>
  <si>
    <t>Product Manager, Team</t>
  </si>
  <si>
    <t>Epic 5 - Implementation</t>
  </si>
  <si>
    <t>Email</t>
  </si>
  <si>
    <t>Product Manager, Finance team</t>
  </si>
  <si>
    <t>Sprint Demo Meetings: Conduct sprint demos to showcase completed features and gather feedback.</t>
  </si>
  <si>
    <t>Delivered Feature List: After the epic is complete, send the delivered feature list to stakeholders for approval or feedback and set a deadline with them.</t>
  </si>
  <si>
    <t>Actual tracked time: Fill up the all the tracked time on the roadmap, compare it with estimations, then share the reasults in your team retro</t>
  </si>
  <si>
    <t>Epic Report Meeting: Schedule a meeting with the finance team to review the entire epic’s deliverables, time, and cost.</t>
  </si>
  <si>
    <t>Financial Report: Prepare the financial report for the completed epic and share it with stakeholders and the finance team.</t>
  </si>
  <si>
    <t>Epic X - Launching Prepration</t>
  </si>
  <si>
    <t>Stakholders Approval</t>
  </si>
  <si>
    <t>Recieve the emai from stakeholders that they reviewed and approve the project go live</t>
  </si>
  <si>
    <t>Should be done before the official launch</t>
  </si>
  <si>
    <t>Coming soon page</t>
  </si>
  <si>
    <t>Set a cooming soon page on the live URL</t>
  </si>
  <si>
    <t>At least a week before launch</t>
  </si>
  <si>
    <t>New Host</t>
  </si>
  <si>
    <t>Server configure</t>
  </si>
  <si>
    <t>Time zone,service needed configuration(Docker-swarm-nginx-trafik-php-mysq-ansible-private networkl)</t>
  </si>
  <si>
    <t>Firewall setting</t>
  </si>
  <si>
    <t>Port access+ limitation access</t>
  </si>
  <si>
    <t>Migration</t>
  </si>
  <si>
    <t>Run migrations</t>
  </si>
  <si>
    <t>It can be migration from another app, default values like country and time zone list etc.</t>
  </si>
  <si>
    <t>Domain</t>
  </si>
  <si>
    <t>Move</t>
  </si>
  <si>
    <t>Cloudflare</t>
  </si>
  <si>
    <t>TransIP</t>
  </si>
  <si>
    <t>Change record</t>
  </si>
  <si>
    <t>Change records if the domain has been used on another app or website to the new one</t>
  </si>
  <si>
    <t>Back up</t>
  </si>
  <si>
    <t>Back up storage</t>
  </si>
  <si>
    <t>Configure and linked</t>
  </si>
  <si>
    <t>VM Back up size and duration</t>
  </si>
  <si>
    <t>VM -1 month -latest keep</t>
  </si>
  <si>
    <t>DB Back up size and duration</t>
  </si>
  <si>
    <t>DB (every hour+ very day- keep 1month hourly- 6month daily)</t>
  </si>
  <si>
    <t>Uploadfile (1 week keep)</t>
  </si>
  <si>
    <t>Monitoring tools</t>
  </si>
  <si>
    <t>Sentry</t>
  </si>
  <si>
    <t>Structure for checking the logs and prioritizing the bugs to be resolved</t>
  </si>
  <si>
    <t>Uptime robot</t>
  </si>
  <si>
    <t>To monitor app up or down</t>
  </si>
  <si>
    <t>Grafana</t>
  </si>
  <si>
    <t>Opserve</t>
  </si>
  <si>
    <t>To monitor the app and server</t>
  </si>
  <si>
    <t>Pipeline</t>
  </si>
  <si>
    <t>Deployment</t>
  </si>
  <si>
    <t>Revert to previous version</t>
  </si>
  <si>
    <t>Prod mode</t>
  </si>
  <si>
    <t>Mail Servers</t>
  </si>
  <si>
    <t>Email Provider</t>
  </si>
  <si>
    <t>Configure the correct mail sending application (Server, or external application)</t>
  </si>
  <si>
    <t>SMTP address</t>
  </si>
  <si>
    <t>Ask stakeholder to Share their SMTP address to us</t>
  </si>
  <si>
    <t>Set it for each Sender</t>
  </si>
  <si>
    <t>Set the shared SMTP address for sender email address</t>
  </si>
  <si>
    <t>Browser support APP</t>
  </si>
  <si>
    <t>In which browsers should the application be supported</t>
  </si>
  <si>
    <t>Performance test</t>
  </si>
  <si>
    <t>Test the performance of the live server</t>
  </si>
  <si>
    <t>Check if there are unneeded Query's</t>
  </si>
  <si>
    <t>Clean dammy data</t>
  </si>
  <si>
    <t>Remove all dummy data from the live server application</t>
  </si>
  <si>
    <t>All live server logs should be erased before going live</t>
  </si>
  <si>
    <t>Cronjobs</t>
  </si>
  <si>
    <t>Check and test that cronjobs are up and running</t>
  </si>
  <si>
    <t>Browsers</t>
  </si>
  <si>
    <t>Fav. icon and page title for browsers tab to be implemented</t>
  </si>
  <si>
    <t>Check the supported browsers</t>
  </si>
  <si>
    <t>Third Party User</t>
  </si>
  <si>
    <t>Add Bugloos Account</t>
  </si>
  <si>
    <t>Add an account on each third party that has been used for Bugloos and not use stakeholder admin account.</t>
  </si>
  <si>
    <t>Store credentials in VaultWarden</t>
  </si>
  <si>
    <t>Project Bugloos Email</t>
  </si>
  <si>
    <t>Add new Bugloos email group</t>
  </si>
  <si>
    <t>A new email address with the format project@bugloos.nl should be added as group and accessed project managers</t>
  </si>
  <si>
    <t>Documentation</t>
  </si>
  <si>
    <t>Record instruction videos of the application</t>
  </si>
  <si>
    <t>Write a Technical document for help instructions on code explanation</t>
  </si>
  <si>
    <t>Write a Technical document for help instructions on devops tools</t>
  </si>
  <si>
    <t>Service</t>
  </si>
  <si>
    <t>Docker</t>
  </si>
  <si>
    <t>Service Install, Configure and Security</t>
  </si>
  <si>
    <t>Ansible</t>
  </si>
  <si>
    <t>PHP</t>
  </si>
  <si>
    <t>Trafik</t>
  </si>
  <si>
    <t>Nginx</t>
  </si>
  <si>
    <t>Mysql -MariDB</t>
  </si>
  <si>
    <t>Private Network</t>
  </si>
  <si>
    <t>Public network</t>
  </si>
  <si>
    <t>Firewall</t>
  </si>
  <si>
    <t>Budget review with finance</t>
  </si>
  <si>
    <t>Epic consist of 40% Must haves, 40% should haves, 20% could haves</t>
  </si>
  <si>
    <t>Team member</t>
  </si>
  <si>
    <t>Performance</t>
  </si>
  <si>
    <t>User story output per sprint in hours</t>
  </si>
  <si>
    <t>Technical performance</t>
  </si>
  <si>
    <t>Soft skill</t>
  </si>
  <si>
    <t>Agile scrum performance</t>
  </si>
  <si>
    <t>Output</t>
  </si>
  <si>
    <t>Quality</t>
  </si>
  <si>
    <t>Estimated</t>
  </si>
  <si>
    <t>Promised</t>
  </si>
  <si>
    <t>Delivered</t>
  </si>
  <si>
    <t>Work quality</t>
  </si>
  <si>
    <t>Teamwork</t>
  </si>
  <si>
    <t>Being a leader</t>
  </si>
  <si>
    <t>Communication</t>
  </si>
  <si>
    <t>Core values</t>
  </si>
  <si>
    <t>Work reports</t>
  </si>
  <si>
    <t>Knowledge sharing</t>
  </si>
  <si>
    <t>Conflict management</t>
  </si>
  <si>
    <t>Daily standup</t>
  </si>
  <si>
    <t>Retrospective</t>
  </si>
  <si>
    <t>Sprint Demo</t>
  </si>
  <si>
    <t>Scrum poker</t>
  </si>
  <si>
    <t>Sonarqube
 issues</t>
  </si>
  <si>
    <t>All sprint performance</t>
  </si>
  <si>
    <t>Helper row</t>
  </si>
  <si>
    <t>G</t>
  </si>
  <si>
    <t>H</t>
  </si>
  <si>
    <t>I</t>
  </si>
  <si>
    <t>J</t>
  </si>
  <si>
    <t>K</t>
  </si>
  <si>
    <t>L</t>
  </si>
  <si>
    <t>M</t>
  </si>
  <si>
    <t>N</t>
  </si>
  <si>
    <t>O</t>
  </si>
  <si>
    <t>P</t>
  </si>
  <si>
    <t>Q</t>
  </si>
  <si>
    <t>R</t>
  </si>
  <si>
    <t>S</t>
  </si>
  <si>
    <t>T</t>
  </si>
  <si>
    <t>Dec 29 - January 9</t>
  </si>
  <si>
    <t>Sprint nr:</t>
  </si>
  <si>
    <t>Mahsa Amiri</t>
  </si>
  <si>
    <t>As expected</t>
  </si>
  <si>
    <t>Very well</t>
  </si>
  <si>
    <t>Farzaneh: Communication | Ontime follow ups</t>
  </si>
  <si>
    <t>Javad Zaki</t>
  </si>
  <si>
    <t>Alireza Ebrahimzadeh</t>
  </si>
  <si>
    <t>Excellent</t>
  </si>
  <si>
    <t>Mahsa: Scrum poker | He spent quality time on adding ACs and added useful ACs</t>
  </si>
  <si>
    <t>Amin Mohabbat</t>
  </si>
  <si>
    <t>Mahsa: Communication | On time communication and heads up when something did not go well, or he was requested to do something else
Mahsa: Core values | He worked at the weekend, when he understood there is the risk of not finishing the sprint tasks
Alireza: Communication | constructive brainstorming before going futher in every topics</t>
  </si>
  <si>
    <t>Maziar Gholami</t>
  </si>
  <si>
    <t>Mahsa: Teamwork | Being pro-active, offering ideas and trying to suggest solutions based on team's need</t>
  </si>
  <si>
    <t>Farzaneh Sadeghi</t>
  </si>
  <si>
    <t>Vahid Sarhaddi</t>
  </si>
  <si>
    <t>Below par</t>
  </si>
  <si>
    <t>Farzaneh: Knowledge sharing | Vahid is actively trying to share his experince 
Alireza: weak reaching out channels</t>
  </si>
  <si>
    <t>Jan 12 - Jan23</t>
  </si>
  <si>
    <t xml:space="preserve">Mahsa: Communication | He constantly keeps me updated and communicate problems on time
Alireza: Teamwork | He is happy with Amin's helping him while he was stuck in tasks </t>
  </si>
  <si>
    <t>Mahsa: Testing | The tasks that were ready to test were not testable on the server. I was blocked in the very early stage. 
Javad : Communication | Alireza, to help us stay ahead of any challenges, it would be beneficial if you could focus on proactively managing your tasks and identifying any potential risks earlier in the sprint. This will allow us more time to address them effectively and ensure a smooth and successful sprint completion. 
Mahsa: Being a leader | He is proactive and is helping with offering solutions</t>
  </si>
  <si>
    <t>Jan 26 - Feb 6</t>
  </si>
  <si>
    <t>Komeyl: User stories lacked clarity and proper assets</t>
  </si>
  <si>
    <t>Komeyl: I was very happy with Amin's follow ups and help</t>
  </si>
  <si>
    <t xml:space="preserve">Javad : Workreport &gt; He submits work reports late or sometimes without sufficient and clear information.
Amin: Alireza helped me so much for checkout </t>
  </si>
  <si>
    <t>Komeyl Mohebbian</t>
  </si>
  <si>
    <t xml:space="preserve">Amin: Komeil was trying to follow up implemented APIs &amp; aks any questions that had frequently </t>
  </si>
  <si>
    <t>Feb 9 - Feb 20</t>
  </si>
  <si>
    <t>Alireza: As we had a messy sprint for me this time she could manage evethg wel to have a great confident in Supermarty, urbansofa and Complizy</t>
  </si>
  <si>
    <t>Komeyl | Work quality: Design spacing and sizing were not consistent. Some of the meal details were missing in single page.</t>
  </si>
  <si>
    <t>Alireza: As I couldn't participate too actively in this sprint Amin covered as mush as he could greatly by himself</t>
  </si>
  <si>
    <t>Javad | Sprint Planning : ACs weren’t added on time, affecting estimation—timely updates and responsiveness to critical decisions are essential.
Mahsa | Teamwork: He is always here to help. Great supportiveness</t>
  </si>
  <si>
    <t>Mahsa | Sprint demo: He is proficient and good lecturer
Amin | Patience :D</t>
  </si>
  <si>
    <t>Feb 23 - March 6</t>
  </si>
  <si>
    <t>We had effective communication about conflicts</t>
  </si>
  <si>
    <t>Komeyl: Helped with seting up ngRok when server was down. Checked up to make sure everything works fine</t>
  </si>
  <si>
    <t>March 9 - 18</t>
  </si>
  <si>
    <t>Nayyer Jafari</t>
  </si>
  <si>
    <t>April 6 - 17</t>
  </si>
  <si>
    <t xml:space="preserve">Mahsa: Core values | He truly is a team player. Dedicated and commited </t>
  </si>
  <si>
    <t>Epic 1: Database and related services</t>
  </si>
  <si>
    <t xml:space="preserve">Data gathering and database                                                                              </t>
  </si>
  <si>
    <t>Implement and update AlbertHeijn API scraper + fetching nutritional information</t>
  </si>
  <si>
    <t>Implement and update Picnic API scraper + fetching nutritional information</t>
  </si>
  <si>
    <t>Implement and update Jumbo web scraper + fetching nutritional information</t>
  </si>
  <si>
    <t>Implement and update plus web scraper + fetching nutritional information</t>
  </si>
  <si>
    <t>Implementing the infrastructure of scrapers (Python scrapers as a single service)</t>
  </si>
  <si>
    <t>Implementing database service to fetch and update products</t>
  </si>
  <si>
    <t>Implement an scraping service for fetching recipes from AH</t>
  </si>
  <si>
    <t>Database structure of recipes and meals</t>
  </si>
  <si>
    <t>Scraping servies to fetch and update recipes from AH</t>
  </si>
  <si>
    <t xml:space="preserve">Database structure to connect recipes to its related products </t>
  </si>
  <si>
    <t>Implement a service to merge same products in dataset</t>
  </si>
  <si>
    <t>Design the database of supermarket products</t>
  </si>
  <si>
    <t>Database migrations of backend application</t>
  </si>
  <si>
    <t>Epic 2: Admin panel - Users</t>
  </si>
  <si>
    <t>Authentication, authorization and profile</t>
  </si>
  <si>
    <t>Implement admin dashboard basic structure</t>
  </si>
  <si>
    <t>Login as an admin</t>
  </si>
  <si>
    <t>Set password (for the first login or reset password)</t>
  </si>
  <si>
    <t>Forgot password</t>
  </si>
  <si>
    <t>Welcome and reset password emails</t>
  </si>
  <si>
    <t>Refresh tokens</t>
  </si>
  <si>
    <t>Update user profile</t>
  </si>
  <si>
    <t>Logout</t>
  </si>
  <si>
    <t>Two factor authentication</t>
  </si>
  <si>
    <t>Authorization for admin users with different roles</t>
  </si>
  <si>
    <t>Admin dashboard header and layout</t>
  </si>
  <si>
    <t>Users management</t>
  </si>
  <si>
    <t>Users overview (role, name and other information)</t>
  </si>
  <si>
    <t>Search, sort and filter users</t>
  </si>
  <si>
    <t>Add a new user</t>
  </si>
  <si>
    <t>Edit a user and change role</t>
  </si>
  <si>
    <t>View a user (user activity, liked bags, preferences and ...)</t>
  </si>
  <si>
    <t>User roles overview</t>
  </si>
  <si>
    <t>Define a custom role</t>
  </si>
  <si>
    <t>View and edit role</t>
  </si>
  <si>
    <t>Implementation of feedback and change requests</t>
  </si>
  <si>
    <t>Epic 3: Admin panel - Products, supermarkets and categories</t>
  </si>
  <si>
    <t>Products management</t>
  </si>
  <si>
    <t>Implementing grid component structure</t>
  </si>
  <si>
    <t>Products overview</t>
  </si>
  <si>
    <t>Products search, sort and filter</t>
  </si>
  <si>
    <t>Edit a product (change categories, uploud image and ...)</t>
  </si>
  <si>
    <t>Publish and unpublish a product</t>
  </si>
  <si>
    <t>View a product details (nutri-score, categories, images and ..)</t>
  </si>
  <si>
    <t>Supermarkets management</t>
  </si>
  <si>
    <t>Supermarkets overview</t>
  </si>
  <si>
    <t>Search, sort and filter supermarkets</t>
  </si>
  <si>
    <t>Add a new supermarket</t>
  </si>
  <si>
    <t>View and edit a supermarket (address and geolocation on map)</t>
  </si>
  <si>
    <t>Import supermarkets via CSV file</t>
  </si>
  <si>
    <t>Category management</t>
  </si>
  <si>
    <t>Category overview (life styles, diets, product categories and ...)</t>
  </si>
  <si>
    <t>Search, sort and filter user categories</t>
  </si>
  <si>
    <t>Add a new category</t>
  </si>
  <si>
    <t>View and edit a category (upload image, edit name and ...)</t>
  </si>
  <si>
    <t>Remove a category and assign to another category</t>
  </si>
  <si>
    <t>Epic 4: Admin panel - Recipes, shopping bags and labels</t>
  </si>
  <si>
    <t>Meal (recipe) management</t>
  </si>
  <si>
    <t>Meals overview + implementing tabs</t>
  </si>
  <si>
    <t>Meals search, sort and filter</t>
  </si>
  <si>
    <t>Add a new meal by existing products</t>
  </si>
  <si>
    <t>Edit and remove a meal</t>
  </si>
  <si>
    <t>View a meal and its nutritinal information (+ calculate total calorie of a meal)</t>
  </si>
  <si>
    <t>Adding label and categories to a meal</t>
  </si>
  <si>
    <t>Define a new label or category in update meal form</t>
  </si>
  <si>
    <t>Shopping bags</t>
  </si>
  <si>
    <t>Shopping bags overview</t>
  </si>
  <si>
    <t>Bags search, sort and filter</t>
  </si>
  <si>
    <t>Add a new shopping bag by existing products</t>
  </si>
  <si>
    <t>Edit and remove a shopping bag</t>
  </si>
  <si>
    <t>View a bag and its nutritinal information (+ calculate total calorie of a bag)</t>
  </si>
  <si>
    <t>Adding label and categories to a shopping bag</t>
  </si>
  <si>
    <t>Define a new label or category in update shopping bag form</t>
  </si>
  <si>
    <t>MVP launch</t>
  </si>
  <si>
    <t>Epic 5: Mobile app main functionalities</t>
  </si>
  <si>
    <t>Sign up end users</t>
  </si>
  <si>
    <t>Implement mobile application basic UI elements</t>
  </si>
  <si>
    <t>Sign up pages layout</t>
  </si>
  <si>
    <t>Getting name, last name and email in first page</t>
  </si>
  <si>
    <t>Getting user gender</t>
  </si>
  <si>
    <t>Getting user interests (Healthy life, Gym life ...)</t>
  </si>
  <si>
    <t>Getting user diet</t>
  </si>
  <si>
    <t>Getting user order size (Just one person or selecting family size)</t>
  </si>
  <si>
    <t>User prefered schedule</t>
  </si>
  <si>
    <t>Getting user intolerance page</t>
  </si>
  <si>
    <t>Welcome screen before discover pages</t>
  </si>
  <si>
    <t>Authentication and profile</t>
  </si>
  <si>
    <t>Implementing a SMS service using a third party</t>
  </si>
  <si>
    <t>Login as an end user</t>
  </si>
  <si>
    <t>Send a verification code for login (first login on a new device)</t>
  </si>
  <si>
    <t>Send a verification code for sign up</t>
  </si>
  <si>
    <t>Welcome and reset password notification (email or sms)</t>
  </si>
  <si>
    <t>Delete account and remove all data after a while</t>
  </si>
  <si>
    <t>Epic 6: Mobile app - Discover and category pages</t>
  </si>
  <si>
    <t>Discover page</t>
  </si>
  <si>
    <t>Search in proucts, meals, bags and categories</t>
  </si>
  <si>
    <t>Discover bags block</t>
  </si>
  <si>
    <t>Popular recipes</t>
  </si>
  <si>
    <t>Recipe categories</t>
  </si>
  <si>
    <t>Grocery categories list</t>
  </si>
  <si>
    <t>None-grocery categories list</t>
  </si>
  <si>
    <t>Product category detail page</t>
  </si>
  <si>
    <t>Category header and title</t>
  </si>
  <si>
    <t>Sub-categories list</t>
  </si>
  <si>
    <t>List of related recipes of selected category</t>
  </si>
  <si>
    <t>List of products in selected category (lazy load)</t>
  </si>
  <si>
    <t>Filter items based on labels and food type</t>
  </si>
  <si>
    <t>Bags category detail page</t>
  </si>
  <si>
    <t>Bag category header and title</t>
  </si>
  <si>
    <t>Available bags in selected category</t>
  </si>
  <si>
    <t>List of related recipes of selected bag category</t>
  </si>
  <si>
    <t>Recipe category detail page</t>
  </si>
  <si>
    <t>Recipe category header and title</t>
  </si>
  <si>
    <t>Available recipes in selected category</t>
  </si>
  <si>
    <t>Epic 7: Mobile app - Product, bag and meal views</t>
  </si>
  <si>
    <t>Single product page</t>
  </si>
  <si>
    <t>Single product header</t>
  </si>
  <si>
    <t>Title, description and price of a product</t>
  </si>
  <si>
    <t>Nutri-score and labels of product</t>
  </si>
  <si>
    <t>Different supermarket prices + add to card</t>
  </si>
  <si>
    <t>Nutrional information of product</t>
  </si>
  <si>
    <t>Similar products list</t>
  </si>
  <si>
    <t>Meals that contain product</t>
  </si>
  <si>
    <t>Meal page</t>
  </si>
  <si>
    <t>Meal image and title block</t>
  </si>
  <si>
    <t>Meal description, labels and nutri-score</t>
  </si>
  <si>
    <t>Grocery items in meal</t>
  </si>
  <si>
    <t>Nutritional information of meal</t>
  </si>
  <si>
    <t>Other market total price</t>
  </si>
  <si>
    <t>Similar meals</t>
  </si>
  <si>
    <t>Bag detail page</t>
  </si>
  <si>
    <t>Bag image and title block</t>
  </si>
  <si>
    <t>Bag description, labels and nutri-score</t>
  </si>
  <si>
    <t>Grocery items in bag</t>
  </si>
  <si>
    <t>Nutritional information of bag</t>
  </si>
  <si>
    <t>Meal recipes with selected bag</t>
  </si>
  <si>
    <t>Similar bags</t>
  </si>
  <si>
    <t>Epic 8: Shoping proceess and release of platform</t>
  </si>
  <si>
    <t>Shopping list page</t>
  </si>
  <si>
    <t>Shopping list items and total price</t>
  </si>
  <si>
    <t>Other markets with total price</t>
  </si>
  <si>
    <t>Nutri-score and labels of shopping list</t>
  </si>
  <si>
    <t>Nutritional information table</t>
  </si>
  <si>
    <t>Filter supermarkets based on preferences</t>
  </si>
  <si>
    <t>Filter supermarkets based on location and custom preferences</t>
  </si>
  <si>
    <t>Suggest nearest supermarket based on user location</t>
  </si>
  <si>
    <t>Redirect shopping list to AlbertHeijn web store</t>
  </si>
  <si>
    <t>Redirect shopping list to Jumbo web store</t>
  </si>
  <si>
    <t>Epic 9: Data broker (rough estimation)</t>
  </si>
  <si>
    <t>Universal language</t>
  </si>
  <si>
    <t>State</t>
  </si>
  <si>
    <t>Meeting items</t>
  </si>
  <si>
    <t>Comments</t>
  </si>
  <si>
    <t>21 October 2024 - Kick-Off Meeting</t>
  </si>
  <si>
    <t>Introduction</t>
  </si>
  <si>
    <t>Responsibilities and representatives: Managing one of the items: Budget, scope, deadline</t>
  </si>
  <si>
    <t>Official start of the project - Pre-development phase</t>
  </si>
  <si>
    <t>Approval on designs, flows, and roadmap (MVP scope)</t>
  </si>
  <si>
    <t>Mahsa will send the MVP scope to Amir for final approval</t>
  </si>
  <si>
    <t>Agile contract and invoicing structure</t>
  </si>
  <si>
    <t xml:space="preserve">Agile management methodologies </t>
  </si>
  <si>
    <t>Support system</t>
  </si>
  <si>
    <t>Q&amp;A</t>
  </si>
  <si>
    <t>Amir: Contracts and legal process should be started - Source code's should be delivered to us | Mahsa: I will provide you with the answer by the end of the day.</t>
  </si>
  <si>
    <t xml:space="preserve">11 November 2024 - Agile management methodology </t>
  </si>
  <si>
    <t>What is Agile: Scrum - Epic - Sprint</t>
  </si>
  <si>
    <t xml:space="preserve">What steps we will take during the project </t>
  </si>
  <si>
    <t xml:space="preserve">I will be a guardian to your budget </t>
  </si>
  <si>
    <t>We are dependent on you</t>
  </si>
  <si>
    <t>2 December 2024 - Update and Question</t>
  </si>
  <si>
    <t xml:space="preserve">Let's keep in touch. We need your cooperation </t>
  </si>
  <si>
    <t xml:space="preserve">2 times in week to be avaiable </t>
  </si>
  <si>
    <t>Wednesday: 12:00 to 13:00 - Thursday 12:00 to 13:00</t>
  </si>
  <si>
    <t>We do not recommend a native mobile app</t>
  </si>
  <si>
    <t>Web app</t>
  </si>
  <si>
    <t>Low code portals for admin panel</t>
  </si>
  <si>
    <t>Agreed</t>
  </si>
  <si>
    <t>Payments and invoices</t>
  </si>
  <si>
    <t>Amir give me a deadline today (December 2)</t>
  </si>
  <si>
    <t>Scapper launched a new apps</t>
  </si>
  <si>
    <t>9 December 2024 - Update and Question</t>
  </si>
  <si>
    <t xml:space="preserve">What categories do you want have? </t>
  </si>
  <si>
    <t xml:space="preserve">We need to have as detailed tags as possible (Zuivel, eieren, boterMelkHalfvolle melk) - The admin should be able to change the suggested products manually </t>
  </si>
  <si>
    <t>How many users do you estimate to use the application?</t>
  </si>
  <si>
    <t xml:space="preserve">Amir is going to send it to me by December 10 </t>
  </si>
  <si>
    <t>Can we crawl the recepies from the markets?</t>
  </si>
  <si>
    <t>I will let you know by December 12</t>
  </si>
  <si>
    <t>16 December 2024 - Update and Question</t>
  </si>
  <si>
    <t>Should meals include fields for a name, description, and preparation instructions?</t>
  </si>
  <si>
    <t>Yes</t>
  </si>
  <si>
    <t>Which product categories from the supermarkets do you want to include in the system (e.g., Meat, Vegetables, Beverages)?</t>
  </si>
  <si>
    <t>Same as Albert hein</t>
  </si>
  <si>
    <t>What information should be used to define a bag or meal? For example: price, weight, calories, nutritional breakdown, etc.</t>
  </si>
  <si>
    <t>Amir will send the list to me</t>
  </si>
  <si>
    <t>Should out-of-stock products be displayed in suggestions, or should they be excluded?</t>
  </si>
  <si>
    <t>Nothing for now</t>
  </si>
  <si>
    <t>What are the key factors for end-users to discover bags and meals? For example: price, nutritional value, category, popularity, or user preferences.</t>
  </si>
  <si>
    <t>If the user has not chosen any filter or preference, show the bags and meals randomly
but other than this, it should be based on the user's preference and the tags that the admin had added to the bags and meals: like Diet, helal, low carb, high protein</t>
  </si>
  <si>
    <t>For the matching algorithm:
-Should the system aim for exact matches (same product across all supermarkets)?
-Or should it suggest close matches (similar products with slight differences)?
-How should the system handle scenarios where a product does not exist in one or more supermarkets?</t>
  </si>
  <si>
    <t>6.1- the admin should be able to change the product of a market if the exact match was not found
6.2- the category should stay the same, but the amounts, weigh, and things like this can be different
6.3- Show a warning to the admin to search for an alternative
but for the shopping cart that user creates, show all the markets, and show a warning next to the market that does not have all the products</t>
  </si>
  <si>
    <t>How should the system handle packaged or pre-offered products, like predefined bags or meal kits available directly from supermarkets?</t>
  </si>
  <si>
    <t>unclear question</t>
  </si>
  <si>
    <t>After a bag or meal is finalized, where should the user be redirected?
- Would you prefer to show links to each item in the bag/meal individually? Risks and blockers for MVP : supermarket account registrations or blockers</t>
  </si>
  <si>
    <t>check out page of that market
- they need to have an account- We need to put a notif there that the users have to have accounts on those markets</t>
  </si>
  <si>
    <t>Should a meal function purely as an instructional recipe, or should it specify exact products sourced from the four supermarkets?</t>
  </si>
  <si>
    <t>specific products</t>
  </si>
  <si>
    <t>Do end-users have any roles in the system? Why?</t>
  </si>
  <si>
    <t>Not for MVP but in the future there are going to have hierarchy in the system eg trainer, normal user</t>
  </si>
  <si>
    <t>Should the system store user activities, preferences, or liked bags/meals in the MVP version? Why?</t>
  </si>
  <si>
    <t>yes
preference: yes
like: it means adding it to the favorites list
user activity: we didn't get what does it mean</t>
  </si>
  <si>
    <t>Amir: I would like to have an AI as a food assistance in the application</t>
  </si>
  <si>
    <t>It is a good idea, but not for MVP</t>
  </si>
  <si>
    <t>23 December 2024 - Update and Question</t>
  </si>
  <si>
    <t xml:space="preserve">Concern regarding the payment transparency </t>
  </si>
  <si>
    <t xml:space="preserve">Amir understood the concerns we had and </t>
  </si>
  <si>
    <t>Javad : Is it necessary to include Picnic supermarket in the MVP, or would you recommend starting with another supermarket due to data aggregation challenges?</t>
  </si>
  <si>
    <t>Amir: We can skip Picnic for the MVP but keep in mind we eventually need that in the later versions</t>
  </si>
  <si>
    <t>Javad : Is it essential to include categories like laundries in the product categories?</t>
  </si>
  <si>
    <t>Amir: Include everything in the categories</t>
  </si>
  <si>
    <t>Javad : How should the system handle packaged or pre-offered products, like predefined bags or meal kits available directly from supermarkets?</t>
  </si>
  <si>
    <t>Amir: Show them one on one</t>
  </si>
  <si>
    <t>Vahid: We can devide the system into 3 parts: 1- users 2- Admin 3- Aggregation of data from super markets</t>
  </si>
  <si>
    <t>Amir: It is ok</t>
  </si>
  <si>
    <t>Vahid: We want to to focus on the admin side first, what are the fields needed for the meals and bags and products</t>
  </si>
  <si>
    <t>we have 3 levels: 1- bags, 2-meals, 3- products= Nutritional info for all levels. Description field for bags and meals</t>
  </si>
  <si>
    <t>Vahid: Why do you need to have products in the admin panel</t>
  </si>
  <si>
    <t>Amir: If I want to create a mean, I need to create a bag first, and for bag I need to have access to bags</t>
  </si>
  <si>
    <t>Amir: I want to reuse the created meals to create new ones without being have to making it from scratch</t>
  </si>
  <si>
    <t>Mahsa: We can have a feature like duplicate</t>
  </si>
  <si>
    <t>Javad: Do users see the total calleries or it should be based on the product?</t>
  </si>
  <si>
    <t>Amir: It should be top down, first total callery of the bag, then meal, then product</t>
  </si>
  <si>
    <t>Vahid: Filter supermarket products with some fields and related them to our product</t>
  </si>
  <si>
    <t>Amir: It's a good idea but have some challenging products like chilly powder for find in all supermarkets with same filter because same product have some types in different supermarkets and with different prices</t>
  </si>
  <si>
    <t>Vahid: In client side there is a challenge in purchase shopping list in supermarkets</t>
  </si>
  <si>
    <t>Amir: It's exist some solution for example in albert heighn can share the shopping list link and other just click on it and use that shopping list
Javad: we can thinking more future for this challenge and find solution</t>
  </si>
  <si>
    <t>30 December 2024- Update and Question</t>
  </si>
  <si>
    <t>Reviewing action points of the previous meeting</t>
  </si>
  <si>
    <t>Reviewing the budget spent so far</t>
  </si>
  <si>
    <t>Approval on the epic and its features</t>
  </si>
  <si>
    <t>Available in [name supermarkets] field in add product page</t>
  </si>
  <si>
    <t>It was a misunderstanding and we can show this value for the admins</t>
  </si>
  <si>
    <t>How to manage Nutritional values on products?</t>
  </si>
  <si>
    <t>For the products with standard units (kg, Li) it is ok. For the ones that are being sold in peices but the nutitional values are per grams, we will provide their list to Amir so he can tell us the standard nutritional values. We will send the list to Amir by the end of January</t>
  </si>
  <si>
    <t>Amir:  I would like to see how we are going to show the nutritional values in user side. | Mahsa: We already have samples. We can demonstrate them to you next week</t>
  </si>
  <si>
    <t>06 January 2025- Update and Question</t>
  </si>
  <si>
    <t>Admin panel: On track - Aggregator: Off track. At the end of the sprint, We might need to remove someof the less-important features to cover it up</t>
  </si>
  <si>
    <t xml:space="preserve">Product fields </t>
  </si>
  <si>
    <t>Amir has checked the fields that we need to store - He will highlight the fields that he doesn't understand what they mean</t>
  </si>
  <si>
    <t>Approval on epic 2's features</t>
  </si>
  <si>
    <t>Amir will review and provide us with a resonse by the end of the day</t>
  </si>
  <si>
    <t>Approval on the payment at the end of January</t>
  </si>
  <si>
    <t>Amir will let me know by the end of the day</t>
  </si>
  <si>
    <t>Lack of response to the emails and its consequences on us</t>
  </si>
  <si>
    <t>Amir said he will try to respond to ny emails in 24 hours</t>
  </si>
  <si>
    <t>Nutritional value design samples</t>
  </si>
  <si>
    <t>By the end of tomorrow Amir will send a compelete list of nutritional values - For the first version, we will use the table design</t>
  </si>
  <si>
    <t>16 January 2025- Update and Question</t>
  </si>
  <si>
    <t>Next steps</t>
  </si>
  <si>
    <t xml:space="preserve">Payment terms </t>
  </si>
  <si>
    <t>Amir will talk to Jacky and inform us by Jan 17</t>
  </si>
  <si>
    <t>20 January 2025- Update and Question</t>
  </si>
  <si>
    <t>Epic 2 designs</t>
  </si>
  <si>
    <t>Demonstrating Sprint 1</t>
  </si>
  <si>
    <t>Finalizing payment terms</t>
  </si>
  <si>
    <t>17 February 2025- Update and Question</t>
  </si>
  <si>
    <t>Amir will send it after the meeting</t>
  </si>
  <si>
    <t>Mahsa should share the credentials of stage by Feb 20</t>
  </si>
  <si>
    <t>Company set up, and official invoices</t>
  </si>
  <si>
    <t xml:space="preserve">Amir will talk to Jacky and let me know about the result </t>
  </si>
  <si>
    <t>Logo of the Super Marty project</t>
  </si>
  <si>
    <t>Amir will share the files after the meeting</t>
  </si>
  <si>
    <t>Language of the application- We need Dutch translation</t>
  </si>
  <si>
    <t>Mahsa will provide Amir with a clean Figma file by Feb 20, Amir will translate and add comments, no deadline for this</t>
  </si>
  <si>
    <t>24 February 2025- Update and Question</t>
  </si>
  <si>
    <t>Meet our team members</t>
  </si>
  <si>
    <t>Discover page design</t>
  </si>
  <si>
    <t>Demonstration of epic 1 and 2</t>
  </si>
  <si>
    <t>Searching within products, price or amount</t>
  </si>
  <si>
    <t>Internally solved</t>
  </si>
  <si>
    <t>5 March 2025- Update and Question</t>
  </si>
  <si>
    <t>Checking epic 1 and 2</t>
  </si>
  <si>
    <t>10 March 2025- Update and Question</t>
  </si>
  <si>
    <t>Demonstrating recent features</t>
  </si>
  <si>
    <t>Product and group product</t>
  </si>
  <si>
    <t>17 March 2025- Update and Question</t>
  </si>
  <si>
    <t>Reviewing your feedback document</t>
  </si>
  <si>
    <t>Check out and redirection to the destination super market</t>
  </si>
  <si>
    <t>Charactristics of the products</t>
  </si>
  <si>
    <t>8 April 2025- Update and Question</t>
  </si>
  <si>
    <t>Reviewing the invoices</t>
  </si>
  <si>
    <t>Confiusion about the project budget</t>
  </si>
  <si>
    <t>8 April 2025- Update and Question - Afternoon</t>
  </si>
  <si>
    <t>A short demo of selecting market products for product groups</t>
  </si>
  <si>
    <t>Deeper discussion about charactristics</t>
  </si>
  <si>
    <t>9 April 2025- Update and Question</t>
  </si>
  <si>
    <t>October 21 - Project discovery files including roadmap were sent via email</t>
  </si>
  <si>
    <t>November 10 - Total hours and rate per hour were sent via email</t>
  </si>
  <si>
    <t>How far have we proceeded so far according to the initial roadmap</t>
  </si>
  <si>
    <t>What next? Are we limitted to the 100K? If yes, we need to plan how to use the remaining time</t>
  </si>
  <si>
    <t>Retro: Emails should be checked carefully and replied</t>
  </si>
  <si>
    <t>10 April 2025 - Roadmap review meeting</t>
  </si>
  <si>
    <t>Reviewing the roadmap and listing the remaining to-dos</t>
  </si>
  <si>
    <t>15 April 2025- Update and Question</t>
  </si>
  <si>
    <t>What is the budget?</t>
  </si>
  <si>
    <t>The payment planning</t>
  </si>
  <si>
    <t>22 April 2025- Update and Question</t>
  </si>
  <si>
    <t>Let's go live!</t>
  </si>
  <si>
    <t xml:space="preserve">Server: a VM for now. Duration: 3 months
Storage: 100GB
Mail provider: Mailgun
SSL: Comodo
Domain </t>
  </si>
  <si>
    <t>Demonstration of the new features</t>
  </si>
  <si>
    <t>29 April 2025- Update and Question</t>
  </si>
  <si>
    <t xml:space="preserve">Action points </t>
  </si>
  <si>
    <t>Responsible</t>
  </si>
  <si>
    <t>Deadline</t>
  </si>
  <si>
    <t>Formulas</t>
  </si>
  <si>
    <t>01 January 2023 - Kick-Off Meeting</t>
  </si>
  <si>
    <t>Question</t>
  </si>
  <si>
    <t>Requester</t>
  </si>
  <si>
    <t>Request date</t>
  </si>
  <si>
    <t>Answer</t>
  </si>
  <si>
    <t>aya in shopping haii ke  azashon data migirm be ma api mostaghim midan ke data ro fetch konim ya na ?</t>
  </si>
  <si>
    <t>Arash</t>
  </si>
  <si>
    <t>pishbinimon az mizan user ya marketing rooye in app cheghadre baraye v1 ?</t>
  </si>
  <si>
    <t>aya ma mostaghim mitoonim emkane order ro be user bedim yani oon order rooye bag haye app ma bezane ?</t>
  </si>
  <si>
    <t>rate taghiir data cheghadre ? minute ? hour ? daily ? or per change from source ?</t>
  </si>
  <si>
    <t>mikhaim pishnahad bedim rooye filter ke masaln healthy hast ya na ? aya harkodom az product ha ke az site haye thirdparty dige hast item hashon mesle mizane kalori , enerzhi, suger va... yeki hast ?</t>
  </si>
  <si>
    <t>mobile app ke mikhaim aya besoorate nasbi bashe va baraye ios ya android ? ya WPA ham bashe okeye ?</t>
  </si>
  <si>
    <t>aya producti ke too AlbertHeijn hast daghighan ham esmesh tooye jumbo hast ? yani mishe inaro match kard ? va melakemon baraye matching product chie ? barcode ? name ? chon mikhaim price haro baham compare konim baayad product ro ba ye item baham match konim</t>
  </si>
  <si>
    <t>ma niaz darim baraye hamchin app i algoritm haii ke estefade mishe va nahve tasmim giri system ro dashte bashim va bedoonim app ma bar che asas kar mikone , aya darim hamchin chizi ?</t>
  </si>
  <si>
    <t>faghat data ro az in 4 ta online shop migirim ? va dar ayande niaz nist bishatar beshe ?</t>
  </si>
  <si>
    <t>feature search va filter product ha tu app cheghadr ahamiat dare?</t>
  </si>
  <si>
    <t>Vahid</t>
  </si>
  <si>
    <t xml:space="preserve">What is the value proposition of the product? What makes it different from the competitors? </t>
  </si>
  <si>
    <t>Mahsa</t>
  </si>
  <si>
    <t>Who is the target audiance of the product for V1?</t>
  </si>
  <si>
    <t>How the initial products will be added to the admin panel? via crawling? adding manually?</t>
  </si>
  <si>
    <t>Are the items in each bag belong to 1 market? (As an admin I have created a bag, and the cheapest option belongs to Albert heijn)</t>
  </si>
  <si>
    <t>Where do we get the nutritions?</t>
  </si>
  <si>
    <t>What information will we get for creating the account?</t>
  </si>
  <si>
    <t>If the data crawling of these websites is going to be handled on our end, have the IP limitations been considered? We would need a significant number of IPs to avoid being restricted by those websites, as they will likely block us.</t>
  </si>
  <si>
    <t>Alireza</t>
  </si>
  <si>
    <t xml:space="preserve">Approximately how many products are we expected to have in the system overall?
</t>
  </si>
  <si>
    <t xml:space="preserve">Let’s assume that cucumbers are one of the products. My main question is, on what basis are we going to determine that the cucumbers from Store A and Store B are related? Is it possible to use artificial intelligence in our system for product categorization and linking?
</t>
  </si>
  <si>
    <t>Considering that stores usually have a large variety of packaging or supplier options for a single product with different prices, which products should we display? Should we consider only the common products among these four stores or include all the products?</t>
  </si>
  <si>
    <t>if the crawling of these websites is handled on our end, how are we going to manage the structural changes of these websites? Will these changes come to us as a bug that we need to update, or is the plan to design the system in a way that such cases can be managed by the admin without needing a developer?</t>
  </si>
  <si>
    <t>Team members</t>
  </si>
  <si>
    <t>Personnel nr</t>
  </si>
  <si>
    <t>Status</t>
  </si>
  <si>
    <t>Role</t>
  </si>
  <si>
    <t>Technical coach</t>
  </si>
  <si>
    <t>Seniority multiplier</t>
  </si>
  <si>
    <t>Actual output</t>
  </si>
  <si>
    <t>Working hours p/w</t>
  </si>
  <si>
    <t>Project team meetings deduction</t>
  </si>
  <si>
    <t>Personal time (non project related)</t>
  </si>
  <si>
    <t>Company meetings (non project related)</t>
  </si>
  <si>
    <t>Other project permanent commitment</t>
  </si>
  <si>
    <t>Commited time</t>
  </si>
  <si>
    <t>Actual task time p/w</t>
  </si>
  <si>
    <t>Expected task output p/w</t>
  </si>
  <si>
    <t>Actual velocity</t>
  </si>
  <si>
    <t>Last checked and verified</t>
  </si>
  <si>
    <t>Project retro</t>
  </si>
  <si>
    <t>Technical meetings</t>
  </si>
  <si>
    <t>Weekly planning</t>
  </si>
  <si>
    <t>Unplanned communication</t>
  </si>
  <si>
    <t>Sprint demo</t>
  </si>
  <si>
    <t>Sprint demo rehearsal</t>
  </si>
  <si>
    <t>Daily stand up's p/w</t>
  </si>
  <si>
    <t>Time off in hours p/w</t>
  </si>
  <si>
    <t>Holidays in hours p/w</t>
  </si>
  <si>
    <t>IDP and R&amp;D</t>
  </si>
  <si>
    <t>Company week retro</t>
  </si>
  <si>
    <t>Chapter retro</t>
  </si>
  <si>
    <t>Company management</t>
  </si>
  <si>
    <t>Interviews</t>
  </si>
  <si>
    <t>Assessments</t>
  </si>
  <si>
    <t>Project manager</t>
  </si>
  <si>
    <t>6 - Normal</t>
  </si>
  <si>
    <t>Frontend development</t>
  </si>
  <si>
    <t>Backend development</t>
  </si>
  <si>
    <t>UI/UX design</t>
  </si>
  <si>
    <t>Dev Ops development</t>
  </si>
  <si>
    <t>Technical (code) review</t>
  </si>
  <si>
    <t>Parya Ardalani</t>
  </si>
  <si>
    <t>Extra ordinary events impacting team members working hours</t>
  </si>
  <si>
    <t>Start date</t>
  </si>
  <si>
    <t>End date</t>
  </si>
  <si>
    <t>Deviation in hours p/d</t>
  </si>
  <si>
    <t>Total deviation</t>
  </si>
  <si>
    <t>Project velocity estimation per week</t>
  </si>
  <si>
    <t>Resources deficit</t>
  </si>
  <si>
    <t>Roadmap hours</t>
  </si>
  <si>
    <t>Remaining work in weeks</t>
  </si>
  <si>
    <t>Additional data</t>
  </si>
  <si>
    <t>Ideal output p/w</t>
  </si>
  <si>
    <t>Current roles output p/w</t>
  </si>
  <si>
    <t>Required rebalanced output p/w</t>
  </si>
  <si>
    <t>Deficit p/w</t>
  </si>
  <si>
    <t>Main roles def. p/w</t>
  </si>
  <si>
    <t>Total hours</t>
  </si>
  <si>
    <t>Back remaining</t>
  </si>
  <si>
    <t>Front remaini.</t>
  </si>
  <si>
    <t>Total remaining</t>
  </si>
  <si>
    <t>Ideal</t>
  </si>
  <si>
    <t>Current</t>
  </si>
  <si>
    <t>Ideal out. total</t>
  </si>
  <si>
    <t>Full stack development</t>
  </si>
  <si>
    <t>Backend auto. testing</t>
  </si>
  <si>
    <t>Frontend auto. testing</t>
  </si>
  <si>
    <t>Performance testing</t>
  </si>
  <si>
    <t>Security testing</t>
  </si>
  <si>
    <t>Technical documentation</t>
  </si>
  <si>
    <t>Project settings</t>
  </si>
  <si>
    <t>Project name</t>
  </si>
  <si>
    <t>SuperMarty project</t>
  </si>
  <si>
    <t>Company name</t>
  </si>
  <si>
    <t>SuperMarty</t>
  </si>
  <si>
    <t>Company website url</t>
  </si>
  <si>
    <t>Project status</t>
  </si>
  <si>
    <t>In progress</t>
  </si>
  <si>
    <t>Project start date</t>
  </si>
  <si>
    <t>Project deadline (optional)</t>
  </si>
  <si>
    <t>Stakeholder chosen plan</t>
  </si>
  <si>
    <t>Minimum viable product - MVP</t>
  </si>
  <si>
    <t>Sprint cycle in weeks</t>
  </si>
  <si>
    <t>Project focus</t>
  </si>
  <si>
    <t>Budget based</t>
  </si>
  <si>
    <t>Risk margin</t>
  </si>
  <si>
    <t>Roadmap calculation config</t>
  </si>
  <si>
    <t>MMR</t>
  </si>
  <si>
    <t xml:space="preserve"> user story writing, management, reporting and accept / rejecting </t>
  </si>
  <si>
    <t>Prototyping</t>
  </si>
  <si>
    <t>Speed, scalability and stability testing</t>
  </si>
  <si>
    <t>Daily stand Ups, scrum poker, retrospectives, sprint demos, brainstorming, support, meetings, meeting reports, emails, chats, phone conversations, etc.</t>
  </si>
  <si>
    <t>Reports</t>
  </si>
  <si>
    <t>Metrics</t>
  </si>
  <si>
    <t>Approved Budget  (h)</t>
  </si>
  <si>
    <t>Estimated duriation Road map (h)</t>
  </si>
  <si>
    <t>Total</t>
  </si>
  <si>
    <t>Mahsa.a</t>
  </si>
  <si>
    <t>Alireza.e</t>
  </si>
  <si>
    <t>Komeyl.m</t>
  </si>
  <si>
    <t>Javad.z</t>
  </si>
  <si>
    <t>Amin.m</t>
  </si>
  <si>
    <t>Farzaneh.s</t>
  </si>
  <si>
    <t>Nayyer.j</t>
  </si>
  <si>
    <t>Vahid.s</t>
  </si>
  <si>
    <t>Parya</t>
  </si>
  <si>
    <t>Maziar.g</t>
  </si>
  <si>
    <t>Arash.g</t>
  </si>
  <si>
    <t>Name</t>
  </si>
  <si>
    <t>Start</t>
  </si>
  <si>
    <t>End</t>
  </si>
  <si>
    <t>Total Budgeted Cost (h)</t>
  </si>
  <si>
    <t>Total Actual Cost (h)</t>
  </si>
  <si>
    <t>Total Budget Variance (%)</t>
  </si>
  <si>
    <t>Billable Amount (h)</t>
  </si>
  <si>
    <t>Billing Variance (%)</t>
  </si>
  <si>
    <t>Earned Value (h)</t>
  </si>
  <si>
    <t>Planned Value (h)</t>
  </si>
  <si>
    <t xml:space="preserve">Schedule Variance </t>
  </si>
  <si>
    <t>Budgeted Cost (h)</t>
  </si>
  <si>
    <t>Actual Cost (h)</t>
  </si>
  <si>
    <t>Budget Variance (%)</t>
  </si>
  <si>
    <t>November</t>
  </si>
  <si>
    <t>December</t>
  </si>
  <si>
    <t xml:space="preserve">January </t>
  </si>
  <si>
    <t>February</t>
  </si>
  <si>
    <t>March</t>
  </si>
  <si>
    <t>April</t>
  </si>
  <si>
    <t>May</t>
  </si>
  <si>
    <t>Total up to April 30</t>
  </si>
  <si>
    <t>Version</t>
  </si>
  <si>
    <t>Date</t>
  </si>
  <si>
    <t>Author</t>
  </si>
  <si>
    <t>v0.00.01</t>
  </si>
  <si>
    <t>Amir Zaghari</t>
  </si>
  <si>
    <t>Other</t>
  </si>
  <si>
    <t>First version created</t>
  </si>
  <si>
    <t>v0.00.02</t>
  </si>
  <si>
    <t>Resources were added - Prepration Phase, Epic 1 time estimation are added to the Budgeting tab</t>
  </si>
  <si>
    <t>Error Title</t>
  </si>
  <si>
    <t>Error</t>
  </si>
  <si>
    <t>Warning</t>
  </si>
  <si>
    <t xml:space="preserve">Formula bar </t>
  </si>
  <si>
    <t>Description</t>
  </si>
  <si>
    <t>Last Check</t>
  </si>
  <si>
    <t>Roadmap Checks</t>
  </si>
  <si>
    <t>Roadmap MVP-MMR columns not correctly deleted</t>
  </si>
  <si>
    <t>This error will count the numbers of columns in tab "Roadmap" , you need to choose from one of plans - MVP,MMR,MLP,MAP - and then you have to delete all of the columns that not related to your plan , this error will notice you that if you didn't delete the columns correctly , This cell will show "Yes" text.</t>
  </si>
  <si>
    <t>Not entered actual delivered date deadlines</t>
  </si>
  <si>
    <t>This error will count the number of actual delivered date deadlines in "Roadmap" tab . It goes to the roadmap tab and if there were empty cells in the column "Actual delivered date" , will count them and shows the number of empty cells.</t>
  </si>
  <si>
    <t>Overdue deadlines</t>
  </si>
  <si>
    <t xml:space="preserve">This formula will count the numbers of overdue deadlines in tab "Roadmap" . We got 2 columns in roadmap tab named  "Estimated delivery date" and "Actual delivered date" . This formula goes and compares the diffrence between 2 columns aand if actual delivered date was passed the estimated delivery date for 2 weeks , you'll see the count of overdue deadlines in warning column , and if the actual delivered date was passed the estimated delivery date for 4 weeks , you'll see the count of overdue deadlines in Error column in here. </t>
  </si>
  <si>
    <t>Project deadline in risk with current resources</t>
  </si>
  <si>
    <t>This formula will work on overdue deadline of the project. We have a section in "Roadmap settings" tab named "Project deadline" . If you entered some date in it , this formula will record it and compare it with the final estimated deadline in column AP:AP tab "Roadmap" . If the diffrence between two dates were 2 weeks or less than 2 weeks , you'll see the "Yes" word on warning column , But if the diffrence were more than 2 weeks , you'll see the word "Yes" on error column. If you don't enter any deadlines in "Roadmap settings" tab , you'll see nothing.</t>
  </si>
  <si>
    <t>Team Performance Checks</t>
  </si>
  <si>
    <t>Roadmap hours estimation is not accurate (If actual speed is much higher or lower than expected).</t>
  </si>
  <si>
    <t>This error will count the numbers of unexpected high or low rates of performance output . We have a tab named "Team Performance" , In this tab there is a column named "Performance Output " B:B column . If someone performance were more than 150% or less than 50% , this formula will show you the numbers of unexpected rates of rows in "Error" column , and if someones performance was more than 125% or less than 75% , it will count the errors in "Warning" column.</t>
  </si>
  <si>
    <t>Teammember(s) has low work quality</t>
  </si>
  <si>
    <t>This error will count the numbers of low work quality for you. In the "Team performance" tab , we have a column named "Work quality" G:G , If there were some data with "Bad" text , they'll count on "Error" column , and if there were some data with "Below par" text , they'll be shown on "Warning" column.</t>
  </si>
  <si>
    <t>Teammember(s) has low testing quality (high rejection rate)</t>
  </si>
  <si>
    <t>This error will count the numbers of low testing quality for you. In the "Team performance" tab , we have a column named "Testing" I:I , If there were some data with "Bad" text , they'll count on "Error" column , and if there were some data with "Below par" text , they'll be shown on "Warning" column.</t>
  </si>
  <si>
    <t>Teammember(s) has low teamwork quality</t>
  </si>
  <si>
    <t>This error will count the numbers of low teamwork quality for you. In the "Team performance" tab , we have a column named "Teamwork" J:J , If there were some data with "Bad" text , they'll count on "Error" column , and if there were some data with "Below par" text , they'll be shown on "Warning" column.</t>
  </si>
  <si>
    <t>Teammember(s) has low core values quality</t>
  </si>
  <si>
    <t>This error will count the numbers of low core values quality for you. In the "Team performance" tab , we have a column named "Core values" M:M , If there were some data with "Bad" text , they'll count on "Error" column , and if there were some data with "Below par" text , they'll be shown on "Warning" column.</t>
  </si>
  <si>
    <t>Teammember(s) has low conflict management quality</t>
  </si>
  <si>
    <t>This error will count the numbers of low conflict management quality for you. In the "Team performance" tab , we have a column named "Conflict Management" P:P , If there were some data with "Bad" text , they'll count on "Error" column , and if there were some data with "Below par" text , they'll be shown on "Warning" column.</t>
  </si>
  <si>
    <t>Meetings Checks</t>
  </si>
  <si>
    <t>Project is in progress but no sprint meetings are recorded.</t>
  </si>
  <si>
    <t xml:space="preserve">In this formula , you can check for the meetings dates and their relignment with project status and sprint cycle. In the tab "Roadmap settings" we got 2 section , project status and sprint cycle. If the project status was on "On progress" and the sprint cycle was on "Weekly" this formula will work 2 models. The first one is it will go on "Meetings" tab and searches thorugh meetings dates , if there were meetings that set for last 7 days from today , it will show nothing , other wise you should see "Yes" word in warning column , and The second is if some meetings were set for last 14 days from today , it will show nothing , otherwise you'll see "Yes" as an error message at error column.   The other sprint cycle is "Every 2 weeks" , if you choose this sprint cycle , the formula will search for last 14 days from today and if there were some meetings , you see nothing , but if there were no meeting , you'll see "Yes" at warning column . In addition , if you choose "Every 2 weeks" as your sprint cycle , the formula will also search for 28 days from today meetings and if there were nothing , you will see "Yes" at error column.                                                                                                                                                                                            </t>
  </si>
  <si>
    <t>Project is in maintanance but no monthly progress is recorded.</t>
  </si>
  <si>
    <t xml:space="preserve">In this formula , you can check for the meetings dates and their relignment with project status and sprint cycle. In the tab "Roadmap settings" we got 2 section , project status and sprint cycle. If the project status was on "In maintenance" and the sprint cycle was on "Weekly" this formula will work 2 models. The first one is it will go on "Meetings" tab and searches thorugh meetings dates , if there were meetings that set for last 14 days from today , it will show nothing , other wise you should see "Yes" word in warning column , and The second is if some meetings were set for last 28 days from today , it will show nothing , otherwise you'll see "Yes" as an error message at error column.   The other sprint cycle is "Every 2 weeks" , if you choose this sprint cycle , the formula will search for last 28 days from today and if there were some meetings , you see nothing , but if there were no meeting , you'll see "Yes" at warning column . In addition , if you choose "Every 2 weeks" as your sprint cycle , the formula will also search for 56 days from today meetings and if there were nothing , you will see "Yes" at error column.                                                                                                                                                                                            </t>
  </si>
  <si>
    <t>Action points Checks</t>
  </si>
  <si>
    <t xml:space="preserve">Overdue action points and checkboxes </t>
  </si>
  <si>
    <t>In the tab of "Action points" we have a column named "Deadline" - Column D . This formula goes thorugh that column and compares that deadlines with the date of Today , If some deadlines were before today , will count and show you the number of overdue deadlines. In addition , this formula will also count the unfilled checkboxes in A:A column at "Action points" tab.</t>
  </si>
  <si>
    <t>Sprint cycle is chosen but no action points are recorded.</t>
  </si>
  <si>
    <t xml:space="preserve">In this formula , you can check for the action points deadlines and their relignment with sprint cycle. In the tab "Roadmap settings" we got 1 section , sprint cycle. If the  sprint cycle was on "Weekly" this formula will work 2 models. The first one is it will go on "Action points" tab and searches thorugh deadlines, if there were deadlines that set for last 14 days from today , it will show nothing , other wise you should see "Yes" word in warning column , and The second is if some deadlines were set for last 28 days from today , it will show nothing , otherwise you'll see "Yes" as an error message at error column.   The other sprint cycle is "Every 2 weeks" , if you choose this sprint cycle , the formula will search for last 28 days from today and if there were some deadlines, you see nothing , but if there were no deadlines, you'll see "Yes" at warning column . In addition , if you choose "Every 2 weeks" as your sprint cycle , the formula will also search for 56 days from today deadlines and if there were nothing , you will see "Yes" at error column.                                                                                                                                                                                            </t>
  </si>
  <si>
    <t>Resources Checks</t>
  </si>
  <si>
    <t>Resources deficit errors</t>
  </si>
  <si>
    <t>In the tab "Resources" on column I:I we have some data named "Main roles def. p/w". If the amount of the deficit were between 1 to 8 , You'll see the count of them at warning column , but if they were more than 8 , you'll see the count of them at error column.</t>
  </si>
  <si>
    <t xml:space="preserve">If the recent item "Deficit errors" were not equal to "0" , this formula will show you "Yes" , which means that with the resources that you have right now , your deadline is in the risk. </t>
  </si>
  <si>
    <t>Project epics and sprints not correctly set based on resources expected output</t>
  </si>
  <si>
    <r>
      <rPr>
        <rFont val="Fira Sans"/>
        <sz val="10.0"/>
      </rPr>
      <t xml:space="preserve">This part is working by script on , for reaching to the code , follow this steps: go to the tab bar choose "Extensions" - Apps script - code name is : Epic </t>
    </r>
    <r>
      <rPr>
        <rFont val="Fira Sans"/>
        <sz val="10.0"/>
        <u/>
      </rPr>
      <t>Dyas.gs</t>
    </r>
    <r>
      <rPr>
        <rFont val="Fira Sans"/>
        <sz val="10.0"/>
      </rPr>
      <t xml:space="preserve"> . This script is goes to the "Roadmap" tab , searches for diffrent epics and their estimated dates deadlines at column AP, If the dates diffrences were between 20 to 40 days , you'll see "Yes" word at warning column , but if they were less than 20 days and more than 40 days , you'll see "Yes" word at error column.</t>
    </r>
  </si>
  <si>
    <t>Resources are spending to much time on non development related activities.</t>
  </si>
  <si>
    <t xml:space="preserve">In the tab "Resources" we have 2 columns named "Working hours p/ w" and "Committed time". This formula will go and sum the working hours and then compares the half of it with the sum of committed time , If teammembers were spending too much time on non development tasks , You'll see "Yes" word here at warning column , and if the sum of comittetd time was less than 1/3 working hours , you'll see "Yes" word at error column. </t>
  </si>
  <si>
    <t>Developers seniority is not a good match</t>
  </si>
  <si>
    <t>In the tab of "Resources" , we got some roles as :Full stack development-Backend development-Frontend development-Backend auto. testing-Frontend auto. testing-Technical (code) review and some seniorities as Senior A to Senior D . This formula will Sum of thecommitted times of roles that mentioned before with senioroties that mentioned before , with the roles but with diffrent senioroties (anything but not the seniors of A to D ) ,If the sum committed time of technical members with seniors A to D , was less than 20% of technical members with other senioroties , It will show you "Yes" word in error column , and also if the Sum of the committed time of technical members with Seniors of A to D was more than 40% of the sum of committed time of technical members with other senioroties  , you'll see "Yes" word at warning column.</t>
  </si>
  <si>
    <t>PO's assigned or commited time is not a good match</t>
  </si>
  <si>
    <t>In the tab of "Resources" , we got a role as "Product Owner" and some other rules , this formula will go on resources tab and sum of the all of committed times of product owners and compares them with sum of the any other roles except product owners , if the sum of committed time of product owners was less than 20 % of sum of committed times of other roles , you'll see the word "Yes" at error column , and if the committed time of produt owners were more than 40% of sum of committed times of other rules , you'll see the word "Yes" at warning column.</t>
  </si>
  <si>
    <t>Technical coach assigneded or commited time is not a good match</t>
  </si>
  <si>
    <t>Epic 0 and release of the platform epic should not have any UI/UX design or automated testing.</t>
  </si>
  <si>
    <t>This part is being done by data validation, The way it works is you can't enter any number (or formulas can't enter any numbers) except 0 into related cells.</t>
  </si>
  <si>
    <t>Alert when someone's seniority is not correctly set(output is more or less than expected).</t>
  </si>
  <si>
    <t>Count of resources last check that they weren't updated in last 2 weeks</t>
  </si>
  <si>
    <t>This formula goes thorugh "Resources" tab in the column "Last checked and verified" and searches for the dates that they're in 2 last weeks, if the rows were being updated in last 2 weeks , there are no errors , but If they have been updated later than this time,you'll see the count of erros at Error column.If they were updated in last week (last 7 days) ,you won't see anything in warning column but if they weren't , you'll see the count of them in warning column.</t>
  </si>
  <si>
    <t>Check if personnel first name and lastname is entered (based on space and @ before the name).</t>
  </si>
  <si>
    <t>The way how this formula works it we have a column named "Team members" in the tab "Resources" that contains the name of team members that work on the project , this formula goes and checks if firstname and lastname is entered in a correct way with an space , and if some name was entered without an space , this item will show the numbers of errors. Also the names shoud be written with an @ before , otherwise it'll count as errors.</t>
  </si>
  <si>
    <t>Check if Resources do not contain duplicate names or personnel id's.</t>
  </si>
  <si>
    <t>If there were duplicate data in column "Team members" in the tab "Resources" , this section will show you the count of duplicates , otherwise shows nothing.</t>
  </si>
  <si>
    <t>Resource deficits and overflows more than the project risk margin should be checked for each role.</t>
  </si>
  <si>
    <t>Roadmap setting Checks</t>
  </si>
  <si>
    <t>Project settings errors</t>
  </si>
  <si>
    <t>In the tab of "Roadmap setting" there is a section named "Project settings" which include the parts of " prject name - company name - company website URL - project status - project start date - project deadline - stakeholder chosen plan - sprint cycle and project focus . This formula goes through these items and if some item were empty or missed , will count the empty cells and show them as errors. The note is that the item "Project deadline" is optional and this error won't count that cell if it was empty or filled, and also the empty cells will show with the red background in the related tab.</t>
  </si>
  <si>
    <t>Stakeholder not chosen plan</t>
  </si>
  <si>
    <t>In the tab of "Roadmap setting" there is a section named "Stakeholder Chosen Plan" that if this cell was empty , it will show the error message of "Yes" , and It was chosen , this cell will be empty.</t>
  </si>
  <si>
    <t xml:space="preserve">Project name is not filled in </t>
  </si>
  <si>
    <t>In the tab of "Roadmap setting" there is a section named "Project name" that if this cell was empty , It will show the error message of "Yes" , and It was chosen , this cell will be empty.</t>
  </si>
  <si>
    <t>Project deadline is sooner than project start date</t>
  </si>
  <si>
    <t>In this section , we have a formula which is if the project deadline was sooner than project start date , show "Yes" message , but if any of these cells were empty or even one of them were empty , shows nothing.</t>
  </si>
  <si>
    <t>project plans formula's are changed in a unrealistic way</t>
  </si>
  <si>
    <t>Project status is incorrect(paused/ cancelled but work is done or in progress but no work is done).</t>
  </si>
  <si>
    <t>Release report sorting is incorrect (latest release should be on top.</t>
  </si>
  <si>
    <t>Change Log Checks</t>
  </si>
  <si>
    <t>Project versioning (filename) not in line with changelog</t>
  </si>
  <si>
    <t>Bugloos Roadmap template v2.06.00 | 06-07-2024</t>
  </si>
  <si>
    <t>This item include a formula and a script that is in extensions - apps script named "file name" . The way that this script works is in column "D" which is hidden , we have a formula bar and a formla that is =getfilename , this script goes thorugh the file and reads the file name and show it by this "=getfilename" formula , after that we have a formula in cell "B45" which is compare the versioning part of file name with the table of change log in tab change log , if the last row of that table was the same with the version part of file name , it will show nothing , but if they were diffrent , it will show "Yes"</t>
  </si>
  <si>
    <t>Project roadmap rows updated but changelog is not changed.</t>
  </si>
  <si>
    <t>Format Checks</t>
  </si>
  <si>
    <t xml:space="preserve">Non company font's are used </t>
  </si>
  <si>
    <t>This part is working by script on , for reaching to the code , follow this steps: go to the tab bar choose "Extensions" - Apps script - code name is : fontcheck .This script goes through all of the tabs and checks all of the items (including dates - texts - numbers ) for "Fira Sans" font , If entered data were something except fira sans , you'll see the count of the mistakes in here , if mistakes were less than 20 items , you'll see the count of them at warning column , but if they were more than 20 items , you'll see the count of them at error column.</t>
  </si>
  <si>
    <t>Non company font sizes are used</t>
  </si>
  <si>
    <t>This section is focusing on font sizes with code script , for reaching to the code , follow this steps: go to the tab bar choose "Extensions" - Apps script - code name is : fontsizecheck . This script is searching for all of the font sizes on all the tabs , and checks for any cells in there except the first row , if there were any cells that contains data that font sizes were more than 14 , it will count them as errors . If the count of mistakes were less than 20 , it will show them on warning column , but if they were more than 20 items , you'll see the count of them on error column.</t>
  </si>
  <si>
    <t>Non company font colors are used.</t>
  </si>
  <si>
    <t>Spreadsheet has more than 2 editors (all team members and stakeholders should be viewers).</t>
  </si>
  <si>
    <t>This item is working by script code too. For reaching to the code , follow this steps: go to the tab bar choose "Extensions" - Apps script - code name is : editorscheck. The way how it works is checks for the number of people are have editor access on the file . The standard number of editors should be 2, If it was between 2 to 4 , you'll see "Yes" on warning column , If it was more than 4 , You'll see "Yes" on error column.</t>
  </si>
  <si>
    <t>Error Log Checks</t>
  </si>
  <si>
    <t>No last check dates entered</t>
  </si>
  <si>
    <t>This formula is check for the "Last Check" column in tab "Error log" . Each item should have a last check date and if any items were empty from date , this formula will go and count the empty ones.</t>
  </si>
  <si>
    <t xml:space="preserve">Last Check not being updated by last three months </t>
  </si>
  <si>
    <t>The "Last Check" Column in the "Error Log" tab shoud contain date data with a maximum of last 3 months. This formula will go through that column and searches for the dates that not updated in the last 3 months and count the errors.</t>
  </si>
  <si>
    <t>Not entered formulas for error logs items</t>
  </si>
  <si>
    <t>This formula is check for the formulas of items in error log tab , when you enter a formula for some item , you should fill the check box , this formula goes and counts the number of unchecked check boxes and shou you the number of them in here at Error column.</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</si>
</sst>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dd/MM/yyyy"/>
    <numFmt numFmtId="165" formatCode="d-m-yyyy"/>
    <numFmt numFmtId="166" formatCode="mm/dd/yy"/>
    <numFmt numFmtId="167" formatCode="mm/dd"/>
    <numFmt numFmtId="168" formatCode="m/d"/>
    <numFmt numFmtId="169" formatCode="d-M-yyyy"/>
    <numFmt numFmtId="170" formatCode="hh:mm"/>
    <numFmt numFmtId="171" formatCode="hh:mm:ss"/>
    <numFmt numFmtId="172" formatCode="dd-mm-yyyy"/>
    <numFmt numFmtId="173" formatCode="dd&quot;-&quot;mm&quot;-&quot;yyyy&quot; &quot;"/>
    <numFmt numFmtId="174" formatCode="dd/mm/yyyy"/>
    <numFmt numFmtId="175" formatCode="m&quot;/&quot;d&quot;/&quot;yyyy"/>
    <numFmt numFmtId="176" formatCode="0.0%"/>
  </numFmts>
  <fonts count="54">
    <font>
      <sz val="10.0"/>
      <color rgb="FF000000"/>
      <name val="Calibri"/>
      <scheme val="minor"/>
    </font>
    <font>
      <b/>
      <sz val="20.0"/>
      <color rgb="FFFFFFFF"/>
      <name val="Fira Sans"/>
    </font>
    <font>
      <b/>
      <sz val="10.0"/>
      <color rgb="FFFFFFFF"/>
      <name val="Fira Sans"/>
    </font>
    <font>
      <sz val="10.0"/>
      <color rgb="FF000000"/>
      <name val="Fira Sans"/>
    </font>
    <font>
      <b/>
      <color theme="1"/>
      <name val="Fira Sans"/>
    </font>
    <font>
      <b/>
      <sz val="10.0"/>
      <color rgb="FF595959"/>
      <name val="Fira Sans"/>
    </font>
    <font/>
    <font>
      <u/>
      <sz val="10.0"/>
      <color rgb="FFFFFFFF"/>
      <name val="Fira Sans"/>
    </font>
    <font>
      <sz val="10.0"/>
      <color theme="1"/>
      <name val="Fira Sans"/>
    </font>
    <font>
      <b/>
      <sz val="10.0"/>
      <color theme="1"/>
      <name val="Fira Sans"/>
    </font>
    <font>
      <b/>
      <sz val="10.0"/>
      <color theme="0"/>
      <name val="Fira Sans"/>
    </font>
    <font>
      <b/>
      <sz val="10.0"/>
      <color rgb="FF000000"/>
      <name val="Fira Sans"/>
    </font>
    <font>
      <sz val="10.0"/>
      <color rgb="FFFFFFFF"/>
      <name val="Fira Sans"/>
    </font>
    <font>
      <b/>
      <color rgb="FFFFFFFF"/>
      <name val="&quot;Fira Sans&quot;"/>
    </font>
    <font>
      <b/>
      <color theme="1"/>
      <name val="&quot;Fira Sans&quot;"/>
    </font>
    <font>
      <sz val="10.0"/>
      <color rgb="FF7C6EB0"/>
      <name val="Fira Sans"/>
    </font>
    <font>
      <b/>
      <sz val="10.0"/>
      <color rgb="FF7C6EB0"/>
      <name val="Fira Sans"/>
    </font>
    <font>
      <color theme="1"/>
      <name val="Fira Sans"/>
    </font>
    <font>
      <color theme="1"/>
      <name val="&quot;Fira Sans&quot;"/>
    </font>
    <font>
      <u/>
      <color rgb="FF0563C1"/>
      <name val="&quot;Fira Sans&quot;"/>
    </font>
    <font>
      <u/>
      <sz val="10.0"/>
      <color rgb="FF0563C1"/>
      <name val="Fira Sans"/>
    </font>
    <font>
      <u/>
      <sz val="10.0"/>
      <color rgb="FF0000FF"/>
      <name val="Fira Sans"/>
    </font>
    <font>
      <u/>
      <color rgb="FF0000FF"/>
      <name val="&quot;Fira Sans&quot;"/>
    </font>
    <font>
      <b/>
      <sz val="10.0"/>
      <color rgb="FF434343"/>
      <name val="Fira Sans"/>
    </font>
    <font>
      <b/>
      <color rgb="FF434343"/>
      <name val="&quot;Fira Sans&quot;"/>
    </font>
    <font>
      <u/>
      <color rgb="FF0000FF"/>
      <name val="&quot;Fira Sans&quot;"/>
    </font>
    <font>
      <b/>
      <color rgb="FF434343"/>
      <name val="Fira Sans"/>
    </font>
    <font>
      <color theme="1"/>
      <name val="Calibri"/>
    </font>
    <font>
      <color rgb="FF999999"/>
      <name val="Fira Sans"/>
    </font>
    <font>
      <b/>
      <color rgb="FFFFFFFF"/>
      <name val="Fira Sans"/>
    </font>
    <font>
      <color rgb="FFFFFFFF"/>
      <name val="Fira Sans"/>
    </font>
    <font>
      <b/>
      <sz val="20.0"/>
      <color rgb="FFFFFFFF"/>
      <name val="Jost"/>
    </font>
    <font>
      <color theme="1"/>
      <name val="Jost"/>
    </font>
    <font>
      <b/>
      <color theme="1"/>
      <name val="Jost"/>
    </font>
    <font>
      <b/>
      <sz val="30.0"/>
      <color rgb="FF20124D"/>
      <name val="Jost"/>
    </font>
    <font>
      <color theme="1"/>
      <name val="Calibri"/>
      <scheme val="minor"/>
    </font>
    <font>
      <b/>
      <sz val="12.0"/>
      <color rgb="FFFFFFFF"/>
      <name val="Jost"/>
    </font>
    <font>
      <b/>
      <color rgb="FF20124D"/>
      <name val="Jost"/>
    </font>
    <font>
      <b/>
      <sz val="12.0"/>
      <color theme="1"/>
      <name val="Jost"/>
    </font>
    <font>
      <b/>
      <sz val="12.0"/>
      <color rgb="FFFFFFFF"/>
      <name val="Fira Sans"/>
    </font>
    <font>
      <u/>
      <sz val="10.0"/>
      <color theme="1"/>
      <name val="Fira Sans"/>
    </font>
    <font>
      <u/>
      <sz val="10.0"/>
      <color theme="1"/>
      <name val="Fira Sans"/>
    </font>
    <font>
      <b/>
      <u/>
      <sz val="12.0"/>
      <color rgb="FF0000FF"/>
      <name val="Fira Sans"/>
    </font>
    <font>
      <u/>
      <sz val="10.0"/>
      <color rgb="FF0000FF"/>
      <name val="Fira Sans"/>
    </font>
    <font>
      <b/>
      <u/>
      <sz val="12.0"/>
      <color rgb="FF0563C1"/>
      <name val="Fira Sans"/>
    </font>
    <font>
      <b/>
      <sz val="12.0"/>
      <color theme="1"/>
      <name val="Fira Sans"/>
    </font>
    <font>
      <u/>
      <sz val="10.0"/>
      <color theme="1"/>
      <name val="Fira Sans"/>
    </font>
    <font>
      <u/>
      <color theme="1"/>
      <name val="Calibri"/>
    </font>
    <font>
      <u/>
      <sz val="10.0"/>
      <color rgb="FF0563C1"/>
      <name val="Fira Sans"/>
    </font>
    <font>
      <color rgb="FF000000"/>
      <name val="Fira Sans"/>
    </font>
    <font>
      <b/>
      <color theme="1"/>
      <name val="Calibri"/>
      <scheme val="minor"/>
    </font>
    <font>
      <b/>
      <sz val="10.0"/>
      <color rgb="FF999999"/>
      <name val="Fira Sans"/>
    </font>
    <font>
      <u/>
      <sz val="10.0"/>
      <color rgb="FF0000FF"/>
      <name val="Fira Sans"/>
    </font>
    <font>
      <b/>
      <sz val="10.0"/>
      <color theme="1"/>
      <name val="Verdana"/>
    </font>
  </fonts>
  <fills count="31">
    <fill>
      <patternFill patternType="none"/>
    </fill>
    <fill>
      <patternFill patternType="lightGray"/>
    </fill>
    <fill>
      <patternFill patternType="solid">
        <fgColor rgb="FF7C6EB0"/>
        <bgColor rgb="FF7C6EB0"/>
      </patternFill>
    </fill>
    <fill>
      <patternFill patternType="solid">
        <fgColor rgb="FFE7DDF1"/>
        <bgColor rgb="FFE7DDF1"/>
      </patternFill>
    </fill>
    <fill>
      <patternFill patternType="solid">
        <fgColor rgb="FFFFFFFF"/>
        <bgColor rgb="FFFFFFFF"/>
      </patternFill>
    </fill>
    <fill>
      <patternFill patternType="solid">
        <fgColor theme="0"/>
        <bgColor theme="0"/>
      </patternFill>
    </fill>
    <fill>
      <patternFill patternType="solid">
        <fgColor rgb="FF222A35"/>
        <bgColor rgb="FF222A35"/>
      </patternFill>
    </fill>
    <fill>
      <patternFill patternType="solid">
        <fgColor rgb="FF44546A"/>
        <bgColor rgb="FF44546A"/>
      </patternFill>
    </fill>
    <fill>
      <patternFill patternType="solid">
        <fgColor rgb="FF333F4F"/>
        <bgColor rgb="FF333F4F"/>
      </patternFill>
    </fill>
    <fill>
      <patternFill patternType="solid">
        <fgColor rgb="FFF2F2F2"/>
        <bgColor rgb="FFF2F2F2"/>
      </patternFill>
    </fill>
    <fill>
      <patternFill patternType="solid">
        <fgColor rgb="FFD6DCE4"/>
        <bgColor rgb="FFD6DCE4"/>
      </patternFill>
    </fill>
    <fill>
      <patternFill patternType="solid">
        <fgColor rgb="FFD8D8D8"/>
        <bgColor rgb="FFD8D8D8"/>
      </patternFill>
    </fill>
    <fill>
      <patternFill patternType="solid">
        <fgColor rgb="FF92D050"/>
        <bgColor rgb="FF92D050"/>
      </patternFill>
    </fill>
    <fill>
      <patternFill patternType="solid">
        <fgColor rgb="FF00BD32"/>
        <bgColor rgb="FF00BD32"/>
      </patternFill>
    </fill>
    <fill>
      <patternFill patternType="solid">
        <fgColor rgb="FF00B0F0"/>
        <bgColor rgb="FF00B0F0"/>
      </patternFill>
    </fill>
    <fill>
      <patternFill patternType="solid">
        <fgColor rgb="FFFF0000"/>
        <bgColor rgb="FFFF0000"/>
      </patternFill>
    </fill>
    <fill>
      <patternFill patternType="solid">
        <fgColor theme="7"/>
        <bgColor theme="7"/>
      </patternFill>
    </fill>
    <fill>
      <patternFill patternType="solid">
        <fgColor rgb="FFFFC000"/>
        <bgColor rgb="FFFFC000"/>
      </patternFill>
    </fill>
    <fill>
      <patternFill patternType="solid">
        <fgColor rgb="FFEFEFEF"/>
        <bgColor rgb="FFEFEFEF"/>
      </patternFill>
    </fill>
    <fill>
      <patternFill patternType="solid">
        <fgColor rgb="FFCFE2F3"/>
        <bgColor rgb="FFCFE2F3"/>
      </patternFill>
    </fill>
    <fill>
      <patternFill patternType="solid">
        <fgColor theme="4"/>
        <bgColor theme="4"/>
      </patternFill>
    </fill>
    <fill>
      <patternFill patternType="solid">
        <fgColor rgb="FF5B9BD5"/>
        <bgColor rgb="FF5B9BD5"/>
      </patternFill>
    </fill>
    <fill>
      <patternFill patternType="solid">
        <fgColor rgb="FFCFD7EE"/>
        <bgColor rgb="FFCFD7EE"/>
      </patternFill>
    </fill>
    <fill>
      <patternFill patternType="solid">
        <fgColor rgb="FF63C3D1"/>
        <bgColor rgb="FF63C3D1"/>
      </patternFill>
    </fill>
    <fill>
      <patternFill patternType="solid">
        <fgColor rgb="FF20124D"/>
        <bgColor rgb="FF20124D"/>
      </patternFill>
    </fill>
    <fill>
      <patternFill patternType="solid">
        <fgColor rgb="FFEAEAEA"/>
        <bgColor rgb="FFEAEAEA"/>
      </patternFill>
    </fill>
    <fill>
      <patternFill patternType="solid">
        <fgColor rgb="FFA78BC0"/>
        <bgColor rgb="FFA78BC0"/>
      </patternFill>
    </fill>
    <fill>
      <patternFill patternType="solid">
        <fgColor theme="9"/>
        <bgColor theme="9"/>
      </patternFill>
    </fill>
    <fill>
      <patternFill patternType="solid">
        <fgColor rgb="FFF3F3F3"/>
        <bgColor rgb="FFF3F3F3"/>
      </patternFill>
    </fill>
    <fill>
      <patternFill patternType="solid">
        <fgColor rgb="FFB4A7D6"/>
        <bgColor rgb="FFB4A7D6"/>
      </patternFill>
    </fill>
    <fill>
      <patternFill patternType="solid">
        <fgColor rgb="FF674EA7"/>
        <bgColor rgb="FF674EA7"/>
      </patternFill>
    </fill>
  </fills>
  <borders count="45">
    <border/>
    <border>
      <left style="thin">
        <color rgb="FFBFBFBF"/>
      </left>
      <right style="thin">
        <color rgb="FFBFBFBF"/>
      </right>
      <top style="thin">
        <color rgb="FFBFBFBF"/>
      </top>
      <bottom style="thin">
        <color rgb="FFBFBFBF"/>
      </bottom>
    </border>
    <border>
      <right style="thin">
        <color rgb="FFBFBFBF"/>
      </right>
      <top style="thin">
        <color rgb="FFBFBFBF"/>
      </top>
      <bottom style="thin">
        <color rgb="FFBFBFBF"/>
      </bottom>
    </border>
    <border>
      <left style="thin">
        <color rgb="FFBFBFBF"/>
      </left>
      <right style="thin">
        <color rgb="FFBFBFBF"/>
      </right>
      <bottom style="thin">
        <color rgb="FFBFBFBF"/>
      </bottom>
    </border>
    <border>
      <right style="thin">
        <color rgb="FFBFBFBF"/>
      </right>
      <bottom style="thin">
        <color rgb="FFBFBFBF"/>
      </bottom>
    </border>
    <border>
      <left/>
      <top/>
      <bottom/>
    </border>
    <border>
      <top/>
      <bottom/>
    </border>
    <border>
      <right/>
      <top/>
      <bottom/>
    </border>
    <border>
      <left/>
      <right/>
      <top/>
      <bottom/>
    </border>
    <border>
      <left style="thin">
        <color rgb="FFBFBFBF"/>
      </left>
      <top style="thin">
        <color rgb="FFBFBFBF"/>
      </top>
      <bottom style="medium">
        <color rgb="FFBFBFBF"/>
      </bottom>
    </border>
    <border>
      <top style="thin">
        <color rgb="FFBFBFBF"/>
      </top>
      <bottom style="medium">
        <color rgb="FFBFBFBF"/>
      </bottom>
    </border>
    <border>
      <right style="thin">
        <color rgb="FFBFBFBF"/>
      </right>
      <top style="thin">
        <color rgb="FFBFBFBF"/>
      </top>
      <bottom style="medium">
        <color rgb="FFBFBFBF"/>
      </bottom>
    </border>
    <border>
      <left style="thin">
        <color rgb="FFBFBFBF"/>
      </left>
      <right style="thin">
        <color rgb="FFBFBFBF"/>
      </right>
      <top style="thin">
        <color rgb="FFBFBFBF"/>
      </top>
      <bottom style="medium">
        <color rgb="FFBFBFBF"/>
      </bottom>
    </border>
    <border>
      <left style="thin">
        <color rgb="FFBFBFBF"/>
      </left>
      <right/>
      <top style="thin">
        <color rgb="FFBFBFBF"/>
      </top>
      <bottom style="thin">
        <color rgb="FFBFBFBF"/>
      </bottom>
    </border>
    <border>
      <left style="thin">
        <color rgb="FFBFBFBF"/>
      </left>
      <top style="thin">
        <color rgb="FFBFBFBF"/>
      </top>
      <bottom style="thin">
        <color rgb="FFBFBFBF"/>
      </bottom>
    </border>
    <border>
      <left style="thin">
        <color rgb="FFBFBFBF"/>
      </left>
      <right style="thin">
        <color rgb="FFBFBFBF"/>
      </right>
      <top/>
      <bottom style="thin">
        <color rgb="FFBFBFBF"/>
      </bottom>
    </border>
    <border>
      <top style="thin">
        <color rgb="FFE7DDF1"/>
      </top>
    </border>
    <border>
      <left style="thick">
        <color rgb="FFFFFFFF"/>
      </left>
      <right style="thin">
        <color rgb="FFFFFFFF"/>
      </right>
      <bottom style="thin">
        <color rgb="FFFFFFFF"/>
      </bottom>
    </border>
    <border>
      <left style="thin">
        <color rgb="FFFFFFFF"/>
      </left>
      <right style="thin">
        <color rgb="FFFFFFFF"/>
      </right>
      <bottom style="thin">
        <color rgb="FFFFFFFF"/>
      </bottom>
    </border>
    <border>
      <left style="thick">
        <color rgb="FFFFFFFF"/>
      </left>
      <bottom style="thin">
        <color rgb="FFFFFFFF"/>
      </bottom>
    </border>
    <border>
      <bottom style="thin">
        <color rgb="FFFFFFFF"/>
      </bottom>
    </border>
    <border>
      <right style="thin">
        <color rgb="FFFFFFFF"/>
      </right>
      <bottom style="thin">
        <color rgb="FFFFFFFF"/>
      </bottom>
    </border>
    <border>
      <left style="thick">
        <color rgb="FFFFFFFF"/>
      </left>
      <bottom style="thick">
        <color rgb="FFFFFFFF"/>
      </bottom>
    </border>
    <border>
      <bottom style="thick">
        <color rgb="FFFFFFFF"/>
      </bottom>
    </border>
    <border>
      <left style="thin">
        <color rgb="FFE7DDF1"/>
      </left>
      <top style="thin">
        <color rgb="FFE7DDF1"/>
      </top>
    </border>
    <border>
      <right style="thin">
        <color rgb="FFE7DDF1"/>
      </right>
      <top style="thin">
        <color rgb="FFE7DDF1"/>
      </top>
    </border>
    <border>
      <left style="thin">
        <color rgb="FFCCCCCC"/>
      </left>
      <right style="thin">
        <color rgb="FFCCCCCC"/>
      </right>
      <top style="thin">
        <color rgb="FFCCCCCC"/>
      </top>
      <bottom style="thin">
        <color rgb="FFCCCCCC"/>
      </bottom>
    </border>
    <border>
      <left style="thin">
        <color rgb="FFE7DDF1"/>
      </left>
    </border>
    <border>
      <right style="thin">
        <color rgb="FFE7DDF1"/>
      </right>
    </border>
    <border>
      <left style="thin">
        <color rgb="FFB7B7B7"/>
      </left>
      <bottom style="thin">
        <color rgb="FFB7B7B7"/>
      </bottom>
    </border>
    <border>
      <left style="thin">
        <color rgb="FFB7B7B7"/>
      </left>
      <right style="thin">
        <color rgb="FFB7B7B7"/>
      </right>
      <top style="thin">
        <color rgb="FFB7B7B7"/>
      </top>
      <bottom style="thin">
        <color rgb="FFB7B7B7"/>
      </bottom>
    </border>
    <border>
      <bottom style="thin">
        <color rgb="FFB7B7B7"/>
      </bottom>
    </border>
    <border>
      <left style="thin">
        <color rgb="FFB7B7B7"/>
      </left>
      <top style="thin">
        <color rgb="FFB7B7B7"/>
      </top>
      <bottom style="thin">
        <color rgb="FFB7B7B7"/>
      </bottom>
    </border>
    <border>
      <left style="thin">
        <color rgb="FFB7B7B7"/>
      </left>
      <right style="thin">
        <color rgb="FFB7B7B7"/>
      </right>
      <top style="thin">
        <color rgb="FFB7B7B7"/>
      </top>
    </border>
    <border>
      <left style="thin">
        <color rgb="FFB7B7B7"/>
      </left>
    </border>
    <border>
      <top style="thin">
        <color rgb="FFB7B7B7"/>
      </top>
      <bottom style="thin">
        <color rgb="FFB7B7B7"/>
      </bottom>
    </border>
    <border>
      <right style="thin">
        <color rgb="FFB7B7B7"/>
      </right>
      <top style="thin">
        <color rgb="FFB7B7B7"/>
      </top>
      <bottom style="thin">
        <color rgb="FFB7B7B7"/>
      </bottom>
    </border>
    <border>
      <left style="thin">
        <color rgb="FFB7B7B7"/>
      </left>
      <right style="thin">
        <color rgb="FF999999"/>
      </right>
    </border>
    <border>
      <bottom style="thin">
        <color rgb="FFE7DDF1"/>
      </bottom>
    </border>
    <border>
      <left style="thin">
        <color rgb="FFB4A7D6"/>
      </left>
      <right style="thin">
        <color rgb="FFB4A7D6"/>
      </right>
      <top style="thin">
        <color rgb="FFB4A7D6"/>
      </top>
      <bottom style="thin">
        <color rgb="FFB4A7D6"/>
      </bottom>
    </border>
    <border>
      <left style="thin">
        <color rgb="FF000000"/>
      </left>
      <top style="thin">
        <color rgb="FF000000"/>
      </top>
    </border>
    <border>
      <top style="thin">
        <color rgb="FF000000"/>
      </top>
    </border>
    <border>
      <right style="thin">
        <color rgb="FFB7B7B7"/>
      </right>
      <top style="thin">
        <color rgb="FF000000"/>
      </top>
    </border>
    <border>
      <right style="thin">
        <color rgb="FFB7B7B7"/>
      </right>
    </border>
    <border>
      <left style="thin">
        <color rgb="FF000000"/>
      </left>
    </border>
  </borders>
  <cellStyleXfs count="1">
    <xf borderId="0" fillId="0" fontId="0" numFmtId="0" applyAlignment="1" applyFont="1"/>
  </cellStyleXfs>
  <cellXfs count="382">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shrinkToFit="0" wrapText="1"/>
    </xf>
    <xf borderId="0" fillId="0" fontId="2" numFmtId="164" xfId="0" applyAlignment="1" applyFont="1" applyNumberFormat="1">
      <alignment shrinkToFit="0" wrapText="1"/>
    </xf>
    <xf borderId="1" fillId="2" fontId="2" numFmtId="0" xfId="0" applyAlignment="1" applyBorder="1" applyFont="1">
      <alignment horizontal="center" readingOrder="0" shrinkToFit="0" vertical="center" wrapText="1"/>
    </xf>
    <xf borderId="2" fillId="2" fontId="2" numFmtId="164" xfId="0" applyAlignment="1" applyBorder="1" applyFont="1" applyNumberFormat="1">
      <alignment horizontal="center" shrinkToFit="0" vertical="center" wrapText="1"/>
    </xf>
    <xf borderId="2" fillId="2" fontId="2" numFmtId="0" xfId="0" applyAlignment="1" applyBorder="1" applyFont="1">
      <alignment horizontal="center" shrinkToFit="0" vertical="center" wrapText="1"/>
    </xf>
    <xf borderId="3" fillId="3" fontId="3" numFmtId="0" xfId="0" applyAlignment="1" applyBorder="1" applyFill="1" applyFont="1">
      <alignment horizontal="center" shrinkToFit="0" vertical="center" wrapText="1"/>
    </xf>
    <xf borderId="4" fillId="4" fontId="3" numFmtId="1" xfId="0" applyAlignment="1" applyBorder="1" applyFill="1" applyFont="1" applyNumberFormat="1">
      <alignment horizontal="center" shrinkToFit="0" vertical="center" wrapText="1"/>
    </xf>
    <xf borderId="0" fillId="0" fontId="4" numFmtId="164" xfId="0" applyAlignment="1" applyFont="1" applyNumberFormat="1">
      <alignment horizontal="center" readingOrder="0" vertical="center"/>
    </xf>
    <xf borderId="0" fillId="0" fontId="4" numFmtId="0" xfId="0" applyAlignment="1" applyFont="1">
      <alignment horizontal="center" readingOrder="0" vertical="center"/>
    </xf>
    <xf borderId="0" fillId="0" fontId="4" numFmtId="14" xfId="0" applyAlignment="1" applyFont="1" applyNumberFormat="1">
      <alignment horizontal="center" readingOrder="0" vertical="center"/>
    </xf>
    <xf borderId="0" fillId="0" fontId="4" numFmtId="165" xfId="0" applyAlignment="1" applyFont="1" applyNumberFormat="1">
      <alignment horizontal="center" readingOrder="0" vertical="center"/>
    </xf>
    <xf borderId="5" fillId="5" fontId="5" numFmtId="0" xfId="0" applyAlignment="1" applyBorder="1" applyFill="1" applyFont="1">
      <alignment vertical="center"/>
    </xf>
    <xf borderId="6" fillId="0" fontId="6" numFmtId="0" xfId="0" applyBorder="1" applyFont="1"/>
    <xf borderId="7" fillId="0" fontId="6" numFmtId="0" xfId="0" applyBorder="1" applyFont="1"/>
    <xf borderId="0" fillId="0" fontId="7" numFmtId="0" xfId="0" applyAlignment="1" applyFont="1">
      <alignment horizontal="left" readingOrder="0" shrinkToFit="0" vertical="center" wrapText="1"/>
    </xf>
    <xf borderId="8" fillId="5" fontId="8" numFmtId="0" xfId="0" applyAlignment="1" applyBorder="1" applyFont="1">
      <alignment shrinkToFit="0" vertical="center" wrapText="1"/>
    </xf>
    <xf borderId="8" fillId="5" fontId="8" numFmtId="0" xfId="0" applyAlignment="1" applyBorder="1" applyFont="1">
      <alignment horizontal="left" vertical="center"/>
    </xf>
    <xf borderId="8" fillId="5" fontId="8" numFmtId="0" xfId="0" applyAlignment="1" applyBorder="1" applyFont="1">
      <alignment horizontal="center" shrinkToFit="0" vertical="center" wrapText="1"/>
    </xf>
    <xf borderId="8" fillId="5" fontId="8" numFmtId="10" xfId="0" applyAlignment="1" applyBorder="1" applyFont="1" applyNumberFormat="1">
      <alignment horizontal="center" shrinkToFit="0" vertical="center" wrapText="1"/>
    </xf>
    <xf borderId="9" fillId="5" fontId="9" numFmtId="0" xfId="0" applyAlignment="1" applyBorder="1" applyFont="1">
      <alignment horizontal="left" vertical="center"/>
    </xf>
    <xf borderId="10" fillId="0" fontId="6" numFmtId="0" xfId="0" applyBorder="1" applyFont="1"/>
    <xf borderId="11" fillId="0" fontId="6" numFmtId="0" xfId="0" applyBorder="1" applyFont="1"/>
    <xf borderId="12" fillId="5" fontId="9" numFmtId="166" xfId="0" applyAlignment="1" applyBorder="1" applyFont="1" applyNumberFormat="1">
      <alignment horizontal="center" shrinkToFit="0" vertical="center" wrapText="1"/>
    </xf>
    <xf borderId="12" fillId="5" fontId="9" numFmtId="0" xfId="0" applyAlignment="1" applyBorder="1" applyFont="1">
      <alignment horizontal="center" shrinkToFit="0" vertical="center" wrapText="1"/>
    </xf>
    <xf borderId="12" fillId="5" fontId="9" numFmtId="9" xfId="0" applyAlignment="1" applyBorder="1" applyFont="1" applyNumberFormat="1">
      <alignment horizontal="center" shrinkToFit="0" vertical="center" wrapText="1"/>
    </xf>
    <xf borderId="8" fillId="5" fontId="8" numFmtId="0" xfId="0" applyAlignment="1" applyBorder="1" applyFont="1">
      <alignment shrinkToFit="0" wrapText="1"/>
    </xf>
    <xf borderId="8" fillId="5" fontId="9" numFmtId="0" xfId="0" applyAlignment="1" applyBorder="1" applyFont="1">
      <alignment horizontal="left" vertical="center"/>
    </xf>
    <xf borderId="8" fillId="5" fontId="9" numFmtId="0" xfId="0" applyAlignment="1" applyBorder="1" applyFont="1">
      <alignment vertical="center"/>
    </xf>
    <xf borderId="8" fillId="5" fontId="9" numFmtId="166" xfId="0" applyAlignment="1" applyBorder="1" applyFont="1" applyNumberFormat="1">
      <alignment horizontal="center" shrinkToFit="0" vertical="center" wrapText="1"/>
    </xf>
    <xf borderId="8" fillId="5" fontId="9" numFmtId="0" xfId="0" applyAlignment="1" applyBorder="1" applyFont="1">
      <alignment horizontal="center" shrinkToFit="0" vertical="center" wrapText="1"/>
    </xf>
    <xf borderId="8" fillId="5" fontId="9" numFmtId="9" xfId="0" applyAlignment="1" applyBorder="1" applyFont="1" applyNumberFormat="1">
      <alignment horizontal="center" shrinkToFit="0" vertical="center" wrapText="1"/>
    </xf>
    <xf borderId="1" fillId="6" fontId="10" numFmtId="0" xfId="0" applyAlignment="1" applyBorder="1" applyFill="1" applyFont="1">
      <alignment horizontal="left" shrinkToFit="0" vertical="center" wrapText="1"/>
    </xf>
    <xf borderId="1" fillId="7" fontId="10" numFmtId="0" xfId="0" applyAlignment="1" applyBorder="1" applyFill="1" applyFont="1">
      <alignment horizontal="center" shrinkToFit="0" vertical="center" wrapText="1"/>
    </xf>
    <xf borderId="1" fillId="8" fontId="10" numFmtId="0" xfId="0" applyAlignment="1" applyBorder="1" applyFill="1" applyFont="1">
      <alignment horizontal="center" shrinkToFit="0" vertical="center" wrapText="1"/>
    </xf>
    <xf borderId="1" fillId="5" fontId="3" numFmtId="0" xfId="0" applyAlignment="1" applyBorder="1" applyFont="1">
      <alignment horizontal="left" readingOrder="1" shrinkToFit="0" vertical="center" wrapText="1"/>
    </xf>
    <xf borderId="1" fillId="5" fontId="8" numFmtId="0" xfId="0" applyAlignment="1" applyBorder="1" applyFont="1">
      <alignment horizontal="left" shrinkToFit="0" vertical="center" wrapText="1"/>
    </xf>
    <xf borderId="1" fillId="9" fontId="8" numFmtId="167" xfId="0" applyAlignment="1" applyBorder="1" applyFill="1" applyFont="1" applyNumberFormat="1">
      <alignment horizontal="center" shrinkToFit="0" vertical="center" wrapText="1"/>
    </xf>
    <xf borderId="1" fillId="10" fontId="8" numFmtId="1" xfId="0" applyAlignment="1" applyBorder="1" applyFill="1" applyFont="1" applyNumberFormat="1">
      <alignment horizontal="center" shrinkToFit="0" vertical="center" wrapText="1"/>
    </xf>
    <xf borderId="1" fillId="5" fontId="3" numFmtId="168" xfId="0" applyAlignment="1" applyBorder="1" applyFont="1" applyNumberFormat="1">
      <alignment horizontal="left" readingOrder="1" shrinkToFit="0" vertical="center" wrapText="1"/>
    </xf>
    <xf borderId="1" fillId="9" fontId="3" numFmtId="167" xfId="0" applyAlignment="1" applyBorder="1" applyFont="1" applyNumberFormat="1">
      <alignment horizontal="center" readingOrder="1" shrinkToFit="0" vertical="center" wrapText="1"/>
    </xf>
    <xf borderId="1" fillId="0" fontId="8" numFmtId="0" xfId="0" applyAlignment="1" applyBorder="1" applyFont="1">
      <alignment horizontal="left" shrinkToFit="0" vertical="center" wrapText="1"/>
    </xf>
    <xf borderId="1" fillId="5" fontId="8" numFmtId="168" xfId="0" applyAlignment="1" applyBorder="1" applyFont="1" applyNumberFormat="1">
      <alignment horizontal="left" shrinkToFit="0" vertical="center" wrapText="1"/>
    </xf>
    <xf borderId="1" fillId="11" fontId="8" numFmtId="0" xfId="0" applyAlignment="1" applyBorder="1" applyFill="1" applyFont="1">
      <alignment horizontal="left" vertical="center"/>
    </xf>
    <xf borderId="1" fillId="11" fontId="8" numFmtId="0" xfId="0" applyAlignment="1" applyBorder="1" applyFont="1">
      <alignment horizontal="center" vertical="center"/>
    </xf>
    <xf borderId="0" fillId="0" fontId="8" numFmtId="0" xfId="0" applyAlignment="1" applyFont="1">
      <alignment horizontal="left" vertical="center"/>
    </xf>
    <xf borderId="1" fillId="12" fontId="8" numFmtId="0" xfId="0" applyAlignment="1" applyBorder="1" applyFill="1" applyFont="1">
      <alignment horizontal="left" vertical="center"/>
    </xf>
    <xf borderId="1" fillId="0" fontId="8" numFmtId="3" xfId="0" applyAlignment="1" applyBorder="1" applyFont="1" applyNumberFormat="1">
      <alignment horizontal="left" vertical="center"/>
    </xf>
    <xf borderId="13" fillId="10" fontId="8" numFmtId="0" xfId="0" applyAlignment="1" applyBorder="1" applyFont="1">
      <alignment horizontal="left" shrinkToFit="0" vertical="center" wrapText="1"/>
    </xf>
    <xf borderId="1" fillId="9" fontId="8" numFmtId="1" xfId="0" applyAlignment="1" applyBorder="1" applyFont="1" applyNumberFormat="1">
      <alignment horizontal="center" vertical="center"/>
    </xf>
    <xf borderId="1" fillId="9" fontId="8" numFmtId="9" xfId="0" applyAlignment="1" applyBorder="1" applyFont="1" applyNumberFormat="1">
      <alignment horizontal="center" vertical="center"/>
    </xf>
    <xf borderId="12" fillId="13" fontId="8" numFmtId="0" xfId="0" applyAlignment="1" applyBorder="1" applyFill="1" applyFont="1">
      <alignment horizontal="left" vertical="center"/>
    </xf>
    <xf borderId="12" fillId="0" fontId="8" numFmtId="3" xfId="0" applyAlignment="1" applyBorder="1" applyFont="1" applyNumberFormat="1">
      <alignment horizontal="left" vertical="center"/>
    </xf>
    <xf borderId="13" fillId="5" fontId="3" numFmtId="0" xfId="0" applyAlignment="1" applyBorder="1" applyFont="1">
      <alignment horizontal="left" readingOrder="1" shrinkToFit="0" vertical="center" wrapText="1"/>
    </xf>
    <xf borderId="14" fillId="0" fontId="8" numFmtId="0" xfId="0" applyAlignment="1" applyBorder="1" applyFont="1">
      <alignment horizontal="left" shrinkToFit="0" vertical="center" wrapText="1"/>
    </xf>
    <xf borderId="9" fillId="0" fontId="8" numFmtId="0" xfId="0" applyAlignment="1" applyBorder="1" applyFont="1">
      <alignment horizontal="left" shrinkToFit="0" vertical="center" wrapText="1"/>
    </xf>
    <xf borderId="12" fillId="9" fontId="8" numFmtId="1" xfId="0" applyAlignment="1" applyBorder="1" applyFont="1" applyNumberFormat="1">
      <alignment horizontal="center" vertical="center"/>
    </xf>
    <xf borderId="12" fillId="9" fontId="8" numFmtId="9" xfId="0" applyAlignment="1" applyBorder="1" applyFont="1" applyNumberFormat="1">
      <alignment horizontal="center" vertical="center"/>
    </xf>
    <xf borderId="0" fillId="0" fontId="9" numFmtId="0" xfId="0" applyAlignment="1" applyFont="1">
      <alignment horizontal="right" vertical="center"/>
    </xf>
    <xf borderId="15" fillId="11" fontId="9" numFmtId="1" xfId="0" applyAlignment="1" applyBorder="1" applyFont="1" applyNumberFormat="1">
      <alignment horizontal="center" vertical="center"/>
    </xf>
    <xf borderId="15" fillId="11" fontId="9" numFmtId="9" xfId="0" applyAlignment="1" applyBorder="1" applyFont="1" applyNumberFormat="1">
      <alignment horizontal="center" vertical="center"/>
    </xf>
    <xf borderId="8" fillId="5" fontId="8" numFmtId="0" xfId="0" applyAlignment="1" applyBorder="1" applyFont="1">
      <alignment vertical="center"/>
    </xf>
    <xf borderId="1" fillId="14" fontId="8" numFmtId="0" xfId="0" applyAlignment="1" applyBorder="1" applyFill="1" applyFont="1">
      <alignment horizontal="left" vertical="center"/>
    </xf>
    <xf borderId="1" fillId="15" fontId="8" numFmtId="0" xfId="0" applyAlignment="1" applyBorder="1" applyFill="1" applyFont="1">
      <alignment horizontal="left" shrinkToFit="0" vertical="center" wrapText="1"/>
    </xf>
    <xf borderId="1" fillId="13" fontId="8" numFmtId="0" xfId="0" applyAlignment="1" applyBorder="1" applyFont="1">
      <alignment horizontal="left" vertical="center"/>
    </xf>
    <xf borderId="1" fillId="16" fontId="3" numFmtId="0" xfId="0" applyAlignment="1" applyBorder="1" applyFill="1" applyFont="1">
      <alignment horizontal="left" readingOrder="1" shrinkToFit="0" vertical="center" wrapText="1"/>
    </xf>
    <xf borderId="1" fillId="17" fontId="8" numFmtId="0" xfId="0" applyAlignment="1" applyBorder="1" applyFill="1" applyFont="1">
      <alignment horizontal="left" vertical="center"/>
    </xf>
    <xf borderId="1" fillId="14" fontId="3" numFmtId="0" xfId="0" applyAlignment="1" applyBorder="1" applyFont="1">
      <alignment horizontal="left" readingOrder="1" shrinkToFit="0" vertical="center" wrapText="1"/>
    </xf>
    <xf borderId="12" fillId="0" fontId="8" numFmtId="0" xfId="0" applyAlignment="1" applyBorder="1" applyFont="1">
      <alignment horizontal="left" shrinkToFit="0" vertical="center" wrapText="1"/>
    </xf>
    <xf borderId="16" fillId="2" fontId="2" numFmtId="0" xfId="0" applyAlignment="1" applyBorder="1" applyFont="1">
      <alignment horizontal="center" readingOrder="0" shrinkToFit="0" vertical="center" wrapText="1"/>
    </xf>
    <xf borderId="0" fillId="3" fontId="11" numFmtId="0" xfId="0" applyAlignment="1" applyFont="1">
      <alignment horizontal="left" readingOrder="0" shrinkToFit="0" vertical="center" wrapText="1"/>
    </xf>
    <xf borderId="0" fillId="3" fontId="2" numFmtId="0" xfId="0" applyAlignment="1" applyFont="1">
      <alignment horizontal="left" readingOrder="0" shrinkToFit="0" vertical="center" wrapText="1"/>
    </xf>
    <xf borderId="0" fillId="3" fontId="2" numFmtId="0" xfId="0" applyAlignment="1" applyFont="1">
      <alignment horizontal="center" readingOrder="0" shrinkToFit="0" vertical="center" wrapText="1"/>
    </xf>
    <xf borderId="0" fillId="3" fontId="12" numFmtId="0" xfId="0" applyAlignment="1" applyFont="1">
      <alignment vertical="center"/>
    </xf>
    <xf borderId="0" fillId="3" fontId="2" numFmtId="164" xfId="0" applyAlignment="1" applyFont="1" applyNumberFormat="1">
      <alignment horizontal="center" readingOrder="0" shrinkToFit="0" vertical="center" wrapText="1"/>
    </xf>
    <xf borderId="0" fillId="3" fontId="12" numFmtId="0" xfId="0" applyAlignment="1" applyFont="1">
      <alignment horizontal="left" readingOrder="0" shrinkToFit="0" vertical="center" wrapText="1"/>
    </xf>
    <xf borderId="0" fillId="18" fontId="8" numFmtId="169" xfId="0" applyAlignment="1" applyFill="1" applyFont="1" applyNumberFormat="1">
      <alignment horizontal="center" readingOrder="0" vertical="center"/>
    </xf>
    <xf borderId="0" fillId="4" fontId="8" numFmtId="0" xfId="0" applyAlignment="1" applyFont="1">
      <alignment readingOrder="0" shrinkToFit="0" vertical="center" wrapText="1"/>
    </xf>
    <xf borderId="0" fillId="19" fontId="9" numFmtId="4" xfId="0" applyAlignment="1" applyFill="1" applyFont="1" applyNumberFormat="1">
      <alignment horizontal="center" shrinkToFit="0" vertical="center" wrapText="1"/>
    </xf>
    <xf borderId="0" fillId="0" fontId="8" numFmtId="4" xfId="0" applyAlignment="1" applyFont="1" applyNumberFormat="1">
      <alignment horizontal="center" readingOrder="0" vertical="center"/>
    </xf>
    <xf borderId="0" fillId="4" fontId="8" numFmtId="0" xfId="0" applyAlignment="1" applyFont="1">
      <alignment horizontal="center" readingOrder="0" vertical="center"/>
    </xf>
    <xf borderId="0" fillId="0" fontId="8" numFmtId="164" xfId="0" applyAlignment="1" applyFont="1" applyNumberFormat="1">
      <alignment horizontal="center" readingOrder="0" vertical="center"/>
    </xf>
    <xf borderId="0" fillId="0" fontId="8" numFmtId="0" xfId="0" applyAlignment="1" applyFont="1">
      <alignment horizontal="left" readingOrder="0" shrinkToFit="0" vertical="center" wrapText="1"/>
    </xf>
    <xf borderId="0" fillId="20" fontId="2" numFmtId="0" xfId="0" applyAlignment="1" applyFill="1" applyFont="1">
      <alignment horizontal="left" readingOrder="0" shrinkToFit="0" vertical="center" wrapText="1"/>
    </xf>
    <xf borderId="0" fillId="21" fontId="13" numFmtId="0" xfId="0" applyAlignment="1" applyFill="1" applyFont="1">
      <alignment shrinkToFit="0" vertical="center" wrapText="1"/>
    </xf>
    <xf borderId="0" fillId="20" fontId="12" numFmtId="0" xfId="0" applyAlignment="1" applyFont="1">
      <alignment vertical="center"/>
    </xf>
    <xf borderId="0" fillId="20" fontId="2" numFmtId="0" xfId="0" applyAlignment="1" applyFont="1">
      <alignment horizontal="center" readingOrder="0" shrinkToFit="0" vertical="center" wrapText="1"/>
    </xf>
    <xf borderId="0" fillId="20" fontId="2" numFmtId="164" xfId="0" applyAlignment="1" applyFont="1" applyNumberFormat="1">
      <alignment horizontal="center" readingOrder="0" shrinkToFit="0" vertical="center" wrapText="1"/>
    </xf>
    <xf borderId="0" fillId="20" fontId="2" numFmtId="169" xfId="0" applyAlignment="1" applyFont="1" applyNumberFormat="1">
      <alignment horizontal="center" readingOrder="0" shrinkToFit="0" vertical="center" wrapText="1"/>
    </xf>
    <xf borderId="0" fillId="20" fontId="12" numFmtId="0" xfId="0" applyAlignment="1" applyFont="1">
      <alignment horizontal="left" readingOrder="0" shrinkToFit="0" vertical="center" wrapText="1"/>
    </xf>
    <xf borderId="0" fillId="3" fontId="14" numFmtId="0" xfId="0" applyAlignment="1" applyFont="1">
      <alignment shrinkToFit="0" vertical="center" wrapText="1"/>
    </xf>
    <xf borderId="0" fillId="0" fontId="8" numFmtId="0" xfId="0" applyAlignment="1" applyFont="1">
      <alignment horizontal="center" readingOrder="0" shrinkToFit="0" vertical="center" wrapText="1"/>
    </xf>
    <xf borderId="0" fillId="0" fontId="8" numFmtId="4" xfId="0" applyAlignment="1" applyFont="1" applyNumberFormat="1">
      <alignment horizontal="center" readingOrder="0" shrinkToFit="0" vertical="center" wrapText="1"/>
    </xf>
    <xf borderId="0" fillId="22" fontId="8" numFmtId="4" xfId="0" applyAlignment="1" applyFill="1" applyFont="1" applyNumberFormat="1">
      <alignment horizontal="center" readingOrder="0" shrinkToFit="0" vertical="center" wrapText="1"/>
    </xf>
    <xf borderId="0" fillId="0" fontId="8" numFmtId="4" xfId="0" applyAlignment="1" applyFont="1" applyNumberFormat="1">
      <alignment horizontal="center" shrinkToFit="0" vertical="center" wrapText="1"/>
    </xf>
    <xf borderId="0" fillId="0" fontId="15" numFmtId="0" xfId="0" applyAlignment="1" applyFont="1">
      <alignment horizontal="center" readingOrder="0" vertical="center"/>
    </xf>
    <xf borderId="0" fillId="0" fontId="15" numFmtId="4" xfId="0" applyAlignment="1" applyFont="1" applyNumberFormat="1">
      <alignment horizontal="center" readingOrder="0" shrinkToFit="0" vertical="center" wrapText="1"/>
    </xf>
    <xf borderId="0" fillId="0" fontId="15" numFmtId="4" xfId="0" applyAlignment="1" applyFont="1" applyNumberFormat="1">
      <alignment horizontal="center" shrinkToFit="0" vertical="center" wrapText="1"/>
    </xf>
    <xf borderId="0" fillId="19" fontId="16" numFmtId="4" xfId="0" applyAlignment="1" applyFont="1" applyNumberFormat="1">
      <alignment horizontal="center" readingOrder="0" shrinkToFit="0" vertical="center" wrapText="1"/>
    </xf>
    <xf borderId="0" fillId="0" fontId="17" numFmtId="164" xfId="0" applyAlignment="1" applyFont="1" applyNumberFormat="1">
      <alignment horizontal="center"/>
    </xf>
    <xf borderId="0" fillId="4" fontId="8" numFmtId="4" xfId="0" applyAlignment="1" applyFont="1" applyNumberFormat="1">
      <alignment horizontal="center" readingOrder="0" vertical="center"/>
    </xf>
    <xf borderId="0" fillId="0" fontId="8" numFmtId="165" xfId="0" applyAlignment="1" applyFont="1" applyNumberFormat="1">
      <alignment horizontal="center" readingOrder="0" vertical="center"/>
    </xf>
    <xf borderId="0" fillId="0" fontId="18" numFmtId="0" xfId="0" applyAlignment="1" applyFont="1">
      <alignment shrinkToFit="0" vertical="center" wrapText="1"/>
    </xf>
    <xf borderId="0" fillId="4" fontId="8" numFmtId="0" xfId="0" applyAlignment="1" applyFont="1">
      <alignment vertical="center"/>
    </xf>
    <xf borderId="0" fillId="0" fontId="8" numFmtId="0" xfId="0" applyAlignment="1" applyFont="1">
      <alignment readingOrder="0" vertical="center"/>
    </xf>
    <xf borderId="0" fillId="4" fontId="18" numFmtId="0" xfId="0" applyAlignment="1" applyFont="1">
      <alignment readingOrder="0" shrinkToFit="0" vertical="center" wrapText="1"/>
    </xf>
    <xf borderId="0" fillId="0" fontId="18" numFmtId="0" xfId="0" applyAlignment="1" applyFont="1">
      <alignment vertical="center"/>
    </xf>
    <xf borderId="0" fillId="21" fontId="13" numFmtId="0" xfId="0" applyAlignment="1" applyFont="1">
      <alignment readingOrder="0" shrinkToFit="0" vertical="center" wrapText="1"/>
    </xf>
    <xf borderId="0" fillId="0" fontId="19" numFmtId="0" xfId="0" applyAlignment="1" applyFont="1">
      <alignment readingOrder="0" shrinkToFit="0" vertical="center" wrapText="1"/>
    </xf>
    <xf borderId="0" fillId="4" fontId="18" numFmtId="0" xfId="0" applyAlignment="1" applyFont="1">
      <alignment shrinkToFit="0" vertical="center" wrapText="1"/>
    </xf>
    <xf borderId="0" fillId="0" fontId="20"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0" fontId="21" numFmtId="0" xfId="0" applyAlignment="1" applyFont="1">
      <alignment horizontal="left" readingOrder="0" shrinkToFit="0" vertical="center" wrapText="1"/>
    </xf>
    <xf borderId="0" fillId="0" fontId="8" numFmtId="0" xfId="0" applyAlignment="1" applyFont="1">
      <alignment horizontal="center" readingOrder="0" vertical="center"/>
    </xf>
    <xf borderId="0" fillId="0" fontId="18" numFmtId="0" xfId="0" applyAlignment="1" applyFont="1">
      <alignment readingOrder="0" shrinkToFit="0" vertical="center" wrapText="1"/>
    </xf>
    <xf borderId="0" fillId="0" fontId="22" numFmtId="0" xfId="0" applyAlignment="1" applyFont="1">
      <alignment readingOrder="0" shrinkToFit="0" vertical="center" wrapText="1"/>
    </xf>
    <xf borderId="0" fillId="3" fontId="14" numFmtId="0" xfId="0" applyAlignment="1" applyFont="1">
      <alignment readingOrder="0" shrinkToFit="0" vertical="center" wrapText="1"/>
    </xf>
    <xf borderId="0" fillId="0" fontId="17" numFmtId="0" xfId="0" applyAlignment="1" applyFont="1">
      <alignment horizontal="center" readingOrder="0" shrinkToFit="0" wrapText="1"/>
    </xf>
    <xf borderId="0" fillId="0" fontId="17" numFmtId="0" xfId="0" applyAlignment="1" applyFont="1">
      <alignment horizontal="center" shrinkToFit="0" wrapText="1"/>
    </xf>
    <xf borderId="0" fillId="3" fontId="23" numFmtId="0" xfId="0" applyAlignment="1" applyFont="1">
      <alignment horizontal="left" readingOrder="0" shrinkToFit="0" vertical="center" wrapText="1"/>
    </xf>
    <xf borderId="0" fillId="3" fontId="24" numFmtId="0" xfId="0" applyAlignment="1" applyFont="1">
      <alignment readingOrder="0" shrinkToFit="0" vertical="center" wrapText="1"/>
    </xf>
    <xf borderId="0" fillId="4" fontId="25" numFmtId="0" xfId="0" applyAlignment="1" applyFont="1">
      <alignment readingOrder="0" shrinkToFit="0" vertical="center" wrapText="1"/>
    </xf>
    <xf borderId="0" fillId="4" fontId="8" numFmtId="4" xfId="0" applyAlignment="1" applyFont="1" applyNumberFormat="1">
      <alignment horizontal="center" readingOrder="0" shrinkToFit="0" vertical="center" wrapText="1"/>
    </xf>
    <xf borderId="0" fillId="3" fontId="26" numFmtId="0" xfId="0" applyAlignment="1" applyFont="1">
      <alignment readingOrder="0" shrinkToFit="0" wrapText="1"/>
    </xf>
    <xf borderId="0" fillId="3" fontId="27" numFmtId="4" xfId="0" applyFont="1" applyNumberFormat="1"/>
    <xf borderId="0" fillId="3" fontId="27" numFmtId="0" xfId="0" applyFont="1"/>
    <xf borderId="0" fillId="3" fontId="27" numFmtId="164" xfId="0" applyFont="1" applyNumberFormat="1"/>
    <xf borderId="0" fillId="0" fontId="17" numFmtId="0" xfId="0" applyAlignment="1" applyFont="1">
      <alignment shrinkToFit="0" wrapText="1"/>
    </xf>
    <xf borderId="0" fillId="22" fontId="17" numFmtId="4" xfId="0" applyAlignment="1" applyFont="1" applyNumberFormat="1">
      <alignment horizontal="center" shrinkToFit="0" wrapText="1"/>
    </xf>
    <xf borderId="0" fillId="22" fontId="17" numFmtId="4" xfId="0" applyAlignment="1" applyFont="1" applyNumberFormat="1">
      <alignment horizontal="center" readingOrder="0" shrinkToFit="0" wrapText="1"/>
    </xf>
    <xf borderId="0" fillId="0" fontId="27" numFmtId="4" xfId="0" applyFont="1" applyNumberFormat="1"/>
    <xf borderId="0" fillId="19" fontId="27" numFmtId="4" xfId="0" applyFont="1" applyNumberFormat="1"/>
    <xf borderId="0" fillId="0" fontId="28" numFmtId="0" xfId="0" applyAlignment="1" applyFont="1">
      <alignment horizontal="center"/>
    </xf>
    <xf borderId="0" fillId="4" fontId="17" numFmtId="4" xfId="0" applyAlignment="1" applyFont="1" applyNumberFormat="1">
      <alignment horizontal="center"/>
    </xf>
    <xf borderId="0" fillId="0" fontId="27" numFmtId="165" xfId="0" applyFont="1" applyNumberFormat="1"/>
    <xf borderId="0" fillId="0" fontId="27" numFmtId="0" xfId="0" applyFont="1"/>
    <xf borderId="0" fillId="3" fontId="24" numFmtId="0" xfId="0" applyAlignment="1" applyFont="1">
      <alignment shrinkToFit="0" vertical="center" wrapText="1"/>
    </xf>
    <xf borderId="0" fillId="2" fontId="27" numFmtId="0" xfId="0" applyAlignment="1" applyFont="1">
      <alignment vertical="center"/>
    </xf>
    <xf borderId="0" fillId="2" fontId="29" numFmtId="0" xfId="0" applyAlignment="1" applyFont="1">
      <alignment shrinkToFit="0" vertical="center" wrapText="1"/>
    </xf>
    <xf borderId="8" fillId="2" fontId="29" numFmtId="0" xfId="0" applyAlignment="1" applyBorder="1" applyFont="1">
      <alignment shrinkToFit="0" vertical="center" wrapText="1"/>
    </xf>
    <xf borderId="8" fillId="2" fontId="30" numFmtId="4" xfId="0" applyAlignment="1" applyBorder="1" applyFont="1" applyNumberFormat="1">
      <alignment horizontal="center" shrinkToFit="0" vertical="center" wrapText="1"/>
    </xf>
    <xf borderId="0" fillId="2" fontId="30" numFmtId="164" xfId="0" applyAlignment="1" applyFont="1" applyNumberFormat="1">
      <alignment horizontal="center" shrinkToFit="0" vertical="center" wrapText="1"/>
    </xf>
    <xf borderId="0" fillId="2" fontId="30" numFmtId="169" xfId="0" applyAlignment="1" applyFont="1" applyNumberFormat="1">
      <alignment horizontal="center" vertical="center"/>
    </xf>
    <xf borderId="0" fillId="2" fontId="17" numFmtId="49" xfId="0" applyAlignment="1" applyFont="1" applyNumberFormat="1">
      <alignment horizontal="center" vertical="center"/>
    </xf>
    <xf borderId="0" fillId="2" fontId="27" numFmtId="164" xfId="0" applyAlignment="1" applyFont="1" applyNumberFormat="1">
      <alignment vertical="center"/>
    </xf>
    <xf borderId="8" fillId="2" fontId="30" numFmtId="0" xfId="0" applyAlignment="1" applyBorder="1" applyFont="1">
      <alignment shrinkToFit="0" vertical="center" wrapText="1"/>
    </xf>
    <xf borderId="0" fillId="2" fontId="30" numFmtId="4" xfId="0" applyAlignment="1" applyFont="1" applyNumberFormat="1">
      <alignment horizontal="center" vertical="center"/>
    </xf>
    <xf borderId="0" fillId="2" fontId="27" numFmtId="4" xfId="0" applyAlignment="1" applyFont="1" applyNumberFormat="1">
      <alignment vertical="center"/>
    </xf>
    <xf borderId="0" fillId="2" fontId="31" numFmtId="0" xfId="0" applyAlignment="1" applyFont="1">
      <alignment horizontal="center" readingOrder="0" vertical="center"/>
    </xf>
    <xf borderId="0" fillId="0" fontId="32" numFmtId="0" xfId="0" applyAlignment="1" applyFont="1">
      <alignment horizontal="center" vertical="center"/>
    </xf>
    <xf borderId="0" fillId="3" fontId="33" numFmtId="0" xfId="0" applyAlignment="1" applyFont="1">
      <alignment horizontal="center" readingOrder="0" vertical="center"/>
    </xf>
    <xf borderId="0" fillId="3" fontId="33" numFmtId="0" xfId="0" applyAlignment="1" applyFont="1">
      <alignment horizontal="left" readingOrder="0" vertical="center"/>
    </xf>
    <xf borderId="0" fillId="0" fontId="32" numFmtId="0" xfId="0" applyAlignment="1" applyFont="1">
      <alignment horizontal="center" readingOrder="0" vertical="center"/>
    </xf>
    <xf borderId="0" fillId="0" fontId="32" numFmtId="0" xfId="0" applyAlignment="1" applyFont="1">
      <alignment horizontal="left" readingOrder="0" vertical="center"/>
    </xf>
    <xf borderId="0" fillId="0" fontId="32" numFmtId="0" xfId="0" applyAlignment="1" applyFont="1">
      <alignment horizontal="left" vertical="center"/>
    </xf>
    <xf borderId="0" fillId="23" fontId="34" numFmtId="0" xfId="0" applyAlignment="1" applyFill="1" applyFont="1">
      <alignment horizontal="center" vertical="center"/>
    </xf>
    <xf borderId="0" fillId="0" fontId="35" numFmtId="0" xfId="0" applyAlignment="1" applyFont="1">
      <alignment vertical="center"/>
    </xf>
    <xf borderId="17" fillId="24" fontId="36" numFmtId="0" xfId="0" applyAlignment="1" applyBorder="1" applyFill="1" applyFont="1">
      <alignment horizontal="center"/>
    </xf>
    <xf borderId="18" fillId="24" fontId="36" numFmtId="0" xfId="0" applyAlignment="1" applyBorder="1" applyFont="1">
      <alignment horizontal="center"/>
    </xf>
    <xf borderId="19" fillId="24" fontId="27" numFmtId="0" xfId="0" applyBorder="1" applyFont="1"/>
    <xf borderId="20" fillId="24" fontId="36" numFmtId="0" xfId="0" applyBorder="1" applyFont="1"/>
    <xf borderId="20" fillId="24" fontId="27" numFmtId="0" xfId="0" applyBorder="1" applyFont="1"/>
    <xf borderId="21" fillId="24" fontId="36" numFmtId="0" xfId="0" applyAlignment="1" applyBorder="1" applyFont="1">
      <alignment horizontal="center"/>
    </xf>
    <xf borderId="20" fillId="24" fontId="36" numFmtId="10" xfId="0" applyAlignment="1" applyBorder="1" applyFont="1" applyNumberFormat="1">
      <alignment horizontal="center"/>
    </xf>
    <xf borderId="18" fillId="25" fontId="37" numFmtId="0" xfId="0" applyAlignment="1" applyBorder="1" applyFill="1" applyFont="1">
      <alignment horizontal="center" readingOrder="0" shrinkToFit="0" wrapText="1"/>
    </xf>
    <xf borderId="21" fillId="25" fontId="27" numFmtId="170" xfId="0" applyBorder="1" applyFont="1" applyNumberFormat="1"/>
    <xf borderId="21" fillId="25" fontId="37" numFmtId="0" xfId="0" applyAlignment="1" applyBorder="1" applyFont="1">
      <alignment shrinkToFit="0" wrapText="1"/>
    </xf>
    <xf borderId="21" fillId="25" fontId="27" numFmtId="0" xfId="0" applyBorder="1" applyFont="1"/>
    <xf borderId="21" fillId="25" fontId="27" numFmtId="171" xfId="0" applyBorder="1" applyFont="1" applyNumberFormat="1"/>
    <xf borderId="21" fillId="25" fontId="27" numFmtId="172" xfId="0" applyBorder="1" applyFont="1" applyNumberFormat="1"/>
    <xf borderId="20" fillId="24" fontId="36" numFmtId="0" xfId="0" applyAlignment="1" applyBorder="1" applyFont="1">
      <alignment readingOrder="0"/>
    </xf>
    <xf borderId="21" fillId="24" fontId="27" numFmtId="0" xfId="0" applyBorder="1" applyFont="1"/>
    <xf borderId="22" fillId="2" fontId="27" numFmtId="0" xfId="0" applyBorder="1" applyFont="1"/>
    <xf borderId="23" fillId="2" fontId="38" numFmtId="0" xfId="0" applyBorder="1" applyFont="1"/>
    <xf borderId="23" fillId="2" fontId="27" numFmtId="0" xfId="0" applyBorder="1" applyFont="1"/>
    <xf borderId="23" fillId="2" fontId="38" numFmtId="10" xfId="0" applyAlignment="1" applyBorder="1" applyFont="1" applyNumberFormat="1">
      <alignment horizontal="center"/>
    </xf>
    <xf borderId="21" fillId="25" fontId="27" numFmtId="165" xfId="0" applyAlignment="1" applyBorder="1" applyFont="1" applyNumberFormat="1">
      <alignment readingOrder="0"/>
    </xf>
    <xf borderId="18" fillId="25" fontId="37" numFmtId="0" xfId="0" applyAlignment="1" applyBorder="1" applyFont="1">
      <alignment horizontal="center" shrinkToFit="0" wrapText="1"/>
    </xf>
    <xf borderId="22" fillId="2" fontId="38" numFmtId="0" xfId="0" applyAlignment="1" applyBorder="1" applyFont="1">
      <alignment horizontal="center"/>
    </xf>
    <xf borderId="20" fillId="25" fontId="37" numFmtId="0" xfId="0" applyAlignment="1" applyBorder="1" applyFont="1">
      <alignment horizontal="center" shrinkToFit="0" wrapText="1"/>
    </xf>
    <xf borderId="20" fillId="25" fontId="27" numFmtId="172" xfId="0" applyBorder="1" applyFont="1" applyNumberFormat="1"/>
    <xf borderId="20" fillId="25" fontId="37" numFmtId="0" xfId="0" applyAlignment="1" applyBorder="1" applyFont="1">
      <alignment shrinkToFit="0" wrapText="1"/>
    </xf>
    <xf borderId="20" fillId="25" fontId="27" numFmtId="0" xfId="0" applyBorder="1" applyFont="1"/>
    <xf borderId="20" fillId="25" fontId="27" numFmtId="170" xfId="0" applyBorder="1" applyFont="1" applyNumberFormat="1"/>
    <xf borderId="21" fillId="25" fontId="27" numFmtId="173" xfId="0" applyAlignment="1" applyBorder="1" applyFont="1" applyNumberFormat="1">
      <alignment readingOrder="0"/>
    </xf>
    <xf borderId="21" fillId="25" fontId="27" numFmtId="173" xfId="0" applyBorder="1" applyFont="1" applyNumberFormat="1"/>
    <xf borderId="21" fillId="25" fontId="33" numFmtId="0" xfId="0" applyBorder="1" applyFont="1"/>
    <xf borderId="21" fillId="25" fontId="27" numFmtId="0" xfId="0" applyAlignment="1" applyBorder="1" applyFont="1">
      <alignment readingOrder="0"/>
    </xf>
    <xf borderId="21" fillId="25" fontId="27" numFmtId="0" xfId="0" applyAlignment="1" applyBorder="1" applyFont="1">
      <alignment readingOrder="0"/>
    </xf>
    <xf borderId="21" fillId="25" fontId="37" numFmtId="0" xfId="0" applyAlignment="1" applyBorder="1" applyFont="1">
      <alignment horizontal="center" shrinkToFit="0" wrapText="1"/>
    </xf>
    <xf borderId="24" fillId="2" fontId="2" numFmtId="9" xfId="0" applyAlignment="1" applyBorder="1" applyFont="1" applyNumberFormat="1">
      <alignment horizontal="center" readingOrder="0" shrinkToFit="0" vertical="center" wrapText="1"/>
    </xf>
    <xf borderId="16" fillId="0" fontId="6" numFmtId="0" xfId="0" applyBorder="1" applyFont="1"/>
    <xf borderId="24" fillId="2" fontId="2" numFmtId="1" xfId="0" applyAlignment="1" applyBorder="1" applyFont="1" applyNumberFormat="1">
      <alignment horizontal="center" readingOrder="0" shrinkToFit="0" vertical="center" wrapText="1"/>
    </xf>
    <xf borderId="25" fillId="0" fontId="6" numFmtId="0" xfId="0" applyBorder="1" applyFont="1"/>
    <xf borderId="24" fillId="2" fontId="2" numFmtId="0" xfId="0" applyAlignment="1" applyBorder="1" applyFont="1">
      <alignment horizontal="center" readingOrder="0" shrinkToFit="0" vertical="center" wrapText="1"/>
    </xf>
    <xf borderId="26" fillId="2" fontId="2" numFmtId="0" xfId="0" applyAlignment="1" applyBorder="1" applyFont="1">
      <alignment horizontal="center" readingOrder="0" shrinkToFit="0" vertical="center" wrapText="1"/>
    </xf>
    <xf borderId="27" fillId="2" fontId="2" numFmtId="0" xfId="0" applyAlignment="1" applyBorder="1" applyFont="1">
      <alignment horizontal="center" readingOrder="0" shrinkToFit="0" vertical="center" wrapText="1"/>
    </xf>
    <xf borderId="28" fillId="2" fontId="2" numFmtId="0" xfId="0" applyAlignment="1" applyBorder="1" applyFont="1">
      <alignment horizontal="center" readingOrder="0" shrinkToFit="0" vertical="center" wrapText="1"/>
    </xf>
    <xf borderId="0" fillId="2" fontId="2" numFmtId="1" xfId="0" applyAlignment="1" applyFont="1" applyNumberFormat="1">
      <alignment horizontal="center" readingOrder="0" shrinkToFit="0" vertical="center" wrapText="1"/>
    </xf>
    <xf borderId="0" fillId="2" fontId="2" numFmtId="0" xfId="0" applyAlignment="1" applyFont="1">
      <alignment horizontal="center" readingOrder="0" shrinkToFit="0" vertical="center" wrapText="1"/>
    </xf>
    <xf borderId="29" fillId="3" fontId="9" numFmtId="0" xfId="0" applyAlignment="1" applyBorder="1" applyFont="1">
      <alignment horizontal="center" readingOrder="0" shrinkToFit="0" vertical="center" wrapText="1"/>
    </xf>
    <xf borderId="30" fillId="3" fontId="8" numFmtId="9" xfId="0" applyAlignment="1" applyBorder="1" applyFont="1" applyNumberFormat="1">
      <alignment horizontal="center" readingOrder="0" shrinkToFit="0" vertical="center" wrapText="1"/>
    </xf>
    <xf borderId="30" fillId="3" fontId="8" numFmtId="1" xfId="0" applyAlignment="1" applyBorder="1" applyFont="1" applyNumberFormat="1">
      <alignment horizontal="center" readingOrder="0" shrinkToFit="0" vertical="center" wrapText="1"/>
    </xf>
    <xf borderId="31" fillId="3" fontId="39" numFmtId="0" xfId="0" applyAlignment="1" applyBorder="1" applyFont="1">
      <alignment horizontal="center" readingOrder="0" shrinkToFit="0" vertical="center" wrapText="1"/>
    </xf>
    <xf borderId="26" fillId="3" fontId="39" numFmtId="0" xfId="0" applyAlignment="1" applyBorder="1" applyFont="1">
      <alignment horizontal="center" readingOrder="0" shrinkToFit="0" vertical="center" wrapText="1"/>
    </xf>
    <xf borderId="30" fillId="0" fontId="40" numFmtId="0" xfId="0" applyAlignment="1" applyBorder="1" applyFont="1">
      <alignment horizontal="left" readingOrder="0" shrinkToFit="0" vertical="center" wrapText="1"/>
    </xf>
    <xf borderId="30" fillId="0" fontId="8" numFmtId="9" xfId="0" applyAlignment="1" applyBorder="1" applyFont="1" applyNumberFormat="1">
      <alignment horizontal="center" readingOrder="0" shrinkToFit="0" vertical="center" wrapText="1"/>
    </xf>
    <xf borderId="30" fillId="0" fontId="8" numFmtId="1" xfId="0" applyAlignment="1" applyBorder="1" applyFont="1" applyNumberFormat="1">
      <alignment horizontal="center" readingOrder="0" shrinkToFit="0" vertical="center" wrapText="1"/>
    </xf>
    <xf borderId="32" fillId="0" fontId="8" numFmtId="0" xfId="0" applyAlignment="1" applyBorder="1" applyFont="1">
      <alignment horizontal="left" readingOrder="0" shrinkToFit="0" vertical="center" wrapText="1"/>
    </xf>
    <xf borderId="26" fillId="0" fontId="8" numFmtId="0" xfId="0" applyAlignment="1" applyBorder="1" applyFont="1">
      <alignment horizontal="left" readingOrder="0" shrinkToFit="0" vertical="center" wrapText="1"/>
    </xf>
    <xf borderId="30" fillId="0" fontId="8" numFmtId="0" xfId="0" applyAlignment="1" applyBorder="1" applyFont="1">
      <alignment horizontal="left" readingOrder="0" shrinkToFit="0" vertical="center" wrapText="1"/>
    </xf>
    <xf borderId="32" fillId="0" fontId="8" numFmtId="0" xfId="0" applyAlignment="1" applyBorder="1" applyFont="1">
      <alignment horizontal="left" readingOrder="0" shrinkToFit="0" vertical="center" wrapText="1"/>
    </xf>
    <xf borderId="26" fillId="0" fontId="8" numFmtId="0" xfId="0" applyAlignment="1" applyBorder="1" applyFont="1">
      <alignment horizontal="left" readingOrder="0" shrinkToFit="0" vertical="center" wrapText="1"/>
    </xf>
    <xf borderId="30" fillId="3" fontId="8" numFmtId="0" xfId="0" applyAlignment="1" applyBorder="1" applyFont="1">
      <alignment horizontal="center" readingOrder="0" shrinkToFit="0" vertical="center" wrapText="1"/>
    </xf>
    <xf borderId="29" fillId="26" fontId="39" numFmtId="0" xfId="0" applyAlignment="1" applyBorder="1" applyFill="1" applyFont="1">
      <alignment horizontal="center" readingOrder="0" shrinkToFit="0" vertical="center" wrapText="1"/>
    </xf>
    <xf borderId="31" fillId="26" fontId="39" numFmtId="0" xfId="0" applyAlignment="1" applyBorder="1" applyFont="1">
      <alignment horizontal="center" readingOrder="0" shrinkToFit="0" vertical="center" wrapText="1"/>
    </xf>
    <xf borderId="31" fillId="26" fontId="39" numFmtId="0" xfId="0" applyAlignment="1" applyBorder="1" applyFont="1">
      <alignment horizontal="left" readingOrder="0" shrinkToFit="0" vertical="center" wrapText="1"/>
    </xf>
    <xf borderId="31" fillId="26" fontId="39" numFmtId="1" xfId="0" applyAlignment="1" applyBorder="1" applyFont="1" applyNumberFormat="1">
      <alignment horizontal="center" readingOrder="0" shrinkToFit="0" vertical="center" wrapText="1"/>
    </xf>
    <xf borderId="26" fillId="26" fontId="39" numFmtId="0" xfId="0" applyAlignment="1" applyBorder="1" applyFont="1">
      <alignment horizontal="center" readingOrder="0" shrinkToFit="0" vertical="center" wrapText="1"/>
    </xf>
    <xf borderId="30" fillId="22" fontId="8" numFmtId="1" xfId="0" applyAlignment="1" applyBorder="1" applyFont="1" applyNumberFormat="1">
      <alignment horizontal="center" readingOrder="0" shrinkToFit="0" vertical="center" wrapText="1"/>
    </xf>
    <xf borderId="32" fillId="22" fontId="8" numFmtId="1" xfId="0" applyAlignment="1" applyBorder="1" applyFont="1" applyNumberFormat="1">
      <alignment horizontal="center" readingOrder="0" shrinkToFit="0" vertical="center" wrapText="1"/>
    </xf>
    <xf borderId="33" fillId="0" fontId="8" numFmtId="0" xfId="0" applyAlignment="1" applyBorder="1" applyFont="1">
      <alignment horizontal="left" readingOrder="0" shrinkToFit="0" vertical="center" wrapText="1"/>
    </xf>
    <xf borderId="34" fillId="0" fontId="8" numFmtId="0" xfId="0" applyAlignment="1" applyBorder="1" applyFont="1">
      <alignment horizontal="left" readingOrder="0" shrinkToFit="0" vertical="center" wrapText="1"/>
    </xf>
    <xf borderId="29" fillId="0" fontId="41" numFmtId="0" xfId="0" applyAlignment="1" applyBorder="1" applyFont="1">
      <alignment horizontal="left" readingOrder="0" shrinkToFit="0" vertical="center" wrapText="1"/>
    </xf>
    <xf borderId="0" fillId="3" fontId="2" numFmtId="169" xfId="0" applyAlignment="1" applyFont="1" applyNumberFormat="1">
      <alignment horizontal="center" readingOrder="0" shrinkToFit="0" vertical="center" wrapText="1"/>
    </xf>
    <xf borderId="0" fillId="0" fontId="8" numFmtId="169" xfId="0" applyAlignment="1" applyFont="1" applyNumberFormat="1">
      <alignment horizontal="center" readingOrder="0" vertical="center"/>
    </xf>
    <xf borderId="0" fillId="0" fontId="8" numFmtId="169" xfId="0" applyAlignment="1" applyFont="1" applyNumberFormat="1">
      <alignment horizontal="left" readingOrder="0" shrinkToFit="0" vertical="center" wrapText="1"/>
    </xf>
    <xf borderId="0" fillId="0" fontId="18" numFmtId="0" xfId="0" applyAlignment="1" applyFont="1">
      <alignment readingOrder="0" vertical="center"/>
    </xf>
    <xf borderId="0" fillId="4" fontId="8" numFmtId="0" xfId="0" applyAlignment="1" applyFont="1">
      <alignment horizontal="left" readingOrder="0" shrinkToFit="0" vertical="center" wrapText="1"/>
    </xf>
    <xf borderId="0" fillId="4" fontId="14" numFmtId="0" xfId="0" applyAlignment="1" applyFont="1">
      <alignment shrinkToFit="0" vertical="center" wrapText="1"/>
    </xf>
    <xf borderId="0" fillId="27" fontId="2" numFmtId="0" xfId="0" applyAlignment="1" applyFill="1" applyFont="1">
      <alignment horizontal="left" readingOrder="0" shrinkToFit="0" vertical="center" wrapText="1"/>
    </xf>
    <xf borderId="0" fillId="27" fontId="13" numFmtId="0" xfId="0" applyAlignment="1" applyFont="1">
      <alignment readingOrder="0" shrinkToFit="0" vertical="center" wrapText="1"/>
    </xf>
    <xf borderId="0" fillId="27" fontId="12" numFmtId="0" xfId="0" applyAlignment="1" applyFont="1">
      <alignment vertical="center"/>
    </xf>
    <xf borderId="0" fillId="27" fontId="2" numFmtId="0" xfId="0" applyAlignment="1" applyFont="1">
      <alignment horizontal="center" readingOrder="0" shrinkToFit="0" vertical="center" wrapText="1"/>
    </xf>
    <xf borderId="0" fillId="27" fontId="2" numFmtId="164" xfId="0" applyAlignment="1" applyFont="1" applyNumberFormat="1">
      <alignment horizontal="center" readingOrder="0" shrinkToFit="0" vertical="center" wrapText="1"/>
    </xf>
    <xf borderId="0" fillId="27" fontId="2" numFmtId="169" xfId="0" applyAlignment="1" applyFont="1" applyNumberFormat="1">
      <alignment horizontal="center" readingOrder="0" shrinkToFit="0" vertical="center" wrapText="1"/>
    </xf>
    <xf borderId="0" fillId="27" fontId="12" numFmtId="0" xfId="0" applyAlignment="1" applyFont="1">
      <alignment horizontal="left" readingOrder="0" shrinkToFit="0" vertical="center" wrapText="1"/>
    </xf>
    <xf borderId="0" fillId="2" fontId="2" numFmtId="0" xfId="0" applyAlignment="1" applyFont="1">
      <alignment horizontal="left" readingOrder="0" shrinkToFit="0" vertical="center" wrapText="1"/>
    </xf>
    <xf borderId="8" fillId="2" fontId="2" numFmtId="0" xfId="0" applyAlignment="1" applyBorder="1" applyFont="1">
      <alignment horizontal="left" readingOrder="0" shrinkToFit="0" vertical="center" wrapText="1"/>
    </xf>
    <xf borderId="8" fillId="2" fontId="12" numFmtId="4" xfId="0" applyAlignment="1" applyBorder="1" applyFont="1" applyNumberFormat="1">
      <alignment horizontal="center" shrinkToFit="0" vertical="center" wrapText="1"/>
    </xf>
    <xf borderId="0" fillId="2" fontId="2" numFmtId="4" xfId="0" applyAlignment="1" applyFont="1" applyNumberFormat="1">
      <alignment horizontal="center" shrinkToFit="0" vertical="center" wrapText="1"/>
    </xf>
    <xf borderId="0" fillId="2" fontId="12" numFmtId="164" xfId="0" applyAlignment="1" applyFont="1" applyNumberFormat="1">
      <alignment horizontal="center" shrinkToFit="0" vertical="center" wrapText="1"/>
    </xf>
    <xf borderId="0" fillId="2" fontId="12" numFmtId="169" xfId="0" applyAlignment="1" applyFont="1" applyNumberFormat="1">
      <alignment horizontal="center" shrinkToFit="0" vertical="center" wrapText="1"/>
    </xf>
    <xf borderId="0" fillId="2" fontId="12" numFmtId="0" xfId="0" applyAlignment="1" applyFont="1">
      <alignment horizontal="left" readingOrder="0" shrinkToFit="0" vertical="center" wrapText="1"/>
    </xf>
    <xf borderId="8" fillId="2" fontId="12" numFmtId="0" xfId="0" applyAlignment="1" applyBorder="1" applyFont="1">
      <alignment horizontal="left" readingOrder="0" shrinkToFit="0" vertical="center" wrapText="1"/>
    </xf>
    <xf borderId="0" fillId="2" fontId="12" numFmtId="164" xfId="0" applyAlignment="1" applyFont="1" applyNumberFormat="1">
      <alignment horizontal="center" readingOrder="0" shrinkToFit="0" vertical="center" wrapText="1"/>
    </xf>
    <xf borderId="0" fillId="2" fontId="12" numFmtId="4" xfId="0" applyAlignment="1" applyFont="1" applyNumberFormat="1">
      <alignment horizontal="center" readingOrder="0" shrinkToFit="0" vertical="center" wrapText="1"/>
    </xf>
    <xf borderId="32" fillId="26" fontId="42" numFmtId="0" xfId="0" applyAlignment="1" applyBorder="1" applyFont="1">
      <alignment horizontal="center" readingOrder="0" shrinkToFit="0" vertical="center" wrapText="1"/>
    </xf>
    <xf borderId="35" fillId="0" fontId="6" numFmtId="0" xfId="0" applyBorder="1" applyFont="1"/>
    <xf borderId="36" fillId="0" fontId="6" numFmtId="0" xfId="0" applyBorder="1" applyFont="1"/>
    <xf borderId="30" fillId="0" fontId="9" numFmtId="0" xfId="0" applyAlignment="1" applyBorder="1" applyFont="1">
      <alignment horizontal="center" readingOrder="0" shrinkToFit="0" vertical="center" wrapText="1"/>
    </xf>
    <xf borderId="30" fillId="0" fontId="8" numFmtId="0" xfId="0" applyAlignment="1" applyBorder="1" applyFont="1">
      <alignment horizontal="left" readingOrder="0" shrinkToFit="0" vertical="center" wrapText="1"/>
    </xf>
    <xf borderId="30" fillId="0" fontId="43" numFmtId="0" xfId="0" applyAlignment="1" applyBorder="1" applyFont="1">
      <alignment horizontal="left" readingOrder="0" shrinkToFit="0" vertical="center" wrapText="1"/>
    </xf>
    <xf borderId="30" fillId="0" fontId="8" numFmtId="0" xfId="0" applyAlignment="1" applyBorder="1" applyFont="1">
      <alignment horizontal="left" shrinkToFit="0" vertical="center" wrapText="1"/>
    </xf>
    <xf borderId="32" fillId="26" fontId="44" numFmtId="0" xfId="0" applyAlignment="1" applyBorder="1" applyFont="1">
      <alignment horizontal="center" readingOrder="0" shrinkToFit="0" vertical="center" wrapText="1"/>
    </xf>
    <xf borderId="32" fillId="26" fontId="45" numFmtId="0" xfId="0" applyAlignment="1" applyBorder="1" applyFont="1">
      <alignment horizontal="center" readingOrder="0" shrinkToFit="0" vertical="center" wrapText="1"/>
    </xf>
    <xf borderId="31" fillId="0" fontId="6" numFmtId="0" xfId="0" applyBorder="1" applyFont="1"/>
    <xf borderId="0" fillId="26" fontId="39" numFmtId="0" xfId="0" applyAlignment="1" applyFont="1">
      <alignment horizontal="center" readingOrder="0" shrinkToFit="0" vertical="center" wrapText="1"/>
    </xf>
    <xf borderId="30" fillId="0" fontId="8" numFmtId="0" xfId="0" applyAlignment="1" applyBorder="1" applyFont="1">
      <alignment horizontal="center" readingOrder="0" shrinkToFit="0" vertical="center" wrapText="1"/>
    </xf>
    <xf borderId="30" fillId="0" fontId="8" numFmtId="174" xfId="0" applyAlignment="1" applyBorder="1" applyFont="1" applyNumberFormat="1">
      <alignment horizontal="center" readingOrder="0" shrinkToFit="0" vertical="center" wrapText="1"/>
    </xf>
    <xf borderId="37" fillId="0" fontId="8" numFmtId="0" xfId="0" applyAlignment="1" applyBorder="1" applyFont="1">
      <alignment horizontal="left" readingOrder="0" shrinkToFit="0" vertical="center" wrapText="1"/>
    </xf>
    <xf borderId="0" fillId="4" fontId="8" numFmtId="0" xfId="0" applyFont="1"/>
    <xf borderId="32" fillId="2" fontId="1" numFmtId="0" xfId="0" applyAlignment="1" applyBorder="1" applyFont="1">
      <alignment horizontal="center" readingOrder="0" vertical="center"/>
    </xf>
    <xf borderId="30" fillId="2" fontId="1" numFmtId="0" xfId="0" applyAlignment="1" applyBorder="1" applyFont="1">
      <alignment horizontal="center" readingOrder="0" vertical="center"/>
    </xf>
    <xf borderId="30" fillId="2" fontId="2" numFmtId="0" xfId="0" applyAlignment="1" applyBorder="1" applyFont="1">
      <alignment horizontal="center" readingOrder="0" shrinkToFit="0" vertical="center" wrapText="1"/>
    </xf>
    <xf borderId="30" fillId="4" fontId="8" numFmtId="0" xfId="0" applyBorder="1" applyFont="1"/>
    <xf borderId="16" fillId="2" fontId="2" numFmtId="1" xfId="0" applyAlignment="1" applyBorder="1" applyFont="1" applyNumberFormat="1">
      <alignment horizontal="center" readingOrder="0" shrinkToFit="0" vertical="center" wrapText="1"/>
    </xf>
    <xf borderId="16" fillId="2" fontId="2" numFmtId="1" xfId="0" applyAlignment="1" applyBorder="1" applyFont="1" applyNumberFormat="1">
      <alignment horizontal="center" readingOrder="0" shrinkToFit="0" vertical="center" wrapText="1"/>
    </xf>
    <xf borderId="25" fillId="2" fontId="2" numFmtId="1" xfId="0" applyAlignment="1" applyBorder="1" applyFont="1" applyNumberFormat="1">
      <alignment horizontal="center" readingOrder="0" shrinkToFit="0" vertical="center" wrapText="1"/>
    </xf>
    <xf borderId="28" fillId="0" fontId="6" numFmtId="0" xfId="0" applyBorder="1" applyFont="1"/>
    <xf borderId="0" fillId="5" fontId="46" numFmtId="0" xfId="0" applyAlignment="1" applyFont="1">
      <alignment horizontal="left" readingOrder="0" shrinkToFit="0" vertical="center" wrapText="1"/>
    </xf>
    <xf borderId="0" fillId="0" fontId="17" numFmtId="1" xfId="0" applyAlignment="1" applyFont="1" applyNumberFormat="1">
      <alignment horizontal="center" readingOrder="0" vertical="center"/>
    </xf>
    <xf borderId="0" fillId="0" fontId="17" numFmtId="0" xfId="0" applyAlignment="1" applyFont="1">
      <alignment horizontal="center" readingOrder="0" vertical="center"/>
    </xf>
    <xf borderId="0" fillId="0" fontId="17" numFmtId="0" xfId="0" applyAlignment="1" applyFont="1">
      <alignment horizontal="left" readingOrder="0" vertical="center"/>
    </xf>
    <xf borderId="0" fillId="5" fontId="8" numFmtId="0" xfId="0" applyAlignment="1" applyFont="1">
      <alignment horizontal="left" readingOrder="0" shrinkToFit="0" vertical="center" wrapText="1"/>
    </xf>
    <xf borderId="0" fillId="22" fontId="17" numFmtId="2" xfId="0" applyAlignment="1" applyFont="1" applyNumberFormat="1">
      <alignment horizontal="center" readingOrder="0" vertical="center"/>
    </xf>
    <xf borderId="0" fillId="0" fontId="17" numFmtId="2" xfId="0" applyAlignment="1" applyFont="1" applyNumberFormat="1">
      <alignment horizontal="center" readingOrder="0" vertical="center"/>
    </xf>
    <xf borderId="0" fillId="22" fontId="17" numFmtId="169" xfId="0" applyAlignment="1" applyFont="1" applyNumberFormat="1">
      <alignment horizontal="center" readingOrder="0" vertical="center"/>
    </xf>
    <xf borderId="0" fillId="26" fontId="12" numFmtId="0" xfId="0" applyAlignment="1" applyFont="1">
      <alignment horizontal="center" readingOrder="0" shrinkToFit="0" vertical="center" wrapText="1"/>
    </xf>
    <xf borderId="0" fillId="4" fontId="27" numFmtId="0" xfId="0" applyAlignment="1" applyFont="1">
      <alignment horizontal="center" readingOrder="0" vertical="center"/>
    </xf>
    <xf borderId="0" fillId="0" fontId="27" numFmtId="1" xfId="0" applyAlignment="1" applyFont="1" applyNumberFormat="1">
      <alignment horizontal="center" readingOrder="0" vertical="center"/>
    </xf>
    <xf borderId="0" fillId="0" fontId="27" numFmtId="0" xfId="0" applyAlignment="1" applyFont="1">
      <alignment horizontal="center" readingOrder="0" vertical="center"/>
    </xf>
    <xf borderId="0" fillId="4" fontId="27" numFmtId="1" xfId="0" applyFont="1" applyNumberFormat="1"/>
    <xf borderId="0" fillId="4" fontId="27" numFmtId="1" xfId="0" applyAlignment="1" applyFont="1" applyNumberFormat="1">
      <alignment horizontal="left"/>
    </xf>
    <xf borderId="0" fillId="4" fontId="27" numFmtId="0" xfId="0" applyAlignment="1" applyFont="1">
      <alignment horizontal="center" vertical="center"/>
    </xf>
    <xf borderId="0" fillId="0" fontId="27" numFmtId="1" xfId="0" applyAlignment="1" applyFont="1" applyNumberFormat="1">
      <alignment horizontal="center" vertical="center"/>
    </xf>
    <xf borderId="0" fillId="4" fontId="47" numFmtId="0" xfId="0" applyAlignment="1" applyFont="1">
      <alignment horizontal="center" vertical="center"/>
    </xf>
    <xf borderId="38" fillId="0" fontId="27" numFmtId="1" xfId="0" applyAlignment="1" applyBorder="1" applyFont="1" applyNumberFormat="1">
      <alignment horizontal="center" vertical="center"/>
    </xf>
    <xf borderId="0" fillId="26" fontId="12" numFmtId="1" xfId="0" applyAlignment="1" applyFont="1" applyNumberFormat="1">
      <alignment horizontal="center" readingOrder="0" vertical="center"/>
    </xf>
    <xf borderId="0" fillId="26" fontId="30" numFmtId="0" xfId="0" applyAlignment="1" applyFont="1">
      <alignment horizontal="center" shrinkToFit="0" wrapText="1"/>
    </xf>
    <xf borderId="0" fillId="0" fontId="17" numFmtId="4" xfId="0" applyAlignment="1" applyFont="1" applyNumberFormat="1">
      <alignment horizontal="center" readingOrder="0" vertical="center"/>
    </xf>
    <xf borderId="0" fillId="0" fontId="17" numFmtId="0" xfId="0" applyFont="1"/>
    <xf borderId="0" fillId="0" fontId="17" numFmtId="2" xfId="0" applyAlignment="1" applyFont="1" applyNumberFormat="1">
      <alignment horizontal="center"/>
    </xf>
    <xf borderId="0" fillId="4" fontId="17" numFmtId="0" xfId="0" applyAlignment="1" applyFont="1">
      <alignment readingOrder="0" shrinkToFit="0" vertical="center" wrapText="1"/>
    </xf>
    <xf borderId="0" fillId="0" fontId="3" numFmtId="0" xfId="0" applyAlignment="1" applyFont="1">
      <alignment horizontal="left" readingOrder="0" shrinkToFit="0" vertical="center" wrapText="1"/>
    </xf>
    <xf borderId="0" fillId="0" fontId="8"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28" fontId="3" numFmtId="0" xfId="0" applyAlignment="1" applyFill="1" applyFont="1">
      <alignment horizontal="left" readingOrder="0" shrinkToFit="0" vertical="center" wrapText="1"/>
    </xf>
    <xf borderId="0" fillId="22" fontId="8" numFmtId="0" xfId="0" applyAlignment="1" applyFont="1">
      <alignment horizontal="center" readingOrder="0" shrinkToFit="0" vertical="center" wrapText="1"/>
    </xf>
    <xf borderId="0" fillId="28" fontId="9" numFmtId="0" xfId="0" applyAlignment="1" applyFont="1">
      <alignment horizontal="center" readingOrder="0" shrinkToFit="0" vertical="center" wrapText="1"/>
    </xf>
    <xf borderId="0" fillId="22" fontId="48" numFmtId="0" xfId="0" applyAlignment="1" applyFont="1">
      <alignment horizontal="center" readingOrder="0" shrinkToFit="0" vertical="center" wrapText="1"/>
    </xf>
    <xf borderId="0" fillId="28" fontId="8" numFmtId="0" xfId="0" applyAlignment="1" applyFont="1">
      <alignment horizontal="center" readingOrder="0" shrinkToFit="0" vertical="center" wrapText="1"/>
    </xf>
    <xf borderId="0" fillId="22" fontId="8" numFmtId="165" xfId="0" applyAlignment="1" applyFont="1" applyNumberFormat="1">
      <alignment horizontal="center" readingOrder="0" shrinkToFit="0" vertical="center" wrapText="1"/>
    </xf>
    <xf borderId="0" fillId="28" fontId="8" numFmtId="165" xfId="0" applyAlignment="1" applyFont="1" applyNumberFormat="1">
      <alignment horizontal="center" readingOrder="0" shrinkToFit="0" vertical="center" wrapText="1"/>
    </xf>
    <xf borderId="0" fillId="4" fontId="3" numFmtId="0" xfId="0" applyAlignment="1" applyFont="1">
      <alignment horizontal="left" readingOrder="0" shrinkToFit="0" vertical="center" wrapText="1"/>
    </xf>
    <xf borderId="0" fillId="4" fontId="3" numFmtId="0" xfId="0" applyAlignment="1" applyFont="1">
      <alignment horizontal="center" readingOrder="0" shrinkToFit="0" vertical="center" wrapText="1"/>
    </xf>
    <xf borderId="0" fillId="28" fontId="3" numFmtId="0" xfId="0" applyAlignment="1" applyFont="1">
      <alignment horizontal="center" readingOrder="0" shrinkToFit="0" vertical="center" wrapText="1"/>
    </xf>
    <xf borderId="0" fillId="4" fontId="3" numFmtId="9" xfId="0" applyAlignment="1" applyFont="1" applyNumberFormat="1">
      <alignment horizontal="center" readingOrder="0" shrinkToFit="0" vertical="center" wrapText="1"/>
    </xf>
    <xf borderId="0" fillId="2" fontId="10" numFmtId="0" xfId="0" applyAlignment="1" applyFont="1">
      <alignment horizontal="center" readingOrder="0" shrinkToFit="0" vertical="center" wrapText="1"/>
    </xf>
    <xf borderId="0" fillId="4" fontId="49" numFmtId="0" xfId="0" applyAlignment="1" applyFont="1">
      <alignment readingOrder="0" shrinkToFit="0" vertical="center" wrapText="1"/>
    </xf>
    <xf borderId="0" fillId="0" fontId="17" numFmtId="9" xfId="0" applyAlignment="1" applyFont="1" applyNumberFormat="1">
      <alignment horizontal="center" readingOrder="0" vertical="center"/>
    </xf>
    <xf borderId="0" fillId="28" fontId="49" numFmtId="0" xfId="0" applyAlignment="1" applyFont="1">
      <alignment readingOrder="0" shrinkToFit="0" vertical="center" wrapText="1"/>
    </xf>
    <xf borderId="0" fillId="28" fontId="17" numFmtId="9" xfId="0" applyAlignment="1" applyFont="1" applyNumberFormat="1">
      <alignment horizontal="center" readingOrder="0" vertical="center"/>
    </xf>
    <xf borderId="0" fillId="28" fontId="17" numFmtId="0" xfId="0" applyAlignment="1" applyFont="1">
      <alignment horizontal="center" readingOrder="0" vertical="center"/>
    </xf>
    <xf borderId="0" fillId="28" fontId="49" numFmtId="0" xfId="0" applyAlignment="1" applyFont="1">
      <alignment horizontal="center" readingOrder="0" vertical="center"/>
    </xf>
    <xf borderId="0" fillId="28" fontId="17" numFmtId="4" xfId="0" applyAlignment="1" applyFont="1" applyNumberFormat="1">
      <alignment horizontal="center" readingOrder="0" vertical="center"/>
    </xf>
    <xf borderId="0" fillId="5" fontId="3" numFmtId="0" xfId="0" applyAlignment="1" applyFont="1">
      <alignment horizontal="left" readingOrder="0" shrinkToFit="0" vertical="center" wrapText="1"/>
    </xf>
    <xf borderId="0" fillId="0" fontId="49" numFmtId="0" xfId="0" applyAlignment="1" applyFont="1">
      <alignment readingOrder="0" shrinkToFit="0" vertical="center" wrapText="1"/>
    </xf>
    <xf borderId="0" fillId="4" fontId="3" numFmtId="0" xfId="0" applyAlignment="1" applyFont="1">
      <alignment readingOrder="0" shrinkToFit="0" vertical="center" wrapText="1"/>
    </xf>
    <xf borderId="0" fillId="4" fontId="17" numFmtId="9" xfId="0" applyAlignment="1" applyFont="1" applyNumberFormat="1">
      <alignment horizontal="center" readingOrder="0" vertical="center"/>
    </xf>
    <xf borderId="0" fillId="4" fontId="17" numFmtId="0" xfId="0" applyAlignment="1" applyFont="1">
      <alignment horizontal="center" readingOrder="0" vertical="center"/>
    </xf>
    <xf borderId="0" fillId="24" fontId="29" numFmtId="0" xfId="0" applyAlignment="1" applyFont="1">
      <alignment horizontal="right" readingOrder="0" shrinkToFit="0" vertical="center" wrapText="1"/>
    </xf>
    <xf borderId="0" fillId="24" fontId="29" numFmtId="0" xfId="0" applyAlignment="1" applyFont="1">
      <alignment horizontal="left" readingOrder="0" shrinkToFit="0" vertical="center" wrapText="1"/>
    </xf>
    <xf borderId="0" fillId="24" fontId="39" numFmtId="0" xfId="0" applyAlignment="1" applyFont="1">
      <alignment horizontal="center" readingOrder="0" shrinkToFit="0" vertical="center" wrapText="1"/>
    </xf>
    <xf borderId="39" fillId="29" fontId="17" numFmtId="0" xfId="0" applyBorder="1" applyFill="1" applyFont="1"/>
    <xf borderId="39" fillId="29" fontId="17" numFmtId="0" xfId="0" applyAlignment="1" applyBorder="1" applyFont="1">
      <alignment horizontal="center" readingOrder="0"/>
    </xf>
    <xf borderId="39" fillId="29" fontId="27" numFmtId="175" xfId="0" applyBorder="1" applyFont="1" applyNumberFormat="1"/>
    <xf borderId="39" fillId="29" fontId="27" numFmtId="4" xfId="0" applyBorder="1" applyFont="1" applyNumberFormat="1"/>
    <xf borderId="39" fillId="29" fontId="27" numFmtId="176" xfId="0" applyBorder="1" applyFont="1" applyNumberFormat="1"/>
    <xf borderId="39" fillId="29" fontId="27" numFmtId="9" xfId="0" applyBorder="1" applyFont="1" applyNumberFormat="1"/>
    <xf borderId="39" fillId="29" fontId="17" numFmtId="4" xfId="0" applyAlignment="1" applyBorder="1" applyFont="1" applyNumberFormat="1">
      <alignment horizontal="center"/>
    </xf>
    <xf borderId="0" fillId="30" fontId="29" numFmtId="0" xfId="0" applyAlignment="1" applyFill="1" applyFont="1">
      <alignment horizontal="center" readingOrder="0" shrinkToFit="0" vertical="center" wrapText="1"/>
    </xf>
    <xf borderId="0" fillId="30" fontId="29" numFmtId="4" xfId="0" applyAlignment="1" applyFont="1" applyNumberFormat="1">
      <alignment horizontal="center" readingOrder="0" shrinkToFit="0" vertical="center" wrapText="1"/>
    </xf>
    <xf borderId="40" fillId="30" fontId="29" numFmtId="0" xfId="0" applyAlignment="1" applyBorder="1" applyFont="1">
      <alignment horizontal="center" readingOrder="0" vertical="center"/>
    </xf>
    <xf borderId="41" fillId="0" fontId="6" numFmtId="0" xfId="0" applyBorder="1" applyFont="1"/>
    <xf borderId="42" fillId="0" fontId="6" numFmtId="0" xfId="0" applyBorder="1" applyFont="1"/>
    <xf borderId="0" fillId="30" fontId="29" numFmtId="0" xfId="0" applyAlignment="1" applyFont="1">
      <alignment horizontal="center" readingOrder="0" vertical="center"/>
    </xf>
    <xf borderId="30" fillId="30" fontId="12" numFmtId="3" xfId="0" applyAlignment="1" applyBorder="1" applyFont="1" applyNumberFormat="1">
      <alignment horizontal="center" shrinkToFit="0" vertical="center" wrapText="1"/>
    </xf>
    <xf borderId="32" fillId="30" fontId="12" numFmtId="3" xfId="0" applyAlignment="1" applyBorder="1" applyFont="1" applyNumberFormat="1">
      <alignment horizontal="center" readingOrder="0" shrinkToFit="0" vertical="center" wrapText="1"/>
    </xf>
    <xf borderId="32" fillId="30" fontId="12" numFmtId="3" xfId="0" applyAlignment="1" applyBorder="1" applyFont="1" applyNumberFormat="1">
      <alignment horizontal="center" shrinkToFit="0" vertical="center" wrapText="1"/>
    </xf>
    <xf borderId="32" fillId="30" fontId="2" numFmtId="3" xfId="0" applyAlignment="1" applyBorder="1" applyFont="1" applyNumberFormat="1">
      <alignment horizontal="center" readingOrder="0" shrinkToFit="0" vertical="center" wrapText="1"/>
    </xf>
    <xf borderId="36" fillId="30" fontId="12" numFmtId="3" xfId="0" applyAlignment="1" applyBorder="1" applyFont="1" applyNumberFormat="1">
      <alignment horizontal="center" readingOrder="0" shrinkToFit="0" vertical="center" wrapText="1"/>
    </xf>
    <xf borderId="30" fillId="30" fontId="12" numFmtId="3" xfId="0" applyAlignment="1" applyBorder="1" applyFont="1" applyNumberFormat="1">
      <alignment horizontal="center" readingOrder="0" shrinkToFit="0" vertical="center" wrapText="1"/>
    </xf>
    <xf borderId="30" fillId="30" fontId="12" numFmtId="0" xfId="0" applyAlignment="1" applyBorder="1" applyFont="1">
      <alignment horizontal="center" readingOrder="0" shrinkToFit="0" vertical="center" wrapText="1"/>
    </xf>
    <xf borderId="0" fillId="28" fontId="4" numFmtId="0" xfId="0" applyAlignment="1" applyFont="1">
      <alignment horizontal="center" readingOrder="0" vertical="center"/>
    </xf>
    <xf borderId="0" fillId="28" fontId="4" numFmtId="175" xfId="0" applyAlignment="1" applyFont="1" applyNumberFormat="1">
      <alignment horizontal="center" readingOrder="0" vertical="center"/>
    </xf>
    <xf borderId="43" fillId="28" fontId="4" numFmtId="175" xfId="0" applyAlignment="1" applyBorder="1" applyFont="1" applyNumberFormat="1">
      <alignment horizontal="center" readingOrder="0" vertical="center"/>
    </xf>
    <xf borderId="0" fillId="28" fontId="4" numFmtId="4" xfId="0" applyAlignment="1" applyFont="1" applyNumberFormat="1">
      <alignment horizontal="center" readingOrder="0" vertical="center"/>
    </xf>
    <xf borderId="0" fillId="28" fontId="50" numFmtId="176" xfId="0" applyAlignment="1" applyFont="1" applyNumberFormat="1">
      <alignment horizontal="center" vertical="center"/>
    </xf>
    <xf borderId="0" fillId="0" fontId="4" numFmtId="4" xfId="0" applyAlignment="1" applyFont="1" applyNumberFormat="1">
      <alignment horizontal="center" readingOrder="0" vertical="center"/>
    </xf>
    <xf borderId="0" fillId="0" fontId="17" numFmtId="4" xfId="0" applyAlignment="1" applyFont="1" applyNumberFormat="1">
      <alignment horizontal="center" readingOrder="0" vertical="center"/>
    </xf>
    <xf borderId="43" fillId="0" fontId="17" numFmtId="9" xfId="0" applyAlignment="1" applyBorder="1" applyFont="1" applyNumberFormat="1">
      <alignment horizontal="center" vertical="center"/>
    </xf>
    <xf borderId="44" fillId="0" fontId="4" numFmtId="4" xfId="0" applyAlignment="1" applyBorder="1" applyFont="1" applyNumberFormat="1">
      <alignment horizontal="center" readingOrder="0" vertical="center"/>
    </xf>
    <xf borderId="0" fillId="0" fontId="17" numFmtId="0" xfId="0" applyAlignment="1" applyFont="1">
      <alignment horizontal="center" readingOrder="0" vertical="center"/>
    </xf>
    <xf borderId="0" fillId="0" fontId="4" numFmtId="0" xfId="0" applyAlignment="1" applyFont="1">
      <alignment horizontal="center" readingOrder="0" vertical="center"/>
    </xf>
    <xf borderId="0" fillId="0" fontId="17" numFmtId="9" xfId="0" applyAlignment="1" applyFont="1" applyNumberFormat="1">
      <alignment horizontal="center" vertical="center"/>
    </xf>
    <xf borderId="43" fillId="0" fontId="17" numFmtId="9" xfId="0" applyAlignment="1" applyBorder="1" applyFont="1" applyNumberFormat="1">
      <alignment horizontal="center" readingOrder="0" vertical="center"/>
    </xf>
    <xf borderId="0" fillId="3" fontId="4" numFmtId="4" xfId="0" applyAlignment="1" applyFont="1" applyNumberFormat="1">
      <alignment horizontal="center" readingOrder="0" vertical="center"/>
    </xf>
    <xf borderId="0" fillId="3" fontId="17" numFmtId="4" xfId="0" applyAlignment="1" applyFont="1" applyNumberFormat="1">
      <alignment horizontal="center" readingOrder="0" vertical="center"/>
    </xf>
    <xf borderId="43" fillId="3" fontId="17" numFmtId="9" xfId="0" applyAlignment="1" applyBorder="1" applyFont="1" applyNumberFormat="1">
      <alignment horizontal="center" vertical="center"/>
    </xf>
    <xf borderId="43" fillId="3" fontId="17" numFmtId="9" xfId="0" applyAlignment="1" applyBorder="1" applyFont="1" applyNumberFormat="1">
      <alignment horizontal="center" readingOrder="0" vertical="center"/>
    </xf>
    <xf borderId="0" fillId="0" fontId="17" numFmtId="9" xfId="0" applyAlignment="1" applyFont="1" applyNumberFormat="1">
      <alignment horizontal="center" readingOrder="0" vertical="center"/>
    </xf>
    <xf borderId="20" fillId="29" fontId="2" numFmtId="164" xfId="0" applyAlignment="1" applyBorder="1" applyFont="1" applyNumberFormat="1">
      <alignment horizontal="center" vertical="center"/>
    </xf>
    <xf borderId="20" fillId="29" fontId="2" numFmtId="0" xfId="0" applyAlignment="1" applyBorder="1" applyFont="1">
      <alignment horizontal="center" vertical="center"/>
    </xf>
    <xf borderId="20" fillId="29" fontId="2" numFmtId="0" xfId="0" applyAlignment="1" applyBorder="1" applyFont="1">
      <alignment horizontal="center" readingOrder="0" vertical="center"/>
    </xf>
    <xf borderId="0" fillId="0" fontId="17" numFmtId="164" xfId="0" applyAlignment="1" applyFont="1" applyNumberFormat="1">
      <alignment horizontal="center" readingOrder="0" vertical="center"/>
    </xf>
    <xf borderId="0" fillId="0" fontId="17" numFmtId="0" xfId="0" applyAlignment="1" applyFont="1">
      <alignment horizontal="center" readingOrder="0" vertical="center"/>
    </xf>
    <xf borderId="0" fillId="0" fontId="9" numFmtId="0" xfId="0" applyAlignment="1" applyFont="1">
      <alignment horizontal="center" readingOrder="0" vertical="center"/>
    </xf>
    <xf borderId="0" fillId="2" fontId="51" numFmtId="0" xfId="0" applyAlignment="1" applyFont="1">
      <alignment horizontal="center" readingOrder="0" shrinkToFit="0" vertical="center" wrapText="1"/>
    </xf>
    <xf borderId="0" fillId="2" fontId="51" numFmtId="169" xfId="0" applyAlignment="1" applyFont="1" applyNumberFormat="1">
      <alignment horizontal="center" readingOrder="0" shrinkToFit="0" vertical="center" wrapText="1"/>
    </xf>
    <xf borderId="0" fillId="2" fontId="2" numFmtId="169" xfId="0" applyAlignment="1" applyFont="1" applyNumberFormat="1">
      <alignment horizontal="center" readingOrder="0" shrinkToFit="0" vertical="center" wrapText="1"/>
    </xf>
    <xf borderId="0" fillId="3" fontId="9" numFmtId="0" xfId="0" applyAlignment="1" applyFont="1">
      <alignment horizontal="left" readingOrder="0" shrinkToFit="0" vertical="center" wrapText="1"/>
    </xf>
    <xf borderId="0" fillId="3" fontId="9" numFmtId="0" xfId="0" applyAlignment="1" applyFont="1">
      <alignment horizontal="center" readingOrder="0" shrinkToFit="0" vertical="center" wrapText="1"/>
    </xf>
    <xf borderId="0" fillId="3" fontId="9" numFmtId="169" xfId="0" applyAlignment="1" applyFont="1" applyNumberFormat="1">
      <alignment horizontal="center" readingOrder="0" shrinkToFit="0" vertical="center" wrapText="1"/>
    </xf>
    <xf borderId="0" fillId="4" fontId="8" numFmtId="0" xfId="0" applyAlignment="1" applyFont="1">
      <alignment horizontal="center" readingOrder="0" shrinkToFit="0" vertical="center" wrapText="1"/>
    </xf>
    <xf borderId="0" fillId="4" fontId="8" numFmtId="164" xfId="0" applyAlignment="1" applyFont="1" applyNumberFormat="1">
      <alignment horizontal="center" readingOrder="0" vertical="center"/>
    </xf>
    <xf borderId="0" fillId="4" fontId="8" numFmtId="0" xfId="0" applyAlignment="1" applyFont="1">
      <alignment horizontal="left" shrinkToFit="0" vertical="center" wrapText="1"/>
    </xf>
    <xf borderId="0" fillId="4" fontId="8" numFmtId="0" xfId="0" applyAlignment="1" applyFont="1">
      <alignment horizontal="center" shrinkToFit="0" vertical="center" wrapText="1"/>
    </xf>
    <xf borderId="0" fillId="4" fontId="52" numFmtId="0" xfId="0" applyAlignment="1" applyFont="1">
      <alignment horizontal="left" readingOrder="0" shrinkToFit="0" vertical="center" wrapText="1"/>
    </xf>
    <xf borderId="0" fillId="4" fontId="8" numFmtId="0" xfId="0" applyFont="1"/>
    <xf borderId="0" fillId="3" fontId="53" numFmtId="0" xfId="0" applyAlignment="1" applyFont="1">
      <alignment horizontal="left" readingOrder="0" shrinkToFit="0" vertical="center" wrapText="1"/>
    </xf>
  </cellXfs>
  <cellStyles count="1">
    <cellStyle xfId="0" name="Normal" builtinId="0"/>
  </cellStyles>
  <dxfs count="18">
    <dxf>
      <font/>
      <fill>
        <patternFill patternType="solid">
          <fgColor rgb="FFCFD7EE"/>
          <bgColor rgb="FFCFD7EE"/>
        </patternFill>
      </fill>
      <border/>
    </dxf>
    <dxf>
      <font/>
      <fill>
        <patternFill patternType="solid">
          <fgColor theme="7"/>
          <bgColor theme="7"/>
        </patternFill>
      </fill>
      <border/>
    </dxf>
    <dxf>
      <font/>
      <fill>
        <patternFill patternType="solid">
          <fgColor rgb="FFD2D2D2"/>
          <bgColor rgb="FFD2D2D2"/>
        </patternFill>
      </fill>
      <border/>
    </dxf>
    <dxf>
      <font/>
      <fill>
        <patternFill patternType="solid">
          <fgColor rgb="FF00BD32"/>
          <bgColor rgb="FF00BD32"/>
        </patternFill>
      </fill>
      <border/>
    </dxf>
    <dxf>
      <font/>
      <fill>
        <patternFill patternType="solid">
          <fgColor rgb="FF92D050"/>
          <bgColor rgb="FF92D050"/>
        </patternFill>
      </fill>
      <border/>
    </dxf>
    <dxf>
      <font/>
      <fill>
        <patternFill patternType="solid">
          <fgColor rgb="FF81D6F0"/>
          <bgColor rgb="FF81D6F0"/>
        </patternFill>
      </fill>
      <border/>
    </dxf>
    <dxf>
      <font/>
      <fill>
        <patternFill patternType="solid">
          <fgColor rgb="FFDAE2AE"/>
          <bgColor rgb="FFDAE2AE"/>
        </patternFill>
      </fill>
      <border/>
    </dxf>
    <dxf>
      <font/>
      <fill>
        <patternFill patternType="solid">
          <fgColor rgb="FFFFE598"/>
          <bgColor rgb="FFFFE598"/>
        </patternFill>
      </fill>
      <border/>
    </dxf>
    <dxf>
      <font/>
      <fill>
        <patternFill patternType="solid">
          <fgColor rgb="FFFFAFAE"/>
          <bgColor rgb="FFFFAFAE"/>
        </patternFill>
      </fill>
      <border/>
    </dxf>
    <dxf>
      <font>
        <color rgb="FFCC0000"/>
      </font>
      <fill>
        <patternFill patternType="solid">
          <fgColor rgb="FFCFD7EE"/>
          <bgColor rgb="FFCFD7EE"/>
        </patternFill>
      </fill>
      <border/>
    </dxf>
    <dxf>
      <font>
        <color rgb="FF999999"/>
      </font>
      <fill>
        <patternFill patternType="none"/>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DDF1"/>
          <bgColor rgb="FFE7DDF1"/>
        </patternFill>
      </fill>
      <border/>
    </dxf>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s>
  <tableStyles count="1">
    <tableStyle count="3" pivot="0" name="Budget-style">
      <tableStyleElement dxfId="15" type="headerRow"/>
      <tableStyleElement dxfId="16" type="firstRowStripe"/>
      <tableStyleElement dxfId="1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0</xdr:row>
      <xdr:rowOff>0</xdr:rowOff>
    </xdr:from>
    <xdr:ext cx="1733550" cy="428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19050</xdr:rowOff>
    </xdr:from>
    <xdr:ext cx="1733550" cy="428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19050</xdr:rowOff>
    </xdr:from>
    <xdr:ext cx="1733550" cy="428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19050</xdr:rowOff>
    </xdr:from>
    <xdr:ext cx="1733550" cy="428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19050</xdr:rowOff>
    </xdr:from>
    <xdr:ext cx="1733550" cy="428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19050</xdr:rowOff>
    </xdr:from>
    <xdr:ext cx="1733550" cy="428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19050</xdr:rowOff>
    </xdr:from>
    <xdr:ext cx="1733550" cy="428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19050</xdr:rowOff>
    </xdr:from>
    <xdr:ext cx="1733550" cy="428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733550" cy="428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0</xdr:row>
      <xdr:rowOff>38100</xdr:rowOff>
    </xdr:from>
    <xdr:ext cx="1695450" cy="3333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0</xdr:row>
      <xdr:rowOff>19050</xdr:rowOff>
    </xdr:from>
    <xdr:ext cx="1733550" cy="428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724025" cy="428625"/>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headerRowCount="0" ref="L6:AR14" displayName="Table_1" name="Table_1" id="1">
  <tableColumns count="3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s>
  <tableStyleInfo name="Budget-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martsheet.com/try-it?trp=11440&amp;utm_source=integrated+content&amp;utm_campaign=/content/google-sheets-project-management-templates&amp;utm_medium=Project+Management+Plan+Dashboard+google+sheets+11440&amp;lpa=Project+Management+Plan+Dashboard+google+sheets+11440&amp;lx=PFpZZjisDNTS-Ddigi3MyABAgeTPLDIL8TQRu558b7w"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super-marty.atlassian.net/browse/SCRUM-54" TargetMode="External"/><Relationship Id="rId42" Type="http://schemas.openxmlformats.org/officeDocument/2006/relationships/hyperlink" Target="https://super-marty.atlassian.net/browse/SCRUM-59" TargetMode="External"/><Relationship Id="rId41" Type="http://schemas.openxmlformats.org/officeDocument/2006/relationships/hyperlink" Target="https://super-marty.atlassian.net/browse/SCRUM-57" TargetMode="External"/><Relationship Id="rId44" Type="http://schemas.openxmlformats.org/officeDocument/2006/relationships/hyperlink" Target="https://super-marty.atlassian.net/browse/SCRUM-61" TargetMode="External"/><Relationship Id="rId43" Type="http://schemas.openxmlformats.org/officeDocument/2006/relationships/hyperlink" Target="https://super-marty.atlassian.net/browse/SCRUM-60" TargetMode="External"/><Relationship Id="rId46" Type="http://schemas.openxmlformats.org/officeDocument/2006/relationships/hyperlink" Target="https://super-marty.atlassian.net/browse/SCRUM-65" TargetMode="External"/><Relationship Id="rId45" Type="http://schemas.openxmlformats.org/officeDocument/2006/relationships/hyperlink" Target="https://super-marty.atlassian.net/browse/SCRUM-63" TargetMode="External"/><Relationship Id="rId107" Type="http://schemas.openxmlformats.org/officeDocument/2006/relationships/hyperlink" Target="https://super-marty.atlassian.net/browse/SCRUM-308" TargetMode="External"/><Relationship Id="rId106" Type="http://schemas.openxmlformats.org/officeDocument/2006/relationships/hyperlink" Target="https://super-marty.atlassian.net/browse/SCRUM-307" TargetMode="External"/><Relationship Id="rId105" Type="http://schemas.openxmlformats.org/officeDocument/2006/relationships/hyperlink" Target="https://super-marty.atlassian.net/browse/SCRUM-298" TargetMode="External"/><Relationship Id="rId104" Type="http://schemas.openxmlformats.org/officeDocument/2006/relationships/hyperlink" Target="https://super-marty.atlassian.net/browse/SCRUM-191" TargetMode="External"/><Relationship Id="rId109" Type="http://schemas.openxmlformats.org/officeDocument/2006/relationships/hyperlink" Target="https://super-marty.atlassian.net/browse/SCRUM-297" TargetMode="External"/><Relationship Id="rId108" Type="http://schemas.openxmlformats.org/officeDocument/2006/relationships/hyperlink" Target="https://super-marty.atlassian.net/browse/SCRUM-292" TargetMode="External"/><Relationship Id="rId48" Type="http://schemas.openxmlformats.org/officeDocument/2006/relationships/hyperlink" Target="https://super-marty.atlassian.net/browse/SCRUM-67" TargetMode="External"/><Relationship Id="rId47" Type="http://schemas.openxmlformats.org/officeDocument/2006/relationships/hyperlink" Target="https://super-marty.atlassian.net/browse/SCRUM-66" TargetMode="External"/><Relationship Id="rId49" Type="http://schemas.openxmlformats.org/officeDocument/2006/relationships/hyperlink" Target="https://super-marty.atlassian.net/browse/SCRUM-68" TargetMode="External"/><Relationship Id="rId103" Type="http://schemas.openxmlformats.org/officeDocument/2006/relationships/hyperlink" Target="https://super-marty.atlassian.net/browse/SCRUM-189" TargetMode="External"/><Relationship Id="rId102" Type="http://schemas.openxmlformats.org/officeDocument/2006/relationships/hyperlink" Target="https://super-marty.atlassian.net/browse/SCRUM-181" TargetMode="External"/><Relationship Id="rId101" Type="http://schemas.openxmlformats.org/officeDocument/2006/relationships/hyperlink" Target="https://super-marty.atlassian.net/browse/SCRUM-179" TargetMode="External"/><Relationship Id="rId100" Type="http://schemas.openxmlformats.org/officeDocument/2006/relationships/hyperlink" Target="https://super-marty.atlassian.net/browse/SCRUM-274" TargetMode="External"/><Relationship Id="rId31" Type="http://schemas.openxmlformats.org/officeDocument/2006/relationships/hyperlink" Target="https://super-marty.atlassian.net/browse/SCRUM-32" TargetMode="External"/><Relationship Id="rId30" Type="http://schemas.openxmlformats.org/officeDocument/2006/relationships/hyperlink" Target="https://super-marty.atlassian.net/browse/SCRUM-28" TargetMode="External"/><Relationship Id="rId33" Type="http://schemas.openxmlformats.org/officeDocument/2006/relationships/hyperlink" Target="https://super-marty.atlassian.net/browse/SCRUM-25" TargetMode="External"/><Relationship Id="rId32" Type="http://schemas.openxmlformats.org/officeDocument/2006/relationships/hyperlink" Target="https://super-marty.atlassian.net/browse/SCRUM-24" TargetMode="External"/><Relationship Id="rId35" Type="http://schemas.openxmlformats.org/officeDocument/2006/relationships/hyperlink" Target="https://super-marty.atlassian.net/browse/SCRUM-87" TargetMode="External"/><Relationship Id="rId34" Type="http://schemas.openxmlformats.org/officeDocument/2006/relationships/hyperlink" Target="https://super-marty.atlassian.net/browse/SCRUM-18" TargetMode="External"/><Relationship Id="rId37" Type="http://schemas.openxmlformats.org/officeDocument/2006/relationships/hyperlink" Target="https://super-marty.atlassian.net/browse/SCRUM-93" TargetMode="External"/><Relationship Id="rId36" Type="http://schemas.openxmlformats.org/officeDocument/2006/relationships/hyperlink" Target="https://super-marty.atlassian.net/browse/SCRUM-26" TargetMode="External"/><Relationship Id="rId39" Type="http://schemas.openxmlformats.org/officeDocument/2006/relationships/hyperlink" Target="https://super-marty.atlassian.net/browse/SCRUM-53" TargetMode="External"/><Relationship Id="rId38" Type="http://schemas.openxmlformats.org/officeDocument/2006/relationships/hyperlink" Target="https://super-marty.atlassian.net/browse/SCRUM-52" TargetMode="External"/><Relationship Id="rId20" Type="http://schemas.openxmlformats.org/officeDocument/2006/relationships/hyperlink" Target="https://super-marty.atlassian.net/browse/SCRUM-11" TargetMode="External"/><Relationship Id="rId22" Type="http://schemas.openxmlformats.org/officeDocument/2006/relationships/hyperlink" Target="https://super-marty.atlassian.net/browse/SCRUM-91" TargetMode="External"/><Relationship Id="rId21" Type="http://schemas.openxmlformats.org/officeDocument/2006/relationships/hyperlink" Target="https://super-marty.atlassian.net/browse/SCRUM-10" TargetMode="External"/><Relationship Id="rId24" Type="http://schemas.openxmlformats.org/officeDocument/2006/relationships/hyperlink" Target="https://super-marty.atlassian.net/browse/SCRUM-27" TargetMode="External"/><Relationship Id="rId23" Type="http://schemas.openxmlformats.org/officeDocument/2006/relationships/hyperlink" Target="https://super-marty.atlassian.net/browse/SCRUM-86" TargetMode="External"/><Relationship Id="rId126" Type="http://schemas.openxmlformats.org/officeDocument/2006/relationships/vmlDrawing" Target="../drawings/vmlDrawing2.vml"/><Relationship Id="rId26" Type="http://schemas.openxmlformats.org/officeDocument/2006/relationships/hyperlink" Target="https://super-marty.atlassian.net/browse/SCRUM-30" TargetMode="External"/><Relationship Id="rId121" Type="http://schemas.openxmlformats.org/officeDocument/2006/relationships/hyperlink" Target="https://super-marty.atlassian.net/browse/SCRUM-326" TargetMode="External"/><Relationship Id="rId25" Type="http://schemas.openxmlformats.org/officeDocument/2006/relationships/hyperlink" Target="https://super-marty.atlassian.net/browse/SCRUM-39" TargetMode="External"/><Relationship Id="rId120" Type="http://schemas.openxmlformats.org/officeDocument/2006/relationships/hyperlink" Target="https://super-marty.atlassian.net/browse/SCRUM-325" TargetMode="External"/><Relationship Id="rId28" Type="http://schemas.openxmlformats.org/officeDocument/2006/relationships/hyperlink" Target="https://super-marty.atlassian.net/browse/SCRUM-29" TargetMode="External"/><Relationship Id="rId27" Type="http://schemas.openxmlformats.org/officeDocument/2006/relationships/hyperlink" Target="https://super-marty.atlassian.net/browse/SCRUM-31" TargetMode="External"/><Relationship Id="rId125" Type="http://schemas.openxmlformats.org/officeDocument/2006/relationships/drawing" Target="../drawings/drawing3.xml"/><Relationship Id="rId29" Type="http://schemas.openxmlformats.org/officeDocument/2006/relationships/hyperlink" Target="https://super-marty.atlassian.net/browse/SCRUM-12" TargetMode="External"/><Relationship Id="rId124" Type="http://schemas.openxmlformats.org/officeDocument/2006/relationships/hyperlink" Target="https://super-marty.atlassian.net/browse/SCRUM-156" TargetMode="External"/><Relationship Id="rId123" Type="http://schemas.openxmlformats.org/officeDocument/2006/relationships/hyperlink" Target="https://super-marty.atlassian.net/browse/SCRUM-356" TargetMode="External"/><Relationship Id="rId122" Type="http://schemas.openxmlformats.org/officeDocument/2006/relationships/hyperlink" Target="https://super-marty.atlassian.net/browse/SCRUM-355" TargetMode="External"/><Relationship Id="rId95" Type="http://schemas.openxmlformats.org/officeDocument/2006/relationships/hyperlink" Target="https://super-marty.atlassian.net/browse/SCRUM-180" TargetMode="External"/><Relationship Id="rId94" Type="http://schemas.openxmlformats.org/officeDocument/2006/relationships/hyperlink" Target="https://super-marty.atlassian.net/browse/SCRUM-275" TargetMode="External"/><Relationship Id="rId97" Type="http://schemas.openxmlformats.org/officeDocument/2006/relationships/hyperlink" Target="https://super-marty.atlassian.net/browse/SCRUM-271" TargetMode="External"/><Relationship Id="rId96" Type="http://schemas.openxmlformats.org/officeDocument/2006/relationships/hyperlink" Target="https://super-marty.atlassian.net/browse/SCRUM-270" TargetMode="External"/><Relationship Id="rId11" Type="http://schemas.openxmlformats.org/officeDocument/2006/relationships/hyperlink" Target="https://super-marty.atlassian.net/browse/SCRUM-21" TargetMode="External"/><Relationship Id="rId99" Type="http://schemas.openxmlformats.org/officeDocument/2006/relationships/hyperlink" Target="https://super-marty.atlassian.net/browse/SCRUM-273" TargetMode="External"/><Relationship Id="rId10" Type="http://schemas.openxmlformats.org/officeDocument/2006/relationships/hyperlink" Target="https://super-marty.atlassian.net/browse/SCRUM-20" TargetMode="External"/><Relationship Id="rId98" Type="http://schemas.openxmlformats.org/officeDocument/2006/relationships/hyperlink" Target="https://super-marty.atlassian.net/browse/SCRUM-272" TargetMode="External"/><Relationship Id="rId13" Type="http://schemas.openxmlformats.org/officeDocument/2006/relationships/hyperlink" Target="https://super-marty.atlassian.net/browse/SCRUM-8" TargetMode="External"/><Relationship Id="rId12" Type="http://schemas.openxmlformats.org/officeDocument/2006/relationships/hyperlink" Target="https://super-marty.atlassian.net/browse/SCRUM-7" TargetMode="External"/><Relationship Id="rId91" Type="http://schemas.openxmlformats.org/officeDocument/2006/relationships/hyperlink" Target="https://super-marty.atlassian.net/browse/SCRUM-186" TargetMode="External"/><Relationship Id="rId90" Type="http://schemas.openxmlformats.org/officeDocument/2006/relationships/hyperlink" Target="https://super-marty.atlassian.net/browse/SCRUM-185" TargetMode="External"/><Relationship Id="rId93" Type="http://schemas.openxmlformats.org/officeDocument/2006/relationships/hyperlink" Target="https://super-marty.atlassian.net/browse/SCRUM-188" TargetMode="External"/><Relationship Id="rId92" Type="http://schemas.openxmlformats.org/officeDocument/2006/relationships/hyperlink" Target="https://super-marty.atlassian.net/browse/SCRUM-187" TargetMode="External"/><Relationship Id="rId118" Type="http://schemas.openxmlformats.org/officeDocument/2006/relationships/hyperlink" Target="https://super-marty.atlassian.net/browse/SCRUM-340" TargetMode="External"/><Relationship Id="rId117" Type="http://schemas.openxmlformats.org/officeDocument/2006/relationships/hyperlink" Target="https://super-marty.atlassian.net/browse/SCRUM-323" TargetMode="External"/><Relationship Id="rId116" Type="http://schemas.openxmlformats.org/officeDocument/2006/relationships/hyperlink" Target="https://super-marty.atlassian.net/browse/SCRUM-322" TargetMode="External"/><Relationship Id="rId115" Type="http://schemas.openxmlformats.org/officeDocument/2006/relationships/hyperlink" Target="https://super-marty.atlassian.net/browse/SCRUM-321" TargetMode="External"/><Relationship Id="rId119" Type="http://schemas.openxmlformats.org/officeDocument/2006/relationships/hyperlink" Target="https://super-marty.atlassian.net/browse/SCRUM-327" TargetMode="External"/><Relationship Id="rId15" Type="http://schemas.openxmlformats.org/officeDocument/2006/relationships/hyperlink" Target="https://super-marty.atlassian.net/browse/SCRUM-14" TargetMode="External"/><Relationship Id="rId110" Type="http://schemas.openxmlformats.org/officeDocument/2006/relationships/hyperlink" Target="https://super-marty.atlassian.net/browse/SCRUM-117" TargetMode="External"/><Relationship Id="rId14" Type="http://schemas.openxmlformats.org/officeDocument/2006/relationships/hyperlink" Target="https://super-marty.atlassian.net/browse/SCRUM-13" TargetMode="External"/><Relationship Id="rId17" Type="http://schemas.openxmlformats.org/officeDocument/2006/relationships/hyperlink" Target="https://super-marty.atlassian.net/browse/SCRUM-16" TargetMode="External"/><Relationship Id="rId16" Type="http://schemas.openxmlformats.org/officeDocument/2006/relationships/hyperlink" Target="https://super-marty.atlassian.net/browse/SCRUM-15" TargetMode="External"/><Relationship Id="rId19" Type="http://schemas.openxmlformats.org/officeDocument/2006/relationships/hyperlink" Target="https://super-marty.atlassian.net/browse/SCRUM-9" TargetMode="External"/><Relationship Id="rId114" Type="http://schemas.openxmlformats.org/officeDocument/2006/relationships/hyperlink" Target="https://super-marty.atlassian.net/browse/SCRUM-320" TargetMode="External"/><Relationship Id="rId18" Type="http://schemas.openxmlformats.org/officeDocument/2006/relationships/hyperlink" Target="https://super-marty.atlassian.net/browse/SCRUM-17" TargetMode="External"/><Relationship Id="rId113" Type="http://schemas.openxmlformats.org/officeDocument/2006/relationships/hyperlink" Target="https://super-marty.atlassian.net/browse/SCRUM-300" TargetMode="External"/><Relationship Id="rId112" Type="http://schemas.openxmlformats.org/officeDocument/2006/relationships/hyperlink" Target="https://super-marty.atlassian.net/browse/SCRUM-119" TargetMode="External"/><Relationship Id="rId111" Type="http://schemas.openxmlformats.org/officeDocument/2006/relationships/hyperlink" Target="https://super-marty.atlassian.net/browse/SCRUM-118" TargetMode="External"/><Relationship Id="rId84" Type="http://schemas.openxmlformats.org/officeDocument/2006/relationships/hyperlink" Target="https://super-marty.atlassian.net/browse/SCRUM-176" TargetMode="External"/><Relationship Id="rId83" Type="http://schemas.openxmlformats.org/officeDocument/2006/relationships/hyperlink" Target="https://super-marty.atlassian.net/browse/SCRUM-175" TargetMode="External"/><Relationship Id="rId86" Type="http://schemas.openxmlformats.org/officeDocument/2006/relationships/hyperlink" Target="https://super-marty.atlassian.net/browse/SCRUM-178" TargetMode="External"/><Relationship Id="rId85" Type="http://schemas.openxmlformats.org/officeDocument/2006/relationships/hyperlink" Target="https://super-marty.atlassian.net/browse/SCRUM-177" TargetMode="External"/><Relationship Id="rId88" Type="http://schemas.openxmlformats.org/officeDocument/2006/relationships/hyperlink" Target="https://super-marty.atlassian.net/browse/SCRUM-183" TargetMode="External"/><Relationship Id="rId87" Type="http://schemas.openxmlformats.org/officeDocument/2006/relationships/hyperlink" Target="https://super-marty.atlassian.net/browse/SCRUM-182" TargetMode="External"/><Relationship Id="rId89" Type="http://schemas.openxmlformats.org/officeDocument/2006/relationships/hyperlink" Target="https://super-marty.atlassian.net/browse/SCRUM-184" TargetMode="External"/><Relationship Id="rId80" Type="http://schemas.openxmlformats.org/officeDocument/2006/relationships/hyperlink" Target="https://super-marty.atlassian.net/browse/SCRUM-172" TargetMode="External"/><Relationship Id="rId82" Type="http://schemas.openxmlformats.org/officeDocument/2006/relationships/hyperlink" Target="https://super-marty.atlassian.net/browse/SCRUM-174" TargetMode="External"/><Relationship Id="rId81" Type="http://schemas.openxmlformats.org/officeDocument/2006/relationships/hyperlink" Target="https://super-marty.atlassian.net/browse/SCRUM-173" TargetMode="External"/><Relationship Id="rId1" Type="http://schemas.openxmlformats.org/officeDocument/2006/relationships/comments" Target="../comments2.xml"/><Relationship Id="rId2" Type="http://schemas.openxmlformats.org/officeDocument/2006/relationships/hyperlink" Target="https://super-marty.atlassian.net/browse/SCRUM-40" TargetMode="External"/><Relationship Id="rId3" Type="http://schemas.openxmlformats.org/officeDocument/2006/relationships/hyperlink" Target="https://bugloos.bitrix24.com/workgroups/group/247/tasks/task/view/393729/" TargetMode="External"/><Relationship Id="rId4" Type="http://schemas.openxmlformats.org/officeDocument/2006/relationships/hyperlink" Target="https://super-marty.atlassian.net/browse/SCRUM-1" TargetMode="External"/><Relationship Id="rId9" Type="http://schemas.openxmlformats.org/officeDocument/2006/relationships/hyperlink" Target="https://super-marty.atlassian.net/browse/SCRUM-19" TargetMode="External"/><Relationship Id="rId5" Type="http://schemas.openxmlformats.org/officeDocument/2006/relationships/hyperlink" Target="https://super-marty.atlassian.net/browse/SCRUM-2" TargetMode="External"/><Relationship Id="rId6" Type="http://schemas.openxmlformats.org/officeDocument/2006/relationships/hyperlink" Target="https://super-marty.atlassian.net/browse/SCRUM-3" TargetMode="External"/><Relationship Id="rId7" Type="http://schemas.openxmlformats.org/officeDocument/2006/relationships/hyperlink" Target="https://super-marty.atlassian.net/browse/SCRUM-4" TargetMode="External"/><Relationship Id="rId8" Type="http://schemas.openxmlformats.org/officeDocument/2006/relationships/hyperlink" Target="https://super-marty.atlassian.net/browse/SCRUM-6" TargetMode="External"/><Relationship Id="rId73" Type="http://schemas.openxmlformats.org/officeDocument/2006/relationships/hyperlink" Target="https://super-marty.atlassian.net/browse/SCRUM-199" TargetMode="External"/><Relationship Id="rId72" Type="http://schemas.openxmlformats.org/officeDocument/2006/relationships/hyperlink" Target="https://super-marty.atlassian.net/browse/SCRUM-198" TargetMode="External"/><Relationship Id="rId75" Type="http://schemas.openxmlformats.org/officeDocument/2006/relationships/hyperlink" Target="https://super-marty.atlassian.net/browse/SCRUM-158" TargetMode="External"/><Relationship Id="rId74" Type="http://schemas.openxmlformats.org/officeDocument/2006/relationships/hyperlink" Target="https://super-marty.atlassian.net/browse/SCRUM-155" TargetMode="External"/><Relationship Id="rId77" Type="http://schemas.openxmlformats.org/officeDocument/2006/relationships/hyperlink" Target="https://super-marty.atlassian.net/browse/SCRUM-162" TargetMode="External"/><Relationship Id="rId76" Type="http://schemas.openxmlformats.org/officeDocument/2006/relationships/hyperlink" Target="https://super-marty.atlassian.net/browse/SCRUM-160" TargetMode="External"/><Relationship Id="rId79" Type="http://schemas.openxmlformats.org/officeDocument/2006/relationships/hyperlink" Target="https://super-marty.atlassian.net/browse/SCRUM-171" TargetMode="External"/><Relationship Id="rId78" Type="http://schemas.openxmlformats.org/officeDocument/2006/relationships/hyperlink" Target="https://super-marty.atlassian.net/browse/SCRUM-164" TargetMode="External"/><Relationship Id="rId71" Type="http://schemas.openxmlformats.org/officeDocument/2006/relationships/hyperlink" Target="https://super-marty.atlassian.net/browse/SCRUM-197" TargetMode="External"/><Relationship Id="rId70" Type="http://schemas.openxmlformats.org/officeDocument/2006/relationships/hyperlink" Target="https://super-marty.atlassian.net/browse/SCRUM-196" TargetMode="External"/><Relationship Id="rId62" Type="http://schemas.openxmlformats.org/officeDocument/2006/relationships/hyperlink" Target="https://super-marty.atlassian.net/browse/SCRUM-80" TargetMode="External"/><Relationship Id="rId61" Type="http://schemas.openxmlformats.org/officeDocument/2006/relationships/hyperlink" Target="https://super-marty.atlassian.net/browse/SCRUM-79" TargetMode="External"/><Relationship Id="rId64" Type="http://schemas.openxmlformats.org/officeDocument/2006/relationships/hyperlink" Target="https://super-marty.atlassian.net/browse/SCRUM-82" TargetMode="External"/><Relationship Id="rId63" Type="http://schemas.openxmlformats.org/officeDocument/2006/relationships/hyperlink" Target="https://super-marty.atlassian.net/browse/SCRUM-81" TargetMode="External"/><Relationship Id="rId66" Type="http://schemas.openxmlformats.org/officeDocument/2006/relationships/hyperlink" Target="https://super-marty.atlassian.net/browse/SCRUM-192" TargetMode="External"/><Relationship Id="rId65" Type="http://schemas.openxmlformats.org/officeDocument/2006/relationships/hyperlink" Target="https://super-marty.atlassian.net/browse/SCRUM-190" TargetMode="External"/><Relationship Id="rId68" Type="http://schemas.openxmlformats.org/officeDocument/2006/relationships/hyperlink" Target="https://super-marty.atlassian.net/browse/SCRUM-194" TargetMode="External"/><Relationship Id="rId67" Type="http://schemas.openxmlformats.org/officeDocument/2006/relationships/hyperlink" Target="https://super-marty.atlassian.net/browse/SCRUM-193" TargetMode="External"/><Relationship Id="rId60" Type="http://schemas.openxmlformats.org/officeDocument/2006/relationships/hyperlink" Target="https://super-marty.atlassian.net/browse/SCRUM-79" TargetMode="External"/><Relationship Id="rId69" Type="http://schemas.openxmlformats.org/officeDocument/2006/relationships/hyperlink" Target="https://super-marty.atlassian.net/browse/SCRUM-195" TargetMode="External"/><Relationship Id="rId51" Type="http://schemas.openxmlformats.org/officeDocument/2006/relationships/hyperlink" Target="https://super-marty.atlassian.net/browse/SCRUM-70" TargetMode="External"/><Relationship Id="rId50" Type="http://schemas.openxmlformats.org/officeDocument/2006/relationships/hyperlink" Target="https://super-marty.atlassian.net/browse/SCRUM-99" TargetMode="External"/><Relationship Id="rId53" Type="http://schemas.openxmlformats.org/officeDocument/2006/relationships/hyperlink" Target="https://super-marty.atlassian.net/browse/SCRUM-72" TargetMode="External"/><Relationship Id="rId52" Type="http://schemas.openxmlformats.org/officeDocument/2006/relationships/hyperlink" Target="https://super-marty.atlassian.net/browse/SCRUM-71" TargetMode="External"/><Relationship Id="rId55" Type="http://schemas.openxmlformats.org/officeDocument/2006/relationships/hyperlink" Target="https://super-marty.atlassian.net/browse/SCRUM-74" TargetMode="External"/><Relationship Id="rId54" Type="http://schemas.openxmlformats.org/officeDocument/2006/relationships/hyperlink" Target="https://super-marty.atlassian.net/browse/SCRUM-73" TargetMode="External"/><Relationship Id="rId57" Type="http://schemas.openxmlformats.org/officeDocument/2006/relationships/hyperlink" Target="https://super-marty.atlassian.net/browse/SCRUM-76" TargetMode="External"/><Relationship Id="rId56" Type="http://schemas.openxmlformats.org/officeDocument/2006/relationships/hyperlink" Target="https://super-marty.atlassian.net/browse/SCRUM-75" TargetMode="External"/><Relationship Id="rId59" Type="http://schemas.openxmlformats.org/officeDocument/2006/relationships/hyperlink" Target="https://super-marty.atlassian.net/browse/SCRUM-78" TargetMode="External"/><Relationship Id="rId58" Type="http://schemas.openxmlformats.org/officeDocument/2006/relationships/hyperlink" Target="https://super-marty.atlassian.net/browse/SCRUM-77"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40" Type="http://schemas.openxmlformats.org/officeDocument/2006/relationships/hyperlink" Target="mailto:mahsa.a@bugloos.com" TargetMode="External"/><Relationship Id="rId42" Type="http://schemas.openxmlformats.org/officeDocument/2006/relationships/hyperlink" Target="mailto:amin.m@bugloos.com" TargetMode="External"/><Relationship Id="rId41" Type="http://schemas.openxmlformats.org/officeDocument/2006/relationships/hyperlink" Target="mailto:komeyl.m@bugloos.com" TargetMode="External"/><Relationship Id="rId44" Type="http://schemas.openxmlformats.org/officeDocument/2006/relationships/hyperlink" Target="mailto:vahid.s@bugloos.com" TargetMode="External"/><Relationship Id="rId43" Type="http://schemas.openxmlformats.org/officeDocument/2006/relationships/hyperlink" Target="mailto:maziar.g@bugloos.com" TargetMode="External"/><Relationship Id="rId46" Type="http://schemas.openxmlformats.org/officeDocument/2006/relationships/drawing" Target="../drawings/drawing6.xml"/><Relationship Id="rId45" Type="http://schemas.openxmlformats.org/officeDocument/2006/relationships/hyperlink" Target="mailto:nayyer.j@bugloos.com" TargetMode="External"/><Relationship Id="rId47" Type="http://schemas.openxmlformats.org/officeDocument/2006/relationships/vmlDrawing" Target="../drawings/vmlDrawing4.vml"/><Relationship Id="rId31" Type="http://schemas.openxmlformats.org/officeDocument/2006/relationships/hyperlink" Target="mailto:maziar.g@bugloos.com" TargetMode="External"/><Relationship Id="rId30" Type="http://schemas.openxmlformats.org/officeDocument/2006/relationships/hyperlink" Target="mailto:amin.m@bugloos.com" TargetMode="External"/><Relationship Id="rId33" Type="http://schemas.openxmlformats.org/officeDocument/2006/relationships/hyperlink" Target="mailto:vahid.s@bugloos.com" TargetMode="External"/><Relationship Id="rId32" Type="http://schemas.openxmlformats.org/officeDocument/2006/relationships/hyperlink" Target="mailto:farzaneh.s@bugloos.com" TargetMode="External"/><Relationship Id="rId35" Type="http://schemas.openxmlformats.org/officeDocument/2006/relationships/hyperlink" Target="mailto:komeyl.m@bugloos.com" TargetMode="External"/><Relationship Id="rId34" Type="http://schemas.openxmlformats.org/officeDocument/2006/relationships/hyperlink" Target="mailto:mahsa.a@bugloos.com" TargetMode="External"/><Relationship Id="rId37" Type="http://schemas.openxmlformats.org/officeDocument/2006/relationships/hyperlink" Target="mailto:vahid.s@bugloos.com" TargetMode="External"/><Relationship Id="rId36" Type="http://schemas.openxmlformats.org/officeDocument/2006/relationships/hyperlink" Target="mailto:amin.m@bugloos.com" TargetMode="External"/><Relationship Id="rId39" Type="http://schemas.openxmlformats.org/officeDocument/2006/relationships/hyperlink" Target="mailto:nayyer.j@bugloos.com" TargetMode="External"/><Relationship Id="rId38" Type="http://schemas.openxmlformats.org/officeDocument/2006/relationships/hyperlink" Target="mailto:maziar.g@bugloos.com" TargetMode="External"/><Relationship Id="rId20" Type="http://schemas.openxmlformats.org/officeDocument/2006/relationships/hyperlink" Target="mailto:komeyl.m@bugloos.com" TargetMode="External"/><Relationship Id="rId22" Type="http://schemas.openxmlformats.org/officeDocument/2006/relationships/hyperlink" Target="mailto:maziar.g@bugloos.com" TargetMode="External"/><Relationship Id="rId21" Type="http://schemas.openxmlformats.org/officeDocument/2006/relationships/hyperlink" Target="mailto:mahsa.a@bugloos.com" TargetMode="External"/><Relationship Id="rId24" Type="http://schemas.openxmlformats.org/officeDocument/2006/relationships/hyperlink" Target="mailto:alireza.e@bugloos.com" TargetMode="External"/><Relationship Id="rId23" Type="http://schemas.openxmlformats.org/officeDocument/2006/relationships/hyperlink" Target="mailto:amin.m@bugloos.com" TargetMode="External"/><Relationship Id="rId26" Type="http://schemas.openxmlformats.org/officeDocument/2006/relationships/hyperlink" Target="mailto:farzaneh.s@bugloos.com" TargetMode="External"/><Relationship Id="rId25" Type="http://schemas.openxmlformats.org/officeDocument/2006/relationships/hyperlink" Target="mailto:komeyl.m@bugloos.com" TargetMode="External"/><Relationship Id="rId28" Type="http://schemas.openxmlformats.org/officeDocument/2006/relationships/hyperlink" Target="mailto:mahsa.a@bugloos.com" TargetMode="External"/><Relationship Id="rId27" Type="http://schemas.openxmlformats.org/officeDocument/2006/relationships/hyperlink" Target="mailto:vahid.s@bugloos.com" TargetMode="External"/><Relationship Id="rId29" Type="http://schemas.openxmlformats.org/officeDocument/2006/relationships/hyperlink" Target="mailto:komeyl.m@bugloos.com" TargetMode="External"/><Relationship Id="rId11" Type="http://schemas.openxmlformats.org/officeDocument/2006/relationships/hyperlink" Target="mailto:amin.m@bugloos.com" TargetMode="External"/><Relationship Id="rId10" Type="http://schemas.openxmlformats.org/officeDocument/2006/relationships/hyperlink" Target="mailto:maziar.g@bugloos.com" TargetMode="External"/><Relationship Id="rId13" Type="http://schemas.openxmlformats.org/officeDocument/2006/relationships/hyperlink" Target="mailto:farzaneh.s@bugloos.com" TargetMode="External"/><Relationship Id="rId12" Type="http://schemas.openxmlformats.org/officeDocument/2006/relationships/hyperlink" Target="mailto:alireza.e@bugloos.com" TargetMode="External"/><Relationship Id="rId15" Type="http://schemas.openxmlformats.org/officeDocument/2006/relationships/hyperlink" Target="mailto:mahsa.a@bugloos.com" TargetMode="External"/><Relationship Id="rId14" Type="http://schemas.openxmlformats.org/officeDocument/2006/relationships/hyperlink" Target="mailto:vahid.s@bugloos.com" TargetMode="External"/><Relationship Id="rId17" Type="http://schemas.openxmlformats.org/officeDocument/2006/relationships/hyperlink" Target="mailto:amin.m@bugloos.com" TargetMode="External"/><Relationship Id="rId16" Type="http://schemas.openxmlformats.org/officeDocument/2006/relationships/hyperlink" Target="mailto:maziar.g@bugloos.com" TargetMode="External"/><Relationship Id="rId19" Type="http://schemas.openxmlformats.org/officeDocument/2006/relationships/hyperlink" Target="mailto:farzaneh.s@bugloos.com" TargetMode="External"/><Relationship Id="rId18" Type="http://schemas.openxmlformats.org/officeDocument/2006/relationships/hyperlink" Target="mailto:alireza.e@bugloos.com" TargetMode="External"/><Relationship Id="rId1" Type="http://schemas.openxmlformats.org/officeDocument/2006/relationships/comments" Target="../comments4.xml"/><Relationship Id="rId2" Type="http://schemas.openxmlformats.org/officeDocument/2006/relationships/hyperlink" Target="mailto:mahsa.a@bugloos.com" TargetMode="External"/><Relationship Id="rId3" Type="http://schemas.openxmlformats.org/officeDocument/2006/relationships/hyperlink" Target="mailto:javad.z@bugloos.com" TargetMode="External"/><Relationship Id="rId4" Type="http://schemas.openxmlformats.org/officeDocument/2006/relationships/hyperlink" Target="mailto:alireza.e@bugloos.com" TargetMode="External"/><Relationship Id="rId9" Type="http://schemas.openxmlformats.org/officeDocument/2006/relationships/hyperlink" Target="mailto:mahsa.a@bugloos.com" TargetMode="External"/><Relationship Id="rId5" Type="http://schemas.openxmlformats.org/officeDocument/2006/relationships/hyperlink" Target="mailto:amin.m@bugloos.com" TargetMode="External"/><Relationship Id="rId6" Type="http://schemas.openxmlformats.org/officeDocument/2006/relationships/hyperlink" Target="mailto:maziar.g@bugloos.com" TargetMode="External"/><Relationship Id="rId7" Type="http://schemas.openxmlformats.org/officeDocument/2006/relationships/hyperlink" Target="mailto:farzaneh.s@bugloos.com" TargetMode="External"/><Relationship Id="rId8" Type="http://schemas.openxmlformats.org/officeDocument/2006/relationships/hyperlink" Target="mailto:vahid.s@bugloos.com"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0" Type="http://schemas.openxmlformats.org/officeDocument/2006/relationships/hyperlink" Target="https://drive.google.com/file/d/1ahX3OnVbPkMMEAh8n8fyF7f6A4G4GX0f/view?usp=drive_link" TargetMode="External"/><Relationship Id="rId22" Type="http://schemas.openxmlformats.org/officeDocument/2006/relationships/hyperlink" Target="https://drive.google.com/file/d/1LNRwCRgTRVC6Y2FMKQ5pSqrSD_Cd7CfU/view?usp=drive_link" TargetMode="External"/><Relationship Id="rId21" Type="http://schemas.openxmlformats.org/officeDocument/2006/relationships/hyperlink" Target="https://drive.google.com/file/d/1WMv2er_rlFOt3L6VubjS9zmREkGtoyXT/view?usp=drive_link" TargetMode="External"/><Relationship Id="rId23" Type="http://schemas.openxmlformats.org/officeDocument/2006/relationships/drawing" Target="../drawings/drawing8.xml"/><Relationship Id="rId11" Type="http://schemas.openxmlformats.org/officeDocument/2006/relationships/hyperlink" Target="https://drive.google.com/file/d/1GH4eZEA6E04EeOTUVQLYUNlv3sjeC7q9/view" TargetMode="External"/><Relationship Id="rId10" Type="http://schemas.openxmlformats.org/officeDocument/2006/relationships/hyperlink" Target="https://drive.google.com/file/d/1PQCW0MWAnv6NChx3YQDCgV6JGc-xA0ZZ/view?usp=drive_link" TargetMode="External"/><Relationship Id="rId13" Type="http://schemas.openxmlformats.org/officeDocument/2006/relationships/hyperlink" Target="https://drive.google.com/file/d/1TuQ4gu8kIR7O7WG_-ZkHxA_Pp30zY-xC/view?usp=drive_link" TargetMode="External"/><Relationship Id="rId12" Type="http://schemas.openxmlformats.org/officeDocument/2006/relationships/hyperlink" Target="https://drive.google.com/file/d/10TN0-o8Tyhm3dSwC1rk1biSBn9jlfWC4/view?usp=drive_link" TargetMode="External"/><Relationship Id="rId15" Type="http://schemas.openxmlformats.org/officeDocument/2006/relationships/hyperlink" Target="https://drive.google.com/file/d/1mbroczODc8zC1uu8geUjGPRKMM8NPcw8/view?usp=drive_link" TargetMode="External"/><Relationship Id="rId14" Type="http://schemas.openxmlformats.org/officeDocument/2006/relationships/hyperlink" Target="https://drive.google.com/file/d/14rr7vrCSnMGx4eQT2Y8tupPOfqPUQq8J/view" TargetMode="External"/><Relationship Id="rId17" Type="http://schemas.openxmlformats.org/officeDocument/2006/relationships/hyperlink" Target="https://drive.google.com/file/d/1cJIXhMHuEo-buRhRR_Xese9dfimqv_bk/view?usp=drive_link" TargetMode="External"/><Relationship Id="rId16" Type="http://schemas.openxmlformats.org/officeDocument/2006/relationships/hyperlink" Target="https://drive.google.com/file/d/1GBUx82exIaeDbNshnRS-rScTroFfmUaZ/view?usp=drive_link" TargetMode="External"/><Relationship Id="rId19" Type="http://schemas.openxmlformats.org/officeDocument/2006/relationships/hyperlink" Target="https://drive.google.com/file/d/19cnkud2Qk9AUdAVdsqugE7HMm1Od3g8s/view?usp=drive_link" TargetMode="External"/><Relationship Id="rId18" Type="http://schemas.openxmlformats.org/officeDocument/2006/relationships/hyperlink" Target="https://drive.google.com/file/d/1zbWSNmyOHknVc7RYtMJj99rKPLhWho3D/view?usp=drive_link" TargetMode="External"/><Relationship Id="rId1" Type="http://schemas.openxmlformats.org/officeDocument/2006/relationships/hyperlink" Target="https://drive.google.com/file/d/1iaEuHINMwk4rjPtLudCVU0jpj4c3vjE_/view?usp=sharing" TargetMode="External"/><Relationship Id="rId2" Type="http://schemas.openxmlformats.org/officeDocument/2006/relationships/hyperlink" Target="https://drive.google.com/file/d/19Zsd-gHwEm4DW-eixAYRObjjU-grEvEL/view?usp=drive_link" TargetMode="External"/><Relationship Id="rId3" Type="http://schemas.openxmlformats.org/officeDocument/2006/relationships/hyperlink" Target="https://drive.google.com/file/d/1TkBq-VvV3tmtY8v23MtLfe3xO6dyKduG/view?usp=sharing" TargetMode="External"/><Relationship Id="rId4" Type="http://schemas.openxmlformats.org/officeDocument/2006/relationships/hyperlink" Target="https://drive.google.com/file/d/16ycaEbG81G4n9kfh86KWCEaucBBvZFXY/view?usp=drive_link" TargetMode="External"/><Relationship Id="rId9" Type="http://schemas.openxmlformats.org/officeDocument/2006/relationships/hyperlink" Target="https://docs.google.com/document/d/10wlNNVJ_OhS_vOV8WqciaMqU-X5ikc_pQxnnJqGnzmU/edit?tab=t.0" TargetMode="External"/><Relationship Id="rId5" Type="http://schemas.openxmlformats.org/officeDocument/2006/relationships/hyperlink" Target="https://drive.google.com/file/d/1BcZ8xYxkzJS0vf4VuRq3M-KDNZdJv9IX/view?usp=drive_link" TargetMode="External"/><Relationship Id="rId6" Type="http://schemas.openxmlformats.org/officeDocument/2006/relationships/hyperlink" Target="https://drive.google.com/file/d/1_kJ07Qx2oGmD-tp9Nx9mPn0vJelw9Bc0/view?usp=sharing" TargetMode="External"/><Relationship Id="rId7" Type="http://schemas.openxmlformats.org/officeDocument/2006/relationships/hyperlink" Target="https://drive.google.com/file/d/1tRlEPb2qqhu1EP4b_9c4S-vDb777oz1s/view?usp=sharing" TargetMode="External"/><Relationship Id="rId8" Type="http://schemas.openxmlformats.org/officeDocument/2006/relationships/hyperlink" Target="https://drive.google.com/file/d/1iTwC4FmtwmYtGIpLnBUoxuIF7N8qmFQ-/view?usp=drive_link"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mailto:amin.m@bugloos.com" TargetMode="External"/><Relationship Id="rId10" Type="http://schemas.openxmlformats.org/officeDocument/2006/relationships/hyperlink" Target="mailto:parya.a@bugloos.com" TargetMode="External"/><Relationship Id="rId13" Type="http://schemas.openxmlformats.org/officeDocument/2006/relationships/vmlDrawing" Target="../drawings/vmlDrawing6.vml"/><Relationship Id="rId12" Type="http://schemas.openxmlformats.org/officeDocument/2006/relationships/drawing" Target="../drawings/drawing11.xml"/><Relationship Id="rId1" Type="http://schemas.openxmlformats.org/officeDocument/2006/relationships/comments" Target="../comments6.xml"/><Relationship Id="rId2" Type="http://schemas.openxmlformats.org/officeDocument/2006/relationships/hyperlink" Target="mailto:mahsa.a@bugloos.com" TargetMode="External"/><Relationship Id="rId3" Type="http://schemas.openxmlformats.org/officeDocument/2006/relationships/hyperlink" Target="mailto:javad.z@bugloos.com" TargetMode="External"/><Relationship Id="rId4" Type="http://schemas.openxmlformats.org/officeDocument/2006/relationships/hyperlink" Target="mailto:komeyl.m@bugloos.com" TargetMode="External"/><Relationship Id="rId9" Type="http://schemas.openxmlformats.org/officeDocument/2006/relationships/hyperlink" Target="mailto:nayyer.j@bugloos.com" TargetMode="External"/><Relationship Id="rId5" Type="http://schemas.openxmlformats.org/officeDocument/2006/relationships/hyperlink" Target="mailto:alireza.e@bugloos.com" TargetMode="External"/><Relationship Id="rId6" Type="http://schemas.openxmlformats.org/officeDocument/2006/relationships/hyperlink" Target="mailto:maziar.g@bugloos.com" TargetMode="External"/><Relationship Id="rId7" Type="http://schemas.openxmlformats.org/officeDocument/2006/relationships/hyperlink" Target="mailto:farzaneh.s@bugloos.com" TargetMode="External"/><Relationship Id="rId8" Type="http://schemas.openxmlformats.org/officeDocument/2006/relationships/hyperlink" Target="mailto:vahid.s@bugloos.com" TargetMode="Externa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 Id="rId5"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hyperlink" Target="http://dyas.gs/" TargetMode="External"/><Relationship Id="rId2"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86"/>
    <col customWidth="1" min="2" max="13" width="14.43"/>
  </cols>
  <sheetData>
    <row r="1" ht="37.5" customHeight="1">
      <c r="A1" s="1" t="str">
        <f>CONCAT('Roadmap setting'!B3," - Project overview")</f>
        <v>SuperMarty project - Project overview</v>
      </c>
    </row>
    <row r="2" ht="22.5" customHeight="1">
      <c r="A2" s="2"/>
      <c r="B2" s="3"/>
      <c r="C2" s="2"/>
      <c r="D2" s="2"/>
      <c r="E2" s="2"/>
      <c r="F2" s="2"/>
      <c r="G2" s="2"/>
      <c r="H2" s="2"/>
      <c r="I2" s="2"/>
      <c r="J2" s="2"/>
      <c r="K2" s="2"/>
      <c r="L2" s="2"/>
      <c r="M2" s="2"/>
    </row>
    <row r="3" ht="22.5" customHeight="1">
      <c r="A3" s="4" t="s">
        <v>0</v>
      </c>
      <c r="B3" s="5" t="str">
        <f>PROPER(TEXT(TODAY(),"mmm yyyy"))</f>
        <v>Apr 2025</v>
      </c>
      <c r="C3" s="6" t="str">
        <f t="shared" ref="C3:M3" si="1">PROPER(TEXT(EDATE(B$3, 1),"mmm yyyy"))</f>
        <v>Mei 2025</v>
      </c>
      <c r="D3" s="6" t="str">
        <f t="shared" si="1"/>
        <v>Jun 2025</v>
      </c>
      <c r="E3" s="6" t="str">
        <f t="shared" si="1"/>
        <v>Jul 2025</v>
      </c>
      <c r="F3" s="6" t="str">
        <f t="shared" si="1"/>
        <v>Aug 2025</v>
      </c>
      <c r="G3" s="6" t="str">
        <f t="shared" si="1"/>
        <v>Sep 2025</v>
      </c>
      <c r="H3" s="6" t="str">
        <f t="shared" si="1"/>
        <v>Okt 2025</v>
      </c>
      <c r="I3" s="6" t="str">
        <f t="shared" si="1"/>
        <v>Nov 2025</v>
      </c>
      <c r="J3" s="6" t="str">
        <f t="shared" si="1"/>
        <v>Dec 2025</v>
      </c>
      <c r="K3" s="6" t="str">
        <f t="shared" si="1"/>
        <v>Jan 2026</v>
      </c>
      <c r="L3" s="6" t="str">
        <f t="shared" si="1"/>
        <v>Feb 2026</v>
      </c>
      <c r="M3" s="6" t="str">
        <f t="shared" si="1"/>
        <v>Mrt 2026</v>
      </c>
    </row>
    <row r="4" ht="22.5" customHeight="1">
      <c r="A4" s="7" t="str">
        <f>Resources!A53</f>
        <v>Project manager</v>
      </c>
      <c r="B4" s="8">
        <f t="array" ref="B4">SUM(B$5:B$6)*(XLOOKUP($A$4,'Roadmap setting'!$A:$A,IF(RIGHT('Roadmap setting'!$B$9,3)="MMR",'Roadmap setting'!$C:$C,IF(RIGHT('Roadmap setting'!$B$9,3)="MLP",'Roadmap setting'!$D:$D,IF(RIGHT('Roadmap setting'!$B$9,3)="MAP",'Roadmap setting'!$E:$E,'Roadmap setting'!$B:$B)))))*(1+'Roadmap setting'!$E$11)</f>
        <v>0</v>
      </c>
      <c r="C4" s="8">
        <f t="array" ref="C4">SUM(C$5:C$6)*(XLOOKUP($A$4,'Roadmap setting'!$A:$A,IF(RIGHT('Roadmap setting'!$B$9,3)="MMR",'Roadmap setting'!$C:$C,IF(RIGHT('Roadmap setting'!$B$9,3)="MLP",'Roadmap setting'!$D:$D,IF(RIGHT('Roadmap setting'!$B$9,3)="MAP",'Roadmap setting'!$E:$E,'Roadmap setting'!$B:$B)))))*(1+'Roadmap setting'!$E$11)</f>
        <v>0</v>
      </c>
      <c r="D4" s="8">
        <f t="array" ref="D4">SUM(D$5:D$6)*(XLOOKUP($A$4,'Roadmap setting'!$A:$A,IF(RIGHT('Roadmap setting'!$B$9,3)="MMR",'Roadmap setting'!$C:$C,IF(RIGHT('Roadmap setting'!$B$9,3)="MLP",'Roadmap setting'!$D:$D,IF(RIGHT('Roadmap setting'!$B$9,3)="MAP",'Roadmap setting'!$E:$E,'Roadmap setting'!$B:$B)))))*(1+'Roadmap setting'!$E$11)</f>
        <v>0</v>
      </c>
      <c r="E4" s="8">
        <f t="array" ref="E4">SUM(E$5:E$6)*(XLOOKUP($A$4,'Roadmap setting'!$A:$A,IF(RIGHT('Roadmap setting'!$B$9,3)="MMR",'Roadmap setting'!$C:$C,IF(RIGHT('Roadmap setting'!$B$9,3)="MLP",'Roadmap setting'!$D:$D,IF(RIGHT('Roadmap setting'!$B$9,3)="MAP",'Roadmap setting'!$E:$E,'Roadmap setting'!$B:$B)))))*(1+'Roadmap setting'!$E$11)</f>
        <v>0</v>
      </c>
      <c r="F4" s="8">
        <f t="array" ref="F4">SUM(F$5:F$6)*(XLOOKUP($A$4,'Roadmap setting'!$A:$A,IF(RIGHT('Roadmap setting'!$B$9,3)="MMR",'Roadmap setting'!$C:$C,IF(RIGHT('Roadmap setting'!$B$9,3)="MLP",'Roadmap setting'!$D:$D,IF(RIGHT('Roadmap setting'!$B$9,3)="MAP",'Roadmap setting'!$E:$E,'Roadmap setting'!$B:$B)))))*(1+'Roadmap setting'!$E$11)</f>
        <v>0</v>
      </c>
      <c r="G4" s="8">
        <f t="array" ref="G4">SUM(G$5:G$6)*(XLOOKUP($A$4,'Roadmap setting'!$A:$A,IF(RIGHT('Roadmap setting'!$B$9,3)="MMR",'Roadmap setting'!$C:$C,IF(RIGHT('Roadmap setting'!$B$9,3)="MLP",'Roadmap setting'!$D:$D,IF(RIGHT('Roadmap setting'!$B$9,3)="MAP",'Roadmap setting'!$E:$E,'Roadmap setting'!$B:$B)))))*(1+'Roadmap setting'!$E$11)</f>
        <v>0</v>
      </c>
      <c r="H4" s="8">
        <f t="array" ref="H4">SUM(H$5:H$6)*(XLOOKUP($A$4,'Roadmap setting'!$A:$A,IF(RIGHT('Roadmap setting'!$B$9,3)="MMR",'Roadmap setting'!$C:$C,IF(RIGHT('Roadmap setting'!$B$9,3)="MLP",'Roadmap setting'!$D:$D,IF(RIGHT('Roadmap setting'!$B$9,3)="MAP",'Roadmap setting'!$E:$E,'Roadmap setting'!$B:$B)))))*(1+'Roadmap setting'!$E$11)</f>
        <v>0</v>
      </c>
      <c r="I4" s="8">
        <f t="array" ref="I4">SUM(I$5:I$6)*(XLOOKUP($A$4,'Roadmap setting'!$A:$A,IF(RIGHT('Roadmap setting'!$B$9,3)="MMR",'Roadmap setting'!$C:$C,IF(RIGHT('Roadmap setting'!$B$9,3)="MLP",'Roadmap setting'!$D:$D,IF(RIGHT('Roadmap setting'!$B$9,3)="MAP",'Roadmap setting'!$E:$E,'Roadmap setting'!$B:$B)))))*(1+'Roadmap setting'!$E$11)</f>
        <v>0</v>
      </c>
      <c r="J4" s="8">
        <f t="array" ref="J4">SUM(J$5:J$6)*(XLOOKUP($A$4,'Roadmap setting'!$A:$A,IF(RIGHT('Roadmap setting'!$B$9,3)="MMR",'Roadmap setting'!$C:$C,IF(RIGHT('Roadmap setting'!$B$9,3)="MLP",'Roadmap setting'!$D:$D,IF(RIGHT('Roadmap setting'!$B$9,3)="MAP",'Roadmap setting'!$E:$E,'Roadmap setting'!$B:$B)))))*(1+'Roadmap setting'!$E$11)</f>
        <v>0</v>
      </c>
      <c r="K4" s="8">
        <f t="array" ref="K4">SUM(K$5:K$6)*(XLOOKUP($A$4,'Roadmap setting'!$A:$A,IF(RIGHT('Roadmap setting'!$B$9,3)="MMR",'Roadmap setting'!$C:$C,IF(RIGHT('Roadmap setting'!$B$9,3)="MLP",'Roadmap setting'!$D:$D,IF(RIGHT('Roadmap setting'!$B$9,3)="MAP",'Roadmap setting'!$E:$E,'Roadmap setting'!$B:$B)))))*(1+'Roadmap setting'!$E$11)</f>
        <v>0</v>
      </c>
      <c r="L4" s="8">
        <f t="array" ref="L4">SUM(L$5:L$6)*(XLOOKUP($A$4,'Roadmap setting'!$A:$A,IF(RIGHT('Roadmap setting'!$B$9,3)="MMR",'Roadmap setting'!$C:$C,IF(RIGHT('Roadmap setting'!$B$9,3)="MLP",'Roadmap setting'!$D:$D,IF(RIGHT('Roadmap setting'!$B$9,3)="MAP",'Roadmap setting'!$E:$E,'Roadmap setting'!$B:$B)))))*(1+'Roadmap setting'!$E$11)</f>
        <v>0</v>
      </c>
      <c r="M4" s="8">
        <f t="array" ref="M4">SUM(M$5:M$6)*(XLOOKUP($A$4,'Roadmap setting'!$A:$A,IF(RIGHT('Roadmap setting'!$B$9,3)="MMR",'Roadmap setting'!$C:$C,IF(RIGHT('Roadmap setting'!$B$9,3)="MLP",'Roadmap setting'!$D:$D,IF(RIGHT('Roadmap setting'!$B$9,3)="MAP",'Roadmap setting'!$E:$E,'Roadmap setting'!$B:$B)))))*(1+'Roadmap setting'!$E$11)</f>
        <v>0</v>
      </c>
    </row>
    <row r="5" ht="22.5" customHeight="1">
      <c r="A5" s="7" t="str">
        <f>Resources!A55</f>
        <v>Backend development</v>
      </c>
      <c r="B5" s="8">
        <f>SUMIFS(Roadmap!$E$1:$E$189,Roadmap!$AO$1:$AO$189,"&gt;="&amp;DATEVALUE(B$3),Roadmap!$AO$1:$AO$189, "&lt;="&amp;EOMONTH(DATEVALUE(B$3), 0)+1)-SUMIFS(Roadmap!$E$1:$E$189,Roadmap!$AQ$1:$AQ$189,"&gt;="&amp;DATEVALUE(B$3),Roadmap!$AQ$1:$AQ$189, "&lt;="&amp;EOMONTH(DATEVALUE(B$3), 0)+1)</f>
        <v>0</v>
      </c>
      <c r="C5" s="8">
        <f>SUMIFS(Roadmap!$E$1:$E$189,Roadmap!$AO$1:$AO$189,"&gt;="&amp;DATEVALUE(C$3),Roadmap!$AO$1:$AO$189, "&lt;="&amp;EOMONTH(DATEVALUE(C$3), 0)+1)-SUMIFS(Roadmap!$E$1:$E$189,Roadmap!$AQ$1:$AQ$189,"&gt;="&amp;DATEVALUE(C$3),Roadmap!$AQ$1:$AQ$189, "&lt;="&amp;EOMONTH(DATEVALUE(C$3), 0)+1)</f>
        <v>0</v>
      </c>
      <c r="D5" s="8">
        <f>SUMIFS(Roadmap!$E$1:$E$189,Roadmap!$AO$1:$AO$189,"&gt;="&amp;DATEVALUE(D$3),Roadmap!$AO$1:$AO$189, "&lt;="&amp;EOMONTH(DATEVALUE(D$3), 0)+1)-SUMIFS(Roadmap!$E$1:$E$189,Roadmap!$AQ$1:$AQ$189,"&gt;="&amp;DATEVALUE(D$3),Roadmap!$AQ$1:$AQ$189, "&lt;="&amp;EOMONTH(DATEVALUE(D$3), 0)+1)</f>
        <v>0</v>
      </c>
      <c r="E5" s="8">
        <f>SUMIFS(Roadmap!$E$1:$E$189,Roadmap!$AO$1:$AO$189,"&gt;="&amp;DATEVALUE(E$3),Roadmap!$AO$1:$AO$189, "&lt;="&amp;EOMONTH(DATEVALUE(E$3), 0)+1)-SUMIFS(Roadmap!$E$1:$E$189,Roadmap!$AQ$1:$AQ$189,"&gt;="&amp;DATEVALUE(E$3),Roadmap!$AQ$1:$AQ$189, "&lt;="&amp;EOMONTH(DATEVALUE(E$3), 0)+1)</f>
        <v>0</v>
      </c>
      <c r="F5" s="8">
        <f>SUMIFS(Roadmap!$E$1:$E$189,Roadmap!$AO$1:$AO$189,"&gt;="&amp;DATEVALUE(F$3),Roadmap!$AO$1:$AO$189, "&lt;="&amp;EOMONTH(DATEVALUE(F$3), 0)+1)-SUMIFS(Roadmap!$E$1:$E$189,Roadmap!$AQ$1:$AQ$189,"&gt;="&amp;DATEVALUE(F$3),Roadmap!$AQ$1:$AQ$189, "&lt;="&amp;EOMONTH(DATEVALUE(F$3), 0)+1)</f>
        <v>0</v>
      </c>
      <c r="G5" s="8">
        <f>SUMIFS(Roadmap!$E$1:$E$189,Roadmap!$AO$1:$AO$189,"&gt;="&amp;DATEVALUE(G$3),Roadmap!$AO$1:$AO$189, "&lt;="&amp;EOMONTH(DATEVALUE(G$3), 0)+1)-SUMIFS(Roadmap!$E$1:$E$189,Roadmap!$AQ$1:$AQ$189,"&gt;="&amp;DATEVALUE(G$3),Roadmap!$AQ$1:$AQ$189, "&lt;="&amp;EOMONTH(DATEVALUE(G$3), 0)+1)</f>
        <v>0</v>
      </c>
      <c r="H5" s="8">
        <f>SUMIFS(Roadmap!$E$1:$E$189,Roadmap!$AO$1:$AO$189,"&gt;="&amp;DATEVALUE(H$3),Roadmap!$AO$1:$AO$189, "&lt;="&amp;EOMONTH(DATEVALUE(H$3), 0)+1)-SUMIFS(Roadmap!$E$1:$E$189,Roadmap!$AQ$1:$AQ$189,"&gt;="&amp;DATEVALUE(H$3),Roadmap!$AQ$1:$AQ$189, "&lt;="&amp;EOMONTH(DATEVALUE(H$3), 0)+1)</f>
        <v>0</v>
      </c>
      <c r="I5" s="8">
        <f>SUMIFS(Roadmap!$E$1:$E$189,Roadmap!$AO$1:$AO$189,"&gt;="&amp;DATEVALUE(I$3),Roadmap!$AO$1:$AO$189, "&lt;="&amp;EOMONTH(DATEVALUE(I$3), 0)+1)-SUMIFS(Roadmap!$E$1:$E$189,Roadmap!$AQ$1:$AQ$189,"&gt;="&amp;DATEVALUE(I$3),Roadmap!$AQ$1:$AQ$189, "&lt;="&amp;EOMONTH(DATEVALUE(I$3), 0)+1)</f>
        <v>0</v>
      </c>
      <c r="J5" s="8">
        <f>SUMIFS(Roadmap!$E$1:$E$189,Roadmap!$AO$1:$AO$189,"&gt;="&amp;DATEVALUE(J$3),Roadmap!$AO$1:$AO$189, "&lt;="&amp;EOMONTH(DATEVALUE(J$3), 0)+1)-SUMIFS(Roadmap!$E$1:$E$189,Roadmap!$AQ$1:$AQ$189,"&gt;="&amp;DATEVALUE(J$3),Roadmap!$AQ$1:$AQ$189, "&lt;="&amp;EOMONTH(DATEVALUE(J$3), 0)+1)</f>
        <v>0</v>
      </c>
      <c r="K5" s="8">
        <f>SUMIFS(Roadmap!$E$1:$E$189,Roadmap!$AO$1:$AO$189,"&gt;="&amp;DATEVALUE(K$3),Roadmap!$AO$1:$AO$189, "&lt;="&amp;EOMONTH(DATEVALUE(K$3), 0)+1)-SUMIFS(Roadmap!$E$1:$E$189,Roadmap!$AQ$1:$AQ$189,"&gt;="&amp;DATEVALUE(K$3),Roadmap!$AQ$1:$AQ$189, "&lt;="&amp;EOMONTH(DATEVALUE(K$3), 0)+1)</f>
        <v>0</v>
      </c>
      <c r="L5" s="8">
        <f>SUMIFS(Roadmap!$E$1:$E$189,Roadmap!$AO$1:$AO$189,"&gt;="&amp;DATEVALUE(L$3),Roadmap!$AO$1:$AO$189, "&lt;="&amp;EOMONTH(DATEVALUE(L$3), 0)+1)-SUMIFS(Roadmap!$E$1:$E$189,Roadmap!$AQ$1:$AQ$189,"&gt;="&amp;DATEVALUE(L$3),Roadmap!$AQ$1:$AQ$189, "&lt;="&amp;EOMONTH(DATEVALUE(L$3), 0)+1)</f>
        <v>0</v>
      </c>
      <c r="M5" s="8">
        <f>SUMIFS(Roadmap!$E$1:$E$189,Roadmap!$AO$1:$AO$189,"&gt;="&amp;DATEVALUE(M$3),Roadmap!$AO$1:$AO$189, "&lt;="&amp;EOMONTH(DATEVALUE(M$3), 0)+1)-SUMIFS(Roadmap!$E$1:$E$189,Roadmap!$AQ$1:$AQ$189,"&gt;="&amp;DATEVALUE(M$3),Roadmap!$AQ$1:$AQ$189, "&lt;="&amp;EOMONTH(DATEVALUE(M$3), 0)+1)</f>
        <v>0</v>
      </c>
    </row>
    <row r="6" ht="22.5" customHeight="1">
      <c r="A6" s="7" t="str">
        <f>Resources!A56</f>
        <v>Frontend development</v>
      </c>
      <c r="B6" s="8">
        <f>SUMIFS(Roadmap!$F$1:$F$189,Roadmap!$AP1:$AP$189,"&gt;="&amp;DATEVALUE(B$3),Roadmap!$AP1:$AP$189, "&lt;="&amp;EOMONTH(DATEVALUE(B$3), 0)+1)-SUMIFS(Roadmap!$F$1:$F$189,Roadmap!$AR1:$AR$189,"&gt;="&amp;DATEVALUE(B$3),Roadmap!$AR1:$AR$189, "&lt;="&amp;EOMONTH(DATEVALUE(B$3), 0)+1)</f>
        <v>0</v>
      </c>
      <c r="C6" s="8">
        <f>SUMIFS(Roadmap!$F$1:$F$189,Roadmap!$AP1:$AP$189,"&gt;="&amp;DATEVALUE(C$3),Roadmap!$AP1:$AP$189, "&lt;="&amp;EOMONTH(DATEVALUE(C$3), 0))-SUMIFS(Roadmap!$F$1:$F$189,Roadmap!$AR1:$AR$189,"&gt;="&amp;DATEVALUE(C$3),Roadmap!$AR1:$AR$189, "&lt;="&amp;EOMONTH(DATEVALUE(C$3), 0))</f>
        <v>0</v>
      </c>
      <c r="D6" s="8">
        <f>SUMIFS(Roadmap!$F$1:$F$189,Roadmap!$AP1:$AP$189,"&gt;="&amp;DATEVALUE(D$3),Roadmap!$AP1:$AP$189, "&lt;="&amp;EOMONTH(DATEVALUE(D$3), 0))*(1+'Roadmap setting'!$E$11)-SUMIFS(Roadmap!$F$1:$F$189,Roadmap!$AR1:$AR$189,"&gt;="&amp;DATEVALUE(D$3),Roadmap!$AR1:$AR$189, "&lt;="&amp;EOMONTH(DATEVALUE(D$3), 0))*(1+'Roadmap setting'!$E$11)</f>
        <v>0</v>
      </c>
      <c r="E6" s="8">
        <f>SUMIFS(Roadmap!$F$1:$F$189,Roadmap!$AP1:$AP$189,"&gt;="&amp;DATEVALUE(E$3),Roadmap!$AP1:$AP$189, "&lt;="&amp;EOMONTH(DATEVALUE(E$3), 0))*(1+'Roadmap setting'!$E$11)-SUMIFS(Roadmap!$F$1:$F$189,Roadmap!$AR1:$AR$189,"&gt;="&amp;DATEVALUE(E$3),Roadmap!$AR1:$AR$189, "&lt;="&amp;EOMONTH(DATEVALUE(E$3), 0))*(1+'Roadmap setting'!$E$11)</f>
        <v>0</v>
      </c>
      <c r="F6" s="8">
        <f>SUMIFS(Roadmap!$F$1:$F$189,Roadmap!$AP1:$AP$189,"&gt;="&amp;DATEVALUE(F$3),Roadmap!$AP1:$AP$189, "&lt;="&amp;EOMONTH(DATEVALUE(F$3), 0))*(1+'Roadmap setting'!$E$11)-SUMIFS(Roadmap!$F$1:$F$189,Roadmap!$AR1:$AR$189,"&gt;="&amp;DATEVALUE(F$3),Roadmap!$AR1:$AR$189, "&lt;="&amp;EOMONTH(DATEVALUE(F$3), 0))*(1+'Roadmap setting'!$E$11)</f>
        <v>0</v>
      </c>
      <c r="G6" s="8">
        <f>SUMIFS(Roadmap!$F$1:$F$189,Roadmap!$AP1:$AP$189,"&gt;="&amp;DATEVALUE(G$3),Roadmap!$AP1:$AP$189, "&lt;="&amp;EOMONTH(DATEVALUE(G$3), 0))*(1+'Roadmap setting'!$E$11)-SUMIFS(Roadmap!$F$1:$F$189,Roadmap!$AR1:$AR$189,"&gt;="&amp;DATEVALUE(G$3),Roadmap!$AR1:$AR$189, "&lt;="&amp;EOMONTH(DATEVALUE(G$3), 0))*(1+'Roadmap setting'!$E$11)</f>
        <v>0</v>
      </c>
      <c r="H6" s="8">
        <f>SUMIFS(Roadmap!$F$1:$F$189,Roadmap!$AP1:$AP$189,"&gt;="&amp;DATEVALUE(H$3),Roadmap!$AP1:$AP$189, "&lt;="&amp;EOMONTH(DATEVALUE(H$3), 0))*(1+'Roadmap setting'!$E$11)-SUMIFS(Roadmap!$F$1:$F$189,Roadmap!$AR1:$AR$189,"&gt;="&amp;DATEVALUE(H$3),Roadmap!$AR1:$AR$189, "&lt;="&amp;EOMONTH(DATEVALUE(H$3), 0))*(1+'Roadmap setting'!$E$11)</f>
        <v>0</v>
      </c>
      <c r="I6" s="8">
        <f>SUMIFS(Roadmap!$F$1:$F$189,Roadmap!$AP1:$AP$189,"&gt;="&amp;DATEVALUE(I$3),Roadmap!$AP1:$AP$189, "&lt;="&amp;EOMONTH(DATEVALUE(I$3), 0))*(1+'Roadmap setting'!$E$11)-SUMIFS(Roadmap!$F$1:$F$189,Roadmap!$AR1:$AR$189,"&gt;="&amp;DATEVALUE(I$3),Roadmap!$AR1:$AR$189, "&lt;="&amp;EOMONTH(DATEVALUE(I$3), 0))*(1+'Roadmap setting'!$E$11)</f>
        <v>0</v>
      </c>
      <c r="J6" s="8">
        <f>SUMIFS(Roadmap!$F$1:$F$189,Roadmap!$AP1:$AP$189,"&gt;="&amp;DATEVALUE(J$3),Roadmap!$AP1:$AP$189, "&lt;="&amp;EOMONTH(DATEVALUE(J$3), 0))*(1+'Roadmap setting'!$E$11)-SUMIFS(Roadmap!$F$1:$F$189,Roadmap!$AR1:$AR$189,"&gt;="&amp;DATEVALUE(J$3),Roadmap!$AR1:$AR$189, "&lt;="&amp;EOMONTH(DATEVALUE(J$3), 0))*(1+'Roadmap setting'!$E$11)</f>
        <v>0</v>
      </c>
      <c r="K6" s="8">
        <f>SUMIFS(Roadmap!$F$1:$F$189,Roadmap!$AP1:$AP$189,"&gt;="&amp;DATEVALUE(K$3),Roadmap!$AP1:$AP$189, "&lt;="&amp;EOMONTH(DATEVALUE(K$3), 0))*(1+'Roadmap setting'!$E$11)-SUMIFS(Roadmap!$F$1:$F$189,Roadmap!$AR1:$AR$189,"&gt;="&amp;DATEVALUE(K$3),Roadmap!$AR1:$AR$189, "&lt;="&amp;EOMONTH(DATEVALUE(K$3), 0))*(1+'Roadmap setting'!$E$11)</f>
        <v>0</v>
      </c>
      <c r="L6" s="8">
        <f>SUMIFS(Roadmap!$F$1:$F$189,Roadmap!$AP1:$AP$189,"&gt;="&amp;DATEVALUE(L$3),Roadmap!$AP1:$AP$189, "&lt;="&amp;EOMONTH(DATEVALUE(L$3), 0))*(1+'Roadmap setting'!$E$11)-SUMIFS(Roadmap!$F$1:$F$189,Roadmap!$AR1:$AR$189,"&gt;="&amp;DATEVALUE(L$3),Roadmap!$AR1:$AR$189, "&lt;="&amp;EOMONTH(DATEVALUE(L$3), 0))*(1+'Roadmap setting'!$E$11)</f>
        <v>0</v>
      </c>
      <c r="M6" s="8">
        <f>SUMIFS(Roadmap!$F$1:$F$189,Roadmap!$AP1:$AP$189,"&gt;="&amp;DATEVALUE(M$3),Roadmap!$AP1:$AP$189, "&lt;="&amp;EOMONTH(DATEVALUE(M$3), 0))*(1+'Roadmap setting'!$E$11)-SUMIFS(Roadmap!$F$1:$F$189,Roadmap!$AR1:$AR$189,"&gt;="&amp;DATEVALUE(M$3),Roadmap!$AR1:$AR$189, "&lt;="&amp;EOMONTH(DATEVALUE(M$3), 0))*(1+'Roadmap setting'!$E$11)</f>
        <v>0</v>
      </c>
    </row>
    <row r="7" ht="22.5" customHeight="1">
      <c r="A7" s="7" t="str">
        <f>Resources!A57</f>
        <v>UI/UX design</v>
      </c>
      <c r="B7" s="8">
        <f>SUMIFS(Roadmap!$G:$G,Roadmap!$AR:$AR,"&gt;="&amp;DATEVALUE(B$3),Roadmap!$AR:$AR, "&lt;="&amp;EOMONTH(DATEVALUE(B$3), 0))*(1+'Roadmap setting'!$E$11)</f>
        <v>0</v>
      </c>
      <c r="C7" s="8">
        <f>SUMIFS(Roadmap!$G:$G,Roadmap!$AR:$AR,"&gt;="&amp;DATEVALUE(C$3),Roadmap!$AR:$AR, "&lt;="&amp;EOMONTH(DATEVALUE(C$3), 0))*(1+'Roadmap setting'!$E$11)</f>
        <v>14.57625</v>
      </c>
      <c r="D7" s="8">
        <f>SUMIFS(Roadmap!$G:$G,Roadmap!$AR:$AR,"&gt;="&amp;DATEVALUE(D$3),Roadmap!$AR:$AR, "&lt;="&amp;EOMONTH(DATEVALUE(D$3), 0))*(1+'Roadmap setting'!$E$11)</f>
        <v>0</v>
      </c>
      <c r="E7" s="8">
        <f>SUMIFS(Roadmap!$G:$G,Roadmap!$AR:$AR,"&gt;="&amp;DATEVALUE(E$3),Roadmap!$AR:$AR, "&lt;="&amp;EOMONTH(DATEVALUE(E$3), 0))*(1+'Roadmap setting'!$E$11)</f>
        <v>0</v>
      </c>
      <c r="F7" s="8">
        <f>SUMIFS(Roadmap!$G:$G,Roadmap!$AR:$AR,"&gt;="&amp;DATEVALUE(F$3),Roadmap!$AR:$AR, "&lt;="&amp;EOMONTH(DATEVALUE(F$3), 0))*(1+'Roadmap setting'!$E$11)</f>
        <v>0</v>
      </c>
      <c r="G7" s="8">
        <f>SUMIFS(Roadmap!$G:$G,Roadmap!$AR:$AR,"&gt;="&amp;DATEVALUE(G$3),Roadmap!$AR:$AR, "&lt;="&amp;EOMONTH(DATEVALUE(G$3), 0))*(1+'Roadmap setting'!$E$11)</f>
        <v>0</v>
      </c>
      <c r="H7" s="8">
        <f>SUMIFS(Roadmap!$G:$G,Roadmap!$AR:$AR,"&gt;="&amp;DATEVALUE(H$3),Roadmap!$AR:$AR, "&lt;="&amp;EOMONTH(DATEVALUE(H$3), 0))*(1+'Roadmap setting'!$E$11)</f>
        <v>0</v>
      </c>
      <c r="I7" s="8">
        <f>SUMIFS(Roadmap!$G:$G,Roadmap!$AR:$AR,"&gt;="&amp;DATEVALUE(I$3),Roadmap!$AR:$AR, "&lt;="&amp;EOMONTH(DATEVALUE(I$3), 0))*(1+'Roadmap setting'!$E$11)</f>
        <v>0</v>
      </c>
      <c r="J7" s="8">
        <f>SUMIFS(Roadmap!$G:$G,Roadmap!$AR:$AR,"&gt;="&amp;DATEVALUE(J$3),Roadmap!$AR:$AR, "&lt;="&amp;EOMONTH(DATEVALUE(J$3), 0))*(1+'Roadmap setting'!$E$11)</f>
        <v>0</v>
      </c>
      <c r="K7" s="8">
        <f>SUMIFS(Roadmap!$G:$G,Roadmap!$AR:$AR,"&gt;="&amp;DATEVALUE(K$3),Roadmap!$AR:$AR, "&lt;="&amp;EOMONTH(DATEVALUE(K$3), 0))*(1+'Roadmap setting'!$E$11)</f>
        <v>0</v>
      </c>
      <c r="L7" s="8">
        <f>SUMIFS(Roadmap!$G:$G,Roadmap!$AR:$AR,"&gt;="&amp;DATEVALUE(L$3),Roadmap!$AR:$AR, "&lt;="&amp;EOMONTH(DATEVALUE(L$3), 0))*(1+'Roadmap setting'!$E$11)</f>
        <v>0</v>
      </c>
      <c r="M7" s="8">
        <f>SUMIFS(Roadmap!$G:$G,Roadmap!$AR:$AR,"&gt;="&amp;DATEVALUE(M$3),Roadmap!$AR:$AR, "&lt;="&amp;EOMONTH(DATEVALUE(M$3), 0))*(1+'Roadmap setting'!$E$11)</f>
        <v>0</v>
      </c>
    </row>
    <row r="8" ht="22.5" customHeight="1">
      <c r="A8" s="9">
        <f>Roadmap!AQ:AQ</f>
        <v>45785.15673</v>
      </c>
      <c r="B8" s="10" t="str">
        <f t="array" ref="B8">XLOOKUP(Resources!$A$57:$A$63,'Roadmap setting'!$A:$A,IF(RIGHT('Roadmap setting'!$B$9,3)="MMR",'Roadmap setting'!$C:$C,IF(RIGHT('Roadmap setting'!$B$9,3)="MLP",'Roadmap setting'!$D:$D,IF(RIGHT('Roadmap setting'!$B$9,3)="MAP",'Roadmap setting'!$E:$E,'Roadmap setting'!$B:$B))))</f>
        <v>#VALUE!</v>
      </c>
      <c r="C8" s="10"/>
      <c r="D8" s="10"/>
      <c r="E8" s="10"/>
      <c r="F8" s="10"/>
      <c r="G8" s="10"/>
      <c r="H8" s="10"/>
      <c r="I8" s="10"/>
      <c r="J8" s="10"/>
      <c r="K8" s="10"/>
      <c r="L8" s="10"/>
      <c r="M8" s="10"/>
    </row>
    <row r="9" ht="22.5" customHeight="1">
      <c r="A9" s="10" t="str">
        <f>QUERY(Roadmap!B:AO;"Select * where month(B)=month(now())-1",1)</f>
        <v>#ERROR!</v>
      </c>
      <c r="B9" s="10">
        <f t="shared" ref="B9:G9" si="2">DATEVALUE(B$3)</f>
        <v>45748</v>
      </c>
      <c r="C9" s="10">
        <f t="shared" si="2"/>
        <v>45778</v>
      </c>
      <c r="D9" s="10">
        <f t="shared" si="2"/>
        <v>45809</v>
      </c>
      <c r="E9" s="10">
        <f t="shared" si="2"/>
        <v>45839</v>
      </c>
      <c r="F9" s="10">
        <f t="shared" si="2"/>
        <v>45870</v>
      </c>
      <c r="G9" s="10">
        <f t="shared" si="2"/>
        <v>45901</v>
      </c>
      <c r="H9" s="10"/>
      <c r="I9" s="10"/>
      <c r="J9" s="10"/>
      <c r="K9" s="10"/>
      <c r="L9" s="10"/>
      <c r="M9" s="10"/>
    </row>
    <row r="10" ht="22.5" customHeight="1">
      <c r="A10" s="10" t="str">
        <f>IFERROR(__xludf.DUMMYFUNCTION("query()"),"#N/A")</f>
        <v>#N/A</v>
      </c>
      <c r="B10" s="11">
        <f>EOMONTH(DATEVALUE(B$3),0)+1</f>
        <v>45778</v>
      </c>
      <c r="C10" s="11">
        <f t="shared" ref="C10:G10" si="3">EOMONTH(DATEVALUE(C$3),0)</f>
        <v>45808</v>
      </c>
      <c r="D10" s="11">
        <f t="shared" si="3"/>
        <v>45838</v>
      </c>
      <c r="E10" s="11">
        <f t="shared" si="3"/>
        <v>45869</v>
      </c>
      <c r="F10" s="11">
        <f t="shared" si="3"/>
        <v>45900</v>
      </c>
      <c r="G10" s="11">
        <f t="shared" si="3"/>
        <v>45930</v>
      </c>
      <c r="H10" s="10"/>
      <c r="I10" s="10"/>
      <c r="J10" s="10"/>
      <c r="K10" s="10"/>
      <c r="L10" s="10"/>
      <c r="M10" s="10"/>
    </row>
    <row r="11" ht="22.5" customHeight="1">
      <c r="A11" s="10"/>
      <c r="B11" s="10">
        <f>TODAY()-E13</f>
        <v>45777</v>
      </c>
      <c r="C11" s="10"/>
      <c r="D11" s="10"/>
      <c r="E11" s="10"/>
      <c r="F11" s="10"/>
      <c r="G11" s="10"/>
      <c r="H11" s="10"/>
      <c r="I11" s="10"/>
      <c r="J11" s="10"/>
      <c r="K11" s="10"/>
      <c r="L11" s="10"/>
      <c r="M11" s="10"/>
    </row>
    <row r="12" ht="22.5" customHeight="1">
      <c r="A12" s="10"/>
      <c r="B12" s="10" t="str">
        <f>SUMIF(Roadmap!$AN:$AN;"&gt;="&amp;DATEVALUE(B$3) AND( "&lt;="&amp;EOMONTH(DATEVALUE(B$3); 0);Roadmap!$B:$B))</f>
        <v>#ERROR!</v>
      </c>
      <c r="C12" s="10"/>
      <c r="D12" s="10"/>
      <c r="E12" s="10"/>
      <c r="F12" s="10"/>
      <c r="G12" s="10"/>
      <c r="H12" s="10"/>
      <c r="I12" s="10"/>
      <c r="J12" s="10"/>
      <c r="K12" s="10">
        <v>0.0</v>
      </c>
      <c r="L12" s="10"/>
      <c r="M12" s="10"/>
    </row>
    <row r="13" ht="22.5" customHeight="1">
      <c r="A13" s="10"/>
      <c r="B13" s="10"/>
      <c r="C13" s="10"/>
      <c r="D13" s="10">
        <f>ROUNDUP(('Roadmap setting'!$B$8-TODAY())*(Resources!$H$55/7))</f>
        <v>-89021</v>
      </c>
      <c r="E13" s="12" t="str">
        <f>'Roadmap setting'!$B$8</f>
        <v/>
      </c>
      <c r="F13" s="10"/>
      <c r="G13" s="10"/>
      <c r="H13" s="10"/>
      <c r="I13" s="10"/>
      <c r="J13" s="10"/>
      <c r="K13" s="10"/>
      <c r="L13" s="10"/>
      <c r="M13" s="10"/>
    </row>
    <row r="14" ht="22.5" customHeight="1">
      <c r="A14" s="10"/>
      <c r="B14" s="10" t="str">
        <f>IF('Roadmap setting'!$E$14,SUM(B$5:B$6)*('Roadmap setting'!$B$14+'Roadmap setting'!$D$14),SUM(#REF!)*'Roadmap setting'!$B$14)</f>
        <v>#REF!</v>
      </c>
      <c r="C14" s="10" t="str">
        <f>bomon</f>
        <v>#NAME?</v>
      </c>
      <c r="D14" s="10">
        <f>'Roadmap setting'!$B$8-TODAY()</f>
        <v>-45777</v>
      </c>
      <c r="E14" s="10"/>
      <c r="F14" s="10"/>
      <c r="G14" s="10"/>
      <c r="H14" s="10"/>
      <c r="I14" s="10"/>
      <c r="J14" s="10"/>
      <c r="K14" s="10"/>
      <c r="L14" s="10"/>
      <c r="M14" s="10"/>
    </row>
    <row r="15" ht="22.5" customHeight="1">
      <c r="A15" s="10"/>
      <c r="B15" s="10" t="str">
        <f t="shared" ref="B15:B16" si="4">IF(#REF! &gt;=DATEVALUE(B$3),"Yes","No")</f>
        <v>#REF!</v>
      </c>
      <c r="C15" s="10" t="str">
        <f t="shared" ref="C15:C16" si="5">IF(#REF! &lt;=EOMONTH(DATEVALUE(B$3),0),"Yes","No")</f>
        <v>#REF!</v>
      </c>
      <c r="D15" s="10"/>
      <c r="E15" s="10"/>
      <c r="F15" s="10"/>
      <c r="G15" s="10"/>
      <c r="H15" s="10"/>
      <c r="I15" s="10"/>
      <c r="J15" s="10"/>
      <c r="K15" s="10"/>
      <c r="L15" s="10"/>
      <c r="M15" s="10"/>
    </row>
    <row r="16" ht="22.5" customHeight="1">
      <c r="A16" s="10"/>
      <c r="B16" s="10" t="str">
        <f t="shared" si="4"/>
        <v>#REF!</v>
      </c>
      <c r="C16" s="10" t="str">
        <f t="shared" si="5"/>
        <v>#REF!</v>
      </c>
      <c r="D16" s="10"/>
      <c r="E16" s="10"/>
      <c r="F16" s="10"/>
      <c r="G16" s="10"/>
      <c r="H16" s="10"/>
      <c r="I16" s="10"/>
      <c r="J16" s="10"/>
      <c r="K16" s="10"/>
      <c r="L16" s="10"/>
      <c r="M16" s="10"/>
    </row>
    <row r="17" ht="22.5" customHeight="1">
      <c r="A17" s="10"/>
      <c r="B17" s="10"/>
      <c r="C17" s="10" t="str">
        <f>#REF!</f>
        <v>#REF!</v>
      </c>
      <c r="D17" s="10"/>
      <c r="E17" s="10"/>
      <c r="F17" s="10"/>
      <c r="G17" s="10"/>
      <c r="H17" s="10"/>
      <c r="I17" s="10"/>
      <c r="J17" s="10"/>
      <c r="K17" s="10"/>
      <c r="L17" s="10"/>
      <c r="M17" s="10"/>
    </row>
  </sheetData>
  <mergeCells count="1">
    <mergeCell ref="A1:M1"/>
  </mergeCells>
  <conditionalFormatting sqref="A1">
    <cfRule type="expression" dxfId="0" priority="1">
      <formula>AND(#REF!&lt;&gt;"",#REF!-1&lt;TODAY())</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6.14"/>
    <col customWidth="1" min="2" max="2" width="26.86"/>
    <col customWidth="1" min="3" max="4" width="14.0"/>
    <col customWidth="1" min="5" max="5" width="23.0"/>
    <col customWidth="1" min="6" max="6" width="26.86"/>
    <col customWidth="1" min="7" max="7" width="20.43"/>
    <col customWidth="1" min="8" max="8" width="65.43"/>
  </cols>
  <sheetData>
    <row r="1" ht="37.5" customHeight="1">
      <c r="A1" s="1"/>
    </row>
    <row r="2" ht="42.0" customHeight="1">
      <c r="A2" s="13" t="s">
        <v>1</v>
      </c>
      <c r="B2" s="14"/>
      <c r="C2" s="14"/>
      <c r="D2" s="14"/>
      <c r="E2" s="14"/>
      <c r="F2" s="14"/>
      <c r="G2" s="15"/>
      <c r="H2" s="16" t="s">
        <v>2</v>
      </c>
    </row>
    <row r="3" ht="24.75" customHeight="1">
      <c r="A3" s="17" t="s">
        <v>3</v>
      </c>
      <c r="B3" s="18"/>
      <c r="C3" s="17"/>
      <c r="D3" s="17"/>
      <c r="E3" s="19" t="s">
        <v>4</v>
      </c>
      <c r="F3" s="20" t="s">
        <v>5</v>
      </c>
      <c r="G3" s="19" t="s">
        <v>6</v>
      </c>
      <c r="H3" s="17"/>
    </row>
    <row r="4" ht="34.5" customHeight="1">
      <c r="A4" s="21"/>
      <c r="B4" s="22"/>
      <c r="C4" s="22"/>
      <c r="D4" s="23"/>
      <c r="E4" s="24" t="s">
        <v>7</v>
      </c>
      <c r="F4" s="25" t="s">
        <v>8</v>
      </c>
      <c r="G4" s="26">
        <v>0.72</v>
      </c>
      <c r="H4" s="27"/>
    </row>
    <row r="5" ht="34.5" customHeight="1">
      <c r="A5" s="28" t="s">
        <v>9</v>
      </c>
      <c r="B5" s="29"/>
      <c r="C5" s="29"/>
      <c r="D5" s="29"/>
      <c r="E5" s="30"/>
      <c r="F5" s="31"/>
      <c r="G5" s="32"/>
      <c r="H5" s="27"/>
    </row>
    <row r="6" ht="408.75" customHeight="1">
      <c r="A6" s="27"/>
      <c r="B6" s="27"/>
      <c r="C6" s="27"/>
      <c r="D6" s="27"/>
      <c r="E6" s="27"/>
      <c r="F6" s="27"/>
      <c r="G6" s="27"/>
      <c r="H6" s="27"/>
    </row>
    <row r="7" ht="322.5" customHeight="1">
      <c r="A7" s="27"/>
      <c r="B7" s="27"/>
      <c r="C7" s="27"/>
      <c r="D7" s="27"/>
      <c r="E7" s="27"/>
      <c r="F7" s="27"/>
      <c r="G7" s="27"/>
      <c r="H7" s="27"/>
    </row>
    <row r="8" ht="13.5" customHeight="1">
      <c r="A8" s="27"/>
      <c r="B8" s="27"/>
      <c r="C8" s="27"/>
      <c r="D8" s="27"/>
      <c r="E8" s="27"/>
      <c r="F8" s="27"/>
      <c r="G8" s="27"/>
      <c r="H8" s="27"/>
    </row>
    <row r="9" ht="34.5" customHeight="1">
      <c r="A9" s="17" t="s">
        <v>10</v>
      </c>
      <c r="B9" s="27"/>
      <c r="C9" s="27"/>
      <c r="D9" s="27"/>
      <c r="E9" s="27"/>
      <c r="F9" s="27"/>
      <c r="G9" s="27"/>
      <c r="H9" s="27"/>
    </row>
    <row r="10" ht="24.75" customHeight="1">
      <c r="A10" s="17" t="s">
        <v>11</v>
      </c>
      <c r="B10" s="27"/>
      <c r="C10" s="27"/>
      <c r="D10" s="27"/>
      <c r="E10" s="27"/>
      <c r="F10" s="27"/>
      <c r="G10" s="27"/>
      <c r="H10" s="27"/>
    </row>
    <row r="11" ht="34.5" customHeight="1">
      <c r="A11" s="33" t="s">
        <v>12</v>
      </c>
      <c r="B11" s="33" t="s">
        <v>13</v>
      </c>
      <c r="C11" s="34" t="s">
        <v>14</v>
      </c>
      <c r="D11" s="34" t="s">
        <v>15</v>
      </c>
      <c r="E11" s="35" t="s">
        <v>16</v>
      </c>
      <c r="F11" s="33" t="s">
        <v>17</v>
      </c>
      <c r="G11" s="33" t="s">
        <v>18</v>
      </c>
      <c r="H11" s="33" t="s">
        <v>19</v>
      </c>
    </row>
    <row r="12" ht="22.5" customHeight="1">
      <c r="A12" s="36" t="s">
        <v>20</v>
      </c>
      <c r="B12" s="37" t="s">
        <v>21</v>
      </c>
      <c r="C12" s="38">
        <v>45293.0</v>
      </c>
      <c r="D12" s="38">
        <v>45299.0</v>
      </c>
      <c r="E12" s="39">
        <f t="shared" ref="E12:E23" si="1">IF(C12=0,0,D12-C12)</f>
        <v>6</v>
      </c>
      <c r="F12" s="37" t="s">
        <v>22</v>
      </c>
      <c r="G12" s="37" t="s">
        <v>23</v>
      </c>
      <c r="H12" s="37"/>
    </row>
    <row r="13" ht="22.5" customHeight="1">
      <c r="A13" s="36" t="s">
        <v>24</v>
      </c>
      <c r="B13" s="40" t="s">
        <v>25</v>
      </c>
      <c r="C13" s="41">
        <v>45295.0</v>
      </c>
      <c r="D13" s="41">
        <v>45302.0</v>
      </c>
      <c r="E13" s="39">
        <f t="shared" si="1"/>
        <v>7</v>
      </c>
      <c r="F13" s="36" t="s">
        <v>22</v>
      </c>
      <c r="G13" s="36" t="s">
        <v>26</v>
      </c>
      <c r="H13" s="37"/>
    </row>
    <row r="14" ht="22.5" customHeight="1">
      <c r="A14" s="36" t="s">
        <v>27</v>
      </c>
      <c r="B14" s="40" t="s">
        <v>28</v>
      </c>
      <c r="C14" s="41">
        <v>45298.0</v>
      </c>
      <c r="D14" s="41">
        <v>45302.0</v>
      </c>
      <c r="E14" s="39">
        <f t="shared" si="1"/>
        <v>4</v>
      </c>
      <c r="F14" s="36" t="s">
        <v>22</v>
      </c>
      <c r="G14" s="36" t="s">
        <v>29</v>
      </c>
      <c r="H14" s="37"/>
    </row>
    <row r="15" ht="22.5" customHeight="1">
      <c r="A15" s="36" t="s">
        <v>30</v>
      </c>
      <c r="B15" s="42" t="s">
        <v>28</v>
      </c>
      <c r="C15" s="41">
        <v>45301.0</v>
      </c>
      <c r="D15" s="41">
        <v>45306.0</v>
      </c>
      <c r="E15" s="39">
        <f t="shared" si="1"/>
        <v>5</v>
      </c>
      <c r="F15" s="36" t="s">
        <v>22</v>
      </c>
      <c r="G15" s="36" t="s">
        <v>29</v>
      </c>
      <c r="H15" s="37"/>
    </row>
    <row r="16" ht="22.5" customHeight="1">
      <c r="A16" s="36" t="s">
        <v>31</v>
      </c>
      <c r="B16" s="40" t="s">
        <v>28</v>
      </c>
      <c r="C16" s="41">
        <v>45304.0</v>
      </c>
      <c r="D16" s="41">
        <v>45311.0</v>
      </c>
      <c r="E16" s="39">
        <f t="shared" si="1"/>
        <v>7</v>
      </c>
      <c r="F16" s="36" t="s">
        <v>22</v>
      </c>
      <c r="G16" s="36" t="s">
        <v>29</v>
      </c>
      <c r="H16" s="37"/>
    </row>
    <row r="17" ht="22.5" customHeight="1">
      <c r="A17" s="36" t="s">
        <v>32</v>
      </c>
      <c r="B17" s="40" t="s">
        <v>21</v>
      </c>
      <c r="C17" s="41">
        <v>45307.0</v>
      </c>
      <c r="D17" s="41">
        <v>45320.0</v>
      </c>
      <c r="E17" s="39">
        <f t="shared" si="1"/>
        <v>13</v>
      </c>
      <c r="F17" s="36" t="s">
        <v>33</v>
      </c>
      <c r="G17" s="36" t="s">
        <v>23</v>
      </c>
      <c r="H17" s="37"/>
    </row>
    <row r="18" ht="22.5" customHeight="1">
      <c r="A18" s="36" t="s">
        <v>34</v>
      </c>
      <c r="B18" s="43" t="s">
        <v>25</v>
      </c>
      <c r="C18" s="41">
        <v>45310.0</v>
      </c>
      <c r="D18" s="38">
        <v>45323.0</v>
      </c>
      <c r="E18" s="39">
        <f t="shared" si="1"/>
        <v>13</v>
      </c>
      <c r="F18" s="36" t="s">
        <v>35</v>
      </c>
      <c r="G18" s="36" t="s">
        <v>23</v>
      </c>
      <c r="H18" s="37"/>
    </row>
    <row r="19" ht="22.5" customHeight="1">
      <c r="A19" s="36" t="s">
        <v>36</v>
      </c>
      <c r="B19" s="43" t="s">
        <v>37</v>
      </c>
      <c r="C19" s="41">
        <v>45313.0</v>
      </c>
      <c r="D19" s="38">
        <v>45331.0</v>
      </c>
      <c r="E19" s="39">
        <f t="shared" si="1"/>
        <v>18</v>
      </c>
      <c r="F19" s="36" t="s">
        <v>35</v>
      </c>
      <c r="G19" s="36" t="s">
        <v>23</v>
      </c>
      <c r="H19" s="37"/>
    </row>
    <row r="20" ht="22.5" customHeight="1">
      <c r="A20" s="36" t="s">
        <v>38</v>
      </c>
      <c r="B20" s="43" t="s">
        <v>28</v>
      </c>
      <c r="C20" s="41">
        <v>45316.0</v>
      </c>
      <c r="D20" s="38">
        <v>45327.0</v>
      </c>
      <c r="E20" s="39">
        <f t="shared" si="1"/>
        <v>11</v>
      </c>
      <c r="F20" s="36" t="s">
        <v>35</v>
      </c>
      <c r="G20" s="36" t="s">
        <v>23</v>
      </c>
      <c r="H20" s="37"/>
    </row>
    <row r="21" ht="22.5" customHeight="1">
      <c r="A21" s="36" t="s">
        <v>39</v>
      </c>
      <c r="B21" s="43" t="s">
        <v>21</v>
      </c>
      <c r="C21" s="41">
        <v>45319.0</v>
      </c>
      <c r="D21" s="38">
        <v>45328.0</v>
      </c>
      <c r="E21" s="39">
        <f t="shared" si="1"/>
        <v>9</v>
      </c>
      <c r="F21" s="36" t="s">
        <v>40</v>
      </c>
      <c r="G21" s="36" t="s">
        <v>23</v>
      </c>
      <c r="H21" s="37"/>
    </row>
    <row r="22" ht="22.5" customHeight="1">
      <c r="A22" s="36" t="s">
        <v>41</v>
      </c>
      <c r="B22" s="43" t="s">
        <v>37</v>
      </c>
      <c r="C22" s="41">
        <v>45322.0</v>
      </c>
      <c r="D22" s="38">
        <v>45324.0</v>
      </c>
      <c r="E22" s="39">
        <f t="shared" si="1"/>
        <v>2</v>
      </c>
      <c r="F22" s="36" t="s">
        <v>42</v>
      </c>
      <c r="G22" s="36" t="s">
        <v>26</v>
      </c>
      <c r="H22" s="37"/>
    </row>
    <row r="23" ht="22.5" customHeight="1">
      <c r="A23" s="36" t="s">
        <v>43</v>
      </c>
      <c r="B23" s="43"/>
      <c r="C23" s="41">
        <v>45325.0</v>
      </c>
      <c r="D23" s="38">
        <v>45326.0</v>
      </c>
      <c r="E23" s="39">
        <f t="shared" si="1"/>
        <v>1</v>
      </c>
      <c r="F23" s="36" t="s">
        <v>42</v>
      </c>
      <c r="G23" s="36" t="s">
        <v>26</v>
      </c>
      <c r="H23" s="37"/>
    </row>
    <row r="24" ht="13.5" customHeight="1">
      <c r="A24" s="27"/>
      <c r="B24" s="27"/>
      <c r="C24" s="27"/>
      <c r="D24" s="27"/>
      <c r="E24" s="27"/>
      <c r="F24" s="27"/>
      <c r="G24" s="27"/>
      <c r="H24" s="27"/>
    </row>
    <row r="25" ht="24.75" customHeight="1">
      <c r="A25" s="17" t="s">
        <v>44</v>
      </c>
      <c r="B25" s="27"/>
      <c r="C25" s="27"/>
      <c r="D25" s="27"/>
      <c r="E25" s="17" t="s">
        <v>45</v>
      </c>
      <c r="F25" s="27"/>
      <c r="G25" s="27"/>
      <c r="H25" s="27"/>
    </row>
    <row r="26" ht="22.5" customHeight="1">
      <c r="A26" s="44" t="s">
        <v>17</v>
      </c>
      <c r="B26" s="45" t="s">
        <v>46</v>
      </c>
      <c r="C26" s="45" t="s">
        <v>47</v>
      </c>
      <c r="D26" s="46"/>
      <c r="E26" s="47" t="s">
        <v>48</v>
      </c>
      <c r="F26" s="48">
        <v>80000.0</v>
      </c>
      <c r="G26" s="46"/>
      <c r="H26" s="46"/>
    </row>
    <row r="27" ht="22.5" customHeight="1">
      <c r="A27" s="49" t="s">
        <v>42</v>
      </c>
      <c r="B27" s="50">
        <f>COUNTIF(F12:F23, "Not Started")</f>
        <v>2</v>
      </c>
      <c r="C27" s="51">
        <f>IFERROR(B27/B32,"")</f>
        <v>0.1666666667</v>
      </c>
      <c r="D27" s="46"/>
      <c r="E27" s="52" t="s">
        <v>49</v>
      </c>
      <c r="F27" s="53">
        <v>50000.0</v>
      </c>
      <c r="G27" s="46"/>
      <c r="H27" s="46"/>
    </row>
    <row r="28" ht="22.5" customHeight="1">
      <c r="A28" s="36" t="s">
        <v>35</v>
      </c>
      <c r="B28" s="50">
        <f>COUNTIF(F12:F23, "In Progress")</f>
        <v>3</v>
      </c>
      <c r="C28" s="51">
        <f>IFERROR(B28/B32,"")</f>
        <v>0.25</v>
      </c>
      <c r="D28" s="46"/>
      <c r="E28" s="46"/>
      <c r="F28" s="46"/>
      <c r="G28" s="46"/>
      <c r="H28" s="46"/>
    </row>
    <row r="29" ht="22.5" customHeight="1">
      <c r="A29" s="54" t="s">
        <v>22</v>
      </c>
      <c r="B29" s="50">
        <f>COUNTIF(F12:F23, "Complete")</f>
        <v>5</v>
      </c>
      <c r="C29" s="51">
        <f>IFERROR(B29/B32,"")</f>
        <v>0.4166666667</v>
      </c>
      <c r="D29" s="46"/>
      <c r="E29" s="46"/>
      <c r="F29" s="46"/>
      <c r="G29" s="46"/>
      <c r="H29" s="46"/>
    </row>
    <row r="30" ht="22.5" customHeight="1">
      <c r="A30" s="55" t="s">
        <v>33</v>
      </c>
      <c r="B30" s="50">
        <f>COUNTIF(F12:F23, "Overdue")</f>
        <v>1</v>
      </c>
      <c r="C30" s="51">
        <f>IFERROR(B30/B32,"")</f>
        <v>0.08333333333</v>
      </c>
      <c r="D30" s="46"/>
      <c r="E30" s="46"/>
      <c r="F30" s="46"/>
      <c r="G30" s="46"/>
      <c r="H30" s="46"/>
    </row>
    <row r="31" ht="22.5" customHeight="1">
      <c r="A31" s="56" t="s">
        <v>40</v>
      </c>
      <c r="B31" s="57">
        <f>COUNTIF(F12:F23, "On Hold")</f>
        <v>1</v>
      </c>
      <c r="C31" s="58">
        <f>IFERROR(B31/B32,"")</f>
        <v>0.08333333333</v>
      </c>
      <c r="D31" s="46"/>
      <c r="E31" s="46"/>
      <c r="F31" s="46"/>
      <c r="G31" s="46"/>
      <c r="H31" s="46"/>
    </row>
    <row r="32" ht="22.5" customHeight="1">
      <c r="A32" s="59" t="s">
        <v>50</v>
      </c>
      <c r="B32" s="60">
        <f t="shared" ref="B32:C32" si="2">SUM(B27:B31)</f>
        <v>12</v>
      </c>
      <c r="C32" s="61">
        <f t="shared" si="2"/>
        <v>1</v>
      </c>
      <c r="D32" s="46"/>
      <c r="E32" s="46"/>
      <c r="F32" s="46"/>
      <c r="G32" s="46"/>
      <c r="H32" s="46"/>
    </row>
    <row r="33" ht="13.5" customHeight="1">
      <c r="A33" s="46"/>
      <c r="B33" s="46"/>
      <c r="C33" s="46"/>
      <c r="D33" s="46"/>
      <c r="E33" s="46"/>
      <c r="F33" s="46"/>
      <c r="G33" s="46"/>
      <c r="H33" s="46"/>
    </row>
    <row r="34" ht="24.75" customHeight="1">
      <c r="A34" s="17" t="s">
        <v>51</v>
      </c>
      <c r="B34" s="27"/>
      <c r="C34" s="27"/>
      <c r="D34" s="27"/>
      <c r="E34" s="62" t="s">
        <v>52</v>
      </c>
      <c r="F34" s="27"/>
      <c r="G34" s="27"/>
      <c r="H34" s="27"/>
    </row>
    <row r="35" ht="22.5" customHeight="1">
      <c r="A35" s="44" t="s">
        <v>18</v>
      </c>
      <c r="B35" s="45" t="s">
        <v>46</v>
      </c>
      <c r="C35" s="45" t="s">
        <v>47</v>
      </c>
      <c r="D35" s="46"/>
      <c r="E35" s="63" t="s">
        <v>53</v>
      </c>
      <c r="F35" s="48">
        <v>5.0</v>
      </c>
      <c r="G35" s="46"/>
      <c r="H35" s="46"/>
    </row>
    <row r="36" ht="22.5" customHeight="1">
      <c r="A36" s="64" t="s">
        <v>23</v>
      </c>
      <c r="B36" s="50">
        <f>COUNTIF(G12:G23, "High")</f>
        <v>6</v>
      </c>
      <c r="C36" s="51">
        <f>IFERROR(B36/B40,"")</f>
        <v>0.5</v>
      </c>
      <c r="D36" s="46"/>
      <c r="E36" s="65" t="s">
        <v>54</v>
      </c>
      <c r="F36" s="48">
        <v>2.0</v>
      </c>
      <c r="G36" s="46"/>
      <c r="H36" s="46"/>
    </row>
    <row r="37" ht="22.5" customHeight="1">
      <c r="A37" s="66" t="s">
        <v>26</v>
      </c>
      <c r="B37" s="50">
        <f>COUNTIF(G12:G23, "Medium")</f>
        <v>3</v>
      </c>
      <c r="C37" s="51">
        <f>IFERROR(B37/B40,"")</f>
        <v>0.25</v>
      </c>
      <c r="D37" s="46"/>
      <c r="E37" s="67" t="s">
        <v>55</v>
      </c>
      <c r="F37" s="48">
        <v>4.0</v>
      </c>
      <c r="G37" s="46"/>
      <c r="H37" s="46"/>
    </row>
    <row r="38" ht="22.5" customHeight="1">
      <c r="A38" s="68" t="s">
        <v>29</v>
      </c>
      <c r="B38" s="50">
        <f>COUNTIF(G12:G23, "Low")</f>
        <v>3</v>
      </c>
      <c r="C38" s="51">
        <f>IFERROR(B38/B40,"")</f>
        <v>0.25</v>
      </c>
      <c r="D38" s="46"/>
      <c r="E38" s="27"/>
      <c r="F38" s="27"/>
      <c r="G38" s="46"/>
      <c r="H38" s="46"/>
    </row>
    <row r="39" ht="22.5" customHeight="1">
      <c r="A39" s="69"/>
      <c r="B39" s="57">
        <f>COUNTIF(G12:G23, "...")</f>
        <v>0</v>
      </c>
      <c r="C39" s="58">
        <f>IFERROR(B39/B40,"")</f>
        <v>0</v>
      </c>
      <c r="D39" s="46"/>
      <c r="E39" s="27"/>
      <c r="F39" s="27"/>
      <c r="G39" s="46"/>
      <c r="H39" s="46"/>
    </row>
    <row r="40" ht="22.5" customHeight="1">
      <c r="A40" s="59" t="s">
        <v>50</v>
      </c>
      <c r="B40" s="60">
        <f t="shared" ref="B40:C40" si="3">SUM(B36:B39)</f>
        <v>12</v>
      </c>
      <c r="C40" s="61">
        <f t="shared" si="3"/>
        <v>1</v>
      </c>
      <c r="D40" s="46"/>
      <c r="E40" s="27"/>
      <c r="F40" s="27"/>
      <c r="G40" s="46"/>
      <c r="H40" s="46"/>
    </row>
  </sheetData>
  <mergeCells count="3">
    <mergeCell ref="A1:H1"/>
    <mergeCell ref="A2:G2"/>
    <mergeCell ref="A4:D4"/>
  </mergeCells>
  <conditionalFormatting sqref="A1:H1">
    <cfRule type="expression" dxfId="0" priority="1">
      <formula>AND(#REF!&lt;&gt;"",#REF!-1&lt;TODAY())</formula>
    </cfRule>
  </conditionalFormatting>
  <conditionalFormatting sqref="F12:F23">
    <cfRule type="containsText" dxfId="1" priority="2" operator="containsText" text="Overdue">
      <formula>NOT(ISERROR(SEARCH(("Overdue"),(F12))))</formula>
    </cfRule>
  </conditionalFormatting>
  <conditionalFormatting sqref="F12:F23">
    <cfRule type="containsText" dxfId="2" priority="3" operator="containsText" text="On Hold">
      <formula>NOT(ISERROR(SEARCH(("On Hold"),(F12))))</formula>
    </cfRule>
  </conditionalFormatting>
  <conditionalFormatting sqref="F12:F23">
    <cfRule type="containsText" dxfId="3" priority="4" operator="containsText" text="Complete">
      <formula>NOT(ISERROR(SEARCH(("Complete"),(F12))))</formula>
    </cfRule>
  </conditionalFormatting>
  <conditionalFormatting sqref="F12:F23">
    <cfRule type="containsText" dxfId="4" priority="5" operator="containsText" text="In Progress">
      <formula>NOT(ISERROR(SEARCH(("In Progress"),(F12))))</formula>
    </cfRule>
  </conditionalFormatting>
  <conditionalFormatting sqref="F12:F23">
    <cfRule type="containsText" dxfId="5" priority="6" operator="containsText" text="Not Started">
      <formula>NOT(ISERROR(SEARCH(("Not Started"),(F12))))</formula>
    </cfRule>
  </conditionalFormatting>
  <conditionalFormatting sqref="G12:G23">
    <cfRule type="containsText" dxfId="6" priority="7" operator="containsText" text="Low">
      <formula>NOT(ISERROR(SEARCH(("Low"),(G12))))</formula>
    </cfRule>
  </conditionalFormatting>
  <conditionalFormatting sqref="G12:G23">
    <cfRule type="containsText" dxfId="7" priority="8" operator="containsText" text="Medium">
      <formula>NOT(ISERROR(SEARCH(("Medium"),(G12))))</formula>
    </cfRule>
  </conditionalFormatting>
  <conditionalFormatting sqref="G12:G23">
    <cfRule type="containsText" dxfId="8" priority="9" operator="containsText" text="High">
      <formula>NOT(ISERROR(SEARCH(("High"),(G12))))</formula>
    </cfRule>
  </conditionalFormatting>
  <conditionalFormatting sqref="A27:A31">
    <cfRule type="containsText" dxfId="1" priority="10" operator="containsText" text="Overdue">
      <formula>NOT(ISERROR(SEARCH(("Overdue"),(A27))))</formula>
    </cfRule>
  </conditionalFormatting>
  <conditionalFormatting sqref="A27:A31">
    <cfRule type="containsText" dxfId="2" priority="11" operator="containsText" text="On Hold">
      <formula>NOT(ISERROR(SEARCH(("On Hold"),(A27))))</formula>
    </cfRule>
  </conditionalFormatting>
  <conditionalFormatting sqref="A27:A31">
    <cfRule type="containsText" dxfId="3" priority="12" operator="containsText" text="Complete">
      <formula>NOT(ISERROR(SEARCH(("Complete"),(A27))))</formula>
    </cfRule>
  </conditionalFormatting>
  <conditionalFormatting sqref="A27:A31">
    <cfRule type="containsText" dxfId="4" priority="13" operator="containsText" text="In Progress">
      <formula>NOT(ISERROR(SEARCH(("In Progress"),(A27))))</formula>
    </cfRule>
  </conditionalFormatting>
  <conditionalFormatting sqref="A27:A31">
    <cfRule type="containsText" dxfId="5" priority="14" operator="containsText" text="Not Started">
      <formula>NOT(ISERROR(SEARCH(("Not Started"),(A27))))</formula>
    </cfRule>
  </conditionalFormatting>
  <conditionalFormatting sqref="A36:A39">
    <cfRule type="containsText" dxfId="6" priority="15" operator="containsText" text="Low">
      <formula>NOT(ISERROR(SEARCH(("Low"),(A36))))</formula>
    </cfRule>
  </conditionalFormatting>
  <conditionalFormatting sqref="A36:A39">
    <cfRule type="containsText" dxfId="7" priority="16" operator="containsText" text="Medium">
      <formula>NOT(ISERROR(SEARCH(("Medium"),(A36))))</formula>
    </cfRule>
  </conditionalFormatting>
  <conditionalFormatting sqref="A36:A39">
    <cfRule type="containsText" dxfId="8" priority="17" operator="containsText" text="High">
      <formula>NOT(ISERROR(SEARCH(("High"),(A36))))</formula>
    </cfRule>
  </conditionalFormatting>
  <dataValidations>
    <dataValidation type="list" allowBlank="1" showErrorMessage="1" sqref="F12:G23">
      <formula1>#REF!</formula1>
    </dataValidation>
  </dataValidations>
  <hyperlinks>
    <hyperlink r:id="rId1" ref="H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0" outlineLevelCol="1" outlineLevelRow="1"/>
  <cols>
    <col customWidth="1" min="1" max="1" width="15.86"/>
    <col customWidth="1" min="2" max="2" width="14.43"/>
    <col customWidth="1" min="3" max="3" width="73.57"/>
    <col customWidth="1" min="4" max="7" width="14.43"/>
    <col customWidth="1" hidden="1" min="8" max="14" width="14.43" outlineLevel="1"/>
    <col collapsed="1" customWidth="1" min="15" max="15" width="8.71"/>
    <col customWidth="1" hidden="1" min="16" max="22" width="14.43" outlineLevel="1"/>
    <col collapsed="1" customWidth="1" min="23" max="23" width="8.71"/>
    <col customWidth="1" hidden="1" min="24" max="30" width="14.43" outlineLevel="1"/>
    <col collapsed="1" customWidth="1" min="31" max="31" width="8.71"/>
    <col customWidth="1" hidden="1" min="32" max="38" width="14.43" outlineLevel="1"/>
    <col collapsed="1" customWidth="1" min="39" max="39" width="8.71"/>
    <col customWidth="1" min="40" max="40" width="14.43"/>
    <col customWidth="1" hidden="1" min="41" max="44" width="14.43" outlineLevel="1"/>
    <col collapsed="1" customWidth="1" min="45" max="45" width="14.43"/>
    <col customWidth="1" min="46" max="47" width="14.43"/>
    <col customWidth="1" min="48" max="48" width="78.71"/>
  </cols>
  <sheetData>
    <row r="1" ht="37.5" customHeight="1">
      <c r="A1" s="1" t="s">
        <v>56</v>
      </c>
      <c r="D1" s="1" t="str">
        <f>CONCAT('Roadmap setting'!B3," - Roadmap " &amp; RIGHT('Roadmap setting'!$B9,3))</f>
        <v>SuperMarty project - Roadmap MVP</v>
      </c>
      <c r="AV1" s="1"/>
    </row>
    <row r="2" ht="45.75" customHeight="1">
      <c r="A2" s="70" t="s">
        <v>57</v>
      </c>
      <c r="B2" s="70"/>
      <c r="C2" s="70" t="s">
        <v>58</v>
      </c>
      <c r="D2" s="70" t="str">
        <f>Resources!$A$53</f>
        <v>Project manager</v>
      </c>
      <c r="E2" s="70" t="str">
        <f>Resources!$A$55</f>
        <v>Backend development</v>
      </c>
      <c r="F2" s="70" t="str">
        <f>Resources!$A$56</f>
        <v>Frontend development</v>
      </c>
      <c r="G2" s="70" t="str">
        <f>Resources!$A$57</f>
        <v>UI/UX design</v>
      </c>
      <c r="H2" s="70" t="str">
        <f>Resources!$A$58</f>
        <v>Backend auto. testing</v>
      </c>
      <c r="I2" s="70" t="str">
        <f>Resources!$A$59</f>
        <v>Frontend auto. testing</v>
      </c>
      <c r="J2" s="70" t="str">
        <f>Resources!$A$60</f>
        <v>Technical (code) review</v>
      </c>
      <c r="K2" s="70" t="str">
        <f>Resources!$A$61</f>
        <v>Performance testing</v>
      </c>
      <c r="L2" s="70" t="str">
        <f>Resources!$A$62</f>
        <v>Security testing</v>
      </c>
      <c r="M2" s="70" t="str">
        <f>Resources!$A$63</f>
        <v>Technical documentation</v>
      </c>
      <c r="N2" s="70" t="s">
        <v>59</v>
      </c>
      <c r="O2" s="70" t="s">
        <v>60</v>
      </c>
      <c r="P2" s="70" t="str">
        <f>Resources!$A$58</f>
        <v>Backend auto. testing</v>
      </c>
      <c r="Q2" s="70" t="str">
        <f>Resources!$A$59</f>
        <v>Frontend auto. testing</v>
      </c>
      <c r="R2" s="70" t="str">
        <f>Resources!$A$60</f>
        <v>Technical (code) review</v>
      </c>
      <c r="S2" s="70" t="str">
        <f>Resources!$A$61</f>
        <v>Performance testing</v>
      </c>
      <c r="T2" s="70" t="str">
        <f>Resources!$A$62</f>
        <v>Security testing</v>
      </c>
      <c r="U2" s="70" t="str">
        <f>Resources!$A$63</f>
        <v>Technical documentation</v>
      </c>
      <c r="V2" s="70" t="s">
        <v>61</v>
      </c>
      <c r="W2" s="70" t="s">
        <v>62</v>
      </c>
      <c r="X2" s="70" t="str">
        <f>Resources!$A$58</f>
        <v>Backend auto. testing</v>
      </c>
      <c r="Y2" s="70" t="str">
        <f>Resources!$A$59</f>
        <v>Frontend auto. testing</v>
      </c>
      <c r="Z2" s="70" t="str">
        <f>Resources!$A$60</f>
        <v>Technical (code) review</v>
      </c>
      <c r="AA2" s="70" t="str">
        <f>Resources!$A$61</f>
        <v>Performance testing</v>
      </c>
      <c r="AB2" s="70" t="str">
        <f>Resources!$A$62</f>
        <v>Security testing</v>
      </c>
      <c r="AC2" s="70" t="str">
        <f>Resources!$A$63</f>
        <v>Technical documentation</v>
      </c>
      <c r="AD2" s="70" t="s">
        <v>61</v>
      </c>
      <c r="AE2" s="70" t="s">
        <v>63</v>
      </c>
      <c r="AF2" s="70" t="str">
        <f>Resources!$A$58</f>
        <v>Backend auto. testing</v>
      </c>
      <c r="AG2" s="70" t="str">
        <f>Resources!$A$59</f>
        <v>Frontend auto. testing</v>
      </c>
      <c r="AH2" s="70" t="str">
        <f>Resources!$A$60</f>
        <v>Technical (code) review</v>
      </c>
      <c r="AI2" s="70" t="str">
        <f>Resources!$A$61</f>
        <v>Performance testing</v>
      </c>
      <c r="AJ2" s="70" t="str">
        <f>Resources!$A$62</f>
        <v>Security testing</v>
      </c>
      <c r="AK2" s="70" t="str">
        <f>Resources!$A$63</f>
        <v>Technical documentation</v>
      </c>
      <c r="AL2" s="70" t="s">
        <v>61</v>
      </c>
      <c r="AM2" s="70" t="s">
        <v>64</v>
      </c>
      <c r="AN2" s="70" t="s">
        <v>65</v>
      </c>
      <c r="AO2" s="70" t="s">
        <v>66</v>
      </c>
      <c r="AP2" s="70" t="s">
        <v>67</v>
      </c>
      <c r="AQ2" s="70" t="s">
        <v>68</v>
      </c>
      <c r="AR2" s="70" t="s">
        <v>69</v>
      </c>
      <c r="AS2" s="70" t="s">
        <v>70</v>
      </c>
      <c r="AT2" s="70" t="s">
        <v>71</v>
      </c>
      <c r="AU2" s="70" t="s">
        <v>72</v>
      </c>
      <c r="AV2" s="70" t="s">
        <v>73</v>
      </c>
    </row>
    <row r="3" ht="15.0" customHeight="1">
      <c r="A3" s="71"/>
      <c r="B3" s="71"/>
      <c r="C3" s="71" t="s">
        <v>74</v>
      </c>
      <c r="D3" s="72"/>
      <c r="E3" s="72"/>
      <c r="F3" s="72"/>
      <c r="G3" s="72"/>
      <c r="H3" s="72"/>
      <c r="I3" s="72"/>
      <c r="J3" s="72"/>
      <c r="K3" s="72"/>
      <c r="L3" s="72"/>
      <c r="M3" s="72"/>
      <c r="N3" s="72"/>
      <c r="O3" s="73"/>
      <c r="P3" s="72"/>
      <c r="Q3" s="72"/>
      <c r="R3" s="72"/>
      <c r="S3" s="72"/>
      <c r="T3" s="72"/>
      <c r="U3" s="72"/>
      <c r="V3" s="74"/>
      <c r="W3" s="73"/>
      <c r="X3" s="72"/>
      <c r="Y3" s="72"/>
      <c r="Z3" s="72"/>
      <c r="AA3" s="72"/>
      <c r="AB3" s="72"/>
      <c r="AC3" s="72"/>
      <c r="AD3" s="74"/>
      <c r="AE3" s="73"/>
      <c r="AF3" s="72"/>
      <c r="AG3" s="72"/>
      <c r="AH3" s="72"/>
      <c r="AI3" s="72"/>
      <c r="AJ3" s="72"/>
      <c r="AK3" s="72"/>
      <c r="AL3" s="74"/>
      <c r="AM3" s="73"/>
      <c r="AN3" s="75"/>
      <c r="AO3" s="75"/>
      <c r="AP3" s="75"/>
      <c r="AQ3" s="75"/>
      <c r="AR3" s="75"/>
      <c r="AS3" s="75"/>
      <c r="AT3" s="75"/>
      <c r="AU3" s="75"/>
      <c r="AV3" s="76"/>
    </row>
    <row r="4" ht="15.0" customHeight="1">
      <c r="A4" s="77"/>
      <c r="B4" s="77"/>
      <c r="C4" s="78" t="str">
        <f>IFERROR(__xludf.DUMMYFUNCTION("CONCAT(""Daily Stand Up - Scrum Poker - Retrospective - Sprint Demos, Other meetings "",if(len('Roadmap setting'!$B$21),TO_TEXT('Roadmap setting'!$B$21)))"),"Daily Stand Up - Scrum Poker - Retrospective - Sprint Demos, Other meetings 20%")</f>
        <v>Daily Stand Up - Scrum Poker - Retrospective - Sprint Demos, Other meetings 20%</v>
      </c>
      <c r="D4" s="77"/>
      <c r="E4" s="77"/>
      <c r="F4" s="77"/>
      <c r="G4" s="77"/>
      <c r="H4" s="77"/>
      <c r="I4" s="77"/>
      <c r="J4" s="77"/>
      <c r="K4" s="77"/>
      <c r="L4" s="77"/>
      <c r="M4" s="77"/>
      <c r="N4" s="79">
        <f>SUM(N$7:N$189)*('Roadmap setting'!$B$21)</f>
        <v>243.245</v>
      </c>
      <c r="O4" s="77"/>
      <c r="P4" s="77"/>
      <c r="Q4" s="77"/>
      <c r="R4" s="77"/>
      <c r="S4" s="77"/>
      <c r="T4" s="77"/>
      <c r="U4" s="77"/>
      <c r="V4" s="79">
        <f>SUM(V$185:V$189)*('Roadmap setting'!$B$21)</f>
        <v>18.56</v>
      </c>
      <c r="W4" s="77"/>
      <c r="X4" s="77"/>
      <c r="Y4" s="77"/>
      <c r="Z4" s="77"/>
      <c r="AA4" s="77"/>
      <c r="AB4" s="77"/>
      <c r="AC4" s="77"/>
      <c r="AD4" s="79">
        <f>SUM(AD$185:AD$189)*('Roadmap setting'!$B$21)</f>
        <v>19.04</v>
      </c>
      <c r="AE4" s="77"/>
      <c r="AF4" s="77"/>
      <c r="AG4" s="77"/>
      <c r="AH4" s="77"/>
      <c r="AI4" s="77"/>
      <c r="AJ4" s="77"/>
      <c r="AK4" s="77"/>
      <c r="AL4" s="79">
        <f>SUM(AL$185:AL$189)*('Roadmap setting'!$B$21)</f>
        <v>19.52</v>
      </c>
      <c r="AM4" s="77"/>
      <c r="AN4" s="80">
        <f t="array" ref="AN4">INDEX(A4:AM4, MATCH(RIGHT('Roadmap setting'!$B$9, 3), $A$2:$AM$2, 0) - 1)
</f>
        <v>243.245</v>
      </c>
      <c r="AO4" s="77"/>
      <c r="AP4" s="77"/>
      <c r="AQ4" s="77"/>
      <c r="AR4" s="77"/>
      <c r="AS4" s="77"/>
      <c r="AT4" s="81">
        <f>23.88+82.1+10.03+31.87+24.6+2+41.67+28.33+18.64+19.15+39.15+20.23+12.02+6.64</f>
        <v>360.31</v>
      </c>
      <c r="AU4" s="82"/>
      <c r="AV4" s="83"/>
    </row>
    <row r="5" ht="15.0" customHeight="1">
      <c r="A5" s="84"/>
      <c r="B5" s="84"/>
      <c r="C5" s="85" t="s">
        <v>75</v>
      </c>
      <c r="D5" s="84"/>
      <c r="E5" s="84"/>
      <c r="F5" s="84"/>
      <c r="G5" s="84"/>
      <c r="H5" s="84"/>
      <c r="I5" s="84"/>
      <c r="J5" s="84"/>
      <c r="K5" s="84"/>
      <c r="L5" s="84"/>
      <c r="M5" s="84"/>
      <c r="N5" s="86"/>
      <c r="O5" s="87"/>
      <c r="P5" s="84"/>
      <c r="Q5" s="84"/>
      <c r="R5" s="84"/>
      <c r="S5" s="84"/>
      <c r="T5" s="84"/>
      <c r="U5" s="84"/>
      <c r="V5" s="86"/>
      <c r="W5" s="87"/>
      <c r="X5" s="84"/>
      <c r="Y5" s="84"/>
      <c r="Z5" s="84"/>
      <c r="AA5" s="84"/>
      <c r="AB5" s="84"/>
      <c r="AC5" s="84"/>
      <c r="AD5" s="86"/>
      <c r="AE5" s="87"/>
      <c r="AF5" s="84"/>
      <c r="AG5" s="84"/>
      <c r="AH5" s="84"/>
      <c r="AI5" s="84"/>
      <c r="AJ5" s="84"/>
      <c r="AK5" s="84"/>
      <c r="AL5" s="86"/>
      <c r="AM5" s="87"/>
      <c r="AN5" s="88"/>
      <c r="AO5" s="88"/>
      <c r="AP5" s="88"/>
      <c r="AQ5" s="88"/>
      <c r="AR5" s="88"/>
      <c r="AS5" s="89"/>
      <c r="AT5" s="88"/>
      <c r="AU5" s="88"/>
      <c r="AV5" s="90"/>
    </row>
    <row r="6" ht="15.0" customHeight="1">
      <c r="A6" s="71"/>
      <c r="B6" s="71"/>
      <c r="C6" s="91" t="s">
        <v>76</v>
      </c>
      <c r="D6" s="72"/>
      <c r="E6" s="72"/>
      <c r="F6" s="72"/>
      <c r="G6" s="72"/>
      <c r="H6" s="72"/>
      <c r="I6" s="72"/>
      <c r="J6" s="72"/>
      <c r="K6" s="72"/>
      <c r="L6" s="72"/>
      <c r="M6" s="72"/>
      <c r="N6" s="72"/>
      <c r="O6" s="73"/>
      <c r="P6" s="72"/>
      <c r="Q6" s="72"/>
      <c r="R6" s="72"/>
      <c r="S6" s="72"/>
      <c r="T6" s="72"/>
      <c r="U6" s="72"/>
      <c r="V6" s="74"/>
      <c r="W6" s="73"/>
      <c r="X6" s="72"/>
      <c r="Y6" s="72"/>
      <c r="Z6" s="72"/>
      <c r="AA6" s="72"/>
      <c r="AB6" s="72"/>
      <c r="AC6" s="72"/>
      <c r="AD6" s="74"/>
      <c r="AE6" s="73"/>
      <c r="AF6" s="72"/>
      <c r="AG6" s="72"/>
      <c r="AH6" s="72"/>
      <c r="AI6" s="72"/>
      <c r="AJ6" s="72"/>
      <c r="AK6" s="72"/>
      <c r="AL6" s="74"/>
      <c r="AM6" s="73"/>
      <c r="AN6" s="75"/>
      <c r="AO6" s="75"/>
      <c r="AP6" s="75"/>
      <c r="AQ6" s="75"/>
      <c r="AR6" s="75"/>
      <c r="AS6" s="75"/>
      <c r="AT6" s="75"/>
      <c r="AU6" s="75"/>
      <c r="AV6" s="76"/>
    </row>
    <row r="7" ht="15.0" customHeight="1">
      <c r="A7" s="83" t="s">
        <v>77</v>
      </c>
      <c r="B7" s="92"/>
      <c r="C7" s="83" t="s">
        <v>78</v>
      </c>
      <c r="D7" s="93">
        <v>10.0</v>
      </c>
      <c r="E7" s="94">
        <v>20.0</v>
      </c>
      <c r="F7" s="94">
        <v>20.0</v>
      </c>
      <c r="G7" s="95">
        <f>IF($A7="Feature",IF('Roadmap setting'!$E$14,$F7*('Roadmap setting'!$B$14+'Roadmap setting'!$D$14),$F7*'Roadmap setting'!$B$14),0)</f>
        <v>0</v>
      </c>
      <c r="H7" s="93">
        <f>IF($A7="Feature",$E7*'Roadmap setting'!$B$15,0)</f>
        <v>0</v>
      </c>
      <c r="I7" s="95">
        <f>IF($A7="Feature",$F7*'Roadmap setting'!$B$16,0)</f>
        <v>0</v>
      </c>
      <c r="J7" s="93">
        <f>SUM($E7:$F7)*'Roadmap setting'!$B$17</f>
        <v>4.8</v>
      </c>
      <c r="K7" s="93">
        <f>SUM($E7:$F7)*'Roadmap setting'!$B$18</f>
        <v>0.4</v>
      </c>
      <c r="L7" s="93">
        <f>SUM($E7:$F7)*'Roadmap setting'!$B$19</f>
        <v>0</v>
      </c>
      <c r="M7" s="95">
        <f>SUM($E7:$F7)*'Roadmap setting'!$B$20</f>
        <v>0.8</v>
      </c>
      <c r="N7" s="79">
        <f t="shared" ref="N7:N15" si="1">SUM($D7:$G7)+SUM(H7:M7)</f>
        <v>56</v>
      </c>
      <c r="O7" s="96" t="b">
        <v>1</v>
      </c>
      <c r="P7" s="97"/>
      <c r="Q7" s="98"/>
      <c r="R7" s="97"/>
      <c r="S7" s="97"/>
      <c r="T7" s="97"/>
      <c r="U7" s="97"/>
      <c r="V7" s="99"/>
      <c r="W7" s="96" t="b">
        <v>0</v>
      </c>
      <c r="X7" s="97"/>
      <c r="Y7" s="98"/>
      <c r="Z7" s="97"/>
      <c r="AA7" s="97"/>
      <c r="AB7" s="97"/>
      <c r="AC7" s="97"/>
      <c r="AD7" s="99"/>
      <c r="AE7" s="96" t="b">
        <v>0</v>
      </c>
      <c r="AF7" s="97"/>
      <c r="AG7" s="98"/>
      <c r="AH7" s="97"/>
      <c r="AI7" s="97"/>
      <c r="AJ7" s="97"/>
      <c r="AK7" s="97"/>
      <c r="AL7" s="99"/>
      <c r="AM7" s="96" t="b">
        <v>0</v>
      </c>
      <c r="AN7" s="80">
        <f t="array" ref="AN7">INDEX(A7:AM7, MATCH(RIGHT('Roadmap setting'!$B$9, 3), $A$2:$AM$2, 0) - 1)
</f>
        <v>56</v>
      </c>
      <c r="AO7" s="100">
        <f t="array" ref="AO7">IFNA(LOOKUP(2,1/(ISNUMBER(AO1:AO6)),AO1:AO6)+(E7/(Resources!$P$55/7)),TODAY()+(E7/(Resources!$P$55/7)))</f>
        <v>45779.48653</v>
      </c>
      <c r="AP7" s="100">
        <f t="array" ref="AP7">IFNA(LOOKUP(2,1/(ISNUMBER(AP1:AP6)),AP1:AP6)+(F7/(Resources!$P$56/7)),TODAY()+(F7/(Resources!$P$56/7)))</f>
        <v>45781.11237</v>
      </c>
      <c r="AQ7" s="100">
        <f t="array" ref="AQ7">IF(ISNUMBER($AV7),IFNA(LOOKUP(2,1/(ISNUMBER(AQ1:AQ6)),AQ1:AQ6),TODAY()),IFNA(LOOKUP(2,1/(ISNUMBER(AQ1:AQ6)),AQ1:AQ6)+(E7/(Resources!$E$55/7)),TODAY()+(E7/(Resources!$E$55/7))))</f>
        <v>45782.09795</v>
      </c>
      <c r="AR7" s="100">
        <f t="array" ref="AR7">IF(ISNUMBER($AV7),IFNA(LOOKUP(2,1/(ISNUMBER(AR1:AR6)),AR1:AR6),TODAY()),IFNA(LOOKUP(2,1/(ISNUMBER(AR1:AR6)),AR1:AR6)+(F7/(Resources!$E$56/7)),TODAY()+(F7/(Resources!$E$56/7))))</f>
        <v>45783.90041</v>
      </c>
      <c r="AS7" s="100">
        <f t="shared" ref="AS7:AS17" si="2">IFERROR(MAX(AQ7,AR7),"")</f>
        <v>45783.90041</v>
      </c>
      <c r="AT7" s="101">
        <v>41.91</v>
      </c>
      <c r="AU7" s="102">
        <v>45652.0</v>
      </c>
      <c r="AV7" s="83"/>
    </row>
    <row r="8" ht="15.0" customHeight="1">
      <c r="A8" s="83" t="s">
        <v>77</v>
      </c>
      <c r="B8" s="92"/>
      <c r="C8" s="103" t="s">
        <v>79</v>
      </c>
      <c r="D8" s="93">
        <f>IF($A8="Feature",SUM(E8:F8)*'Roadmap setting'!$B$13,0)</f>
        <v>0</v>
      </c>
      <c r="E8" s="94">
        <v>12.0</v>
      </c>
      <c r="F8" s="94">
        <v>0.0</v>
      </c>
      <c r="G8" s="95">
        <f>IF($A8="Feature",IF('Roadmap setting'!$E$14,$F8*('Roadmap setting'!$B$14+'Roadmap setting'!$D$14),$F8*'Roadmap setting'!$B$14),0)</f>
        <v>0</v>
      </c>
      <c r="H8" s="93">
        <f>IF($A8="Feature",$E8*'Roadmap setting'!$B$15,0)</f>
        <v>0</v>
      </c>
      <c r="I8" s="95">
        <f>IF($A8="Feature",$F8*'Roadmap setting'!$B$16,0)</f>
        <v>0</v>
      </c>
      <c r="J8" s="93">
        <f>SUM($E8:$F8)*'Roadmap setting'!$B$17</f>
        <v>1.44</v>
      </c>
      <c r="K8" s="93">
        <f>SUM($E8:$F8)*'Roadmap setting'!$B$18</f>
        <v>0.12</v>
      </c>
      <c r="L8" s="93">
        <f>SUM($E8:$F8)*'Roadmap setting'!$B$19</f>
        <v>0</v>
      </c>
      <c r="M8" s="95">
        <f>SUM($E8:$F8)*'Roadmap setting'!$B$20</f>
        <v>0.24</v>
      </c>
      <c r="N8" s="79">
        <f t="shared" si="1"/>
        <v>13.8</v>
      </c>
      <c r="O8" s="96" t="b">
        <v>1</v>
      </c>
      <c r="P8" s="97"/>
      <c r="Q8" s="98"/>
      <c r="R8" s="97">
        <v>0.39</v>
      </c>
      <c r="S8" s="97"/>
      <c r="T8" s="97"/>
      <c r="U8" s="97">
        <v>0.52</v>
      </c>
      <c r="V8" s="99">
        <v>15.21</v>
      </c>
      <c r="W8" s="96" t="b">
        <v>0</v>
      </c>
      <c r="X8" s="97"/>
      <c r="Y8" s="98"/>
      <c r="Z8" s="97">
        <v>0.52</v>
      </c>
      <c r="AA8" s="97"/>
      <c r="AB8" s="97"/>
      <c r="AC8" s="97">
        <v>0.78</v>
      </c>
      <c r="AD8" s="99">
        <v>15.6</v>
      </c>
      <c r="AE8" s="96" t="b">
        <v>0</v>
      </c>
      <c r="AF8" s="97"/>
      <c r="AG8" s="98"/>
      <c r="AH8" s="97">
        <v>0.65</v>
      </c>
      <c r="AI8" s="97"/>
      <c r="AJ8" s="97"/>
      <c r="AK8" s="97">
        <v>1.04</v>
      </c>
      <c r="AL8" s="99">
        <v>15.99</v>
      </c>
      <c r="AM8" s="96" t="b">
        <v>0</v>
      </c>
      <c r="AN8" s="80">
        <f t="array" ref="AN8">INDEX(A8:AM8, MATCH(RIGHT('Roadmap setting'!$B$9, 3), $A$2:$AM$2, 0) - 1)
</f>
        <v>13.8</v>
      </c>
      <c r="AO8" s="100">
        <f t="array" ref="AO8">IFNA(LOOKUP(2,1/(ISNUMBER(AO2:AO7)),AO2:AO7)+(E8/(Resources!$P$55/7)),TODAY()+(E8/(Resources!$P$55/7)))</f>
        <v>45780.97845</v>
      </c>
      <c r="AP8" s="100">
        <f t="array" ref="AP8">IFNA(LOOKUP(2,1/(ISNUMBER(AP2:AP7)),AP2:AP7)+(F8/(Resources!$P$56/7)),TODAY()+(F8/(Resources!$P$56/7)))</f>
        <v>45781.11237</v>
      </c>
      <c r="AQ8" s="100">
        <f t="array" ref="AQ8">IF(ISNUMBER($AV8),IFNA(LOOKUP(2,1/(ISNUMBER(AQ2:AQ7)),AQ2:AQ7),TODAY()),IFNA(LOOKUP(2,1/(ISNUMBER(AQ2:AQ7)),AQ2:AQ7)+(E8/(Resources!$E$55/7)),TODAY()+(E8/(Resources!$E$55/7))))</f>
        <v>45785.15673</v>
      </c>
      <c r="AR8" s="100">
        <f t="array" ref="AR8">IF(ISNUMBER($AV8),IFNA(LOOKUP(2,1/(ISNUMBER(AR2:AR7)),AR2:AR7),TODAY()),IFNA(LOOKUP(2,1/(ISNUMBER(AR2:AR7)),AR2:AR7)+(F8/(Resources!$E$56/7)),TODAY()+(F8/(Resources!$E$56/7))))</f>
        <v>45783.90041</v>
      </c>
      <c r="AS8" s="100">
        <f t="shared" si="2"/>
        <v>45785.15673</v>
      </c>
      <c r="AT8" s="81">
        <v>5.0</v>
      </c>
      <c r="AU8" s="102">
        <v>45652.0</v>
      </c>
      <c r="AV8" s="83"/>
    </row>
    <row r="9" ht="15.0" customHeight="1">
      <c r="A9" s="83" t="s">
        <v>77</v>
      </c>
      <c r="B9" s="92"/>
      <c r="C9" s="103" t="s">
        <v>80</v>
      </c>
      <c r="D9" s="93">
        <f>IF($A9="Feature",SUM(E9:F9)*'Roadmap setting'!$B$13,0)</f>
        <v>0</v>
      </c>
      <c r="E9" s="94">
        <v>12.0</v>
      </c>
      <c r="F9" s="94">
        <v>0.0</v>
      </c>
      <c r="G9" s="95">
        <f>IF($A9="Feature",IF('Roadmap setting'!$E$14,$F9*('Roadmap setting'!$B$14+'Roadmap setting'!$D$14),$F9*'Roadmap setting'!$B$14),0)</f>
        <v>0</v>
      </c>
      <c r="H9" s="93">
        <f>IF($A9="Feature",$E9*'Roadmap setting'!$B$15,0)</f>
        <v>0</v>
      </c>
      <c r="I9" s="95">
        <f>IF($A9="Feature",$F9*'Roadmap setting'!$B$16,0)</f>
        <v>0</v>
      </c>
      <c r="J9" s="93">
        <f>SUM($E9:$F9)*'Roadmap setting'!$B$17</f>
        <v>1.44</v>
      </c>
      <c r="K9" s="93">
        <f>SUM($E9:$F9)*'Roadmap setting'!$B$18</f>
        <v>0.12</v>
      </c>
      <c r="L9" s="93">
        <f>SUM($E9:$F9)*'Roadmap setting'!$B$19</f>
        <v>0</v>
      </c>
      <c r="M9" s="95">
        <f>SUM($E9:$F9)*'Roadmap setting'!$B$20</f>
        <v>0.24</v>
      </c>
      <c r="N9" s="79">
        <f t="shared" si="1"/>
        <v>13.8</v>
      </c>
      <c r="O9" s="96" t="b">
        <v>1</v>
      </c>
      <c r="P9" s="97"/>
      <c r="Q9" s="98"/>
      <c r="R9" s="97">
        <v>0.36</v>
      </c>
      <c r="S9" s="97"/>
      <c r="T9" s="97"/>
      <c r="U9" s="97">
        <v>0.48</v>
      </c>
      <c r="V9" s="99">
        <v>14.04</v>
      </c>
      <c r="W9" s="96" t="b">
        <v>0</v>
      </c>
      <c r="X9" s="97"/>
      <c r="Y9" s="98"/>
      <c r="Z9" s="97">
        <v>0.52</v>
      </c>
      <c r="AA9" s="97"/>
      <c r="AB9" s="97"/>
      <c r="AC9" s="97">
        <v>0.78</v>
      </c>
      <c r="AD9" s="99">
        <v>15.6</v>
      </c>
      <c r="AE9" s="96" t="b">
        <v>0</v>
      </c>
      <c r="AF9" s="97"/>
      <c r="AG9" s="98"/>
      <c r="AH9" s="97">
        <v>0.65</v>
      </c>
      <c r="AI9" s="97"/>
      <c r="AJ9" s="97"/>
      <c r="AK9" s="97">
        <v>1.04</v>
      </c>
      <c r="AL9" s="99">
        <v>15.99</v>
      </c>
      <c r="AM9" s="96" t="b">
        <v>0</v>
      </c>
      <c r="AN9" s="80">
        <f t="array" ref="AN9">INDEX(A9:AM9, MATCH(RIGHT('Roadmap setting'!$B$9, 3), $A$2:$AM$2, 0) - 1)
</f>
        <v>13.8</v>
      </c>
      <c r="AO9" s="100">
        <f t="array" ref="AO9">IFNA(LOOKUP(2,1/(ISNUMBER(AO3:AO8)),AO3:AO8)+(E9/(Resources!$P$55/7)),TODAY()+(E9/(Resources!$P$55/7)))</f>
        <v>45782.47037</v>
      </c>
      <c r="AP9" s="100">
        <f t="array" ref="AP9">IFNA(LOOKUP(2,1/(ISNUMBER(AP3:AP8)),AP3:AP8)+(F9/(Resources!$P$56/7)),TODAY()+(F9/(Resources!$P$56/7)))</f>
        <v>45781.11237</v>
      </c>
      <c r="AQ9" s="100">
        <f t="array" ref="AQ9">IF(ISNUMBER($AV9),IFNA(LOOKUP(2,1/(ISNUMBER(AQ3:AQ8)),AQ3:AQ8),TODAY()),IFNA(LOOKUP(2,1/(ISNUMBER(AQ3:AQ8)),AQ3:AQ8)+(E9/(Resources!$E$55/7)),TODAY()+(E9/(Resources!$E$55/7))))</f>
        <v>45788.2155</v>
      </c>
      <c r="AR9" s="100">
        <f t="array" ref="AR9">IF(ISNUMBER($AV9),IFNA(LOOKUP(2,1/(ISNUMBER(AR3:AR8)),AR3:AR8),TODAY()),IFNA(LOOKUP(2,1/(ISNUMBER(AR3:AR8)),AR3:AR8)+(F9/(Resources!$E$56/7)),TODAY()+(F9/(Resources!$E$56/7))))</f>
        <v>45783.90041</v>
      </c>
      <c r="AS9" s="100">
        <f t="shared" si="2"/>
        <v>45788.2155</v>
      </c>
      <c r="AT9" s="81">
        <v>5.0</v>
      </c>
      <c r="AU9" s="102">
        <v>45652.0</v>
      </c>
      <c r="AV9" s="104"/>
    </row>
    <row r="10" ht="15.0" customHeight="1">
      <c r="A10" s="83" t="s">
        <v>77</v>
      </c>
      <c r="B10" s="92"/>
      <c r="C10" s="103" t="s">
        <v>81</v>
      </c>
      <c r="D10" s="93">
        <f>IF($A10="Feature",SUM(E10:F10)*'Roadmap setting'!$B$13,0)</f>
        <v>0</v>
      </c>
      <c r="E10" s="94">
        <v>12.0</v>
      </c>
      <c r="F10" s="94">
        <v>0.0</v>
      </c>
      <c r="G10" s="95">
        <f>IF($A10="Feature",IF('Roadmap setting'!$E$14,$F10*('Roadmap setting'!$B$14+'Roadmap setting'!$D$14),$F10*'Roadmap setting'!$B$14),0)</f>
        <v>0</v>
      </c>
      <c r="H10" s="93">
        <f>IF($A10="Feature",$E10*'Roadmap setting'!$B$15,0)</f>
        <v>0</v>
      </c>
      <c r="I10" s="95">
        <f>IF($A10="Feature",$F10*'Roadmap setting'!$B$16,0)</f>
        <v>0</v>
      </c>
      <c r="J10" s="93">
        <f>SUM($E10:$F10)*'Roadmap setting'!$B$17</f>
        <v>1.44</v>
      </c>
      <c r="K10" s="93">
        <f>SUM($E10:$F10)*'Roadmap setting'!$B$18</f>
        <v>0.12</v>
      </c>
      <c r="L10" s="93">
        <f>SUM($E10:$F10)*'Roadmap setting'!$B$19</f>
        <v>0</v>
      </c>
      <c r="M10" s="95">
        <f>SUM($E10:$F10)*'Roadmap setting'!$B$20</f>
        <v>0.24</v>
      </c>
      <c r="N10" s="79">
        <f t="shared" si="1"/>
        <v>13.8</v>
      </c>
      <c r="O10" s="96" t="b">
        <v>1</v>
      </c>
      <c r="P10" s="97"/>
      <c r="Q10" s="98"/>
      <c r="R10" s="97">
        <v>0.36</v>
      </c>
      <c r="S10" s="97"/>
      <c r="T10" s="97"/>
      <c r="U10" s="97">
        <v>0.48</v>
      </c>
      <c r="V10" s="99">
        <v>14.04</v>
      </c>
      <c r="W10" s="96" t="b">
        <v>0</v>
      </c>
      <c r="X10" s="97"/>
      <c r="Y10" s="98"/>
      <c r="Z10" s="97">
        <v>0.52</v>
      </c>
      <c r="AA10" s="97"/>
      <c r="AB10" s="97"/>
      <c r="AC10" s="97">
        <v>0.78</v>
      </c>
      <c r="AD10" s="99">
        <v>15.6</v>
      </c>
      <c r="AE10" s="96" t="b">
        <v>0</v>
      </c>
      <c r="AF10" s="97"/>
      <c r="AG10" s="98"/>
      <c r="AH10" s="97">
        <v>0.65</v>
      </c>
      <c r="AI10" s="97"/>
      <c r="AJ10" s="97"/>
      <c r="AK10" s="97">
        <v>1.04</v>
      </c>
      <c r="AL10" s="99">
        <v>15.99</v>
      </c>
      <c r="AM10" s="96" t="b">
        <v>0</v>
      </c>
      <c r="AN10" s="80">
        <f t="array" ref="AN10">INDEX(A10:AM10, MATCH(RIGHT('Roadmap setting'!$B$9, 3), $A$2:$AM$2, 0) - 1)
</f>
        <v>13.8</v>
      </c>
      <c r="AO10" s="100">
        <f t="array" ref="AO10">IFNA(LOOKUP(2,1/(ISNUMBER(AO4:AO9)),AO4:AO9)+(E10/(Resources!$P$55/7)),TODAY()+(E10/(Resources!$P$55/7)))</f>
        <v>45783.96228</v>
      </c>
      <c r="AP10" s="100">
        <f t="array" ref="AP10">IFNA(LOOKUP(2,1/(ISNUMBER(AP4:AP9)),AP4:AP9)+(F10/(Resources!$P$56/7)),TODAY()+(F10/(Resources!$P$56/7)))</f>
        <v>45781.11237</v>
      </c>
      <c r="AQ10" s="100">
        <f t="array" ref="AQ10">IF(ISNUMBER($AV10),IFNA(LOOKUP(2,1/(ISNUMBER(AQ4:AQ9)),AQ4:AQ9),TODAY()),IFNA(LOOKUP(2,1/(ISNUMBER(AQ4:AQ9)),AQ4:AQ9)+(E10/(Resources!$E$55/7)),TODAY()+(E10/(Resources!$E$55/7))))</f>
        <v>45791.27427</v>
      </c>
      <c r="AR10" s="100">
        <f t="array" ref="AR10">IF(ISNUMBER($AV10),IFNA(LOOKUP(2,1/(ISNUMBER(AR4:AR9)),AR4:AR9),TODAY()),IFNA(LOOKUP(2,1/(ISNUMBER(AR4:AR9)),AR4:AR9)+(F10/(Resources!$E$56/7)),TODAY()+(F10/(Resources!$E$56/7))))</f>
        <v>45783.90041</v>
      </c>
      <c r="AS10" s="100">
        <f t="shared" si="2"/>
        <v>45791.27427</v>
      </c>
      <c r="AT10" s="81">
        <v>4.33</v>
      </c>
      <c r="AU10" s="102">
        <v>45652.0</v>
      </c>
      <c r="AV10" s="104"/>
    </row>
    <row r="11" ht="15.0" customHeight="1">
      <c r="A11" s="83" t="s">
        <v>77</v>
      </c>
      <c r="B11" s="92"/>
      <c r="C11" s="103" t="s">
        <v>82</v>
      </c>
      <c r="D11" s="93">
        <f>IF($A11="Feature",SUM(E11:F11)*'Roadmap setting'!$B$13,0)</f>
        <v>0</v>
      </c>
      <c r="E11" s="94">
        <v>12.0</v>
      </c>
      <c r="F11" s="94">
        <v>0.0</v>
      </c>
      <c r="G11" s="95">
        <f>IF($A11="Feature",IF('Roadmap setting'!$E$14,$F11*('Roadmap setting'!$B$14+'Roadmap setting'!$D$14),$F11*'Roadmap setting'!$B$14),0)</f>
        <v>0</v>
      </c>
      <c r="H11" s="93">
        <f>IF($A11="Feature",$E11*'Roadmap setting'!$B$15,0)</f>
        <v>0</v>
      </c>
      <c r="I11" s="95">
        <f>IF($A11="Feature",$F11*'Roadmap setting'!$B$16,0)</f>
        <v>0</v>
      </c>
      <c r="J11" s="93">
        <f>SUM($E11:$F11)*'Roadmap setting'!$B$17</f>
        <v>1.44</v>
      </c>
      <c r="K11" s="93">
        <f>SUM($E11:$F11)*'Roadmap setting'!$B$18</f>
        <v>0.12</v>
      </c>
      <c r="L11" s="93">
        <f>SUM($E11:$F11)*'Roadmap setting'!$B$19</f>
        <v>0</v>
      </c>
      <c r="M11" s="95">
        <f>SUM($E11:$F11)*'Roadmap setting'!$B$20</f>
        <v>0.24</v>
      </c>
      <c r="N11" s="79">
        <f t="shared" si="1"/>
        <v>13.8</v>
      </c>
      <c r="O11" s="96" t="b">
        <v>1</v>
      </c>
      <c r="P11" s="97"/>
      <c r="Q11" s="98"/>
      <c r="R11" s="97">
        <v>0.36</v>
      </c>
      <c r="S11" s="97"/>
      <c r="T11" s="97"/>
      <c r="U11" s="97">
        <v>0.48</v>
      </c>
      <c r="V11" s="99">
        <v>14.04</v>
      </c>
      <c r="W11" s="96" t="b">
        <v>0</v>
      </c>
      <c r="X11" s="97"/>
      <c r="Y11" s="98"/>
      <c r="Z11" s="97">
        <v>0.52</v>
      </c>
      <c r="AA11" s="97"/>
      <c r="AB11" s="97"/>
      <c r="AC11" s="97">
        <v>0.78</v>
      </c>
      <c r="AD11" s="99">
        <v>15.6</v>
      </c>
      <c r="AE11" s="96" t="b">
        <v>0</v>
      </c>
      <c r="AF11" s="97"/>
      <c r="AG11" s="98"/>
      <c r="AH11" s="97">
        <v>0.65</v>
      </c>
      <c r="AI11" s="97"/>
      <c r="AJ11" s="97"/>
      <c r="AK11" s="97">
        <v>1.04</v>
      </c>
      <c r="AL11" s="99">
        <v>15.99</v>
      </c>
      <c r="AM11" s="96" t="b">
        <v>0</v>
      </c>
      <c r="AN11" s="80">
        <f t="array" ref="AN11">INDEX(A11:AM11, MATCH(RIGHT('Roadmap setting'!$B$9, 3), $A$2:$AM$2, 0) - 1)
</f>
        <v>13.8</v>
      </c>
      <c r="AO11" s="100">
        <f t="array" ref="AO11">IFNA(LOOKUP(2,1/(ISNUMBER(AO5:AO10)),AO5:AO10)+(E11/(Resources!$P$55/7)),TODAY()+(E11/(Resources!$P$55/7)))</f>
        <v>45785.4542</v>
      </c>
      <c r="AP11" s="100">
        <f t="array" ref="AP11">IFNA(LOOKUP(2,1/(ISNUMBER(AP5:AP10)),AP5:AP10)+(F11/(Resources!$P$56/7)),TODAY()+(F11/(Resources!$P$56/7)))</f>
        <v>45781.11237</v>
      </c>
      <c r="AQ11" s="100">
        <f t="array" ref="AQ11">IF(ISNUMBER($AV11),IFNA(LOOKUP(2,1/(ISNUMBER(AQ5:AQ10)),AQ5:AQ10),TODAY()),IFNA(LOOKUP(2,1/(ISNUMBER(AQ5:AQ10)),AQ5:AQ10)+(E11/(Resources!$E$55/7)),TODAY()+(E11/(Resources!$E$55/7))))</f>
        <v>45794.33305</v>
      </c>
      <c r="AR11" s="100">
        <f t="array" ref="AR11">IF(ISNUMBER($AV11),IFNA(LOOKUP(2,1/(ISNUMBER(AR5:AR10)),AR5:AR10),TODAY()),IFNA(LOOKUP(2,1/(ISNUMBER(AR5:AR10)),AR5:AR10)+(F11/(Resources!$E$56/7)),TODAY()+(F11/(Resources!$E$56/7))))</f>
        <v>45783.90041</v>
      </c>
      <c r="AS11" s="100">
        <f t="shared" si="2"/>
        <v>45794.33305</v>
      </c>
      <c r="AT11" s="81">
        <v>4.0</v>
      </c>
      <c r="AU11" s="102">
        <v>45652.0</v>
      </c>
      <c r="AV11" s="104"/>
    </row>
    <row r="12" ht="15.0" customHeight="1">
      <c r="A12" s="105" t="s">
        <v>77</v>
      </c>
      <c r="B12" s="92"/>
      <c r="C12" s="106" t="s">
        <v>83</v>
      </c>
      <c r="D12" s="93">
        <v>2.0</v>
      </c>
      <c r="E12" s="94">
        <v>20.0</v>
      </c>
      <c r="F12" s="94">
        <v>20.0</v>
      </c>
      <c r="G12" s="95">
        <f>IF($A12="Feature",IF('Roadmap setting'!$E$14,$F12*('Roadmap setting'!$B$14+'Roadmap setting'!$D$14),$F12*'Roadmap setting'!$B$14),0)</f>
        <v>0</v>
      </c>
      <c r="H12" s="93">
        <f>IF($A12="Feature",$E12*'Roadmap setting'!$B$15,0)</f>
        <v>0</v>
      </c>
      <c r="I12" s="95">
        <f>IF($A12="Feature",$F12*'Roadmap setting'!$B$16,0)</f>
        <v>0</v>
      </c>
      <c r="J12" s="93">
        <f>SUM($E12:$F12)*'Roadmap setting'!$B$17</f>
        <v>4.8</v>
      </c>
      <c r="K12" s="93">
        <f>SUM($E12:$F12)*'Roadmap setting'!$B$18</f>
        <v>0.4</v>
      </c>
      <c r="L12" s="93">
        <f>SUM($E12:$F12)*'Roadmap setting'!$B$19</f>
        <v>0</v>
      </c>
      <c r="M12" s="95">
        <f>SUM($E12:$F12)*'Roadmap setting'!$B$20</f>
        <v>0.8</v>
      </c>
      <c r="N12" s="79">
        <f t="shared" si="1"/>
        <v>48</v>
      </c>
      <c r="O12" s="96" t="b">
        <v>1</v>
      </c>
      <c r="P12" s="97"/>
      <c r="Q12" s="98"/>
      <c r="R12" s="97"/>
      <c r="S12" s="97"/>
      <c r="T12" s="97"/>
      <c r="U12" s="97"/>
      <c r="V12" s="99"/>
      <c r="W12" s="96" t="b">
        <v>0</v>
      </c>
      <c r="X12" s="97"/>
      <c r="Y12" s="98"/>
      <c r="Z12" s="97"/>
      <c r="AA12" s="97"/>
      <c r="AB12" s="97"/>
      <c r="AC12" s="97"/>
      <c r="AD12" s="99"/>
      <c r="AE12" s="96" t="b">
        <v>0</v>
      </c>
      <c r="AF12" s="97"/>
      <c r="AG12" s="98"/>
      <c r="AH12" s="97"/>
      <c r="AI12" s="97"/>
      <c r="AJ12" s="97"/>
      <c r="AK12" s="97"/>
      <c r="AL12" s="99"/>
      <c r="AM12" s="96" t="b">
        <v>0</v>
      </c>
      <c r="AN12" s="80">
        <f t="array" ref="AN12">INDEX(A12:AM12, MATCH(RIGHT('Roadmap setting'!$B$9, 3), $A$2:$AM$2, 0) - 1)
</f>
        <v>48</v>
      </c>
      <c r="AO12" s="100">
        <f t="array" ref="AO12">IFNA(LOOKUP(2,1/(ISNUMBER(AO7:AO20)),AO7:AO20)+(E12/(Resources!$P$55/7)),TODAY()+(E12/(Resources!$P$55/7)))</f>
        <v>45787.94073</v>
      </c>
      <c r="AP12" s="100">
        <f t="array" ref="AP12">IFNA(LOOKUP(2,1/(ISNUMBER(AP7:AP20)),AP7:AP20)+(F12/(Resources!$P$56/7)),TODAY()+(F12/(Resources!$P$56/7)))</f>
        <v>45785.22473</v>
      </c>
      <c r="AQ12" s="100">
        <f t="array" ref="AQ12">IF(ISNUMBER($AV12),IFNA(LOOKUP(2,1/(ISNUMBER(AQ7:AQ20)),AQ7:AQ20),TODAY()),IFNA(LOOKUP(2,1/(ISNUMBER(AQ7:AQ20)),AQ7:AQ20)+(E12/(Resources!$E$55/7)),TODAY()+(E12/(Resources!$E$55/7))))</f>
        <v>45799.431</v>
      </c>
      <c r="AR12" s="100">
        <f t="array" ref="AR12">IF(ISNUMBER($AV12),IFNA(LOOKUP(2,1/(ISNUMBER(AR7:AR20)),AR7:AR20),TODAY()),IFNA(LOOKUP(2,1/(ISNUMBER(AR7:AR20)),AR7:AR20)+(F12/(Resources!$E$56/7)),TODAY()+(F12/(Resources!$E$56/7))))</f>
        <v>45790.80082</v>
      </c>
      <c r="AS12" s="100">
        <f t="shared" si="2"/>
        <v>45799.431</v>
      </c>
      <c r="AT12" s="81">
        <v>32.56</v>
      </c>
      <c r="AU12" s="102">
        <v>45652.0</v>
      </c>
      <c r="AV12" s="83"/>
    </row>
    <row r="13" ht="15.0" customHeight="1">
      <c r="A13" s="83" t="s">
        <v>77</v>
      </c>
      <c r="B13" s="92"/>
      <c r="C13" s="103" t="s">
        <v>84</v>
      </c>
      <c r="D13" s="93">
        <f>IF($A13="Feature",SUM(E13:F13)*'Roadmap setting'!$B$13,0)</f>
        <v>0</v>
      </c>
      <c r="E13" s="94">
        <v>2.0</v>
      </c>
      <c r="F13" s="94">
        <v>0.0</v>
      </c>
      <c r="G13" s="95">
        <f>IF($A13="Feature",IF('Roadmap setting'!$E$14,$F13*('Roadmap setting'!$B$14+'Roadmap setting'!$D$14),$F13*'Roadmap setting'!$B$14),0)</f>
        <v>0</v>
      </c>
      <c r="H13" s="93">
        <f>IF($A13="Feature",$E13*'Roadmap setting'!$B$15,0)</f>
        <v>0</v>
      </c>
      <c r="I13" s="95">
        <f>IF($A13="Feature",$F13*'Roadmap setting'!$B$16,0)</f>
        <v>0</v>
      </c>
      <c r="J13" s="93">
        <f>SUM($E13:$F13)*'Roadmap setting'!$B$17</f>
        <v>0.24</v>
      </c>
      <c r="K13" s="93">
        <f>SUM($E13:$F13)*'Roadmap setting'!$B$18</f>
        <v>0.02</v>
      </c>
      <c r="L13" s="93">
        <f>SUM($E13:$F13)*'Roadmap setting'!$B$19</f>
        <v>0</v>
      </c>
      <c r="M13" s="95">
        <f>SUM($E13:$F13)*'Roadmap setting'!$B$20</f>
        <v>0.04</v>
      </c>
      <c r="N13" s="79">
        <f t="shared" si="1"/>
        <v>2.3</v>
      </c>
      <c r="O13" s="96" t="b">
        <v>1</v>
      </c>
      <c r="P13" s="97"/>
      <c r="Q13" s="98"/>
      <c r="R13" s="97">
        <v>0.06</v>
      </c>
      <c r="S13" s="97"/>
      <c r="T13" s="97"/>
      <c r="U13" s="97">
        <v>0.08</v>
      </c>
      <c r="V13" s="99">
        <v>2.34</v>
      </c>
      <c r="W13" s="96" t="b">
        <v>0</v>
      </c>
      <c r="X13" s="97"/>
      <c r="Y13" s="98"/>
      <c r="Z13" s="97">
        <v>0.52</v>
      </c>
      <c r="AA13" s="97"/>
      <c r="AB13" s="97"/>
      <c r="AC13" s="97">
        <v>0.78</v>
      </c>
      <c r="AD13" s="99">
        <v>15.6</v>
      </c>
      <c r="AE13" s="96" t="b">
        <v>0</v>
      </c>
      <c r="AF13" s="97"/>
      <c r="AG13" s="98"/>
      <c r="AH13" s="97">
        <v>0.65</v>
      </c>
      <c r="AI13" s="97"/>
      <c r="AJ13" s="97"/>
      <c r="AK13" s="97">
        <v>1.04</v>
      </c>
      <c r="AL13" s="99">
        <v>15.99</v>
      </c>
      <c r="AM13" s="96" t="b">
        <v>0</v>
      </c>
      <c r="AN13" s="80">
        <f t="array" ref="AN13">INDEX(A13:AM13, MATCH(RIGHT('Roadmap setting'!$B$9, 3), $A$2:$AM$2, 0) - 1)
</f>
        <v>2.3</v>
      </c>
      <c r="AO13" s="100">
        <f t="array" ref="AO13">IFNA(LOOKUP(2,1/(ISNUMBER(AO9:AO46)),AO9:AO46)+(E13/(Resources!$P$55/7)),TODAY()+(E13/(Resources!$P$55/7)))</f>
        <v>174930.2317</v>
      </c>
      <c r="AP13" s="100">
        <f t="array" ref="AP13">IFNA(LOOKUP(2,1/(ISNUMBER(AP9:AP46)),AP9:AP46)+(F13/(Resources!$P$56/7)),TODAY()+(F13/(Resources!$P$56/7)))</f>
        <v>5962.854244</v>
      </c>
      <c r="AQ13" s="100">
        <f t="array" ref="AQ13">IF(ISNUMBER($AV13),IFNA(LOOKUP(2,1/(ISNUMBER(AQ9:AQ46)),AQ9:AQ46),TODAY()),IFNA(LOOKUP(2,1/(ISNUMBER(AQ9:AQ46)),AQ9:AQ46)+(E13/(Resources!$E$55/7)),TODAY()+(E13/(Resources!$E$55/7))))</f>
        <v>336575.9848</v>
      </c>
      <c r="AR13" s="100">
        <f t="array" ref="AR13">IF(ISNUMBER($AV13),IFNA(LOOKUP(2,1/(ISNUMBER(AR9:AR46)),AR9:AR46),TODAY()),IFNA(LOOKUP(2,1/(ISNUMBER(AR9:AR46)),AR9:AR46)+(F13/(Resources!$E$56/7)),TODAY()+(F13/(Resources!$E$56/7))))</f>
        <v>17888.56273</v>
      </c>
      <c r="AS13" s="100">
        <f t="shared" si="2"/>
        <v>336575.9848</v>
      </c>
      <c r="AT13" s="81">
        <v>0.0</v>
      </c>
      <c r="AU13" s="82"/>
      <c r="AV13" s="83"/>
    </row>
    <row r="14" ht="15.0" customHeight="1">
      <c r="A14" s="83" t="s">
        <v>77</v>
      </c>
      <c r="B14" s="92"/>
      <c r="C14" s="107" t="s">
        <v>85</v>
      </c>
      <c r="D14" s="93">
        <f>IF($A14="Feature",SUM(E14:F14)*'Roadmap setting'!$B$13,0)</f>
        <v>0</v>
      </c>
      <c r="E14" s="94">
        <v>4.0</v>
      </c>
      <c r="F14" s="94">
        <v>0.0</v>
      </c>
      <c r="G14" s="95">
        <f>IF($A14="Feature",IF('Roadmap setting'!$E$14,$F14*('Roadmap setting'!$B$14+'Roadmap setting'!$D$14),$F14*'Roadmap setting'!$B$14),0)</f>
        <v>0</v>
      </c>
      <c r="H14" s="93">
        <f>IF($A14="Feature",$E14*'Roadmap setting'!$B$15,0)</f>
        <v>0</v>
      </c>
      <c r="I14" s="95">
        <f>IF($A14="Feature",$F14*'Roadmap setting'!$B$16,0)</f>
        <v>0</v>
      </c>
      <c r="J14" s="93">
        <f>SUM($E14:$F14)*'Roadmap setting'!$B$17</f>
        <v>0.48</v>
      </c>
      <c r="K14" s="93">
        <f>SUM($E14:$F14)*'Roadmap setting'!$B$18</f>
        <v>0.04</v>
      </c>
      <c r="L14" s="93">
        <f>SUM($E14:$F14)*'Roadmap setting'!$B$19</f>
        <v>0</v>
      </c>
      <c r="M14" s="95">
        <f>SUM($E14:$F14)*'Roadmap setting'!$B$20</f>
        <v>0.08</v>
      </c>
      <c r="N14" s="79">
        <f t="shared" si="1"/>
        <v>4.6</v>
      </c>
      <c r="O14" s="96" t="b">
        <v>1</v>
      </c>
      <c r="P14" s="97">
        <v>0.4</v>
      </c>
      <c r="Q14" s="97">
        <v>0.0</v>
      </c>
      <c r="R14" s="97">
        <v>0.12</v>
      </c>
      <c r="S14" s="97">
        <v>0.08</v>
      </c>
      <c r="T14" s="97">
        <v>0.04</v>
      </c>
      <c r="U14" s="97">
        <v>0.16</v>
      </c>
      <c r="V14" s="99">
        <v>5.2</v>
      </c>
      <c r="W14" s="96" t="b">
        <v>0</v>
      </c>
      <c r="X14" s="97"/>
      <c r="Y14" s="98"/>
      <c r="Z14" s="97">
        <v>0.52</v>
      </c>
      <c r="AA14" s="97"/>
      <c r="AB14" s="97"/>
      <c r="AC14" s="97">
        <v>0.78</v>
      </c>
      <c r="AD14" s="99">
        <v>15.6</v>
      </c>
      <c r="AE14" s="96" t="b">
        <v>0</v>
      </c>
      <c r="AF14" s="97"/>
      <c r="AG14" s="98"/>
      <c r="AH14" s="97">
        <v>0.65</v>
      </c>
      <c r="AI14" s="97"/>
      <c r="AJ14" s="97"/>
      <c r="AK14" s="97">
        <v>1.04</v>
      </c>
      <c r="AL14" s="99">
        <v>15.99</v>
      </c>
      <c r="AM14" s="96" t="b">
        <v>0</v>
      </c>
      <c r="AN14" s="80">
        <f t="array" ref="AN14">INDEX(A14:AM14, MATCH(RIGHT('Roadmap setting'!$B$9, 3), $A$2:$AM$2, 0) - 1)
</f>
        <v>4.6</v>
      </c>
      <c r="AO14" s="100">
        <f t="array" ref="AO14">IFNA(LOOKUP(2,1/(ISNUMBER(AO11:AO62)),AO11:AO62)+(E14/(Resources!$P$55/7)),TODAY()+(E14/(Resources!$P$55/7)))</f>
        <v>174933.1675</v>
      </c>
      <c r="AP14" s="100">
        <f t="array" ref="AP14">IFNA(LOOKUP(2,1/(ISNUMBER(AP11:AP62)),AP11:AP62)+(F14/(Resources!$P$56/7)),TODAY()+(F14/(Resources!$P$56/7)))</f>
        <v>5962.854244</v>
      </c>
      <c r="AQ14" s="100">
        <f t="array" ref="AQ14">IF(ISNUMBER($AV14),IFNA(LOOKUP(2,1/(ISNUMBER(AQ11:AQ62)),AQ11:AQ62),TODAY()),IFNA(LOOKUP(2,1/(ISNUMBER(AQ11:AQ62)),AQ11:AQ62)+(E14/(Resources!$E$55/7)),TODAY()+(E14/(Resources!$E$55/7))))</f>
        <v>336582.3595</v>
      </c>
      <c r="AR14" s="100">
        <f t="array" ref="AR14">IF(ISNUMBER($AV14),IFNA(LOOKUP(2,1/(ISNUMBER(AR11:AR62)),AR11:AR62),TODAY()),IFNA(LOOKUP(2,1/(ISNUMBER(AR11:AR62)),AR11:AR62)+(F14/(Resources!$E$56/7)),TODAY()+(F14/(Resources!$E$56/7))))</f>
        <v>17888.56273</v>
      </c>
      <c r="AS14" s="100">
        <f t="shared" si="2"/>
        <v>336582.3595</v>
      </c>
      <c r="AT14" s="81">
        <v>0.0</v>
      </c>
      <c r="AU14" s="82"/>
      <c r="AV14" s="83"/>
    </row>
    <row r="15" ht="15.0" customHeight="1">
      <c r="A15" s="83" t="s">
        <v>77</v>
      </c>
      <c r="B15" s="92"/>
      <c r="C15" s="107" t="s">
        <v>86</v>
      </c>
      <c r="D15" s="93">
        <f>IF($A15="Feature",SUM(E15:F15)*'Roadmap setting'!$B$13,0)</f>
        <v>0</v>
      </c>
      <c r="E15" s="94">
        <v>0.0</v>
      </c>
      <c r="F15" s="94">
        <v>8.0</v>
      </c>
      <c r="G15" s="95">
        <f>IF($A15="Feature",IF('Roadmap setting'!$E$14,$F15*('Roadmap setting'!$B$14+'Roadmap setting'!$D$14),$F15*'Roadmap setting'!$B$14),0)</f>
        <v>0</v>
      </c>
      <c r="H15" s="93">
        <f>IF($A15="Feature",$E15*'Roadmap setting'!$B$15,0)</f>
        <v>0</v>
      </c>
      <c r="I15" s="95">
        <f>IF($A15="Feature",$F15*'Roadmap setting'!$B$16,0)</f>
        <v>0</v>
      </c>
      <c r="J15" s="93">
        <f>SUM($E15:$F15)*'Roadmap setting'!$B$17</f>
        <v>0.96</v>
      </c>
      <c r="K15" s="93">
        <f>SUM($E15:$F15)*'Roadmap setting'!$B$18</f>
        <v>0.08</v>
      </c>
      <c r="L15" s="93">
        <f>SUM($E15:$F15)*'Roadmap setting'!$B$19</f>
        <v>0</v>
      </c>
      <c r="M15" s="95">
        <f>SUM($E15:$F15)*'Roadmap setting'!$B$20</f>
        <v>0.16</v>
      </c>
      <c r="N15" s="79">
        <f t="shared" si="1"/>
        <v>9.2</v>
      </c>
      <c r="O15" s="96" t="b">
        <v>1</v>
      </c>
      <c r="P15" s="97">
        <v>0.0</v>
      </c>
      <c r="Q15" s="97">
        <v>0.8</v>
      </c>
      <c r="R15" s="97">
        <v>0.24</v>
      </c>
      <c r="S15" s="97">
        <v>0.16</v>
      </c>
      <c r="T15" s="97">
        <v>0.08</v>
      </c>
      <c r="U15" s="97">
        <v>0.32</v>
      </c>
      <c r="V15" s="99">
        <v>10.4</v>
      </c>
      <c r="W15" s="96" t="b">
        <v>0</v>
      </c>
      <c r="X15" s="97"/>
      <c r="Y15" s="98"/>
      <c r="Z15" s="97">
        <v>0.52</v>
      </c>
      <c r="AA15" s="97"/>
      <c r="AB15" s="97"/>
      <c r="AC15" s="97">
        <v>0.78</v>
      </c>
      <c r="AD15" s="99">
        <v>15.6</v>
      </c>
      <c r="AE15" s="96" t="b">
        <v>0</v>
      </c>
      <c r="AF15" s="97"/>
      <c r="AG15" s="98"/>
      <c r="AH15" s="97">
        <v>0.65</v>
      </c>
      <c r="AI15" s="97"/>
      <c r="AJ15" s="97"/>
      <c r="AK15" s="97">
        <v>1.04</v>
      </c>
      <c r="AL15" s="99">
        <v>15.99</v>
      </c>
      <c r="AM15" s="96" t="b">
        <v>0</v>
      </c>
      <c r="AN15" s="80">
        <f t="array" ref="AN15">INDEX(A15:AM15, MATCH(RIGHT('Roadmap setting'!$B$9, 3), $A$2:$AM$2, 0) - 1)
</f>
        <v>9.2</v>
      </c>
      <c r="AO15" s="100">
        <f t="array" ref="AO15">IFNA(LOOKUP(2,1/(ISNUMBER(AO12:AO14)),AO12:AO14)+(E15/(Resources!$P$55/7)),TODAY()+(E15/(Resources!$P$55/7)))</f>
        <v>174933.1675</v>
      </c>
      <c r="AP15" s="100">
        <f t="array" ref="AP15">IFNA(LOOKUP(2,1/(ISNUMBER(AP12:AP14)),AP12:AP14)+(F15/(Resources!$P$56/7)),TODAY()+(F15/(Resources!$P$56/7)))</f>
        <v>5964.49919</v>
      </c>
      <c r="AQ15" s="100">
        <f t="array" ref="AQ15">IF(ISNUMBER($AV15),IFNA(LOOKUP(2,1/(ISNUMBER(AQ12:AQ14)),AQ12:AQ14),TODAY()),IFNA(LOOKUP(2,1/(ISNUMBER(AQ12:AQ14)),AQ12:AQ14)+(E15/(Resources!$E$55/7)),TODAY()+(E15/(Resources!$E$55/7))))</f>
        <v>336582.3595</v>
      </c>
      <c r="AR15" s="100">
        <f t="array" ref="AR15">IF(ISNUMBER($AV15),IFNA(LOOKUP(2,1/(ISNUMBER(AR12:AR14)),AR12:AR14),TODAY()),IFNA(LOOKUP(2,1/(ISNUMBER(AR12:AR14)),AR12:AR14)+(F15/(Resources!$E$56/7)),TODAY()+(F15/(Resources!$E$56/7))))</f>
        <v>17891.3229</v>
      </c>
      <c r="AS15" s="100">
        <f t="shared" si="2"/>
        <v>336582.3595</v>
      </c>
      <c r="AT15" s="81">
        <v>0.0</v>
      </c>
      <c r="AU15" s="82"/>
      <c r="AV15" s="83"/>
    </row>
    <row r="16" ht="15.0" customHeight="1">
      <c r="A16" s="105" t="s">
        <v>77</v>
      </c>
      <c r="B16" s="92"/>
      <c r="C16" s="106" t="s">
        <v>87</v>
      </c>
      <c r="D16" s="93">
        <f>IF($A16="Feature",SUM(E16:F16)*'Roadmap setting'!$B$13,0)</f>
        <v>0</v>
      </c>
      <c r="E16" s="94">
        <v>0.0</v>
      </c>
      <c r="F16" s="94">
        <v>0.0</v>
      </c>
      <c r="G16" s="93">
        <v>8.0</v>
      </c>
      <c r="H16" s="93">
        <f>IF($A16="Feature",$E16*'Roadmap setting'!$B$15,0)</f>
        <v>0</v>
      </c>
      <c r="I16" s="95">
        <f>IF($A16="Feature",$F16*'Roadmap setting'!$B$16,0)</f>
        <v>0</v>
      </c>
      <c r="J16" s="93">
        <f>SUM($E16:$F16)*'Roadmap setting'!$B$17</f>
        <v>0</v>
      </c>
      <c r="K16" s="93">
        <f>SUM($E16:$F16)*'Roadmap setting'!$B$18</f>
        <v>0</v>
      </c>
      <c r="L16" s="93">
        <f>SUM($E16:$F16)*'Roadmap setting'!$B$19</f>
        <v>0</v>
      </c>
      <c r="M16" s="95">
        <f>SUM($E16:$F16)*'Roadmap setting'!$B$20</f>
        <v>0</v>
      </c>
      <c r="N16" s="79">
        <f>SUM($D16:$G16)+SUM($H$39:$M$39)</f>
        <v>8.6</v>
      </c>
      <c r="O16" s="96" t="b">
        <v>1</v>
      </c>
      <c r="P16" s="97"/>
      <c r="Q16" s="98"/>
      <c r="R16" s="97"/>
      <c r="S16" s="97"/>
      <c r="T16" s="97"/>
      <c r="U16" s="97"/>
      <c r="V16" s="99"/>
      <c r="W16" s="96" t="b">
        <v>0</v>
      </c>
      <c r="X16" s="97"/>
      <c r="Y16" s="98"/>
      <c r="Z16" s="97"/>
      <c r="AA16" s="97"/>
      <c r="AB16" s="97"/>
      <c r="AC16" s="97"/>
      <c r="AD16" s="99"/>
      <c r="AE16" s="96" t="b">
        <v>0</v>
      </c>
      <c r="AF16" s="97"/>
      <c r="AG16" s="98"/>
      <c r="AH16" s="97"/>
      <c r="AI16" s="97"/>
      <c r="AJ16" s="97"/>
      <c r="AK16" s="97"/>
      <c r="AL16" s="99"/>
      <c r="AM16" s="96" t="b">
        <v>0</v>
      </c>
      <c r="AN16" s="80">
        <f t="array" ref="AN16">INDEX(A16:AM16, MATCH(RIGHT('Roadmap setting'!$B$9, 3), $A$2:$AM$2, 0) - 1)
</f>
        <v>8.6</v>
      </c>
      <c r="AO16" s="100">
        <f t="array" ref="AO16">IFNA(LOOKUP(2,1/(ISNUMBER(AO13:AO21)),AO13:AO21)+(E16/(Resources!$P$55/7)),TODAY()+(E16/(Resources!$P$55/7)))</f>
        <v>174931.9722</v>
      </c>
      <c r="AP16" s="100">
        <f t="array" ref="AP16">IFNA(LOOKUP(2,1/(ISNUMBER(AP13:AP21)),AP13:AP21)+(F16/(Resources!$P$56/7)),TODAY()+(F16/(Resources!$P$56/7)))</f>
        <v>5964.49919</v>
      </c>
      <c r="AQ16" s="100">
        <f t="array" ref="AQ16">IF(ISNUMBER($AV16),IFNA(LOOKUP(2,1/(ISNUMBER(AQ13:AQ21)),AQ13:AQ21),TODAY()),IFNA(LOOKUP(2,1/(ISNUMBER(AQ13:AQ21)),AQ13:AQ21)+(E16/(Resources!$E$55/7)),TODAY()+(E16/(Resources!$E$55/7))))</f>
        <v>336579.5534</v>
      </c>
      <c r="AR16" s="100">
        <f t="array" ref="AR16">IF(ISNUMBER($AV16),IFNA(LOOKUP(2,1/(ISNUMBER(AR13:AR21)),AR13:AR21),TODAY()),IFNA(LOOKUP(2,1/(ISNUMBER(AR13:AR21)),AR13:AR21)+(F16/(Resources!$E$56/7)),TODAY()+(F16/(Resources!$E$56/7))))</f>
        <v>17891.3229</v>
      </c>
      <c r="AS16" s="100">
        <f t="shared" si="2"/>
        <v>336579.5534</v>
      </c>
      <c r="AT16" s="81">
        <v>0.0</v>
      </c>
      <c r="AU16" s="82"/>
      <c r="AV16" s="83"/>
    </row>
    <row r="17" ht="15.0" customHeight="1">
      <c r="A17" s="105" t="s">
        <v>77</v>
      </c>
      <c r="B17" s="92"/>
      <c r="C17" s="106" t="s">
        <v>88</v>
      </c>
      <c r="D17" s="93">
        <v>5.0</v>
      </c>
      <c r="E17" s="94">
        <v>0.0</v>
      </c>
      <c r="F17" s="94">
        <v>0.0</v>
      </c>
      <c r="G17" s="95">
        <f>IF($A17="Feature",IF('Roadmap setting'!$E$14,$F17*('Roadmap setting'!$B$14+'Roadmap setting'!$D$14),$F17*'Roadmap setting'!$B$14),0)</f>
        <v>0</v>
      </c>
      <c r="H17" s="93">
        <f>IF($A17="Feature",$E17*'Roadmap setting'!$B$15,0)</f>
        <v>0</v>
      </c>
      <c r="I17" s="95">
        <f>IF($A17="Feature",$F17*'Roadmap setting'!$B$16,0)</f>
        <v>0</v>
      </c>
      <c r="J17" s="93">
        <f>SUM($E17:$F17)*'Roadmap setting'!$B$17</f>
        <v>0</v>
      </c>
      <c r="K17" s="93">
        <f>SUM($E17:$F17)*'Roadmap setting'!$B$18</f>
        <v>0</v>
      </c>
      <c r="L17" s="93">
        <f>SUM($E17:$F17)*'Roadmap setting'!$B$19</f>
        <v>0</v>
      </c>
      <c r="M17" s="95">
        <f>SUM($E17:$F17)*'Roadmap setting'!$B$20</f>
        <v>0</v>
      </c>
      <c r="N17" s="79">
        <f>SUM($D17:$G17)+SUM($H$41:$M$41)</f>
        <v>5.6</v>
      </c>
      <c r="O17" s="96" t="b">
        <v>1</v>
      </c>
      <c r="P17" s="97"/>
      <c r="Q17" s="98"/>
      <c r="R17" s="97"/>
      <c r="S17" s="97"/>
      <c r="T17" s="97"/>
      <c r="U17" s="97"/>
      <c r="V17" s="99"/>
      <c r="W17" s="96" t="b">
        <v>0</v>
      </c>
      <c r="X17" s="97"/>
      <c r="Y17" s="98"/>
      <c r="Z17" s="97"/>
      <c r="AA17" s="97"/>
      <c r="AB17" s="97"/>
      <c r="AC17" s="97"/>
      <c r="AD17" s="99"/>
      <c r="AE17" s="96" t="b">
        <v>0</v>
      </c>
      <c r="AF17" s="97"/>
      <c r="AG17" s="98"/>
      <c r="AH17" s="97"/>
      <c r="AI17" s="97"/>
      <c r="AJ17" s="97"/>
      <c r="AK17" s="97"/>
      <c r="AL17" s="99"/>
      <c r="AM17" s="96" t="b">
        <v>0</v>
      </c>
      <c r="AN17" s="80">
        <f t="array" ref="AN17">INDEX(A17:AM17, MATCH(RIGHT('Roadmap setting'!$B$9, 3), $A$2:$AM$2, 0) - 1)
</f>
        <v>5.6</v>
      </c>
      <c r="AO17" s="100">
        <f t="array" ref="AO17">IFNA(LOOKUP(2,1/(ISNUMBER(AO14:AO16)),AO14:AO16)+(E17/(Resources!$P$55/7)),TODAY()+(E17/(Resources!$P$55/7)))</f>
        <v>174931.9722</v>
      </c>
      <c r="AP17" s="100">
        <f t="array" ref="AP17">IFNA(LOOKUP(2,1/(ISNUMBER(AP14:AP16)),AP14:AP16)+(F17/(Resources!$P$56/7)),TODAY()+(F17/(Resources!$P$56/7)))</f>
        <v>5964.49919</v>
      </c>
      <c r="AQ17" s="100">
        <f t="array" ref="AQ17">IF(ISNUMBER($AV17),IFNA(LOOKUP(2,1/(ISNUMBER(AQ14:AQ16)),AQ14:AQ16),TODAY()),IFNA(LOOKUP(2,1/(ISNUMBER(AQ14:AQ16)),AQ14:AQ16)+(E17/(Resources!$E$55/7)),TODAY()+(E17/(Resources!$E$55/7))))</f>
        <v>336579.5534</v>
      </c>
      <c r="AR17" s="100">
        <f t="array" ref="AR17">IF(ISNUMBER($AV17),IFNA(LOOKUP(2,1/(ISNUMBER(AR14:AR16)),AR14:AR16),TODAY()),IFNA(LOOKUP(2,1/(ISNUMBER(AR14:AR16)),AR14:AR16)+(F17/(Resources!$E$56/7)),TODAY()+(F17/(Resources!$E$56/7))))</f>
        <v>17891.3229</v>
      </c>
      <c r="AS17" s="100">
        <f t="shared" si="2"/>
        <v>336579.5534</v>
      </c>
      <c r="AT17" s="81">
        <v>0.0</v>
      </c>
      <c r="AU17" s="82">
        <v>45645.0</v>
      </c>
      <c r="AV17" s="83"/>
    </row>
    <row r="18" ht="25.5" customHeight="1">
      <c r="A18" s="84" t="s">
        <v>89</v>
      </c>
      <c r="C18" s="108" t="s">
        <v>90</v>
      </c>
      <c r="D18" s="84"/>
      <c r="E18" s="84"/>
      <c r="F18" s="84"/>
      <c r="G18" s="84"/>
      <c r="H18" s="84"/>
      <c r="I18" s="84"/>
      <c r="J18" s="84"/>
      <c r="K18" s="84"/>
      <c r="L18" s="84"/>
      <c r="M18" s="84"/>
      <c r="N18" s="86"/>
      <c r="O18" s="87"/>
      <c r="P18" s="84"/>
      <c r="Q18" s="84"/>
      <c r="R18" s="84"/>
      <c r="S18" s="84"/>
      <c r="T18" s="84"/>
      <c r="U18" s="84"/>
      <c r="V18" s="86"/>
      <c r="W18" s="87"/>
      <c r="X18" s="84"/>
      <c r="Y18" s="84"/>
      <c r="Z18" s="84"/>
      <c r="AA18" s="84"/>
      <c r="AB18" s="84"/>
      <c r="AC18" s="84"/>
      <c r="AD18" s="86"/>
      <c r="AE18" s="87"/>
      <c r="AF18" s="84"/>
      <c r="AG18" s="84"/>
      <c r="AH18" s="84"/>
      <c r="AI18" s="84"/>
      <c r="AJ18" s="84"/>
      <c r="AK18" s="84"/>
      <c r="AL18" s="86"/>
      <c r="AM18" s="87"/>
      <c r="AN18" s="88"/>
      <c r="AO18" s="88"/>
      <c r="AP18" s="88"/>
      <c r="AQ18" s="88"/>
      <c r="AR18" s="88"/>
      <c r="AS18" s="88"/>
      <c r="AT18" s="88"/>
      <c r="AU18" s="88"/>
      <c r="AV18" s="90"/>
    </row>
    <row r="19" ht="15.0" customHeight="1">
      <c r="A19" s="84" t="s">
        <v>91</v>
      </c>
      <c r="C19" s="108"/>
      <c r="D19" s="84"/>
      <c r="E19" s="84"/>
      <c r="F19" s="84"/>
      <c r="G19" s="84"/>
      <c r="H19" s="84"/>
      <c r="I19" s="84"/>
      <c r="J19" s="84"/>
      <c r="K19" s="84"/>
      <c r="L19" s="84"/>
      <c r="M19" s="84"/>
      <c r="N19" s="84"/>
      <c r="O19" s="84"/>
      <c r="P19" s="84"/>
      <c r="Q19" s="84"/>
      <c r="R19" s="84"/>
      <c r="S19" s="84"/>
      <c r="T19" s="84"/>
      <c r="U19" s="84"/>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4"/>
      <c r="AV19" s="84"/>
    </row>
    <row r="20" ht="15.0" customHeight="1">
      <c r="A20" s="83" t="s">
        <v>77</v>
      </c>
      <c r="B20" s="92" t="s">
        <v>92</v>
      </c>
      <c r="C20" s="109" t="s">
        <v>93</v>
      </c>
      <c r="D20" s="93">
        <f>IF($A20="Feature",SUM(E20:F20)*'Roadmap setting'!$B$13,0)</f>
        <v>0</v>
      </c>
      <c r="E20" s="94">
        <v>0.0</v>
      </c>
      <c r="F20" s="94">
        <v>0.0</v>
      </c>
      <c r="G20" s="95">
        <f>IF($A20="Feature",IF('Roadmap setting'!$E$14,$F20*('Roadmap setting'!$B$14+'Roadmap setting'!$D$14),$F20*'Roadmap setting'!$B$14),0)</f>
        <v>0</v>
      </c>
      <c r="H20" s="93">
        <f>IF($A20="Feature",$E20*'Roadmap setting'!$B$15,0)</f>
        <v>0</v>
      </c>
      <c r="I20" s="95">
        <f>IF($A20="Feature",$F20*'Roadmap setting'!$B$16,0)</f>
        <v>0</v>
      </c>
      <c r="J20" s="93">
        <f>SUM($E20:$F20)*'Roadmap setting'!$B$17</f>
        <v>0</v>
      </c>
      <c r="K20" s="93">
        <f>SUM($E20:$F20)*'Roadmap setting'!$B$18</f>
        <v>0</v>
      </c>
      <c r="L20" s="93">
        <f>SUM($E20:$F20)*'Roadmap setting'!$B$19</f>
        <v>0</v>
      </c>
      <c r="M20" s="95">
        <f>SUM($E20:$F20)*'Roadmap setting'!$B$20</f>
        <v>0</v>
      </c>
      <c r="N20" s="79">
        <f>SUM($D20:$G20)+SUM(H20:M20)</f>
        <v>0</v>
      </c>
      <c r="O20" s="96" t="b">
        <v>1</v>
      </c>
      <c r="P20" s="97"/>
      <c r="Q20" s="98"/>
      <c r="R20" s="97">
        <v>0.72</v>
      </c>
      <c r="S20" s="97"/>
      <c r="T20" s="97"/>
      <c r="U20" s="97">
        <v>0.96</v>
      </c>
      <c r="V20" s="99">
        <v>28.08</v>
      </c>
      <c r="W20" s="96" t="b">
        <v>0</v>
      </c>
      <c r="X20" s="97"/>
      <c r="Y20" s="98"/>
      <c r="Z20" s="97">
        <v>0.52</v>
      </c>
      <c r="AA20" s="97"/>
      <c r="AB20" s="97"/>
      <c r="AC20" s="97">
        <v>0.78</v>
      </c>
      <c r="AD20" s="99">
        <v>15.6</v>
      </c>
      <c r="AE20" s="96" t="b">
        <v>0</v>
      </c>
      <c r="AF20" s="97"/>
      <c r="AG20" s="98"/>
      <c r="AH20" s="97">
        <v>0.65</v>
      </c>
      <c r="AI20" s="97"/>
      <c r="AJ20" s="97"/>
      <c r="AK20" s="97">
        <v>1.04</v>
      </c>
      <c r="AL20" s="99">
        <v>15.99</v>
      </c>
      <c r="AM20" s="96" t="b">
        <v>0</v>
      </c>
      <c r="AN20" s="80">
        <f t="array" ref="AN20">INDEX(A20:AM20, MATCH(RIGHT('Roadmap setting'!$B$9, 3), $A$2:$AM$2, 0) - 1)
</f>
        <v>0</v>
      </c>
      <c r="AO20" s="100">
        <f t="array" ref="AO20">IFNA(LOOKUP(2,1/(ISNUMBER(AO6:AO11)),AO6:AO11)+(E20/(Resources!$P$55/7)),TODAY()+(E20/(Resources!$P$55/7)))</f>
        <v>45785.4542</v>
      </c>
      <c r="AP20" s="100">
        <f t="array" ref="AP20">IFNA(LOOKUP(2,1/(ISNUMBER(AP6:AP11)),AP6:AP11)+(F20/(Resources!$P$56/7)),TODAY()+(F20/(Resources!$P$56/7)))</f>
        <v>45781.11237</v>
      </c>
      <c r="AQ20" s="100">
        <f t="array" ref="AQ20">IF(ISNUMBER($AV20),IFNA(LOOKUP(2,1/(ISNUMBER(AQ6:AQ11)),AQ6:AQ11),TODAY()),IFNA(LOOKUP(2,1/(ISNUMBER(AQ6:AQ11)),AQ6:AQ11)+(E20/(Resources!$E$55/7)),TODAY()+(E20/(Resources!$E$55/7))))</f>
        <v>45794.33305</v>
      </c>
      <c r="AR20" s="100">
        <f t="array" ref="AR20">IF(ISNUMBER($AV20),IFNA(LOOKUP(2,1/(ISNUMBER(AR6:AR11)),AR6:AR11),TODAY()),IFNA(LOOKUP(2,1/(ISNUMBER(AR6:AR11)),AR6:AR11)+(F20/(Resources!$E$56/7)),TODAY()+(F20/(Resources!$E$56/7))))</f>
        <v>45783.90041</v>
      </c>
      <c r="AS20" s="100">
        <f t="shared" ref="AS20:AS41" si="3">IFERROR(MAX(AQ20,AR20),"")</f>
        <v>45794.33305</v>
      </c>
      <c r="AT20" s="81">
        <f>0.39+0.28+0.34+5.84</f>
        <v>6.85</v>
      </c>
      <c r="AU20" s="82">
        <v>45666.0</v>
      </c>
      <c r="AV20" s="83"/>
    </row>
    <row r="21" ht="15.0" customHeight="1">
      <c r="A21" s="105" t="s">
        <v>77</v>
      </c>
      <c r="B21" s="92" t="s">
        <v>92</v>
      </c>
      <c r="C21" s="110" t="s">
        <v>94</v>
      </c>
      <c r="D21" s="93">
        <f>IF($A21="Feature",SUM(E21:F21)*'Roadmap setting'!$B$13,0)</f>
        <v>0</v>
      </c>
      <c r="E21" s="94">
        <v>8.0</v>
      </c>
      <c r="F21" s="94">
        <v>0.0</v>
      </c>
      <c r="G21" s="95">
        <f>IF($A21="Feature",IF('Roadmap setting'!$E$14,$F21*('Roadmap setting'!$B$14+'Roadmap setting'!$D$14),$F21*'Roadmap setting'!$B$14),0)</f>
        <v>0</v>
      </c>
      <c r="H21" s="93">
        <f>IF($A21="Feature",$E21*'Roadmap setting'!$B$15,0)</f>
        <v>0</v>
      </c>
      <c r="I21" s="95">
        <f>IF($A21="Feature",$F21*'Roadmap setting'!$B$16,0)</f>
        <v>0</v>
      </c>
      <c r="J21" s="93">
        <f>SUM($E21:$F21)*'Roadmap setting'!$B$17</f>
        <v>0.96</v>
      </c>
      <c r="K21" s="93">
        <f>SUM($E21:$F21)*'Roadmap setting'!$B$18</f>
        <v>0.08</v>
      </c>
      <c r="L21" s="93">
        <f>SUM($E21:$F21)*'Roadmap setting'!$B$19</f>
        <v>0</v>
      </c>
      <c r="M21" s="95">
        <f>SUM($E21:$F21)*'Roadmap setting'!$B$20</f>
        <v>0.16</v>
      </c>
      <c r="N21" s="79">
        <f>SUM($D21:$G21)+SUM($H$33:$M$33)</f>
        <v>8.45</v>
      </c>
      <c r="O21" s="96" t="b">
        <v>1</v>
      </c>
      <c r="P21" s="97"/>
      <c r="Q21" s="98"/>
      <c r="R21" s="97">
        <v>0.48</v>
      </c>
      <c r="S21" s="97"/>
      <c r="T21" s="97"/>
      <c r="U21" s="97">
        <v>0.64</v>
      </c>
      <c r="V21" s="99">
        <v>18.72</v>
      </c>
      <c r="W21" s="96" t="b">
        <v>0</v>
      </c>
      <c r="X21" s="97"/>
      <c r="Y21" s="98"/>
      <c r="Z21" s="97">
        <v>0.52</v>
      </c>
      <c r="AA21" s="97"/>
      <c r="AB21" s="97"/>
      <c r="AC21" s="97">
        <v>0.78</v>
      </c>
      <c r="AD21" s="99">
        <v>15.6</v>
      </c>
      <c r="AE21" s="96" t="b">
        <v>0</v>
      </c>
      <c r="AF21" s="97"/>
      <c r="AG21" s="98"/>
      <c r="AH21" s="97">
        <v>0.65</v>
      </c>
      <c r="AI21" s="97"/>
      <c r="AJ21" s="97"/>
      <c r="AK21" s="97">
        <v>1.04</v>
      </c>
      <c r="AL21" s="99">
        <v>15.99</v>
      </c>
      <c r="AM21" s="96" t="b">
        <v>0</v>
      </c>
      <c r="AN21" s="80">
        <f t="array" ref="AN21">INDEX(A21:AM21, MATCH(RIGHT('Roadmap setting'!$B$9, 3), $A$2:$AM$2, 0) - 1)
</f>
        <v>8.45</v>
      </c>
      <c r="AO21" s="100">
        <f t="array" ref="AO21">IFNA(LOOKUP(2,1/(ISNUMBER(AO13:AO15)),AO13:AO15)+(E21/(Resources!$P$55/7)),TODAY()+(E21/(Resources!$P$55/7)))</f>
        <v>174934.1621</v>
      </c>
      <c r="AP21" s="100">
        <f t="array" ref="AP21">IFNA(LOOKUP(2,1/(ISNUMBER(AP13:AP15)),AP13:AP15)+(F21/(Resources!$P$56/7)),TODAY()+(F21/(Resources!$P$56/7)))</f>
        <v>5964.49919</v>
      </c>
      <c r="AQ21" s="100">
        <f t="array" ref="AQ21">IF(ISNUMBER($AV21),IFNA(LOOKUP(2,1/(ISNUMBER(AQ13:AQ15)),AQ13:AQ15),TODAY()),IFNA(LOOKUP(2,1/(ISNUMBER(AQ13:AQ15)),AQ13:AQ15)+(E21/(Resources!$E$55/7)),TODAY()+(E21/(Resources!$E$55/7))))</f>
        <v>336584.3987</v>
      </c>
      <c r="AR21" s="100">
        <f t="array" ref="AR21">IF(ISNUMBER($AV21),IFNA(LOOKUP(2,1/(ISNUMBER(AR13:AR15)),AR13:AR15),TODAY()),IFNA(LOOKUP(2,1/(ISNUMBER(AR13:AR15)),AR13:AR15)+(F21/(Resources!$E$56/7)),TODAY()+(F21/(Resources!$E$56/7))))</f>
        <v>17891.3229</v>
      </c>
      <c r="AS21" s="100">
        <f t="shared" si="3"/>
        <v>336584.3987</v>
      </c>
      <c r="AT21" s="81">
        <f>0.39+0.28+0.34</f>
        <v>1.01</v>
      </c>
      <c r="AU21" s="82">
        <v>45666.0</v>
      </c>
      <c r="AV21" s="83"/>
    </row>
    <row r="22" ht="15.0" customHeight="1">
      <c r="A22" s="83" t="s">
        <v>77</v>
      </c>
      <c r="B22" s="92" t="s">
        <v>92</v>
      </c>
      <c r="C22" s="111" t="s">
        <v>95</v>
      </c>
      <c r="D22" s="93">
        <f>IF($A22="Feature",SUM(E22:F22)*'Roadmap setting'!$B$13,0)</f>
        <v>0</v>
      </c>
      <c r="E22" s="94">
        <v>8.0</v>
      </c>
      <c r="F22" s="94">
        <v>0.0</v>
      </c>
      <c r="G22" s="95">
        <f>IF($A22="Feature",IF('Roadmap setting'!$E$14,$F22*('Roadmap setting'!$B$14+'Roadmap setting'!$D$14),$F22*'Roadmap setting'!$B$14),0)</f>
        <v>0</v>
      </c>
      <c r="H22" s="93">
        <f>IF($A22="Feature",$E22*'Roadmap setting'!$B$15,0)</f>
        <v>0</v>
      </c>
      <c r="I22" s="95">
        <f>IF($A22="Feature",$F22*'Roadmap setting'!$B$16,0)</f>
        <v>0</v>
      </c>
      <c r="J22" s="93">
        <f>SUM($E22:$F22)*'Roadmap setting'!$B$17</f>
        <v>0.96</v>
      </c>
      <c r="K22" s="93">
        <f>SUM($E22:$F22)*'Roadmap setting'!$B$18</f>
        <v>0.08</v>
      </c>
      <c r="L22" s="93">
        <f>SUM($E22:$F22)*'Roadmap setting'!$B$19</f>
        <v>0</v>
      </c>
      <c r="M22" s="95">
        <f>SUM($E22:$F22)*'Roadmap setting'!$B$20</f>
        <v>0.16</v>
      </c>
      <c r="N22" s="79">
        <f t="shared" ref="N22:N41" si="4">SUM($D22:$G22)+SUM(H22:M22)</f>
        <v>9.2</v>
      </c>
      <c r="O22" s="96" t="b">
        <v>1</v>
      </c>
      <c r="P22" s="97"/>
      <c r="Q22" s="98"/>
      <c r="R22" s="97"/>
      <c r="S22" s="97"/>
      <c r="T22" s="97"/>
      <c r="U22" s="97"/>
      <c r="V22" s="99"/>
      <c r="W22" s="96" t="b">
        <v>0</v>
      </c>
      <c r="X22" s="97"/>
      <c r="Y22" s="98"/>
      <c r="Z22" s="97"/>
      <c r="AA22" s="97"/>
      <c r="AB22" s="97"/>
      <c r="AC22" s="97"/>
      <c r="AD22" s="99"/>
      <c r="AE22" s="96" t="b">
        <v>0</v>
      </c>
      <c r="AF22" s="97"/>
      <c r="AG22" s="98"/>
      <c r="AH22" s="97"/>
      <c r="AI22" s="97"/>
      <c r="AJ22" s="97"/>
      <c r="AK22" s="97"/>
      <c r="AL22" s="99"/>
      <c r="AM22" s="96" t="b">
        <v>0</v>
      </c>
      <c r="AN22" s="80">
        <f t="array" ref="AN22">INDEX(A22:AM22, MATCH(RIGHT('Roadmap setting'!$B$9, 3), $A$2:$AM$2, 0) - 1)
</f>
        <v>9.2</v>
      </c>
      <c r="AO22" s="100">
        <f t="array" ref="AO22">IFNA(LOOKUP(2,1/(ISNUMBER(AO15:AO18)),AO15:AO18)+(E22/(Resources!$P$55/7)),TODAY()+(E22/(Resources!$P$55/7)))</f>
        <v>174932.9668</v>
      </c>
      <c r="AP22" s="100">
        <f t="array" ref="AP22">IFNA(LOOKUP(2,1/(ISNUMBER(AP15:AP18)),AP15:AP18)+(F22/(Resources!$P$56/7)),TODAY()+(F22/(Resources!$P$56/7)))</f>
        <v>5964.49919</v>
      </c>
      <c r="AQ22" s="100">
        <f t="array" ref="AQ22">IF(ISNUMBER($AV22),IFNA(LOOKUP(2,1/(ISNUMBER(AQ15:AQ18)),AQ15:AQ18),TODAY()),IFNA(LOOKUP(2,1/(ISNUMBER(AQ15:AQ18)),AQ15:AQ18)+(E22/(Resources!$E$55/7)),TODAY()+(E22/(Resources!$E$55/7))))</f>
        <v>336581.5925</v>
      </c>
      <c r="AR22" s="100">
        <f t="array" ref="AR22">IF(ISNUMBER($AV22),IFNA(LOOKUP(2,1/(ISNUMBER(AR15:AR18)),AR15:AR18),TODAY()),IFNA(LOOKUP(2,1/(ISNUMBER(AR15:AR18)),AR15:AR18)+(F22/(Resources!$E$56/7)),TODAY()+(F22/(Resources!$E$56/7))))</f>
        <v>17891.3229</v>
      </c>
      <c r="AS22" s="100">
        <f t="shared" si="3"/>
        <v>336581.5925</v>
      </c>
      <c r="AT22" s="81">
        <f>0.39+0.28+0.34+5</f>
        <v>6.01</v>
      </c>
      <c r="AU22" s="82">
        <v>45666.0</v>
      </c>
      <c r="AV22" s="83"/>
    </row>
    <row r="23" ht="15.0" customHeight="1">
      <c r="A23" s="83" t="s">
        <v>77</v>
      </c>
      <c r="B23" s="92" t="s">
        <v>92</v>
      </c>
      <c r="C23" s="112" t="s">
        <v>96</v>
      </c>
      <c r="D23" s="93">
        <f>IF($A23="Feature",SUM(E23:F23)*'Roadmap setting'!$B$13,0)</f>
        <v>0</v>
      </c>
      <c r="E23" s="94">
        <v>2.0</v>
      </c>
      <c r="F23" s="94">
        <v>0.0</v>
      </c>
      <c r="G23" s="95">
        <f>IF($A23="Feature",IF('Roadmap setting'!$E$14,$F23*('Roadmap setting'!$B$14+'Roadmap setting'!$D$14),$F23*'Roadmap setting'!$B$14),0)</f>
        <v>0</v>
      </c>
      <c r="H23" s="93">
        <f>IF($A23="Feature",$E23*'Roadmap setting'!$B$15,0)</f>
        <v>0</v>
      </c>
      <c r="I23" s="95">
        <f>IF($A23="Feature",$F23*'Roadmap setting'!$B$16,0)</f>
        <v>0</v>
      </c>
      <c r="J23" s="93">
        <f>SUM($E23:$F23)*'Roadmap setting'!$B$17</f>
        <v>0.24</v>
      </c>
      <c r="K23" s="93">
        <f>SUM($E23:$F23)*'Roadmap setting'!$B$18</f>
        <v>0.02</v>
      </c>
      <c r="L23" s="93">
        <f>SUM($E23:$F23)*'Roadmap setting'!$B$19</f>
        <v>0</v>
      </c>
      <c r="M23" s="95">
        <f>SUM($E23:$F23)*'Roadmap setting'!$B$20</f>
        <v>0.04</v>
      </c>
      <c r="N23" s="79">
        <f t="shared" si="4"/>
        <v>2.3</v>
      </c>
      <c r="O23" s="96" t="b">
        <v>1</v>
      </c>
      <c r="P23" s="97"/>
      <c r="Q23" s="98"/>
      <c r="R23" s="97"/>
      <c r="S23" s="97"/>
      <c r="T23" s="97"/>
      <c r="U23" s="97"/>
      <c r="V23" s="99"/>
      <c r="W23" s="96" t="b">
        <v>0</v>
      </c>
      <c r="X23" s="97"/>
      <c r="Y23" s="98"/>
      <c r="Z23" s="97"/>
      <c r="AA23" s="97"/>
      <c r="AB23" s="97"/>
      <c r="AC23" s="97"/>
      <c r="AD23" s="99"/>
      <c r="AE23" s="96" t="b">
        <v>0</v>
      </c>
      <c r="AF23" s="97"/>
      <c r="AG23" s="98"/>
      <c r="AH23" s="97"/>
      <c r="AI23" s="97"/>
      <c r="AJ23" s="97"/>
      <c r="AK23" s="97"/>
      <c r="AL23" s="99"/>
      <c r="AM23" s="96" t="b">
        <v>0</v>
      </c>
      <c r="AN23" s="80">
        <f t="array" ref="AN23">INDEX(A23:AM23, MATCH(RIGHT('Roadmap setting'!$B$9, 3), $A$2:$AM$2, 0) - 1)
</f>
        <v>2.3</v>
      </c>
      <c r="AO23" s="100">
        <f t="array" ref="AO23">IFNA(LOOKUP(2,1/(ISNUMBER(AO16:AO19)),AO16:AO19)+(E23/(Resources!$P$55/7)),TODAY()+(E23/(Resources!$P$55/7)))</f>
        <v>174932.2209</v>
      </c>
      <c r="AP23" s="100">
        <f t="array" ref="AP23">IFNA(LOOKUP(2,1/(ISNUMBER(AP16:AP19)),AP16:AP19)+(F23/(Resources!$P$56/7)),TODAY()+(F23/(Resources!$P$56/7)))</f>
        <v>5964.49919</v>
      </c>
      <c r="AQ23" s="100">
        <f t="array" ref="AQ23">IF(ISNUMBER($AV23),IFNA(LOOKUP(2,1/(ISNUMBER(AQ16:AQ19)),AQ16:AQ19),TODAY()),IFNA(LOOKUP(2,1/(ISNUMBER(AQ16:AQ19)),AQ16:AQ19)+(E23/(Resources!$E$55/7)),TODAY()+(E23/(Resources!$E$55/7))))</f>
        <v>336580.0632</v>
      </c>
      <c r="AR23" s="100">
        <f t="array" ref="AR23">IF(ISNUMBER($AV23),IFNA(LOOKUP(2,1/(ISNUMBER(AR16:AR19)),AR16:AR19),TODAY()),IFNA(LOOKUP(2,1/(ISNUMBER(AR16:AR19)),AR16:AR19)+(F23/(Resources!$E$56/7)),TODAY()+(F23/(Resources!$E$56/7))))</f>
        <v>17891.3229</v>
      </c>
      <c r="AS23" s="100">
        <f t="shared" si="3"/>
        <v>336580.0632</v>
      </c>
      <c r="AT23" s="81">
        <f>0.39+0.28+0.34+1.99</f>
        <v>3</v>
      </c>
      <c r="AU23" s="82">
        <v>45666.0</v>
      </c>
      <c r="AV23" s="83"/>
    </row>
    <row r="24" ht="15.0" customHeight="1">
      <c r="A24" s="83" t="s">
        <v>97</v>
      </c>
      <c r="B24" s="92" t="s">
        <v>92</v>
      </c>
      <c r="C24" s="113" t="s">
        <v>98</v>
      </c>
      <c r="D24" s="93">
        <f>IF($A24="Feature",SUM(E24:F24)*'Roadmap setting'!$B$13,0)</f>
        <v>1.4</v>
      </c>
      <c r="E24" s="94">
        <v>7.0</v>
      </c>
      <c r="F24" s="94">
        <v>0.0</v>
      </c>
      <c r="G24" s="95">
        <f>IF($A24="Feature",IF('Roadmap setting'!$E$14,$F24*('Roadmap setting'!$B$14+'Roadmap setting'!$D$14),$F24*'Roadmap setting'!$B$14),0)</f>
        <v>0</v>
      </c>
      <c r="H24" s="93">
        <f>IF($A24="Feature",$E24*'Roadmap setting'!$B$15,0)</f>
        <v>0</v>
      </c>
      <c r="I24" s="95">
        <f>IF($A24="Feature",$F24*'Roadmap setting'!$B$16,0)</f>
        <v>0</v>
      </c>
      <c r="J24" s="93">
        <f>SUM($E24:$F24)*'Roadmap setting'!$B$17</f>
        <v>0.84</v>
      </c>
      <c r="K24" s="93">
        <f>SUM($E24:$F24)*'Roadmap setting'!$B$18</f>
        <v>0.07</v>
      </c>
      <c r="L24" s="93">
        <f>SUM($E24:$F24)*'Roadmap setting'!$B$19</f>
        <v>0</v>
      </c>
      <c r="M24" s="95">
        <f>SUM($E24:$F24)*'Roadmap setting'!$B$20</f>
        <v>0.14</v>
      </c>
      <c r="N24" s="79">
        <f t="shared" si="4"/>
        <v>9.45</v>
      </c>
      <c r="O24" s="96" t="b">
        <v>1</v>
      </c>
      <c r="P24" s="97"/>
      <c r="Q24" s="98"/>
      <c r="R24" s="97"/>
      <c r="S24" s="97"/>
      <c r="T24" s="97"/>
      <c r="U24" s="97"/>
      <c r="V24" s="99"/>
      <c r="W24" s="96" t="b">
        <v>0</v>
      </c>
      <c r="X24" s="97"/>
      <c r="Y24" s="98"/>
      <c r="Z24" s="97"/>
      <c r="AA24" s="97"/>
      <c r="AB24" s="97"/>
      <c r="AC24" s="97"/>
      <c r="AD24" s="99"/>
      <c r="AE24" s="96" t="b">
        <v>0</v>
      </c>
      <c r="AF24" s="97"/>
      <c r="AG24" s="98"/>
      <c r="AH24" s="97"/>
      <c r="AI24" s="97"/>
      <c r="AJ24" s="97"/>
      <c r="AK24" s="97"/>
      <c r="AL24" s="99"/>
      <c r="AM24" s="96" t="b">
        <v>0</v>
      </c>
      <c r="AN24" s="80">
        <f t="array" ref="AN24">INDEX(A24:AM24, MATCH(RIGHT('Roadmap setting'!$B$9, 3), $A$2:$AM$2, 0) - 1)
</f>
        <v>9.45</v>
      </c>
      <c r="AO24" s="100">
        <f t="array" ref="AO24">IFNA(LOOKUP(2,1/(ISNUMBER(AO16:AO22)),AO16:AO22)+(E24/(Resources!$P$55/7)),TODAY()+(E24/(Resources!$P$55/7)))</f>
        <v>174933.8371</v>
      </c>
      <c r="AP24" s="100">
        <f t="array" ref="AP24">IFNA(LOOKUP(2,1/(ISNUMBER(AP16:AP22)),AP16:AP22)+(F24/(Resources!$P$56/7)),TODAY()+(F24/(Resources!$P$56/7)))</f>
        <v>5964.49919</v>
      </c>
      <c r="AQ24" s="100">
        <f t="array" ref="AQ24">IF(ISNUMBER($AV24),IFNA(LOOKUP(2,1/(ISNUMBER(AQ16:AQ22)),AQ16:AQ22),TODAY()),IFNA(LOOKUP(2,1/(ISNUMBER(AQ16:AQ22)),AQ16:AQ22)+(E24/(Resources!$E$55/7)),TODAY()+(E24/(Resources!$E$55/7))))</f>
        <v>336583.3768</v>
      </c>
      <c r="AR24" s="100">
        <f t="array" ref="AR24">IF(ISNUMBER($AV24),IFNA(LOOKUP(2,1/(ISNUMBER(AR16:AR22)),AR16:AR22),TODAY()),IFNA(LOOKUP(2,1/(ISNUMBER(AR16:AR22)),AR16:AR22)+(F24/(Resources!$E$56/7)),TODAY()+(F24/(Resources!$E$56/7))))</f>
        <v>17891.3229</v>
      </c>
      <c r="AS24" s="100">
        <f t="shared" si="3"/>
        <v>336583.3768</v>
      </c>
      <c r="AT24" s="81">
        <f t="shared" ref="AT24:AT27" si="5">0.39+0.28+0.34+1+0.7</f>
        <v>2.71</v>
      </c>
      <c r="AU24" s="82">
        <v>45666.0</v>
      </c>
      <c r="AV24" s="83"/>
    </row>
    <row r="25" ht="15.0" customHeight="1">
      <c r="A25" s="83" t="s">
        <v>97</v>
      </c>
      <c r="B25" s="92" t="s">
        <v>92</v>
      </c>
      <c r="C25" s="113" t="s">
        <v>99</v>
      </c>
      <c r="D25" s="93">
        <f>IF($A25="Feature",SUM(E25:F25)*'Roadmap setting'!$B$13,0)</f>
        <v>0</v>
      </c>
      <c r="F25" s="94">
        <v>0.0</v>
      </c>
      <c r="G25" s="95">
        <f>IF($A25="Feature",IF('Roadmap setting'!$E$14,$F25*('Roadmap setting'!$B$14+'Roadmap setting'!$D$14),$F25*'Roadmap setting'!$B$14),0)</f>
        <v>0</v>
      </c>
      <c r="H25" s="93">
        <f>IF($A25="Feature",$E25*'Roadmap setting'!$B$15,0)</f>
        <v>0</v>
      </c>
      <c r="I25" s="95">
        <f>IF($A25="Feature",$F25*'Roadmap setting'!$B$16,0)</f>
        <v>0</v>
      </c>
      <c r="J25" s="93">
        <f>SUM($E25:$F25)*'Roadmap setting'!$B$17</f>
        <v>0</v>
      </c>
      <c r="K25" s="93">
        <f>SUM($E25:$F25)*'Roadmap setting'!$B$18</f>
        <v>0</v>
      </c>
      <c r="L25" s="93">
        <f>SUM($E25:$F25)*'Roadmap setting'!$B$19</f>
        <v>0</v>
      </c>
      <c r="M25" s="95">
        <f>SUM($E25:$F25)*'Roadmap setting'!$B$20</f>
        <v>0</v>
      </c>
      <c r="N25" s="79">
        <f t="shared" si="4"/>
        <v>0</v>
      </c>
      <c r="O25" s="96" t="b">
        <v>1</v>
      </c>
      <c r="P25" s="97"/>
      <c r="Q25" s="98"/>
      <c r="R25" s="97"/>
      <c r="S25" s="97"/>
      <c r="T25" s="97"/>
      <c r="U25" s="97"/>
      <c r="V25" s="99"/>
      <c r="W25" s="96" t="b">
        <v>0</v>
      </c>
      <c r="X25" s="97"/>
      <c r="Y25" s="98"/>
      <c r="Z25" s="97"/>
      <c r="AA25" s="97"/>
      <c r="AB25" s="97"/>
      <c r="AC25" s="97"/>
      <c r="AD25" s="99"/>
      <c r="AE25" s="96" t="b">
        <v>0</v>
      </c>
      <c r="AF25" s="97"/>
      <c r="AG25" s="98"/>
      <c r="AH25" s="97"/>
      <c r="AI25" s="97"/>
      <c r="AJ25" s="97"/>
      <c r="AK25" s="97"/>
      <c r="AL25" s="99"/>
      <c r="AM25" s="96" t="b">
        <v>0</v>
      </c>
      <c r="AN25" s="80">
        <f t="array" ref="AN25">INDEX(A25:AM25, MATCH(RIGHT('Roadmap setting'!$B$9, 3), $A$2:$AM$2, 0) - 1)
</f>
        <v>0</v>
      </c>
      <c r="AO25" s="100">
        <f t="array" ref="AO25">IFNA(LOOKUP(2,1/(ISNUMBER(AO16:AO24)),AO16:AO24)+(E25/(Resources!$P$55/7)),TODAY()+(E25/(Resources!$P$55/7)))</f>
        <v>174933.8371</v>
      </c>
      <c r="AP25" s="100">
        <f t="array" ref="AP25">IFNA(LOOKUP(2,1/(ISNUMBER(AP16:AP24)),AP16:AP24)+(F25/(Resources!$P$56/7)),TODAY()+(F25/(Resources!$P$56/7)))</f>
        <v>5964.49919</v>
      </c>
      <c r="AQ25" s="100">
        <f t="array" ref="AQ25">IF(ISNUMBER($AV25),IFNA(LOOKUP(2,1/(ISNUMBER(AQ16:AQ24)),AQ16:AQ24),TODAY()),IFNA(LOOKUP(2,1/(ISNUMBER(AQ16:AQ24)),AQ16:AQ24)+(E25/(Resources!$E$55/7)),TODAY()+(E25/(Resources!$E$55/7))))</f>
        <v>336583.3768</v>
      </c>
      <c r="AR25" s="100">
        <f t="array" ref="AR25">IF(ISNUMBER($AV25),IFNA(LOOKUP(2,1/(ISNUMBER(AR16:AR24)),AR16:AR24),TODAY()),IFNA(LOOKUP(2,1/(ISNUMBER(AR16:AR24)),AR16:AR24)+(F25/(Resources!$E$56/7)),TODAY()+(F25/(Resources!$E$56/7))))</f>
        <v>17891.3229</v>
      </c>
      <c r="AS25" s="100">
        <f t="shared" si="3"/>
        <v>336583.3768</v>
      </c>
      <c r="AT25" s="81">
        <f t="shared" si="5"/>
        <v>2.71</v>
      </c>
      <c r="AU25" s="82">
        <v>45666.0</v>
      </c>
      <c r="AV25" s="83"/>
    </row>
    <row r="26" ht="15.0" customHeight="1">
      <c r="A26" s="83" t="s">
        <v>97</v>
      </c>
      <c r="B26" s="92" t="s">
        <v>100</v>
      </c>
      <c r="C26" s="113" t="s">
        <v>101</v>
      </c>
      <c r="D26" s="93">
        <f>IF($A26="Feature",SUM(E26:F26)*'Roadmap setting'!$B$13,0)</f>
        <v>0</v>
      </c>
      <c r="F26" s="94">
        <v>0.0</v>
      </c>
      <c r="G26" s="95">
        <f>IF($A26="Feature",IF('Roadmap setting'!$E$14,$F26*('Roadmap setting'!$B$14+'Roadmap setting'!$D$14),$F26*'Roadmap setting'!$B$14),0)</f>
        <v>0</v>
      </c>
      <c r="H26" s="93">
        <f>IF($A26="Feature",$E26*'Roadmap setting'!$B$15,0)</f>
        <v>0</v>
      </c>
      <c r="I26" s="95">
        <f>IF($A26="Feature",$F26*'Roadmap setting'!$B$16,0)</f>
        <v>0</v>
      </c>
      <c r="J26" s="93">
        <f>SUM($E26:$F26)*'Roadmap setting'!$B$17</f>
        <v>0</v>
      </c>
      <c r="K26" s="93">
        <f>SUM($E26:$F26)*'Roadmap setting'!$B$18</f>
        <v>0</v>
      </c>
      <c r="L26" s="93">
        <f>SUM($E26:$F26)*'Roadmap setting'!$B$19</f>
        <v>0</v>
      </c>
      <c r="M26" s="95">
        <f>SUM($E26:$F26)*'Roadmap setting'!$B$20</f>
        <v>0</v>
      </c>
      <c r="N26" s="79">
        <f t="shared" si="4"/>
        <v>0</v>
      </c>
      <c r="O26" s="96" t="b">
        <v>1</v>
      </c>
      <c r="P26" s="97"/>
      <c r="Q26" s="98"/>
      <c r="R26" s="97"/>
      <c r="S26" s="97"/>
      <c r="T26" s="97"/>
      <c r="U26" s="97"/>
      <c r="V26" s="99"/>
      <c r="W26" s="96" t="b">
        <v>0</v>
      </c>
      <c r="X26" s="97"/>
      <c r="Y26" s="98"/>
      <c r="Z26" s="97"/>
      <c r="AA26" s="97"/>
      <c r="AB26" s="97"/>
      <c r="AC26" s="97"/>
      <c r="AD26" s="99"/>
      <c r="AE26" s="96" t="b">
        <v>0</v>
      </c>
      <c r="AF26" s="97"/>
      <c r="AG26" s="98"/>
      <c r="AH26" s="97"/>
      <c r="AI26" s="97"/>
      <c r="AJ26" s="97"/>
      <c r="AK26" s="97"/>
      <c r="AL26" s="99"/>
      <c r="AM26" s="96" t="b">
        <v>0</v>
      </c>
      <c r="AN26" s="80">
        <f t="array" ref="AN26">INDEX(A26:AM26, MATCH(RIGHT('Roadmap setting'!$B$9, 3), $A$2:$AM$2, 0) - 1)
</f>
        <v>0</v>
      </c>
      <c r="AO26" s="100">
        <f t="array" ref="AO26">IFNA(LOOKUP(2,1/(ISNUMBER(AO17:AO25)),AO17:AO25)+(E26/(Resources!$P$55/7)),TODAY()+(E26/(Resources!$P$55/7)))</f>
        <v>174933.8371</v>
      </c>
      <c r="AP26" s="100">
        <f t="array" ref="AP26">IFNA(LOOKUP(2,1/(ISNUMBER(AP17:AP25)),AP17:AP25)+(F26/(Resources!$P$56/7)),TODAY()+(F26/(Resources!$P$56/7)))</f>
        <v>5964.49919</v>
      </c>
      <c r="AQ26" s="100">
        <f t="array" ref="AQ26">IF(ISNUMBER($AV26),IFNA(LOOKUP(2,1/(ISNUMBER(AQ17:AQ25)),AQ17:AQ25),TODAY()),IFNA(LOOKUP(2,1/(ISNUMBER(AQ17:AQ25)),AQ17:AQ25)+(E26/(Resources!$E$55/7)),TODAY()+(E26/(Resources!$E$55/7))))</f>
        <v>336583.3768</v>
      </c>
      <c r="AR26" s="100">
        <f t="array" ref="AR26">IF(ISNUMBER($AV26),IFNA(LOOKUP(2,1/(ISNUMBER(AR17:AR25)),AR17:AR25),TODAY()),IFNA(LOOKUP(2,1/(ISNUMBER(AR17:AR25)),AR17:AR25)+(F26/(Resources!$E$56/7)),TODAY()+(F26/(Resources!$E$56/7))))</f>
        <v>17891.3229</v>
      </c>
      <c r="AS26" s="100">
        <f t="shared" si="3"/>
        <v>336583.3768</v>
      </c>
      <c r="AT26" s="81">
        <f t="shared" si="5"/>
        <v>2.71</v>
      </c>
      <c r="AU26" s="82">
        <v>45666.0</v>
      </c>
      <c r="AV26" s="83"/>
    </row>
    <row r="27" ht="15.0" customHeight="1">
      <c r="A27" s="83" t="s">
        <v>97</v>
      </c>
      <c r="B27" s="92" t="s">
        <v>92</v>
      </c>
      <c r="C27" s="111" t="s">
        <v>102</v>
      </c>
      <c r="D27" s="93">
        <f>IF($A27="Feature",SUM(E27:F27)*'Roadmap setting'!$B$13,0)</f>
        <v>0</v>
      </c>
      <c r="F27" s="94">
        <v>0.0</v>
      </c>
      <c r="G27" s="95">
        <f>IF($A27="Feature",IF('Roadmap setting'!$E$14,$F27*('Roadmap setting'!$B$14+'Roadmap setting'!$D$14),$F27*'Roadmap setting'!$B$14),0)</f>
        <v>0</v>
      </c>
      <c r="H27" s="93">
        <f>IF($A27="Feature",$E27*'Roadmap setting'!$B$15,0)</f>
        <v>0</v>
      </c>
      <c r="I27" s="95">
        <f>IF($A27="Feature",$F27*'Roadmap setting'!$B$16,0)</f>
        <v>0</v>
      </c>
      <c r="J27" s="93">
        <f>SUM($E27:$F27)*'Roadmap setting'!$B$17</f>
        <v>0</v>
      </c>
      <c r="K27" s="93">
        <f>SUM($E27:$F27)*'Roadmap setting'!$B$18</f>
        <v>0</v>
      </c>
      <c r="L27" s="93">
        <f>SUM($E27:$F27)*'Roadmap setting'!$B$19</f>
        <v>0</v>
      </c>
      <c r="M27" s="95">
        <f>SUM($E27:$F27)*'Roadmap setting'!$B$20</f>
        <v>0</v>
      </c>
      <c r="N27" s="79">
        <f t="shared" si="4"/>
        <v>0</v>
      </c>
      <c r="O27" s="96" t="b">
        <v>1</v>
      </c>
      <c r="P27" s="97"/>
      <c r="Q27" s="98"/>
      <c r="R27" s="97"/>
      <c r="S27" s="97"/>
      <c r="T27" s="97"/>
      <c r="U27" s="97"/>
      <c r="V27" s="99"/>
      <c r="W27" s="96" t="b">
        <v>0</v>
      </c>
      <c r="X27" s="97"/>
      <c r="Y27" s="98"/>
      <c r="Z27" s="97"/>
      <c r="AA27" s="97"/>
      <c r="AB27" s="97"/>
      <c r="AC27" s="97"/>
      <c r="AD27" s="99"/>
      <c r="AE27" s="96" t="b">
        <v>0</v>
      </c>
      <c r="AF27" s="97"/>
      <c r="AG27" s="98"/>
      <c r="AH27" s="97"/>
      <c r="AI27" s="97"/>
      <c r="AJ27" s="97"/>
      <c r="AK27" s="97"/>
      <c r="AL27" s="99"/>
      <c r="AM27" s="96" t="b">
        <v>0</v>
      </c>
      <c r="AN27" s="80">
        <f t="array" ref="AN27">INDEX(A27:AM27, MATCH(RIGHT('Roadmap setting'!$B$9, 3), $A$2:$AM$2, 0) - 1)
</f>
        <v>0</v>
      </c>
      <c r="AO27" s="100">
        <f t="array" ref="AO27">IFNA(LOOKUP(2,1/(ISNUMBER(AO18:AO26)),AO18:AO26)+(E27/(Resources!$P$55/7)),TODAY()+(E27/(Resources!$P$55/7)))</f>
        <v>174933.8371</v>
      </c>
      <c r="AP27" s="100">
        <f t="array" ref="AP27">IFNA(LOOKUP(2,1/(ISNUMBER(AP18:AP26)),AP18:AP26)+(F27/(Resources!$P$56/7)),TODAY()+(F27/(Resources!$P$56/7)))</f>
        <v>5964.49919</v>
      </c>
      <c r="AQ27" s="100">
        <f t="array" ref="AQ27">IF(ISNUMBER($AV27),IFNA(LOOKUP(2,1/(ISNUMBER(AQ18:AQ26)),AQ18:AQ26),TODAY()),IFNA(LOOKUP(2,1/(ISNUMBER(AQ18:AQ26)),AQ18:AQ26)+(E27/(Resources!$E$55/7)),TODAY()+(E27/(Resources!$E$55/7))))</f>
        <v>336583.3768</v>
      </c>
      <c r="AR27" s="100">
        <f t="array" ref="AR27">IF(ISNUMBER($AV27),IFNA(LOOKUP(2,1/(ISNUMBER(AR18:AR26)),AR18:AR26),TODAY()),IFNA(LOOKUP(2,1/(ISNUMBER(AR18:AR26)),AR18:AR26)+(F27/(Resources!$E$56/7)),TODAY()+(F27/(Resources!$E$56/7))))</f>
        <v>17891.3229</v>
      </c>
      <c r="AS27" s="100">
        <f t="shared" si="3"/>
        <v>336583.3768</v>
      </c>
      <c r="AT27" s="81">
        <f t="shared" si="5"/>
        <v>2.71</v>
      </c>
      <c r="AU27" s="82">
        <v>45666.0</v>
      </c>
      <c r="AV27" s="83"/>
    </row>
    <row r="28" ht="15.0" customHeight="1">
      <c r="A28" s="83" t="s">
        <v>97</v>
      </c>
      <c r="B28" s="92" t="s">
        <v>100</v>
      </c>
      <c r="C28" s="113" t="s">
        <v>103</v>
      </c>
      <c r="D28" s="93">
        <f>IF($A28="Feature",SUM(E28:F28)*'Roadmap setting'!$B$13,0)</f>
        <v>0</v>
      </c>
      <c r="F28" s="94">
        <v>0.0</v>
      </c>
      <c r="G28" s="95">
        <f>IF($A28="Feature",IF('Roadmap setting'!$E$14,$F28*('Roadmap setting'!$B$14+'Roadmap setting'!$D$14),$F28*'Roadmap setting'!$B$14),0)</f>
        <v>0</v>
      </c>
      <c r="H28" s="93">
        <f>IF($A28="Feature",$E28*'Roadmap setting'!$B$15,0)</f>
        <v>0</v>
      </c>
      <c r="I28" s="95">
        <f>IF($A28="Feature",$F28*'Roadmap setting'!$B$16,0)</f>
        <v>0</v>
      </c>
      <c r="J28" s="93">
        <f>SUM($E28:$F28)*'Roadmap setting'!$B$17</f>
        <v>0</v>
      </c>
      <c r="K28" s="93">
        <f>SUM($E28:$F28)*'Roadmap setting'!$B$18</f>
        <v>0</v>
      </c>
      <c r="L28" s="93">
        <f>SUM($E28:$F28)*'Roadmap setting'!$B$19</f>
        <v>0</v>
      </c>
      <c r="M28" s="95">
        <f>SUM($E28:$F28)*'Roadmap setting'!$B$20</f>
        <v>0</v>
      </c>
      <c r="N28" s="79">
        <f t="shared" si="4"/>
        <v>0</v>
      </c>
      <c r="O28" s="96" t="b">
        <v>1</v>
      </c>
      <c r="P28" s="97"/>
      <c r="Q28" s="98"/>
      <c r="R28" s="97"/>
      <c r="S28" s="97"/>
      <c r="T28" s="97"/>
      <c r="U28" s="97"/>
      <c r="V28" s="99"/>
      <c r="W28" s="96" t="b">
        <v>0</v>
      </c>
      <c r="X28" s="97"/>
      <c r="Y28" s="98"/>
      <c r="Z28" s="97"/>
      <c r="AA28" s="97"/>
      <c r="AB28" s="97"/>
      <c r="AC28" s="97"/>
      <c r="AD28" s="99"/>
      <c r="AE28" s="96" t="b">
        <v>0</v>
      </c>
      <c r="AF28" s="97"/>
      <c r="AG28" s="98"/>
      <c r="AH28" s="97"/>
      <c r="AI28" s="97"/>
      <c r="AJ28" s="97"/>
      <c r="AK28" s="97"/>
      <c r="AL28" s="99"/>
      <c r="AM28" s="96" t="b">
        <v>0</v>
      </c>
      <c r="AN28" s="80">
        <f t="array" ref="AN28">INDEX(A28:AM28, MATCH(RIGHT('Roadmap setting'!$B$9, 3), $A$2:$AM$2, 0) - 1)
</f>
        <v>0</v>
      </c>
      <c r="AO28" s="100">
        <f t="array" ref="AO28">IFNA(LOOKUP(2,1/(ISNUMBER(AO22:AO27)),AO22:AO27)+(E28/(Resources!$P$55/7)),TODAY()+(E28/(Resources!$P$55/7)))</f>
        <v>174933.8371</v>
      </c>
      <c r="AP28" s="100">
        <f t="array" ref="AP28">IFNA(LOOKUP(2,1/(ISNUMBER(AP22:AP27)),AP22:AP27)+(F28/(Resources!$P$56/7)),TODAY()+(F28/(Resources!$P$56/7)))</f>
        <v>5964.49919</v>
      </c>
      <c r="AQ28" s="100">
        <f t="array" ref="AQ28">IF(ISNUMBER($AV28),IFNA(LOOKUP(2,1/(ISNUMBER(AQ22:AQ27)),AQ22:AQ27),TODAY()),IFNA(LOOKUP(2,1/(ISNUMBER(AQ22:AQ27)),AQ22:AQ27)+(E28/(Resources!$E$55/7)),TODAY()+(E28/(Resources!$E$55/7))))</f>
        <v>336583.3768</v>
      </c>
      <c r="AR28" s="100">
        <f t="array" ref="AR28">IF(ISNUMBER($AV28),IFNA(LOOKUP(2,1/(ISNUMBER(AR22:AR27)),AR22:AR27),TODAY()),IFNA(LOOKUP(2,1/(ISNUMBER(AR22:AR27)),AR22:AR27)+(F28/(Resources!$E$56/7)),TODAY()+(F28/(Resources!$E$56/7))))</f>
        <v>17891.3229</v>
      </c>
      <c r="AS28" s="100">
        <f t="shared" si="3"/>
        <v>336583.3768</v>
      </c>
      <c r="AT28" s="81">
        <f>0.39+0.28+0.34+1.23+0.7</f>
        <v>2.94</v>
      </c>
      <c r="AU28" s="82">
        <v>45666.0</v>
      </c>
      <c r="AV28" s="83"/>
    </row>
    <row r="29" ht="15.0" customHeight="1">
      <c r="A29" s="83" t="s">
        <v>77</v>
      </c>
      <c r="B29" s="92" t="s">
        <v>92</v>
      </c>
      <c r="C29" s="111" t="s">
        <v>104</v>
      </c>
      <c r="D29" s="93">
        <f>IF($A29="Feature",SUM(E29:F29)*'Roadmap setting'!$B$13,0)</f>
        <v>0</v>
      </c>
      <c r="E29" s="94">
        <v>24.0</v>
      </c>
      <c r="F29" s="94">
        <v>0.0</v>
      </c>
      <c r="G29" s="95">
        <f>IF($A29="Feature",IF('Roadmap setting'!$E$14,$F29*('Roadmap setting'!$B$14+'Roadmap setting'!$D$14),$F29*'Roadmap setting'!$B$14),0)</f>
        <v>0</v>
      </c>
      <c r="H29" s="93">
        <f>IF($A29="Feature",$E29*'Roadmap setting'!$B$15,0)</f>
        <v>0</v>
      </c>
      <c r="I29" s="95">
        <f>IF($A29="Feature",$F29*'Roadmap setting'!$B$16,0)</f>
        <v>0</v>
      </c>
      <c r="J29" s="93">
        <f>SUM($E29:$F29)*'Roadmap setting'!$B$17</f>
        <v>2.88</v>
      </c>
      <c r="K29" s="93">
        <f>SUM($E29:$F29)*'Roadmap setting'!$B$18</f>
        <v>0.24</v>
      </c>
      <c r="L29" s="93">
        <f>SUM($E29:$F29)*'Roadmap setting'!$B$19</f>
        <v>0</v>
      </c>
      <c r="M29" s="95">
        <f>SUM($E29:$F29)*'Roadmap setting'!$B$20</f>
        <v>0.48</v>
      </c>
      <c r="N29" s="79">
        <f t="shared" si="4"/>
        <v>27.6</v>
      </c>
      <c r="O29" s="96" t="b">
        <v>1</v>
      </c>
      <c r="P29" s="97"/>
      <c r="Q29" s="98"/>
      <c r="R29" s="97"/>
      <c r="S29" s="97"/>
      <c r="T29" s="97"/>
      <c r="U29" s="97"/>
      <c r="V29" s="99"/>
      <c r="W29" s="96" t="b">
        <v>0</v>
      </c>
      <c r="X29" s="97"/>
      <c r="Y29" s="98"/>
      <c r="Z29" s="97"/>
      <c r="AA29" s="97"/>
      <c r="AB29" s="97"/>
      <c r="AC29" s="97"/>
      <c r="AD29" s="99"/>
      <c r="AE29" s="96" t="b">
        <v>0</v>
      </c>
      <c r="AF29" s="97"/>
      <c r="AG29" s="98"/>
      <c r="AH29" s="97"/>
      <c r="AI29" s="97"/>
      <c r="AJ29" s="97"/>
      <c r="AK29" s="97"/>
      <c r="AL29" s="99"/>
      <c r="AM29" s="96" t="b">
        <v>0</v>
      </c>
      <c r="AN29" s="80">
        <f t="array" ref="AN29">INDEX(A29:AM29, MATCH(RIGHT('Roadmap setting'!$B$9, 3), $A$2:$AM$2, 0) - 1)
</f>
        <v>27.6</v>
      </c>
      <c r="AO29" s="100">
        <f t="array" ref="AO29">IFNA(LOOKUP(2,1/(ISNUMBER(AO32:AO53)),AO32:AO53)+(E29/(Resources!$P$55/7)),TODAY()+(E29/(Resources!$P$55/7)))</f>
        <v>174932.2209</v>
      </c>
      <c r="AP29" s="100">
        <f t="array" ref="AP29">IFNA(LOOKUP(2,1/(ISNUMBER(AP32:AP53)),AP32:AP53)+(F29/(Resources!$P$56/7)),TODAY()+(F29/(Resources!$P$56/7)))</f>
        <v>5962.854244</v>
      </c>
      <c r="AQ29" s="100">
        <f t="array" ref="AQ29">IF(ISNUMBER($AV29),IFNA(LOOKUP(2,1/(ISNUMBER(AQ32:AQ53)),AQ32:AQ53),TODAY()),IFNA(LOOKUP(2,1/(ISNUMBER(AQ32:AQ53)),AQ32:AQ53)+(E29/(Resources!$E$55/7)),TODAY()+(E29/(Resources!$E$55/7))))</f>
        <v>336580.0632</v>
      </c>
      <c r="AR29" s="100">
        <f t="array" ref="AR29">IF(ISNUMBER($AV29),IFNA(LOOKUP(2,1/(ISNUMBER(AR32:AR53)),AR32:AR53),TODAY()),IFNA(LOOKUP(2,1/(ISNUMBER(AR32:AR53)),AR32:AR53)+(F29/(Resources!$E$56/7)),TODAY()+(F29/(Resources!$E$56/7))))</f>
        <v>17888.56273</v>
      </c>
      <c r="AS29" s="100">
        <f t="shared" si="3"/>
        <v>336580.0632</v>
      </c>
      <c r="AT29" s="81">
        <f>0.39+0.28+0.34+48.91</f>
        <v>49.92</v>
      </c>
      <c r="AU29" s="82">
        <v>45666.0</v>
      </c>
      <c r="AV29" s="83"/>
    </row>
    <row r="30" ht="15.0" customHeight="1">
      <c r="A30" s="83" t="s">
        <v>77</v>
      </c>
      <c r="B30" s="92" t="s">
        <v>100</v>
      </c>
      <c r="C30" s="113" t="s">
        <v>105</v>
      </c>
      <c r="D30" s="93">
        <f>IF($A30="Feature",SUM(E30:F30)*'Roadmap setting'!$B$13,0)</f>
        <v>0</v>
      </c>
      <c r="E30" s="94">
        <v>8.0</v>
      </c>
      <c r="F30" s="94">
        <v>0.0</v>
      </c>
      <c r="G30" s="95">
        <f>IF($A30="Feature",IF('Roadmap setting'!$E$14,$F30*('Roadmap setting'!$B$14+'Roadmap setting'!$D$14),$F30*'Roadmap setting'!$B$14),0)</f>
        <v>0</v>
      </c>
      <c r="H30" s="93">
        <f>IF($A30="Feature",$E30*'Roadmap setting'!$B$15,0)</f>
        <v>0</v>
      </c>
      <c r="I30" s="95">
        <f>IF($A30="Feature",$F30*'Roadmap setting'!$B$16,0)</f>
        <v>0</v>
      </c>
      <c r="J30" s="93">
        <f>SUM($E30:$F30)*'Roadmap setting'!$B$17</f>
        <v>0.96</v>
      </c>
      <c r="K30" s="93">
        <f>SUM($E30:$F30)*'Roadmap setting'!$B$18</f>
        <v>0.08</v>
      </c>
      <c r="L30" s="93">
        <f>SUM($E30:$F30)*'Roadmap setting'!$B$19</f>
        <v>0</v>
      </c>
      <c r="M30" s="95">
        <f>SUM($E30:$F30)*'Roadmap setting'!$B$20</f>
        <v>0.16</v>
      </c>
      <c r="N30" s="79">
        <f t="shared" si="4"/>
        <v>9.2</v>
      </c>
      <c r="O30" s="96" t="b">
        <v>1</v>
      </c>
      <c r="P30" s="97"/>
      <c r="Q30" s="98"/>
      <c r="R30" s="97"/>
      <c r="S30" s="97"/>
      <c r="T30" s="97"/>
      <c r="U30" s="97"/>
      <c r="V30" s="99"/>
      <c r="W30" s="96" t="b">
        <v>0</v>
      </c>
      <c r="X30" s="97"/>
      <c r="Y30" s="98"/>
      <c r="Z30" s="97"/>
      <c r="AA30" s="97"/>
      <c r="AB30" s="97"/>
      <c r="AC30" s="97"/>
      <c r="AD30" s="99"/>
      <c r="AE30" s="96" t="b">
        <v>0</v>
      </c>
      <c r="AF30" s="97"/>
      <c r="AG30" s="98"/>
      <c r="AH30" s="97"/>
      <c r="AI30" s="97"/>
      <c r="AJ30" s="97"/>
      <c r="AK30" s="97"/>
      <c r="AL30" s="99"/>
      <c r="AM30" s="96" t="b">
        <v>0</v>
      </c>
      <c r="AN30" s="80">
        <f t="array" ref="AN30">INDEX(A30:AM30, MATCH(RIGHT('Roadmap setting'!$B$9, 3), $A$2:$AM$2, 0) - 1)
</f>
        <v>9.2</v>
      </c>
      <c r="AO30" s="100">
        <f t="array" ref="AO30">IFNA(LOOKUP(2,1/(ISNUMBER(AO33:AO53)),AO33:AO53)+(E30/(Resources!$P$55/7)),TODAY()+(E30/(Resources!$P$55/7)))</f>
        <v>174930.2317</v>
      </c>
      <c r="AP30" s="100">
        <f t="array" ref="AP30">IFNA(LOOKUP(2,1/(ISNUMBER(AP33:AP53)),AP33:AP53)+(F30/(Resources!$P$56/7)),TODAY()+(F30/(Resources!$P$56/7)))</f>
        <v>5962.854244</v>
      </c>
      <c r="AQ30" s="100">
        <f t="array" ref="AQ30">IF(ISNUMBER($AV30),IFNA(LOOKUP(2,1/(ISNUMBER(AQ33:AQ53)),AQ33:AQ53),TODAY()),IFNA(LOOKUP(2,1/(ISNUMBER(AQ33:AQ53)),AQ33:AQ53)+(E30/(Resources!$E$55/7)),TODAY()+(E30/(Resources!$E$55/7))))</f>
        <v>336575.9848</v>
      </c>
      <c r="AR30" s="100">
        <f t="array" ref="AR30">IF(ISNUMBER($AV30),IFNA(LOOKUP(2,1/(ISNUMBER(AR33:AR53)),AR33:AR53),TODAY()),IFNA(LOOKUP(2,1/(ISNUMBER(AR33:AR53)),AR33:AR53)+(F30/(Resources!$E$56/7)),TODAY()+(F30/(Resources!$E$56/7))))</f>
        <v>17888.56273</v>
      </c>
      <c r="AS30" s="100">
        <f t="shared" si="3"/>
        <v>336575.9848</v>
      </c>
      <c r="AT30" s="81">
        <f t="shared" ref="AT30:AT31" si="6">0.39+0.28+0.34</f>
        <v>1.01</v>
      </c>
      <c r="AU30" s="82">
        <v>45666.0</v>
      </c>
      <c r="AV30" s="83"/>
    </row>
    <row r="31" ht="15.0" customHeight="1">
      <c r="A31" s="83" t="s">
        <v>77</v>
      </c>
      <c r="B31" s="92" t="s">
        <v>100</v>
      </c>
      <c r="C31" s="111" t="s">
        <v>106</v>
      </c>
      <c r="D31" s="93">
        <f>IF($A31="Feature",SUM(E31:F31)*'Roadmap setting'!$B$13,0)</f>
        <v>0</v>
      </c>
      <c r="E31" s="94">
        <v>4.0</v>
      </c>
      <c r="F31" s="94">
        <v>0.0</v>
      </c>
      <c r="G31" s="95">
        <f>IF($A31="Feature",IF('Roadmap setting'!$E$14,$F31*('Roadmap setting'!$B$14+'Roadmap setting'!$D$14),$F31*'Roadmap setting'!$B$14),0)</f>
        <v>0</v>
      </c>
      <c r="H31" s="93">
        <f>IF($A31="Feature",$E31*'Roadmap setting'!$B$15,0)</f>
        <v>0</v>
      </c>
      <c r="I31" s="95">
        <f>IF($A31="Feature",$F31*'Roadmap setting'!$B$16,0)</f>
        <v>0</v>
      </c>
      <c r="J31" s="93">
        <f>SUM($E31:$F31)*'Roadmap setting'!$B$17</f>
        <v>0.48</v>
      </c>
      <c r="K31" s="93">
        <f>SUM($E31:$F31)*'Roadmap setting'!$B$18</f>
        <v>0.04</v>
      </c>
      <c r="L31" s="93">
        <f>SUM($E31:$F31)*'Roadmap setting'!$B$19</f>
        <v>0</v>
      </c>
      <c r="M31" s="95">
        <f>SUM($E31:$F31)*'Roadmap setting'!$B$20</f>
        <v>0.08</v>
      </c>
      <c r="N31" s="79">
        <f t="shared" si="4"/>
        <v>4.6</v>
      </c>
      <c r="O31" s="96" t="b">
        <v>1</v>
      </c>
      <c r="P31" s="97"/>
      <c r="Q31" s="98"/>
      <c r="R31" s="97"/>
      <c r="S31" s="97"/>
      <c r="T31" s="97"/>
      <c r="U31" s="97"/>
      <c r="V31" s="99"/>
      <c r="W31" s="96" t="b">
        <v>0</v>
      </c>
      <c r="X31" s="97"/>
      <c r="Y31" s="98"/>
      <c r="Z31" s="97"/>
      <c r="AA31" s="97"/>
      <c r="AB31" s="97"/>
      <c r="AC31" s="97"/>
      <c r="AD31" s="99"/>
      <c r="AE31" s="96" t="b">
        <v>0</v>
      </c>
      <c r="AF31" s="97"/>
      <c r="AG31" s="98"/>
      <c r="AH31" s="97"/>
      <c r="AI31" s="97"/>
      <c r="AJ31" s="97"/>
      <c r="AK31" s="97"/>
      <c r="AL31" s="99"/>
      <c r="AM31" s="96" t="b">
        <v>0</v>
      </c>
      <c r="AN31" s="80">
        <f t="array" ref="AN31">INDEX(A31:AM31, MATCH(RIGHT('Roadmap setting'!$B$9, 3), $A$2:$AM$2, 0) - 1)
</f>
        <v>4.6</v>
      </c>
      <c r="AO31" s="100">
        <f t="array" ref="AO31">IFNA(LOOKUP(2,1/(ISNUMBER(AO39:AO53)),AO39:AO53)+(E31/(Resources!$P$55/7)),TODAY()+(E31/(Resources!$P$55/7)))</f>
        <v>174929.7343</v>
      </c>
      <c r="AP31" s="100">
        <f t="array" ref="AP31">IFNA(LOOKUP(2,1/(ISNUMBER(AP39:AP53)),AP39:AP53)+(F31/(Resources!$P$56/7)),TODAY()+(F31/(Resources!$P$56/7)))</f>
        <v>5962.854244</v>
      </c>
      <c r="AQ31" s="100">
        <f t="array" ref="AQ31">IF(ISNUMBER($AV31),IFNA(LOOKUP(2,1/(ISNUMBER(AQ39:AQ53)),AQ39:AQ53),TODAY()),IFNA(LOOKUP(2,1/(ISNUMBER(AQ39:AQ53)),AQ39:AQ53)+(E31/(Resources!$E$55/7)),TODAY()+(E31/(Resources!$E$55/7))))</f>
        <v>336574.9652</v>
      </c>
      <c r="AR31" s="100">
        <f t="array" ref="AR31">IF(ISNUMBER($AV31),IFNA(LOOKUP(2,1/(ISNUMBER(AR39:AR53)),AR39:AR53),TODAY()),IFNA(LOOKUP(2,1/(ISNUMBER(AR39:AR53)),AR39:AR53)+(F31/(Resources!$E$56/7)),TODAY()+(F31/(Resources!$E$56/7))))</f>
        <v>17888.56273</v>
      </c>
      <c r="AS31" s="100">
        <f t="shared" si="3"/>
        <v>336574.9652</v>
      </c>
      <c r="AT31" s="81">
        <f t="shared" si="6"/>
        <v>1.01</v>
      </c>
      <c r="AU31" s="82">
        <v>45666.0</v>
      </c>
      <c r="AV31" s="83"/>
    </row>
    <row r="32" ht="15.0" customHeight="1">
      <c r="A32" s="83" t="s">
        <v>97</v>
      </c>
      <c r="B32" s="92" t="s">
        <v>92</v>
      </c>
      <c r="C32" s="111" t="s">
        <v>107</v>
      </c>
      <c r="D32" s="93">
        <f>IF($A32="Feature",SUM(E32:F32)*'Roadmap setting'!$B$13,0)</f>
        <v>1</v>
      </c>
      <c r="E32" s="94">
        <v>5.0</v>
      </c>
      <c r="F32" s="94">
        <v>0.0</v>
      </c>
      <c r="G32" s="95">
        <f>IF($A32="Feature",IF('Roadmap setting'!$E$14,$F32*('Roadmap setting'!$B$14+'Roadmap setting'!$D$14),$F32*'Roadmap setting'!$B$14),0)</f>
        <v>0</v>
      </c>
      <c r="H32" s="93">
        <f>IF($A32="Feature",$E32*'Roadmap setting'!$B$15,0)</f>
        <v>0</v>
      </c>
      <c r="I32" s="95">
        <f>IF($A32="Feature",$F32*'Roadmap setting'!$B$16,0)</f>
        <v>0</v>
      </c>
      <c r="J32" s="93">
        <f>SUM($E32:$F32)*'Roadmap setting'!$B$17</f>
        <v>0.6</v>
      </c>
      <c r="K32" s="93">
        <f>SUM($E32:$F32)*'Roadmap setting'!$B$18</f>
        <v>0.05</v>
      </c>
      <c r="L32" s="93">
        <f>SUM($E32:$F32)*'Roadmap setting'!$B$19</f>
        <v>0</v>
      </c>
      <c r="M32" s="95">
        <f>SUM($E32:$F32)*'Roadmap setting'!$B$20</f>
        <v>0.1</v>
      </c>
      <c r="N32" s="79">
        <f t="shared" si="4"/>
        <v>6.75</v>
      </c>
      <c r="O32" s="96" t="b">
        <v>1</v>
      </c>
      <c r="P32" s="97"/>
      <c r="Q32" s="98"/>
      <c r="R32" s="97"/>
      <c r="S32" s="97"/>
      <c r="T32" s="97"/>
      <c r="U32" s="97"/>
      <c r="V32" s="99"/>
      <c r="W32" s="96" t="b">
        <v>0</v>
      </c>
      <c r="X32" s="97"/>
      <c r="Y32" s="98"/>
      <c r="Z32" s="97"/>
      <c r="AA32" s="97"/>
      <c r="AB32" s="97"/>
      <c r="AC32" s="97"/>
      <c r="AD32" s="99"/>
      <c r="AE32" s="96" t="b">
        <v>0</v>
      </c>
      <c r="AF32" s="97"/>
      <c r="AG32" s="98"/>
      <c r="AH32" s="97"/>
      <c r="AI32" s="97"/>
      <c r="AJ32" s="97"/>
      <c r="AK32" s="97"/>
      <c r="AL32" s="99"/>
      <c r="AM32" s="96" t="b">
        <v>0</v>
      </c>
      <c r="AN32" s="80">
        <f t="array" ref="AN32">INDEX(A32:AM32, MATCH(RIGHT('Roadmap setting'!$B$9, 3), $A$2:$AM$2, 0) - 1)
</f>
        <v>6.75</v>
      </c>
      <c r="AO32" s="100">
        <f t="array" ref="AO32">IFNA(LOOKUP(2,1/(ISNUMBER(AO34:AO46)),AO34:AO46)+(E32/(Resources!$P$55/7)),TODAY()+(E32/(Resources!$P$55/7)))</f>
        <v>174930.6046</v>
      </c>
      <c r="AP32" s="100">
        <f t="array" ref="AP32">IFNA(LOOKUP(2,1/(ISNUMBER(AP34:AP46)),AP34:AP46)+(F32/(Resources!$P$56/7)),TODAY()+(F32/(Resources!$P$56/7)))</f>
        <v>5962.854244</v>
      </c>
      <c r="AQ32" s="100">
        <f t="array" ref="AQ32">IF(ISNUMBER($AV32),IFNA(LOOKUP(2,1/(ISNUMBER(AQ34:AQ46)),AQ34:AQ46),TODAY()),IFNA(LOOKUP(2,1/(ISNUMBER(AQ34:AQ46)),AQ34:AQ46)+(E32/(Resources!$E$55/7)),TODAY()+(E32/(Resources!$E$55/7))))</f>
        <v>336576.7495</v>
      </c>
      <c r="AR32" s="100">
        <f t="array" ref="AR32">IF(ISNUMBER($AV32),IFNA(LOOKUP(2,1/(ISNUMBER(AR34:AR46)),AR34:AR46),TODAY()),IFNA(LOOKUP(2,1/(ISNUMBER(AR34:AR46)),AR34:AR46)+(F32/(Resources!$E$56/7)),TODAY()+(F32/(Resources!$E$56/7))))</f>
        <v>17888.56273</v>
      </c>
      <c r="AS32" s="100">
        <f t="shared" si="3"/>
        <v>336576.7495</v>
      </c>
      <c r="AT32" s="81">
        <f t="shared" ref="AT32:AT33" si="7">0.39+0.28+0.34+0.7+2</f>
        <v>3.71</v>
      </c>
      <c r="AU32" s="82">
        <v>45666.0</v>
      </c>
      <c r="AV32" s="83"/>
    </row>
    <row r="33" ht="15.0" customHeight="1">
      <c r="A33" s="83" t="s">
        <v>97</v>
      </c>
      <c r="B33" s="92" t="s">
        <v>92</v>
      </c>
      <c r="C33" s="111" t="s">
        <v>108</v>
      </c>
      <c r="D33" s="93">
        <f>IF($A33="Feature",SUM(E33:F33)*'Roadmap setting'!$B$13,0)</f>
        <v>0.6</v>
      </c>
      <c r="E33" s="94">
        <v>3.0</v>
      </c>
      <c r="F33" s="94">
        <v>0.0</v>
      </c>
      <c r="G33" s="95">
        <f>IF($A33="Feature",IF('Roadmap setting'!$E$14,$F33*('Roadmap setting'!$B$14+'Roadmap setting'!$D$14),$F33*'Roadmap setting'!$B$14),0)</f>
        <v>0</v>
      </c>
      <c r="H33" s="93">
        <f>IF($A33="Feature",$E33*'Roadmap setting'!$B$15,0)</f>
        <v>0</v>
      </c>
      <c r="I33" s="95">
        <f>IF($A33="Feature",$F33*'Roadmap setting'!$B$16,0)</f>
        <v>0</v>
      </c>
      <c r="J33" s="93">
        <f>SUM($E33:$F33)*'Roadmap setting'!$B$17</f>
        <v>0.36</v>
      </c>
      <c r="K33" s="93">
        <f>SUM($E33:$F33)*'Roadmap setting'!$B$18</f>
        <v>0.03</v>
      </c>
      <c r="L33" s="93">
        <f>SUM($E33:$F33)*'Roadmap setting'!$B$19</f>
        <v>0</v>
      </c>
      <c r="M33" s="95">
        <f>SUM($E33:$F33)*'Roadmap setting'!$B$20</f>
        <v>0.06</v>
      </c>
      <c r="N33" s="79">
        <f t="shared" si="4"/>
        <v>4.05</v>
      </c>
      <c r="O33" s="96" t="b">
        <v>1</v>
      </c>
      <c r="P33" s="97"/>
      <c r="Q33" s="98"/>
      <c r="R33" s="97"/>
      <c r="S33" s="97"/>
      <c r="T33" s="97"/>
      <c r="U33" s="97"/>
      <c r="V33" s="99"/>
      <c r="W33" s="96" t="b">
        <v>0</v>
      </c>
      <c r="X33" s="97"/>
      <c r="Y33" s="98"/>
      <c r="Z33" s="97"/>
      <c r="AA33" s="97"/>
      <c r="AB33" s="97"/>
      <c r="AC33" s="97"/>
      <c r="AD33" s="99"/>
      <c r="AE33" s="96" t="b">
        <v>0</v>
      </c>
      <c r="AF33" s="97"/>
      <c r="AG33" s="98"/>
      <c r="AH33" s="97"/>
      <c r="AI33" s="97"/>
      <c r="AJ33" s="97"/>
      <c r="AK33" s="97"/>
      <c r="AL33" s="99"/>
      <c r="AM33" s="96" t="b">
        <v>0</v>
      </c>
      <c r="AN33" s="80">
        <f t="array" ref="AN33">INDEX(A33:AM33, MATCH(RIGHT('Roadmap setting'!$B$9, 3), $A$2:$AM$2, 0) - 1)
</f>
        <v>4.05</v>
      </c>
      <c r="AO33" s="100">
        <f t="array" ref="AO33">IFNA(LOOKUP(2,1/(ISNUMBER(AO35:AO46)),AO35:AO46)+(E33/(Resources!$P$55/7)),TODAY()+(E33/(Resources!$P$55/7)))</f>
        <v>174930.356</v>
      </c>
      <c r="AP33" s="100">
        <f t="array" ref="AP33">IFNA(LOOKUP(2,1/(ISNUMBER(AP35:AP46)),AP35:AP46)+(F33/(Resources!$P$56/7)),TODAY()+(F33/(Resources!$P$56/7)))</f>
        <v>5962.854244</v>
      </c>
      <c r="AQ33" s="100">
        <f t="array" ref="AQ33">IF(ISNUMBER($AV33),IFNA(LOOKUP(2,1/(ISNUMBER(AQ35:AQ46)),AQ35:AQ46),TODAY()),IFNA(LOOKUP(2,1/(ISNUMBER(AQ35:AQ46)),AQ35:AQ46)+(E33/(Resources!$E$55/7)),TODAY()+(E33/(Resources!$E$55/7))))</f>
        <v>336576.2397</v>
      </c>
      <c r="AR33" s="100">
        <f t="array" ref="AR33">IF(ISNUMBER($AV33),IFNA(LOOKUP(2,1/(ISNUMBER(AR35:AR46)),AR35:AR46),TODAY()),IFNA(LOOKUP(2,1/(ISNUMBER(AR35:AR46)),AR35:AR46)+(F33/(Resources!$E$56/7)),TODAY()+(F33/(Resources!$E$56/7))))</f>
        <v>17888.56273</v>
      </c>
      <c r="AS33" s="100">
        <f t="shared" si="3"/>
        <v>336576.2397</v>
      </c>
      <c r="AT33" s="81">
        <f t="shared" si="7"/>
        <v>3.71</v>
      </c>
      <c r="AU33" s="82">
        <v>45666.0</v>
      </c>
      <c r="AV33" s="83"/>
    </row>
    <row r="34" ht="15.0" customHeight="1">
      <c r="A34" s="83" t="s">
        <v>97</v>
      </c>
      <c r="B34" s="92" t="s">
        <v>92</v>
      </c>
      <c r="C34" s="111" t="s">
        <v>109</v>
      </c>
      <c r="D34" s="93">
        <f>IF($A34="Feature",SUM(E34:F34)*'Roadmap setting'!$B$13,0)</f>
        <v>0.6</v>
      </c>
      <c r="E34" s="94">
        <v>3.0</v>
      </c>
      <c r="F34" s="94">
        <v>0.0</v>
      </c>
      <c r="G34" s="95">
        <f>IF($A34="Feature",IF('Roadmap setting'!$E$14,$F34*('Roadmap setting'!$B$14+'Roadmap setting'!$D$14),$F34*'Roadmap setting'!$B$14),0)</f>
        <v>0</v>
      </c>
      <c r="H34" s="93">
        <f>IF($A34="Feature",$E34*'Roadmap setting'!$B$15,0)</f>
        <v>0</v>
      </c>
      <c r="I34" s="95">
        <f>IF($A34="Feature",$F34*'Roadmap setting'!$B$16,0)</f>
        <v>0</v>
      </c>
      <c r="J34" s="93">
        <f>SUM($E34:$F34)*'Roadmap setting'!$B$17</f>
        <v>0.36</v>
      </c>
      <c r="K34" s="93">
        <f>SUM($E34:$F34)*'Roadmap setting'!$B$18</f>
        <v>0.03</v>
      </c>
      <c r="L34" s="93">
        <f>SUM($E34:$F34)*'Roadmap setting'!$B$19</f>
        <v>0</v>
      </c>
      <c r="M34" s="95">
        <f>SUM($E34:$F34)*'Roadmap setting'!$B$20</f>
        <v>0.06</v>
      </c>
      <c r="N34" s="79">
        <f t="shared" si="4"/>
        <v>4.05</v>
      </c>
      <c r="O34" s="96" t="b">
        <v>1</v>
      </c>
      <c r="P34" s="97"/>
      <c r="Q34" s="98"/>
      <c r="R34" s="97"/>
      <c r="S34" s="97"/>
      <c r="T34" s="97"/>
      <c r="U34" s="97"/>
      <c r="V34" s="99"/>
      <c r="W34" s="96" t="b">
        <v>0</v>
      </c>
      <c r="X34" s="97"/>
      <c r="Y34" s="98"/>
      <c r="Z34" s="97"/>
      <c r="AA34" s="97"/>
      <c r="AB34" s="97"/>
      <c r="AC34" s="97"/>
      <c r="AD34" s="99"/>
      <c r="AE34" s="96" t="b">
        <v>0</v>
      </c>
      <c r="AF34" s="97"/>
      <c r="AG34" s="98"/>
      <c r="AH34" s="97"/>
      <c r="AI34" s="97"/>
      <c r="AJ34" s="97"/>
      <c r="AK34" s="97"/>
      <c r="AL34" s="99"/>
      <c r="AM34" s="96" t="b">
        <v>0</v>
      </c>
      <c r="AN34" s="80">
        <f t="array" ref="AN34">INDEX(A34:AM34, MATCH(RIGHT('Roadmap setting'!$B$9, 3), $A$2:$AM$2, 0) - 1)
</f>
        <v>4.05</v>
      </c>
      <c r="AO34" s="100">
        <f t="array" ref="AO34">IFNA(LOOKUP(2,1/(ISNUMBER(AO22:AO28)),AO22:AO28)+(E34/(Resources!$P$55/7)),TODAY()+(E34/(Resources!$P$55/7)))</f>
        <v>174934.2101</v>
      </c>
      <c r="AP34" s="100">
        <f t="array" ref="AP34">IFNA(LOOKUP(2,1/(ISNUMBER(AP22:AP28)),AP22:AP28)+(F34/(Resources!$P$56/7)),TODAY()+(F34/(Resources!$P$56/7)))</f>
        <v>5964.49919</v>
      </c>
      <c r="AQ34" s="100">
        <f t="array" ref="AQ34">IF(ISNUMBER($AV34),IFNA(LOOKUP(2,1/(ISNUMBER(AQ22:AQ28)),AQ22:AQ28),TODAY()),IFNA(LOOKUP(2,1/(ISNUMBER(AQ22:AQ28)),AQ22:AQ28)+(E34/(Resources!$E$55/7)),TODAY()+(E34/(Resources!$E$55/7))))</f>
        <v>336584.1415</v>
      </c>
      <c r="AR34" s="100">
        <f t="array" ref="AR34">IF(ISNUMBER($AV34),IFNA(LOOKUP(2,1/(ISNUMBER(AR22:AR28)),AR22:AR28),TODAY()),IFNA(LOOKUP(2,1/(ISNUMBER(AR22:AR28)),AR22:AR28)+(F34/(Resources!$E$56/7)),TODAY()+(F34/(Resources!$E$56/7))))</f>
        <v>17891.3229</v>
      </c>
      <c r="AS34" s="100">
        <f t="shared" si="3"/>
        <v>336584.1415</v>
      </c>
      <c r="AT34" s="81">
        <f>0.39+0.28+0.34+0.7+0.78</f>
        <v>2.49</v>
      </c>
      <c r="AU34" s="82">
        <v>45666.0</v>
      </c>
      <c r="AV34" s="83"/>
    </row>
    <row r="35" ht="15.0" customHeight="1">
      <c r="A35" s="83" t="s">
        <v>97</v>
      </c>
      <c r="B35" s="92" t="s">
        <v>92</v>
      </c>
      <c r="C35" s="111" t="s">
        <v>110</v>
      </c>
      <c r="D35" s="93">
        <f>IF($A35="Feature",SUM(E35:F35)*'Roadmap setting'!$B$13,0)</f>
        <v>1</v>
      </c>
      <c r="E35" s="94">
        <v>5.0</v>
      </c>
      <c r="F35" s="94">
        <v>0.0</v>
      </c>
      <c r="G35" s="95">
        <f>IF($A35="Feature",IF('Roadmap setting'!$E$14,$F35*('Roadmap setting'!$B$14+'Roadmap setting'!$D$14),$F35*'Roadmap setting'!$B$14),0)</f>
        <v>0</v>
      </c>
      <c r="H35" s="93">
        <f>IF($A35="Feature",$E35*'Roadmap setting'!$B$15,0)</f>
        <v>0</v>
      </c>
      <c r="I35" s="95">
        <f>IF($A35="Feature",$F35*'Roadmap setting'!$B$16,0)</f>
        <v>0</v>
      </c>
      <c r="J35" s="93">
        <f>SUM($E35:$F35)*'Roadmap setting'!$B$17</f>
        <v>0.6</v>
      </c>
      <c r="K35" s="93">
        <f>SUM($E35:$F35)*'Roadmap setting'!$B$18</f>
        <v>0.05</v>
      </c>
      <c r="L35" s="93">
        <f>SUM($E35:$F35)*'Roadmap setting'!$B$19</f>
        <v>0</v>
      </c>
      <c r="M35" s="95">
        <f>SUM($E35:$F35)*'Roadmap setting'!$B$20</f>
        <v>0.1</v>
      </c>
      <c r="N35" s="79">
        <f t="shared" si="4"/>
        <v>6.75</v>
      </c>
      <c r="O35" s="96" t="b">
        <v>1</v>
      </c>
      <c r="P35" s="97"/>
      <c r="Q35" s="98"/>
      <c r="R35" s="97"/>
      <c r="S35" s="97"/>
      <c r="T35" s="97"/>
      <c r="U35" s="97"/>
      <c r="V35" s="99"/>
      <c r="W35" s="96" t="b">
        <v>0</v>
      </c>
      <c r="X35" s="97"/>
      <c r="Y35" s="98"/>
      <c r="Z35" s="97"/>
      <c r="AA35" s="97"/>
      <c r="AB35" s="97"/>
      <c r="AC35" s="97"/>
      <c r="AD35" s="99"/>
      <c r="AE35" s="96" t="b">
        <v>0</v>
      </c>
      <c r="AF35" s="97"/>
      <c r="AG35" s="98"/>
      <c r="AH35" s="97"/>
      <c r="AI35" s="97"/>
      <c r="AJ35" s="97"/>
      <c r="AK35" s="97"/>
      <c r="AL35" s="99"/>
      <c r="AM35" s="96" t="b">
        <v>0</v>
      </c>
      <c r="AN35" s="80">
        <f t="array" ref="AN35">INDEX(A35:AM35, MATCH(RIGHT('Roadmap setting'!$B$9, 3), $A$2:$AM$2, 0) - 1)
</f>
        <v>6.75</v>
      </c>
      <c r="AO35" s="100">
        <f t="array" ref="AO35">IFNA(LOOKUP(2,1/(ISNUMBER(AO24:AO34)),AO24:AO34)+(E35/(Resources!$P$55/7)),TODAY()+(E35/(Resources!$P$55/7)))</f>
        <v>174934.8317</v>
      </c>
      <c r="AP35" s="100">
        <f t="array" ref="AP35">IFNA(LOOKUP(2,1/(ISNUMBER(AP24:AP34)),AP24:AP34)+(F35/(Resources!$P$56/7)),TODAY()+(F35/(Resources!$P$56/7)))</f>
        <v>5964.49919</v>
      </c>
      <c r="AQ35" s="100">
        <f t="array" ref="AQ35">IF(ISNUMBER($AV35),IFNA(LOOKUP(2,1/(ISNUMBER(AQ24:AQ34)),AQ24:AQ34),TODAY()),IFNA(LOOKUP(2,1/(ISNUMBER(AQ24:AQ34)),AQ24:AQ34)+(E35/(Resources!$E$55/7)),TODAY()+(E35/(Resources!$E$55/7))))</f>
        <v>336585.416</v>
      </c>
      <c r="AR35" s="100">
        <f t="array" ref="AR35">IF(ISNUMBER($AV35),IFNA(LOOKUP(2,1/(ISNUMBER(AR24:AR34)),AR24:AR34),TODAY()),IFNA(LOOKUP(2,1/(ISNUMBER(AR24:AR34)),AR24:AR34)+(F35/(Resources!$E$56/7)),TODAY()+(F35/(Resources!$E$56/7))))</f>
        <v>17891.3229</v>
      </c>
      <c r="AS35" s="100">
        <f t="shared" si="3"/>
        <v>336585.416</v>
      </c>
      <c r="AT35" s="81">
        <f t="shared" ref="AT35:AT38" si="8">0.39+0.28+0.34+0.7</f>
        <v>1.71</v>
      </c>
      <c r="AU35" s="82">
        <v>45666.0</v>
      </c>
      <c r="AV35" s="83"/>
    </row>
    <row r="36" ht="15.0" customHeight="1">
      <c r="A36" s="83" t="s">
        <v>97</v>
      </c>
      <c r="B36" s="92" t="s">
        <v>100</v>
      </c>
      <c r="C36" s="111" t="s">
        <v>111</v>
      </c>
      <c r="D36" s="93">
        <f>IF($A36="Feature",SUM(E36:F36)*'Roadmap setting'!$B$13,0)</f>
        <v>0.4</v>
      </c>
      <c r="E36" s="94">
        <v>2.0</v>
      </c>
      <c r="F36" s="94">
        <v>0.0</v>
      </c>
      <c r="G36" s="95">
        <f>IF($A36="Feature",IF('Roadmap setting'!$E$14,$F36*('Roadmap setting'!$B$14+'Roadmap setting'!$D$14),$F36*'Roadmap setting'!$B$14),0)</f>
        <v>0</v>
      </c>
      <c r="H36" s="93">
        <f>IF($A36="Feature",$E36*'Roadmap setting'!$B$15,0)</f>
        <v>0</v>
      </c>
      <c r="I36" s="95">
        <f>IF($A36="Feature",$F36*'Roadmap setting'!$B$16,0)</f>
        <v>0</v>
      </c>
      <c r="J36" s="93">
        <f>SUM($E36:$F36)*'Roadmap setting'!$B$17</f>
        <v>0.24</v>
      </c>
      <c r="K36" s="93">
        <f>SUM($E36:$F36)*'Roadmap setting'!$B$18</f>
        <v>0.02</v>
      </c>
      <c r="L36" s="93">
        <f>SUM($E36:$F36)*'Roadmap setting'!$B$19</f>
        <v>0</v>
      </c>
      <c r="M36" s="95">
        <f>SUM($E36:$F36)*'Roadmap setting'!$B$20</f>
        <v>0.04</v>
      </c>
      <c r="N36" s="79">
        <f t="shared" si="4"/>
        <v>2.7</v>
      </c>
      <c r="O36" s="96" t="b">
        <v>1</v>
      </c>
      <c r="P36" s="97"/>
      <c r="Q36" s="98"/>
      <c r="R36" s="97"/>
      <c r="S36" s="97"/>
      <c r="T36" s="97"/>
      <c r="U36" s="97"/>
      <c r="V36" s="99"/>
      <c r="W36" s="96" t="b">
        <v>0</v>
      </c>
      <c r="X36" s="97"/>
      <c r="Y36" s="98"/>
      <c r="Z36" s="97"/>
      <c r="AA36" s="97"/>
      <c r="AB36" s="97"/>
      <c r="AC36" s="97"/>
      <c r="AD36" s="99"/>
      <c r="AE36" s="96" t="b">
        <v>0</v>
      </c>
      <c r="AF36" s="97"/>
      <c r="AG36" s="98"/>
      <c r="AH36" s="97"/>
      <c r="AI36" s="97"/>
      <c r="AJ36" s="97"/>
      <c r="AK36" s="97"/>
      <c r="AL36" s="99"/>
      <c r="AM36" s="96" t="b">
        <v>0</v>
      </c>
      <c r="AN36" s="80">
        <f t="array" ref="AN36">INDEX(A36:AM36, MATCH(RIGHT('Roadmap setting'!$B$9, 3), $A$2:$AM$2, 0) - 1)
</f>
        <v>2.7</v>
      </c>
      <c r="AO36" s="100">
        <f t="array" ref="AO36">IFNA(LOOKUP(2,1/(ISNUMBER(AO25:AO35)),AO25:AO35)+(E36/(Resources!$P$55/7)),TODAY()+(E36/(Resources!$P$55/7)))</f>
        <v>174935.0804</v>
      </c>
      <c r="AP36" s="100">
        <f t="array" ref="AP36">IFNA(LOOKUP(2,1/(ISNUMBER(AP25:AP35)),AP25:AP35)+(F36/(Resources!$P$56/7)),TODAY()+(F36/(Resources!$P$56/7)))</f>
        <v>5964.49919</v>
      </c>
      <c r="AQ36" s="100">
        <f t="array" ref="AQ36">IF(ISNUMBER($AV36),IFNA(LOOKUP(2,1/(ISNUMBER(AQ25:AQ35)),AQ25:AQ35),TODAY()),IFNA(LOOKUP(2,1/(ISNUMBER(AQ25:AQ35)),AQ25:AQ35)+(E36/(Resources!$E$55/7)),TODAY()+(E36/(Resources!$E$55/7))))</f>
        <v>336585.9258</v>
      </c>
      <c r="AR36" s="100">
        <f t="array" ref="AR36">IF(ISNUMBER($AV36),IFNA(LOOKUP(2,1/(ISNUMBER(AR25:AR35)),AR25:AR35),TODAY()),IFNA(LOOKUP(2,1/(ISNUMBER(AR25:AR35)),AR25:AR35)+(F36/(Resources!$E$56/7)),TODAY()+(F36/(Resources!$E$56/7))))</f>
        <v>17891.3229</v>
      </c>
      <c r="AS36" s="100">
        <f t="shared" si="3"/>
        <v>336585.9258</v>
      </c>
      <c r="AT36" s="81">
        <f t="shared" si="8"/>
        <v>1.71</v>
      </c>
      <c r="AU36" s="82">
        <v>45666.0</v>
      </c>
      <c r="AV36" s="83"/>
    </row>
    <row r="37" ht="15.0" customHeight="1">
      <c r="A37" s="83" t="s">
        <v>97</v>
      </c>
      <c r="B37" s="92" t="s">
        <v>112</v>
      </c>
      <c r="C37" s="111" t="s">
        <v>113</v>
      </c>
      <c r="D37" s="93">
        <f>IF($A37="Feature",SUM(E37:F37)*'Roadmap setting'!$B$13,0)</f>
        <v>0.6</v>
      </c>
      <c r="E37" s="94">
        <v>3.0</v>
      </c>
      <c r="F37" s="94">
        <v>0.0</v>
      </c>
      <c r="G37" s="95">
        <f>IF($A37="Feature",IF('Roadmap setting'!$E$14,$F37*('Roadmap setting'!$B$14+'Roadmap setting'!$D$14),$F37*'Roadmap setting'!$B$14),0)</f>
        <v>0</v>
      </c>
      <c r="H37" s="93">
        <f>IF($A37="Feature",$E37*'Roadmap setting'!$B$15,0)</f>
        <v>0</v>
      </c>
      <c r="I37" s="95">
        <f>IF($A37="Feature",$F37*'Roadmap setting'!$B$16,0)</f>
        <v>0</v>
      </c>
      <c r="J37" s="93">
        <f>SUM($E37:$F37)*'Roadmap setting'!$B$17</f>
        <v>0.36</v>
      </c>
      <c r="K37" s="93">
        <f>SUM($E37:$F37)*'Roadmap setting'!$B$18</f>
        <v>0.03</v>
      </c>
      <c r="L37" s="93">
        <f>SUM($E37:$F37)*'Roadmap setting'!$B$19</f>
        <v>0</v>
      </c>
      <c r="M37" s="95">
        <f>SUM($E37:$F37)*'Roadmap setting'!$B$20</f>
        <v>0.06</v>
      </c>
      <c r="N37" s="79">
        <f t="shared" si="4"/>
        <v>4.05</v>
      </c>
      <c r="O37" s="96" t="b">
        <v>1</v>
      </c>
      <c r="P37" s="97"/>
      <c r="Q37" s="98"/>
      <c r="R37" s="97"/>
      <c r="S37" s="97"/>
      <c r="T37" s="97"/>
      <c r="U37" s="97"/>
      <c r="V37" s="99"/>
      <c r="W37" s="96" t="b">
        <v>0</v>
      </c>
      <c r="X37" s="97"/>
      <c r="Y37" s="98"/>
      <c r="Z37" s="97"/>
      <c r="AA37" s="97"/>
      <c r="AB37" s="97"/>
      <c r="AC37" s="97"/>
      <c r="AD37" s="99"/>
      <c r="AE37" s="96" t="b">
        <v>0</v>
      </c>
      <c r="AF37" s="97"/>
      <c r="AG37" s="98"/>
      <c r="AH37" s="97"/>
      <c r="AI37" s="97"/>
      <c r="AJ37" s="97"/>
      <c r="AK37" s="97"/>
      <c r="AL37" s="99"/>
      <c r="AM37" s="96" t="b">
        <v>0</v>
      </c>
      <c r="AN37" s="80">
        <f t="array" ref="AN37">INDEX(A37:AM37, MATCH(RIGHT('Roadmap setting'!$B$9, 3), $A$2:$AM$2, 0) - 1)
</f>
        <v>4.05</v>
      </c>
      <c r="AO37" s="100">
        <f t="array" ref="AO37">IFNA(LOOKUP(2,1/(ISNUMBER(AO26:AO36)),AO26:AO36)+(E37/(Resources!$P$55/7)),TODAY()+(E37/(Resources!$P$55/7)))</f>
        <v>174935.4534</v>
      </c>
      <c r="AP37" s="100">
        <f t="array" ref="AP37">IFNA(LOOKUP(2,1/(ISNUMBER(AP26:AP36)),AP26:AP36)+(F37/(Resources!$P$56/7)),TODAY()+(F37/(Resources!$P$56/7)))</f>
        <v>5964.49919</v>
      </c>
      <c r="AQ37" s="100">
        <f t="array" ref="AQ37">IF(ISNUMBER($AV37),IFNA(LOOKUP(2,1/(ISNUMBER(AQ26:AQ36)),AQ26:AQ36),TODAY()),IFNA(LOOKUP(2,1/(ISNUMBER(AQ26:AQ36)),AQ26:AQ36)+(E37/(Resources!$E$55/7)),TODAY()+(E37/(Resources!$E$55/7))))</f>
        <v>336586.6905</v>
      </c>
      <c r="AR37" s="100">
        <f t="array" ref="AR37">IF(ISNUMBER($AV37),IFNA(LOOKUP(2,1/(ISNUMBER(AR26:AR36)),AR26:AR36),TODAY()),IFNA(LOOKUP(2,1/(ISNUMBER(AR26:AR36)),AR26:AR36)+(F37/(Resources!$E$56/7)),TODAY()+(F37/(Resources!$E$56/7))))</f>
        <v>17891.3229</v>
      </c>
      <c r="AS37" s="100">
        <f t="shared" si="3"/>
        <v>336586.6905</v>
      </c>
      <c r="AT37" s="81">
        <f t="shared" si="8"/>
        <v>1.71</v>
      </c>
      <c r="AU37" s="82">
        <v>45666.0</v>
      </c>
      <c r="AV37" s="83"/>
    </row>
    <row r="38" ht="15.0" customHeight="1">
      <c r="A38" s="83" t="s">
        <v>97</v>
      </c>
      <c r="B38" s="92" t="s">
        <v>112</v>
      </c>
      <c r="C38" s="111" t="s">
        <v>114</v>
      </c>
      <c r="D38" s="93">
        <f>IF($A38="Feature",SUM(E38:F38)*'Roadmap setting'!$B$13,0)</f>
        <v>0.6</v>
      </c>
      <c r="E38" s="94">
        <v>3.0</v>
      </c>
      <c r="F38" s="94">
        <v>0.0</v>
      </c>
      <c r="G38" s="95">
        <f>IF($A38="Feature",IF('Roadmap setting'!$E$14,$F38*('Roadmap setting'!$B$14+'Roadmap setting'!$D$14),$F38*'Roadmap setting'!$B$14),0)</f>
        <v>0</v>
      </c>
      <c r="H38" s="93">
        <f>IF($A38="Feature",$E38*'Roadmap setting'!$B$15,0)</f>
        <v>0</v>
      </c>
      <c r="I38" s="95">
        <f>IF($A38="Feature",$F38*'Roadmap setting'!$B$16,0)</f>
        <v>0</v>
      </c>
      <c r="J38" s="93">
        <f>SUM($E38:$F38)*'Roadmap setting'!$B$17</f>
        <v>0.36</v>
      </c>
      <c r="K38" s="93">
        <f>SUM($E38:$F38)*'Roadmap setting'!$B$18</f>
        <v>0.03</v>
      </c>
      <c r="L38" s="93">
        <f>SUM($E38:$F38)*'Roadmap setting'!$B$19</f>
        <v>0</v>
      </c>
      <c r="M38" s="95">
        <f>SUM($E38:$F38)*'Roadmap setting'!$B$20</f>
        <v>0.06</v>
      </c>
      <c r="N38" s="79">
        <f t="shared" si="4"/>
        <v>4.05</v>
      </c>
      <c r="O38" s="96" t="b">
        <v>1</v>
      </c>
      <c r="P38" s="97"/>
      <c r="Q38" s="98"/>
      <c r="R38" s="97"/>
      <c r="S38" s="97"/>
      <c r="T38" s="97"/>
      <c r="U38" s="97"/>
      <c r="V38" s="99"/>
      <c r="W38" s="96" t="b">
        <v>0</v>
      </c>
      <c r="X38" s="97"/>
      <c r="Y38" s="98"/>
      <c r="Z38" s="97"/>
      <c r="AA38" s="97"/>
      <c r="AB38" s="97"/>
      <c r="AC38" s="97"/>
      <c r="AD38" s="99"/>
      <c r="AE38" s="96" t="b">
        <v>0</v>
      </c>
      <c r="AF38" s="97"/>
      <c r="AG38" s="98"/>
      <c r="AH38" s="97"/>
      <c r="AI38" s="97"/>
      <c r="AJ38" s="97"/>
      <c r="AK38" s="97"/>
      <c r="AL38" s="99"/>
      <c r="AM38" s="96" t="b">
        <v>0</v>
      </c>
      <c r="AN38" s="80">
        <f t="array" ref="AN38">INDEX(A38:AM38, MATCH(RIGHT('Roadmap setting'!$B$9, 3), $A$2:$AM$2, 0) - 1)
</f>
        <v>4.05</v>
      </c>
      <c r="AO38" s="100">
        <f t="array" ref="AO38">IFNA(LOOKUP(2,1/(ISNUMBER(AO27:AO37)),AO27:AO37)+(E38/(Resources!$P$55/7)),TODAY()+(E38/(Resources!$P$55/7)))</f>
        <v>174935.8263</v>
      </c>
      <c r="AP38" s="100">
        <f t="array" ref="AP38">IFNA(LOOKUP(2,1/(ISNUMBER(AP27:AP37)),AP27:AP37)+(F38/(Resources!$P$56/7)),TODAY()+(F38/(Resources!$P$56/7)))</f>
        <v>5964.49919</v>
      </c>
      <c r="AQ38" s="100">
        <f t="array" ref="AQ38">IF(ISNUMBER($AV38),IFNA(LOOKUP(2,1/(ISNUMBER(AQ27:AQ37)),AQ27:AQ37),TODAY()),IFNA(LOOKUP(2,1/(ISNUMBER(AQ27:AQ37)),AQ27:AQ37)+(E38/(Resources!$E$55/7)),TODAY()+(E38/(Resources!$E$55/7))))</f>
        <v>336587.4552</v>
      </c>
      <c r="AR38" s="100">
        <f t="array" ref="AR38">IF(ISNUMBER($AV38),IFNA(LOOKUP(2,1/(ISNUMBER(AR27:AR37)),AR27:AR37),TODAY()),IFNA(LOOKUP(2,1/(ISNUMBER(AR27:AR37)),AR27:AR37)+(F38/(Resources!$E$56/7)),TODAY()+(F38/(Resources!$E$56/7))))</f>
        <v>17891.3229</v>
      </c>
      <c r="AS38" s="100">
        <f t="shared" si="3"/>
        <v>336587.4552</v>
      </c>
      <c r="AT38" s="81">
        <f t="shared" si="8"/>
        <v>1.71</v>
      </c>
      <c r="AU38" s="82">
        <v>45666.0</v>
      </c>
      <c r="AV38" s="83"/>
    </row>
    <row r="39" ht="15.0" customHeight="1">
      <c r="A39" s="83" t="s">
        <v>97</v>
      </c>
      <c r="B39" s="92" t="s">
        <v>100</v>
      </c>
      <c r="C39" s="111" t="s">
        <v>115</v>
      </c>
      <c r="D39" s="93">
        <f>IF($A39="Feature",SUM(E39:F39)*'Roadmap setting'!$B$13,0)</f>
        <v>0.8</v>
      </c>
      <c r="E39" s="94">
        <v>4.0</v>
      </c>
      <c r="F39" s="94">
        <v>0.0</v>
      </c>
      <c r="G39" s="95">
        <f>IF($A39="Feature",IF('Roadmap setting'!$E$14,$F39*('Roadmap setting'!$B$14+'Roadmap setting'!$D$14),$F39*'Roadmap setting'!$B$14),0)</f>
        <v>0</v>
      </c>
      <c r="H39" s="93">
        <f>IF($A39="Feature",$E39*'Roadmap setting'!$B$15,0)</f>
        <v>0</v>
      </c>
      <c r="I39" s="95">
        <f>IF($A39="Feature",$F39*'Roadmap setting'!$B$16,0)</f>
        <v>0</v>
      </c>
      <c r="J39" s="93">
        <f>SUM($E39:$F39)*'Roadmap setting'!$B$17</f>
        <v>0.48</v>
      </c>
      <c r="K39" s="93">
        <f>SUM($E39:$F39)*'Roadmap setting'!$B$18</f>
        <v>0.04</v>
      </c>
      <c r="L39" s="93">
        <f>SUM($E39:$F39)*'Roadmap setting'!$B$19</f>
        <v>0</v>
      </c>
      <c r="M39" s="95">
        <f>SUM($E39:$F39)*'Roadmap setting'!$B$20</f>
        <v>0.08</v>
      </c>
      <c r="N39" s="79">
        <f t="shared" si="4"/>
        <v>5.4</v>
      </c>
      <c r="O39" s="96" t="b">
        <v>1</v>
      </c>
      <c r="P39" s="97"/>
      <c r="Q39" s="98"/>
      <c r="R39" s="97"/>
      <c r="S39" s="97"/>
      <c r="T39" s="97"/>
      <c r="U39" s="97"/>
      <c r="V39" s="99"/>
      <c r="W39" s="96" t="b">
        <v>0</v>
      </c>
      <c r="X39" s="97"/>
      <c r="Y39" s="98"/>
      <c r="Z39" s="97"/>
      <c r="AA39" s="97"/>
      <c r="AB39" s="97"/>
      <c r="AC39" s="97"/>
      <c r="AD39" s="99"/>
      <c r="AE39" s="96" t="b">
        <v>0</v>
      </c>
      <c r="AF39" s="97"/>
      <c r="AG39" s="98"/>
      <c r="AH39" s="97"/>
      <c r="AI39" s="97"/>
      <c r="AJ39" s="97"/>
      <c r="AK39" s="97"/>
      <c r="AL39" s="99"/>
      <c r="AM39" s="96" t="b">
        <v>0</v>
      </c>
      <c r="AN39" s="80">
        <f t="array" ref="AN39">INDEX(A39:AM39, MATCH(RIGHT('Roadmap setting'!$B$9, 3), $A$2:$AM$2, 0) - 1)
</f>
        <v>5.4</v>
      </c>
      <c r="AO39" s="100">
        <f t="array" ref="AO39">IFNA(LOOKUP(2,1/(ISNUMBER(AO36:AO56)),AO36:AO56)+(E39/(Resources!$P$55/7)),TODAY()+(E39/(Resources!$P$55/7)))</f>
        <v>174935.1568</v>
      </c>
      <c r="AP39" s="100">
        <f t="array" ref="AP39">IFNA(LOOKUP(2,1/(ISNUMBER(AP36:AP56)),AP36:AP56)+(F39/(Resources!$P$56/7)),TODAY()+(F39/(Resources!$P$56/7)))</f>
        <v>5964.49919</v>
      </c>
      <c r="AQ39" s="100">
        <f t="array" ref="AQ39">IF(ISNUMBER($AV39),IFNA(LOOKUP(2,1/(ISNUMBER(AQ36:AQ56)),AQ36:AQ56),TODAY()),IFNA(LOOKUP(2,1/(ISNUMBER(AQ36:AQ56)),AQ36:AQ56)+(E39/(Resources!$E$55/7)),TODAY()+(E39/(Resources!$E$55/7))))</f>
        <v>336586.4379</v>
      </c>
      <c r="AR39" s="100">
        <f t="array" ref="AR39">IF(ISNUMBER($AV39),IFNA(LOOKUP(2,1/(ISNUMBER(AR36:AR56)),AR36:AR56),TODAY()),IFNA(LOOKUP(2,1/(ISNUMBER(AR36:AR56)),AR36:AR56)+(F39/(Resources!$E$56/7)),TODAY()+(F39/(Resources!$E$56/7))))</f>
        <v>17891.3229</v>
      </c>
      <c r="AS39" s="100">
        <f t="shared" si="3"/>
        <v>336586.4379</v>
      </c>
      <c r="AT39" s="81">
        <f>0.39+0.28+0.34+0.7+2</f>
        <v>3.71</v>
      </c>
      <c r="AU39" s="82">
        <v>45666.0</v>
      </c>
      <c r="AV39" s="83"/>
    </row>
    <row r="40" ht="15.0" customHeight="1">
      <c r="A40" s="83" t="s">
        <v>97</v>
      </c>
      <c r="B40" s="92" t="s">
        <v>112</v>
      </c>
      <c r="C40" s="111" t="s">
        <v>116</v>
      </c>
      <c r="D40" s="93">
        <f>IF($A40="Feature",SUM(E40:F40)*'Roadmap setting'!$B$13,0)</f>
        <v>0.4</v>
      </c>
      <c r="E40" s="94">
        <v>2.0</v>
      </c>
      <c r="F40" s="94">
        <v>0.0</v>
      </c>
      <c r="G40" s="95">
        <f>IF($A40="Feature",IF('Roadmap setting'!$E$14,$F40*('Roadmap setting'!$B$14+'Roadmap setting'!$D$14),$F40*'Roadmap setting'!$B$14),0)</f>
        <v>0</v>
      </c>
      <c r="H40" s="93">
        <f>IF($A40="Feature",$E40*'Roadmap setting'!$B$15,0)</f>
        <v>0</v>
      </c>
      <c r="I40" s="95">
        <f>IF($A40="Feature",$F40*'Roadmap setting'!$B$16,0)</f>
        <v>0</v>
      </c>
      <c r="J40" s="93">
        <f>SUM($E40:$F40)*'Roadmap setting'!$B$17</f>
        <v>0.24</v>
      </c>
      <c r="K40" s="93">
        <f>SUM($E40:$F40)*'Roadmap setting'!$B$18</f>
        <v>0.02</v>
      </c>
      <c r="L40" s="93">
        <f>SUM($E40:$F40)*'Roadmap setting'!$B$19</f>
        <v>0</v>
      </c>
      <c r="M40" s="95">
        <f>SUM($E40:$F40)*'Roadmap setting'!$B$20</f>
        <v>0.04</v>
      </c>
      <c r="N40" s="79">
        <f t="shared" si="4"/>
        <v>2.7</v>
      </c>
      <c r="O40" s="96" t="b">
        <v>1</v>
      </c>
      <c r="P40" s="97"/>
      <c r="Q40" s="98"/>
      <c r="R40" s="97"/>
      <c r="S40" s="97"/>
      <c r="T40" s="97"/>
      <c r="U40" s="97"/>
      <c r="V40" s="99"/>
      <c r="W40" s="96" t="b">
        <v>0</v>
      </c>
      <c r="X40" s="97"/>
      <c r="Y40" s="98"/>
      <c r="Z40" s="97"/>
      <c r="AA40" s="97"/>
      <c r="AB40" s="97"/>
      <c r="AC40" s="97"/>
      <c r="AD40" s="99"/>
      <c r="AE40" s="96" t="b">
        <v>0</v>
      </c>
      <c r="AF40" s="97"/>
      <c r="AG40" s="98"/>
      <c r="AH40" s="97"/>
      <c r="AI40" s="97"/>
      <c r="AJ40" s="97"/>
      <c r="AK40" s="97"/>
      <c r="AL40" s="99"/>
      <c r="AM40" s="96" t="b">
        <v>0</v>
      </c>
      <c r="AN40" s="80">
        <f t="array" ref="AN40">INDEX(A40:AM40, MATCH(RIGHT('Roadmap setting'!$B$9, 3), $A$2:$AM$2, 0) - 1)
</f>
        <v>2.7</v>
      </c>
      <c r="AO40" s="100">
        <f t="array" ref="AO40">IFNA(LOOKUP(2,1/(ISNUMBER(AO38:AO47)),AO38:AO47)+(E40/(Resources!$P$55/7)),TODAY()+(E40/(Resources!$P$55/7)))</f>
        <v>174928.8161</v>
      </c>
      <c r="AP40" s="100">
        <f t="array" ref="AP40">IFNA(LOOKUP(2,1/(ISNUMBER(AP38:AP47)),AP38:AP47)+(F40/(Resources!$P$56/7)),TODAY()+(F40/(Resources!$P$56/7)))</f>
        <v>5962.854244</v>
      </c>
      <c r="AQ40" s="100">
        <f t="array" ref="AQ40">IF(ISNUMBER($AV40),IFNA(LOOKUP(2,1/(ISNUMBER(AQ38:AQ47)),AQ38:AQ47),TODAY()),IFNA(LOOKUP(2,1/(ISNUMBER(AQ38:AQ47)),AQ38:AQ47)+(E40/(Resources!$E$55/7)),TODAY()+(E40/(Resources!$E$55/7))))</f>
        <v>336573.4381</v>
      </c>
      <c r="AR40" s="100">
        <f t="array" ref="AR40">IF(ISNUMBER($AV40),IFNA(LOOKUP(2,1/(ISNUMBER(AR38:AR47)),AR38:AR47),TODAY()),IFNA(LOOKUP(2,1/(ISNUMBER(AR38:AR47)),AR38:AR47)+(F40/(Resources!$E$56/7)),TODAY()+(F40/(Resources!$E$56/7))))</f>
        <v>17888.56273</v>
      </c>
      <c r="AS40" s="100">
        <f t="shared" si="3"/>
        <v>336573.4381</v>
      </c>
      <c r="AT40" s="81">
        <f>0.39+0.28+0.34+0.7+0.53</f>
        <v>2.24</v>
      </c>
      <c r="AU40" s="82">
        <v>45666.0</v>
      </c>
      <c r="AV40" s="83"/>
    </row>
    <row r="41" ht="15.0" customHeight="1">
      <c r="A41" s="83" t="s">
        <v>97</v>
      </c>
      <c r="B41" s="92" t="s">
        <v>112</v>
      </c>
      <c r="C41" s="111" t="s">
        <v>117</v>
      </c>
      <c r="D41" s="93">
        <f>IF($A41="Feature",SUM(E41:F41)*'Roadmap setting'!$B$13,0)</f>
        <v>0.8</v>
      </c>
      <c r="E41" s="94">
        <v>4.0</v>
      </c>
      <c r="F41" s="94">
        <v>0.0</v>
      </c>
      <c r="G41" s="95">
        <f>IF($A41="Feature",IF('Roadmap setting'!$E$14,$F41*('Roadmap setting'!$B$14+'Roadmap setting'!$D$14),$F41*'Roadmap setting'!$B$14),0)</f>
        <v>0</v>
      </c>
      <c r="H41" s="93">
        <f>IF($A41="Feature",$E41*'Roadmap setting'!$B$15,0)</f>
        <v>0</v>
      </c>
      <c r="I41" s="95">
        <f>IF($A41="Feature",$F41*'Roadmap setting'!$B$16,0)</f>
        <v>0</v>
      </c>
      <c r="J41" s="93">
        <f>SUM($E41:$F41)*'Roadmap setting'!$B$17</f>
        <v>0.48</v>
      </c>
      <c r="K41" s="93">
        <f>SUM($E41:$F41)*'Roadmap setting'!$B$18</f>
        <v>0.04</v>
      </c>
      <c r="L41" s="93">
        <f>SUM($E41:$F41)*'Roadmap setting'!$B$19</f>
        <v>0</v>
      </c>
      <c r="M41" s="95">
        <f>SUM($E41:$F41)*'Roadmap setting'!$B$20</f>
        <v>0.08</v>
      </c>
      <c r="N41" s="79">
        <f t="shared" si="4"/>
        <v>5.4</v>
      </c>
      <c r="O41" s="96" t="b">
        <v>1</v>
      </c>
      <c r="P41" s="97"/>
      <c r="Q41" s="98"/>
      <c r="R41" s="97"/>
      <c r="S41" s="97"/>
      <c r="T41" s="97"/>
      <c r="U41" s="97"/>
      <c r="V41" s="99"/>
      <c r="W41" s="96" t="b">
        <v>0</v>
      </c>
      <c r="X41" s="97"/>
      <c r="Y41" s="98"/>
      <c r="Z41" s="97"/>
      <c r="AA41" s="97"/>
      <c r="AB41" s="97"/>
      <c r="AC41" s="97"/>
      <c r="AD41" s="99"/>
      <c r="AE41" s="96" t="b">
        <v>0</v>
      </c>
      <c r="AF41" s="97"/>
      <c r="AG41" s="98"/>
      <c r="AH41" s="97"/>
      <c r="AI41" s="97"/>
      <c r="AJ41" s="97"/>
      <c r="AK41" s="97"/>
      <c r="AL41" s="99"/>
      <c r="AM41" s="96" t="b">
        <v>0</v>
      </c>
      <c r="AN41" s="80">
        <f t="array" ref="AN41">INDEX(A41:AM41, MATCH(RIGHT('Roadmap setting'!$B$9, 3), $A$2:$AM$2, 0) - 1)
</f>
        <v>5.4</v>
      </c>
      <c r="AO41" s="100">
        <f t="array" ref="AO41">IFNA(LOOKUP(2,1/(ISNUMBER(AO37:AO46)),AO37:AO46)+(E41/(Resources!$P$55/7)),TODAY()+(E41/(Resources!$P$55/7)))</f>
        <v>174930.4803</v>
      </c>
      <c r="AP41" s="100">
        <f t="array" ref="AP41">IFNA(LOOKUP(2,1/(ISNUMBER(AP37:AP46)),AP37:AP46)+(F41/(Resources!$P$56/7)),TODAY()+(F41/(Resources!$P$56/7)))</f>
        <v>5962.854244</v>
      </c>
      <c r="AQ41" s="100">
        <f t="array" ref="AQ41">IF(ISNUMBER($AV41),IFNA(LOOKUP(2,1/(ISNUMBER(AQ37:AQ46)),AQ37:AQ46),TODAY()),IFNA(LOOKUP(2,1/(ISNUMBER(AQ37:AQ46)),AQ37:AQ46)+(E41/(Resources!$E$55/7)),TODAY()+(E41/(Resources!$E$55/7))))</f>
        <v>336576.4946</v>
      </c>
      <c r="AR41" s="100">
        <f t="array" ref="AR41">IF(ISNUMBER($AV41),IFNA(LOOKUP(2,1/(ISNUMBER(AR37:AR46)),AR37:AR46),TODAY()),IFNA(LOOKUP(2,1/(ISNUMBER(AR37:AR46)),AR37:AR46)+(F41/(Resources!$E$56/7)),TODAY()+(F41/(Resources!$E$56/7))))</f>
        <v>17888.56273</v>
      </c>
      <c r="AS41" s="100">
        <f t="shared" si="3"/>
        <v>336576.4946</v>
      </c>
      <c r="AT41" s="81">
        <f>0.39+0.28+0.34+0.7+3</f>
        <v>4.71</v>
      </c>
      <c r="AU41" s="82">
        <v>45666.0</v>
      </c>
      <c r="AV41" s="83"/>
    </row>
    <row r="42" ht="15.0" customHeight="1">
      <c r="A42" s="83" t="s">
        <v>77</v>
      </c>
      <c r="B42" s="92" t="s">
        <v>92</v>
      </c>
      <c r="C42" s="113" t="s">
        <v>118</v>
      </c>
      <c r="D42" s="93"/>
      <c r="E42" s="94">
        <v>1.0</v>
      </c>
      <c r="F42" s="94"/>
      <c r="G42" s="95"/>
      <c r="H42" s="93"/>
      <c r="I42" s="95"/>
      <c r="J42" s="93"/>
      <c r="K42" s="93"/>
      <c r="L42" s="93"/>
      <c r="M42" s="95"/>
      <c r="N42" s="79"/>
      <c r="O42" s="96" t="b">
        <v>1</v>
      </c>
      <c r="P42" s="97"/>
      <c r="Q42" s="98"/>
      <c r="R42" s="97"/>
      <c r="S42" s="97"/>
      <c r="T42" s="97"/>
      <c r="U42" s="97"/>
      <c r="V42" s="99"/>
      <c r="W42" s="96" t="b">
        <v>0</v>
      </c>
      <c r="X42" s="97"/>
      <c r="Y42" s="98"/>
      <c r="Z42" s="97"/>
      <c r="AA42" s="97"/>
      <c r="AB42" s="97"/>
      <c r="AC42" s="97"/>
      <c r="AD42" s="99"/>
      <c r="AE42" s="96" t="b">
        <v>0</v>
      </c>
      <c r="AF42" s="97"/>
      <c r="AG42" s="98"/>
      <c r="AH42" s="97"/>
      <c r="AI42" s="97"/>
      <c r="AJ42" s="97"/>
      <c r="AK42" s="97"/>
      <c r="AL42" s="99"/>
      <c r="AM42" s="96" t="b">
        <v>0</v>
      </c>
      <c r="AN42" s="114"/>
      <c r="AO42" s="100"/>
      <c r="AP42" s="100"/>
      <c r="AQ42" s="100"/>
      <c r="AR42" s="100"/>
      <c r="AS42" s="100"/>
      <c r="AT42" s="81">
        <f>1</f>
        <v>1</v>
      </c>
      <c r="AU42" s="82"/>
      <c r="AV42" s="83"/>
    </row>
    <row r="43" ht="15.0" customHeight="1">
      <c r="A43" s="84" t="s">
        <v>119</v>
      </c>
      <c r="C43" s="108"/>
      <c r="D43" s="84"/>
      <c r="E43" s="84"/>
      <c r="F43" s="84"/>
      <c r="G43" s="84"/>
      <c r="H43" s="84"/>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4"/>
      <c r="AT43" s="84"/>
      <c r="AU43" s="84"/>
      <c r="AV43" s="84"/>
    </row>
    <row r="44" ht="15.0" customHeight="1">
      <c r="A44" s="83" t="s">
        <v>77</v>
      </c>
      <c r="B44" s="92" t="s">
        <v>92</v>
      </c>
      <c r="C44" s="103" t="s">
        <v>120</v>
      </c>
      <c r="D44" s="93">
        <f>IF($A44="Feature",SUM(E44:F44)*'Roadmap setting'!$B$13,0)</f>
        <v>0</v>
      </c>
      <c r="E44" s="94"/>
      <c r="F44" s="94">
        <v>0.0</v>
      </c>
      <c r="G44" s="95">
        <f>IF($A44="Feature",IF('Roadmap setting'!$E$14,$F44*('Roadmap setting'!$B$14+'Roadmap setting'!$D$14),$F44*'Roadmap setting'!$B$14),0)</f>
        <v>0</v>
      </c>
      <c r="H44" s="93">
        <f>IF($A44="Feature",$E44*'Roadmap setting'!$B$15,0)</f>
        <v>0</v>
      </c>
      <c r="I44" s="95">
        <f>IF($A44="Feature",$F44*'Roadmap setting'!$B$16,0)</f>
        <v>0</v>
      </c>
      <c r="J44" s="93">
        <f>SUM($E44:$F44)*'Roadmap setting'!$B$17</f>
        <v>0</v>
      </c>
      <c r="K44" s="93">
        <f>SUM($E44:$F44)*'Roadmap setting'!$B$18</f>
        <v>0</v>
      </c>
      <c r="L44" s="93">
        <f>SUM($E44:$F44)*'Roadmap setting'!$B$19</f>
        <v>0</v>
      </c>
      <c r="M44" s="95">
        <f>SUM($E44:$F44)*'Roadmap setting'!$B$20</f>
        <v>0</v>
      </c>
      <c r="N44" s="79">
        <f t="shared" ref="N44:N59" si="9">SUM($D44:$G44)+SUM(H44:M44)</f>
        <v>0</v>
      </c>
      <c r="O44" s="96" t="b">
        <v>1</v>
      </c>
      <c r="P44" s="97"/>
      <c r="Q44" s="98"/>
      <c r="R44" s="97">
        <v>0.36</v>
      </c>
      <c r="S44" s="97"/>
      <c r="T44" s="97"/>
      <c r="U44" s="97">
        <v>0.48</v>
      </c>
      <c r="V44" s="99">
        <v>14.04</v>
      </c>
      <c r="W44" s="96" t="b">
        <v>0</v>
      </c>
      <c r="X44" s="97"/>
      <c r="Y44" s="98"/>
      <c r="Z44" s="97">
        <v>0.52</v>
      </c>
      <c r="AA44" s="97"/>
      <c r="AB44" s="97"/>
      <c r="AC44" s="97">
        <v>0.78</v>
      </c>
      <c r="AD44" s="99">
        <v>15.6</v>
      </c>
      <c r="AE44" s="96" t="b">
        <v>0</v>
      </c>
      <c r="AF44" s="97"/>
      <c r="AG44" s="98"/>
      <c r="AH44" s="97">
        <v>0.65</v>
      </c>
      <c r="AI44" s="97"/>
      <c r="AJ44" s="97"/>
      <c r="AK44" s="97">
        <v>1.04</v>
      </c>
      <c r="AL44" s="99">
        <v>15.99</v>
      </c>
      <c r="AM44" s="96" t="b">
        <v>0</v>
      </c>
      <c r="AN44" s="80">
        <f t="array" ref="AN44">INDEX(A44:AM44, MATCH(RIGHT('Roadmap setting'!$B$9, 3), $A$2:$AM$2, 0) - 1)
</f>
        <v>0</v>
      </c>
      <c r="AO44" s="100">
        <f t="array" ref="AO44">IFNA(LOOKUP(2,1/(ISNUMBER(AO8:AO12)),AO8:AO12)+(E44/(Resources!$P$55/7)),TODAY()+(E44/(Resources!$P$55/7)))</f>
        <v>45787.94073</v>
      </c>
      <c r="AP44" s="100">
        <f t="array" ref="AP44">IFNA(LOOKUP(2,1/(ISNUMBER(AP8:AP12)),AP8:AP12)+(F44/(Resources!$P$56/7)),TODAY()+(F44/(Resources!$P$56/7)))</f>
        <v>45785.22473</v>
      </c>
      <c r="AQ44" s="100">
        <f t="array" ref="AQ44">IF(ISNUMBER($AV44),IFNA(LOOKUP(2,1/(ISNUMBER(AQ8:AQ12)),AQ8:AQ12),TODAY()),IFNA(LOOKUP(2,1/(ISNUMBER(AQ8:AQ12)),AQ8:AQ12)+(E44/(Resources!$E$55/7)),TODAY()+(E44/(Resources!$E$55/7))))</f>
        <v>45799.431</v>
      </c>
      <c r="AR44" s="100">
        <f t="array" ref="AR44">IF(ISNUMBER($AV44),IFNA(LOOKUP(2,1/(ISNUMBER(AR8:AR12)),AR8:AR12),TODAY()),IFNA(LOOKUP(2,1/(ISNUMBER(AR8:AR12)),AR8:AR12)+(F44/(Resources!$E$56/7)),TODAY()+(F44/(Resources!$E$56/7))))</f>
        <v>45790.80082</v>
      </c>
      <c r="AS44" s="100">
        <f t="shared" ref="AS44:AS59" si="10">IFERROR(MAX(AQ44,AR44),"")</f>
        <v>45799.431</v>
      </c>
      <c r="AT44" s="81">
        <f>0.39+0.28+0.34+0.9</f>
        <v>1.91</v>
      </c>
      <c r="AU44" s="82">
        <v>45680.0</v>
      </c>
      <c r="AV44" s="83"/>
    </row>
    <row r="45" ht="15.0" customHeight="1">
      <c r="A45" s="83" t="s">
        <v>77</v>
      </c>
      <c r="B45" s="92" t="s">
        <v>92</v>
      </c>
      <c r="C45" s="113" t="s">
        <v>121</v>
      </c>
      <c r="D45" s="93">
        <f>IF($A45="Feature",SUM(E45:F45)*'Roadmap setting'!$B$13,0)</f>
        <v>0</v>
      </c>
      <c r="E45" s="94"/>
      <c r="F45" s="94">
        <v>0.0</v>
      </c>
      <c r="G45" s="95">
        <f>IF($A45="Feature",IF('Roadmap setting'!$E$14,$F45*('Roadmap setting'!$B$14+'Roadmap setting'!$D$14),$F45*'Roadmap setting'!$B$14),0)</f>
        <v>0</v>
      </c>
      <c r="H45" s="93">
        <f>IF($A45="Feature",$E45*'Roadmap setting'!$B$15,0)</f>
        <v>0</v>
      </c>
      <c r="I45" s="95">
        <f>IF($A45="Feature",$F45*'Roadmap setting'!$B$16,0)</f>
        <v>0</v>
      </c>
      <c r="J45" s="93">
        <f>SUM($E45:$F45)*'Roadmap setting'!$B$17</f>
        <v>0</v>
      </c>
      <c r="K45" s="93">
        <f>SUM($E45:$F45)*'Roadmap setting'!$B$18</f>
        <v>0</v>
      </c>
      <c r="L45" s="93">
        <f>SUM($E45:$F45)*'Roadmap setting'!$B$19</f>
        <v>0</v>
      </c>
      <c r="M45" s="95">
        <f>SUM($E45:$F45)*'Roadmap setting'!$B$20</f>
        <v>0</v>
      </c>
      <c r="N45" s="79">
        <f t="shared" si="9"/>
        <v>0</v>
      </c>
      <c r="O45" s="96" t="b">
        <v>1</v>
      </c>
      <c r="P45" s="97"/>
      <c r="Q45" s="98"/>
      <c r="R45" s="97">
        <v>0.36</v>
      </c>
      <c r="S45" s="97"/>
      <c r="T45" s="97"/>
      <c r="U45" s="97">
        <v>0.48</v>
      </c>
      <c r="V45" s="99">
        <v>14.04</v>
      </c>
      <c r="W45" s="96" t="b">
        <v>0</v>
      </c>
      <c r="X45" s="97"/>
      <c r="Y45" s="98"/>
      <c r="Z45" s="97">
        <v>0.52</v>
      </c>
      <c r="AA45" s="97"/>
      <c r="AB45" s="97"/>
      <c r="AC45" s="97">
        <v>0.78</v>
      </c>
      <c r="AD45" s="99">
        <v>15.6</v>
      </c>
      <c r="AE45" s="96" t="b">
        <v>0</v>
      </c>
      <c r="AF45" s="97"/>
      <c r="AG45" s="98"/>
      <c r="AH45" s="97">
        <v>0.65</v>
      </c>
      <c r="AI45" s="97"/>
      <c r="AJ45" s="97"/>
      <c r="AK45" s="97">
        <v>1.04</v>
      </c>
      <c r="AL45" s="99">
        <v>15.99</v>
      </c>
      <c r="AM45" s="96" t="b">
        <v>0</v>
      </c>
      <c r="AN45" s="80">
        <f t="array" ref="AN45">INDEX(A45:AM45, MATCH(RIGHT('Roadmap setting'!$B$9, 3), $A$2:$AM$2, 0) - 1)
</f>
        <v>0</v>
      </c>
      <c r="AO45" s="100">
        <f t="array" ref="AO45">IFNA(LOOKUP(2,1/(ISNUMBER(AO9:AO13)),AO9:AO13)+(E45/(Resources!$P$55/7)),TODAY()+(E45/(Resources!$P$55/7)))</f>
        <v>174930.2317</v>
      </c>
      <c r="AP45" s="100">
        <f t="array" ref="AP45">IFNA(LOOKUP(2,1/(ISNUMBER(AP9:AP13)),AP9:AP13)+(F45/(Resources!$P$56/7)),TODAY()+(F45/(Resources!$P$56/7)))</f>
        <v>5962.854244</v>
      </c>
      <c r="AQ45" s="100">
        <f t="array" ref="AQ45">IF(ISNUMBER($AV45),IFNA(LOOKUP(2,1/(ISNUMBER(AQ9:AQ13)),AQ9:AQ13),TODAY()),IFNA(LOOKUP(2,1/(ISNUMBER(AQ9:AQ13)),AQ9:AQ13)+(E45/(Resources!$E$55/7)),TODAY()+(E45/(Resources!$E$55/7))))</f>
        <v>336575.9848</v>
      </c>
      <c r="AR45" s="100">
        <f t="array" ref="AR45">IF(ISNUMBER($AV45),IFNA(LOOKUP(2,1/(ISNUMBER(AR9:AR13)),AR9:AR13),TODAY()),IFNA(LOOKUP(2,1/(ISNUMBER(AR9:AR13)),AR9:AR13)+(F45/(Resources!$E$56/7)),TODAY()+(F45/(Resources!$E$56/7))))</f>
        <v>17888.56273</v>
      </c>
      <c r="AS45" s="100">
        <f t="shared" si="10"/>
        <v>336575.9848</v>
      </c>
      <c r="AT45" s="81">
        <f>0.39+0.28+0.34+4.75+0.9</f>
        <v>6.66</v>
      </c>
      <c r="AU45" s="82">
        <v>45680.0</v>
      </c>
      <c r="AV45" s="83"/>
    </row>
    <row r="46" ht="15.0" customHeight="1">
      <c r="A46" s="83" t="s">
        <v>77</v>
      </c>
      <c r="B46" s="92" t="s">
        <v>92</v>
      </c>
      <c r="C46" s="111" t="s">
        <v>122</v>
      </c>
      <c r="D46" s="93">
        <f>IF($A46="Feature",SUM(E46:F46)*'Roadmap setting'!$B$13,0)</f>
        <v>0</v>
      </c>
      <c r="E46" s="94">
        <v>12.0</v>
      </c>
      <c r="F46" s="94">
        <v>0.0</v>
      </c>
      <c r="G46" s="95">
        <f>IF($A46="Feature",IF('Roadmap setting'!$E$14,$F46*('Roadmap setting'!$B$14+'Roadmap setting'!$D$14),$F46*'Roadmap setting'!$B$14),0)</f>
        <v>0</v>
      </c>
      <c r="H46" s="93">
        <f>IF($A46="Feature",$E46*'Roadmap setting'!$B$15,0)</f>
        <v>0</v>
      </c>
      <c r="I46" s="95">
        <f>IF($A46="Feature",$F46*'Roadmap setting'!$B$16,0)</f>
        <v>0</v>
      </c>
      <c r="J46" s="93">
        <f>SUM($E46:$F46)*'Roadmap setting'!$B$17</f>
        <v>1.44</v>
      </c>
      <c r="K46" s="93">
        <f>SUM($E46:$F46)*'Roadmap setting'!$B$18</f>
        <v>0.12</v>
      </c>
      <c r="L46" s="93">
        <f>SUM($E46:$F46)*'Roadmap setting'!$B$19</f>
        <v>0</v>
      </c>
      <c r="M46" s="95">
        <f>SUM($E46:$F46)*'Roadmap setting'!$B$20</f>
        <v>0.24</v>
      </c>
      <c r="N46" s="79">
        <f t="shared" si="9"/>
        <v>13.8</v>
      </c>
      <c r="O46" s="96" t="b">
        <v>1</v>
      </c>
      <c r="P46" s="97"/>
      <c r="Q46" s="98"/>
      <c r="R46" s="97"/>
      <c r="S46" s="97"/>
      <c r="T46" s="97"/>
      <c r="U46" s="97"/>
      <c r="V46" s="99"/>
      <c r="W46" s="96" t="b">
        <v>0</v>
      </c>
      <c r="X46" s="97"/>
      <c r="Y46" s="98"/>
      <c r="Z46" s="97"/>
      <c r="AA46" s="97"/>
      <c r="AB46" s="97"/>
      <c r="AC46" s="97"/>
      <c r="AD46" s="99"/>
      <c r="AE46" s="96" t="b">
        <v>0</v>
      </c>
      <c r="AF46" s="97"/>
      <c r="AG46" s="98"/>
      <c r="AH46" s="97"/>
      <c r="AI46" s="97"/>
      <c r="AJ46" s="97"/>
      <c r="AK46" s="97"/>
      <c r="AL46" s="99"/>
      <c r="AM46" s="96" t="b">
        <v>0</v>
      </c>
      <c r="AN46" s="80">
        <f t="array" ref="AN46">INDEX(A46:AM46, MATCH(RIGHT('Roadmap setting'!$B$9, 3), $A$2:$AM$2, 0) - 1)
</f>
        <v>13.8</v>
      </c>
      <c r="AO46" s="100">
        <f t="array" ref="AO46">IFNA(LOOKUP(2,1/(ISNUMBER(AO31:AO55)),AO31:AO55)+(E46/(Resources!$P$55/7)),TODAY()+(E46/(Resources!$P$55/7)))</f>
        <v>174932.1729</v>
      </c>
      <c r="AP46" s="100">
        <f t="array" ref="AP46">IFNA(LOOKUP(2,1/(ISNUMBER(AP31:AP55)),AP31:AP55)+(F46/(Resources!$P$56/7)),TODAY()+(F46/(Resources!$P$56/7)))</f>
        <v>5962.854244</v>
      </c>
      <c r="AQ46" s="100">
        <f t="array" ref="AQ46">IF(ISNUMBER($AV46),IFNA(LOOKUP(2,1/(ISNUMBER(AQ31:AQ55)),AQ31:AQ55),TODAY()),IFNA(LOOKUP(2,1/(ISNUMBER(AQ31:AQ55)),AQ31:AQ55)+(E46/(Resources!$E$55/7)),TODAY()+(E46/(Resources!$E$55/7))))</f>
        <v>336580.3203</v>
      </c>
      <c r="AR46" s="100">
        <f t="array" ref="AR46">IF(ISNUMBER($AV46),IFNA(LOOKUP(2,1/(ISNUMBER(AR31:AR55)),AR31:AR55),TODAY()),IFNA(LOOKUP(2,1/(ISNUMBER(AR31:AR55)),AR31:AR55)+(F46/(Resources!$E$56/7)),TODAY()+(F46/(Resources!$E$56/7))))</f>
        <v>17888.56273</v>
      </c>
      <c r="AS46" s="100">
        <f t="shared" si="10"/>
        <v>336580.3203</v>
      </c>
      <c r="AT46" s="81">
        <f>0.39+0.28+0.34+0.7+3.33+0.9</f>
        <v>5.94</v>
      </c>
      <c r="AU46" s="82">
        <v>45680.0</v>
      </c>
      <c r="AV46" s="83"/>
    </row>
    <row r="47" ht="15.0" customHeight="1">
      <c r="A47" s="83" t="s">
        <v>97</v>
      </c>
      <c r="B47" s="92" t="s">
        <v>92</v>
      </c>
      <c r="C47" s="113" t="s">
        <v>123</v>
      </c>
      <c r="D47" s="93">
        <f>IF($A47="Feature",SUM(E47:F47)*'Roadmap setting'!$B$13,0)</f>
        <v>1</v>
      </c>
      <c r="E47" s="94">
        <v>5.0</v>
      </c>
      <c r="F47" s="94">
        <v>0.0</v>
      </c>
      <c r="G47" s="95">
        <f>IF($A47="Feature",IF('Roadmap setting'!$E$14,$F47*('Roadmap setting'!$B$14+'Roadmap setting'!$D$14),$F47*'Roadmap setting'!$B$14),0)</f>
        <v>0</v>
      </c>
      <c r="H47" s="93">
        <f>IF($A47="Feature",$E47*'Roadmap setting'!$B$15,0)</f>
        <v>0</v>
      </c>
      <c r="I47" s="95">
        <f>IF($A47="Feature",$F47*'Roadmap setting'!$B$16,0)</f>
        <v>0</v>
      </c>
      <c r="J47" s="93">
        <f>SUM($E47:$F47)*'Roadmap setting'!$B$17</f>
        <v>0.6</v>
      </c>
      <c r="K47" s="93">
        <f>SUM($E47:$F47)*'Roadmap setting'!$B$18</f>
        <v>0.05</v>
      </c>
      <c r="L47" s="93">
        <f>SUM($E47:$F47)*'Roadmap setting'!$B$19</f>
        <v>0</v>
      </c>
      <c r="M47" s="95">
        <f>SUM($E47:$F47)*'Roadmap setting'!$B$20</f>
        <v>0.1</v>
      </c>
      <c r="N47" s="79">
        <f t="shared" si="9"/>
        <v>6.75</v>
      </c>
      <c r="O47" s="96" t="b">
        <v>1</v>
      </c>
      <c r="P47" s="97"/>
      <c r="Q47" s="98"/>
      <c r="R47" s="97"/>
      <c r="S47" s="97"/>
      <c r="T47" s="97"/>
      <c r="U47" s="97"/>
      <c r="V47" s="99"/>
      <c r="W47" s="96" t="b">
        <v>0</v>
      </c>
      <c r="X47" s="97"/>
      <c r="Y47" s="98"/>
      <c r="Z47" s="97"/>
      <c r="AA47" s="97"/>
      <c r="AB47" s="97"/>
      <c r="AC47" s="97"/>
      <c r="AD47" s="99"/>
      <c r="AE47" s="96" t="b">
        <v>0</v>
      </c>
      <c r="AF47" s="97"/>
      <c r="AG47" s="98"/>
      <c r="AH47" s="97"/>
      <c r="AI47" s="97"/>
      <c r="AJ47" s="97"/>
      <c r="AK47" s="97"/>
      <c r="AL47" s="99"/>
      <c r="AM47" s="96" t="b">
        <v>0</v>
      </c>
      <c r="AN47" s="80">
        <f t="array" ref="AN47">INDEX(A47:AM47, MATCH(RIGHT('Roadmap setting'!$B$9, 3), $A$2:$AM$2, 0) - 1)
</f>
        <v>6.75</v>
      </c>
      <c r="AO47" s="100">
        <f t="array" ref="AO47">IFNA(LOOKUP(2,1/(ISNUMBER(AO32:AO53)),AO32:AO53)+(E47/(Resources!$P$55/7)),TODAY()+(E47/(Resources!$P$55/7)))</f>
        <v>174929.8587</v>
      </c>
      <c r="AP47" s="100">
        <f t="array" ref="AP47">IFNA(LOOKUP(2,1/(ISNUMBER(AP32:AP53)),AP32:AP53)+(F47/(Resources!$P$56/7)),TODAY()+(F47/(Resources!$P$56/7)))</f>
        <v>5962.854244</v>
      </c>
      <c r="AQ47" s="100">
        <f t="array" ref="AQ47">IF(ISNUMBER($AV47),IFNA(LOOKUP(2,1/(ISNUMBER(AQ32:AQ53)),AQ32:AQ53),TODAY()),IFNA(LOOKUP(2,1/(ISNUMBER(AQ32:AQ53)),AQ32:AQ53)+(E47/(Resources!$E$55/7)),TODAY()+(E47/(Resources!$E$55/7))))</f>
        <v>336575.2201</v>
      </c>
      <c r="AR47" s="100">
        <f t="array" ref="AR47">IF(ISNUMBER($AV47),IFNA(LOOKUP(2,1/(ISNUMBER(AR32:AR53)),AR32:AR53),TODAY()),IFNA(LOOKUP(2,1/(ISNUMBER(AR32:AR53)),AR32:AR53)+(F47/(Resources!$E$56/7)),TODAY()+(F47/(Resources!$E$56/7))))</f>
        <v>17888.56273</v>
      </c>
      <c r="AS47" s="100">
        <f t="shared" si="10"/>
        <v>336575.2201</v>
      </c>
      <c r="AT47" s="81">
        <f>0.39+0.28+0.34+0.7+0.9</f>
        <v>2.61</v>
      </c>
      <c r="AU47" s="82">
        <v>45680.0</v>
      </c>
      <c r="AV47" s="83"/>
    </row>
    <row r="48" ht="15.0" customHeight="1">
      <c r="A48" s="83" t="s">
        <v>97</v>
      </c>
      <c r="B48" s="92" t="s">
        <v>92</v>
      </c>
      <c r="C48" s="111" t="s">
        <v>124</v>
      </c>
      <c r="D48" s="93">
        <f>IF($A48="Feature",SUM(E48:F48)*'Roadmap setting'!$B$13,0)</f>
        <v>0.4</v>
      </c>
      <c r="E48" s="94">
        <v>2.0</v>
      </c>
      <c r="F48" s="94">
        <v>0.0</v>
      </c>
      <c r="G48" s="95">
        <f>IF($A48="Feature",IF('Roadmap setting'!$E$14,$F48*('Roadmap setting'!$B$14+'Roadmap setting'!$D$14),$F48*'Roadmap setting'!$B$14),0)</f>
        <v>0</v>
      </c>
      <c r="H48" s="93">
        <f>IF($A48="Feature",$E48*'Roadmap setting'!$B$15,0)</f>
        <v>0</v>
      </c>
      <c r="I48" s="95">
        <f>IF($A48="Feature",$F48*'Roadmap setting'!$B$16,0)</f>
        <v>0</v>
      </c>
      <c r="J48" s="93">
        <f>SUM($E48:$F48)*'Roadmap setting'!$B$17</f>
        <v>0.24</v>
      </c>
      <c r="K48" s="93">
        <f>SUM($E48:$F48)*'Roadmap setting'!$B$18</f>
        <v>0.02</v>
      </c>
      <c r="L48" s="93">
        <f>SUM($E48:$F48)*'Roadmap setting'!$B$19</f>
        <v>0</v>
      </c>
      <c r="M48" s="95">
        <f>SUM($E48:$F48)*'Roadmap setting'!$B$20</f>
        <v>0.04</v>
      </c>
      <c r="N48" s="79">
        <f t="shared" si="9"/>
        <v>2.7</v>
      </c>
      <c r="O48" s="96" t="b">
        <v>1</v>
      </c>
      <c r="P48" s="97"/>
      <c r="Q48" s="98"/>
      <c r="R48" s="97"/>
      <c r="S48" s="97"/>
      <c r="T48" s="97"/>
      <c r="U48" s="97"/>
      <c r="V48" s="99"/>
      <c r="W48" s="96" t="b">
        <v>0</v>
      </c>
      <c r="X48" s="97"/>
      <c r="Y48" s="98"/>
      <c r="Z48" s="97"/>
      <c r="AA48" s="97"/>
      <c r="AB48" s="97"/>
      <c r="AC48" s="97"/>
      <c r="AD48" s="99"/>
      <c r="AE48" s="96" t="b">
        <v>0</v>
      </c>
      <c r="AF48" s="97"/>
      <c r="AG48" s="98"/>
      <c r="AH48" s="97"/>
      <c r="AI48" s="97"/>
      <c r="AJ48" s="97"/>
      <c r="AK48" s="97"/>
      <c r="AL48" s="99"/>
      <c r="AM48" s="96" t="b">
        <v>0</v>
      </c>
      <c r="AN48" s="80">
        <f t="array" ref="AN48">INDEX(A48:AM48, MATCH(RIGHT('Roadmap setting'!$B$9, 3), $A$2:$AM$2, 0) - 1)
</f>
        <v>2.7</v>
      </c>
      <c r="AO48" s="100">
        <f t="array" ref="AO48">IFNA(LOOKUP(2,1/(ISNUMBER(AO50)),AO50)+(E48/(Resources!$P$55/7)),TODAY()+(E48/(Resources!$P$55/7)))</f>
        <v>174928.3188</v>
      </c>
      <c r="AP48" s="100">
        <f t="array" ref="AP48">IFNA(LOOKUP(2,1/(ISNUMBER(AP50)),AP50)+(F48/(Resources!$P$56/7)),TODAY()+(F48/(Resources!$P$56/7)))</f>
        <v>5962.854244</v>
      </c>
      <c r="AQ48" s="100">
        <f t="array" ref="AQ48">IF(ISNUMBER($AV48),IFNA(LOOKUP(2,1/(ISNUMBER(AQ50)),AQ50),TODAY()),IFNA(LOOKUP(2,1/(ISNUMBER(AQ50)),AQ50)+(E48/(Resources!$E$55/7)),TODAY()+(E48/(Resources!$E$55/7))))</f>
        <v>336572.4185</v>
      </c>
      <c r="AR48" s="100">
        <f t="array" ref="AR48">IF(ISNUMBER($AV48),IFNA(LOOKUP(2,1/(ISNUMBER(AR50)),AR50),TODAY()),IFNA(LOOKUP(2,1/(ISNUMBER(AR50)),AR50)+(F48/(Resources!$E$56/7)),TODAY()+(F48/(Resources!$E$56/7))))</f>
        <v>17888.56273</v>
      </c>
      <c r="AS48" s="100">
        <f t="shared" si="10"/>
        <v>336572.4185</v>
      </c>
      <c r="AT48" s="81">
        <f>0.39+0.28+0.34+0.7+0.52+0.9</f>
        <v>3.13</v>
      </c>
      <c r="AU48" s="82">
        <v>45666.0</v>
      </c>
      <c r="AV48" s="83"/>
    </row>
    <row r="49" ht="15.0" customHeight="1">
      <c r="A49" s="83" t="s">
        <v>97</v>
      </c>
      <c r="B49" s="92" t="s">
        <v>100</v>
      </c>
      <c r="C49" s="111" t="s">
        <v>125</v>
      </c>
      <c r="D49" s="93">
        <f>IF($A49="Feature",SUM(E49:F49)*'Roadmap setting'!$B$13,0)</f>
        <v>0.2</v>
      </c>
      <c r="E49" s="94">
        <v>1.0</v>
      </c>
      <c r="F49" s="94">
        <v>0.0</v>
      </c>
      <c r="G49" s="95">
        <f>IF($A49="Feature",IF('Roadmap setting'!$E$14,$F49*('Roadmap setting'!$B$14+'Roadmap setting'!$D$14),$F49*'Roadmap setting'!$B$14),0)</f>
        <v>0</v>
      </c>
      <c r="H49" s="93">
        <f>IF($A49="Feature",$E49*'Roadmap setting'!$B$15,0)</f>
        <v>0</v>
      </c>
      <c r="I49" s="95">
        <f>IF($A49="Feature",$F49*'Roadmap setting'!$B$16,0)</f>
        <v>0</v>
      </c>
      <c r="J49" s="93">
        <f>SUM($E49:$F49)*'Roadmap setting'!$B$17</f>
        <v>0.12</v>
      </c>
      <c r="K49" s="93">
        <f>SUM($E49:$F49)*'Roadmap setting'!$B$18</f>
        <v>0.01</v>
      </c>
      <c r="L49" s="93">
        <f>SUM($E49:$F49)*'Roadmap setting'!$B$19</f>
        <v>0</v>
      </c>
      <c r="M49" s="95">
        <f>SUM($E49:$F49)*'Roadmap setting'!$B$20</f>
        <v>0.02</v>
      </c>
      <c r="N49" s="79">
        <f t="shared" si="9"/>
        <v>1.35</v>
      </c>
      <c r="O49" s="96" t="b">
        <v>1</v>
      </c>
      <c r="P49" s="97"/>
      <c r="Q49" s="98"/>
      <c r="R49" s="97"/>
      <c r="S49" s="97"/>
      <c r="T49" s="97"/>
      <c r="U49" s="97"/>
      <c r="V49" s="99"/>
      <c r="W49" s="96" t="b">
        <v>0</v>
      </c>
      <c r="X49" s="97"/>
      <c r="Y49" s="98"/>
      <c r="Z49" s="97"/>
      <c r="AA49" s="97"/>
      <c r="AB49" s="97"/>
      <c r="AC49" s="97"/>
      <c r="AD49" s="99"/>
      <c r="AE49" s="96" t="b">
        <v>0</v>
      </c>
      <c r="AF49" s="97"/>
      <c r="AG49" s="98"/>
      <c r="AH49" s="97"/>
      <c r="AI49" s="97"/>
      <c r="AJ49" s="97"/>
      <c r="AK49" s="97"/>
      <c r="AL49" s="99"/>
      <c r="AM49" s="96" t="b">
        <v>0</v>
      </c>
      <c r="AN49" s="80">
        <f t="array" ref="AN49">INDEX(A49:AM49, MATCH(RIGHT('Roadmap setting'!$B$9, 3), $A$2:$AM$2, 0) - 1)
</f>
        <v>1.35</v>
      </c>
      <c r="AO49" s="100">
        <f t="array" ref="AO49">IFNA(LOOKUP(2,1/(ISNUMBER(AO32:AO51)),AO32:AO51)+(E49/(Resources!$P$55/7)),TODAY()+(E49/(Resources!$P$55/7)))</f>
        <v>174928.8161</v>
      </c>
      <c r="AP49" s="100">
        <f t="array" ref="AP49">IFNA(LOOKUP(2,1/(ISNUMBER(AP32:AP51)),AP32:AP51)+(F49/(Resources!$P$56/7)),TODAY()+(F49/(Resources!$P$56/7)))</f>
        <v>5962.854244</v>
      </c>
      <c r="AQ49" s="100">
        <f t="array" ref="AQ49">IF(ISNUMBER($AV49),IFNA(LOOKUP(2,1/(ISNUMBER(AQ32:AQ51)),AQ32:AQ51),TODAY()),IFNA(LOOKUP(2,1/(ISNUMBER(AQ32:AQ51)),AQ32:AQ51)+(E49/(Resources!$E$55/7)),TODAY()+(E49/(Resources!$E$55/7))))</f>
        <v>336573.4381</v>
      </c>
      <c r="AR49" s="100">
        <f t="array" ref="AR49">IF(ISNUMBER($AV49),IFNA(LOOKUP(2,1/(ISNUMBER(AR32:AR51)),AR32:AR51),TODAY()),IFNA(LOOKUP(2,1/(ISNUMBER(AR32:AR51)),AR32:AR51)+(F49/(Resources!$E$56/7)),TODAY()+(F49/(Resources!$E$56/7))))</f>
        <v>17888.56273</v>
      </c>
      <c r="AS49" s="100">
        <f t="shared" si="10"/>
        <v>336573.4381</v>
      </c>
      <c r="AT49" s="81">
        <f>0.39+0.28+0.34+0.7+0.9</f>
        <v>2.61</v>
      </c>
      <c r="AU49" s="82">
        <v>45666.0</v>
      </c>
      <c r="AV49" s="83"/>
    </row>
    <row r="50" ht="15.0" customHeight="1">
      <c r="A50" s="83" t="s">
        <v>97</v>
      </c>
      <c r="B50" s="92" t="s">
        <v>92</v>
      </c>
      <c r="C50" s="111" t="s">
        <v>126</v>
      </c>
      <c r="D50" s="93">
        <f>IF($A50="Feature",SUM(E50:F50)*'Roadmap setting'!$B$13,0)</f>
        <v>0.4</v>
      </c>
      <c r="E50" s="94">
        <v>2.0</v>
      </c>
      <c r="F50" s="94">
        <v>0.0</v>
      </c>
      <c r="G50" s="95">
        <f>IF($A50="Feature",IF('Roadmap setting'!$E$14,$F50*('Roadmap setting'!$B$14+'Roadmap setting'!$D$14),$F50*'Roadmap setting'!$B$14),0)</f>
        <v>0</v>
      </c>
      <c r="H50" s="93">
        <f>IF($A50="Feature",$E50*'Roadmap setting'!$B$15,0)</f>
        <v>0</v>
      </c>
      <c r="I50" s="95">
        <f>IF($A50="Feature",$F50*'Roadmap setting'!$B$16,0)</f>
        <v>0</v>
      </c>
      <c r="J50" s="93">
        <f>SUM($E50:$F50)*'Roadmap setting'!$B$17</f>
        <v>0.24</v>
      </c>
      <c r="K50" s="93">
        <f>SUM($E50:$F50)*'Roadmap setting'!$B$18</f>
        <v>0.02</v>
      </c>
      <c r="L50" s="93">
        <f>SUM($E50:$F50)*'Roadmap setting'!$B$19</f>
        <v>0</v>
      </c>
      <c r="M50" s="95">
        <f>SUM($E50:$F50)*'Roadmap setting'!$B$20</f>
        <v>0.04</v>
      </c>
      <c r="N50" s="79">
        <f t="shared" si="9"/>
        <v>2.7</v>
      </c>
      <c r="O50" s="96" t="b">
        <v>1</v>
      </c>
      <c r="P50" s="97"/>
      <c r="Q50" s="98"/>
      <c r="R50" s="97"/>
      <c r="S50" s="97"/>
      <c r="T50" s="97"/>
      <c r="U50" s="97"/>
      <c r="V50" s="99"/>
      <c r="W50" s="96" t="b">
        <v>0</v>
      </c>
      <c r="X50" s="97"/>
      <c r="Y50" s="98"/>
      <c r="Z50" s="97"/>
      <c r="AA50" s="97"/>
      <c r="AB50" s="97"/>
      <c r="AC50" s="97"/>
      <c r="AD50" s="99"/>
      <c r="AE50" s="96" t="b">
        <v>0</v>
      </c>
      <c r="AF50" s="97"/>
      <c r="AG50" s="98"/>
      <c r="AH50" s="97"/>
      <c r="AI50" s="97"/>
      <c r="AJ50" s="97"/>
      <c r="AK50" s="97"/>
      <c r="AL50" s="99"/>
      <c r="AM50" s="96" t="b">
        <v>0</v>
      </c>
      <c r="AN50" s="80">
        <f t="array" ref="AN50">INDEX(A50:AM50, MATCH(RIGHT('Roadmap setting'!$B$9, 3), $A$2:$AM$2, 0) - 1)
</f>
        <v>2.7</v>
      </c>
      <c r="AO50" s="100">
        <f t="array" ref="AO50">IFNA(LOOKUP(2,1/(ISNUMBER(AO32:AO52)),AO32:AO52)+(E50/(Resources!$P$55/7)),TODAY()+(E50/(Resources!$P$55/7)))</f>
        <v>174929.3614</v>
      </c>
      <c r="AP50" s="100">
        <f t="array" ref="AP50">IFNA(LOOKUP(2,1/(ISNUMBER(AP32:AP52)),AP32:AP52)+(F50/(Resources!$P$56/7)),TODAY()+(F50/(Resources!$P$56/7)))</f>
        <v>5962.854244</v>
      </c>
      <c r="AQ50" s="100">
        <f t="array" ref="AQ50">IF(ISNUMBER($AV50),IFNA(LOOKUP(2,1/(ISNUMBER(AQ32:AQ52)),AQ32:AQ52),TODAY()),IFNA(LOOKUP(2,1/(ISNUMBER(AQ32:AQ52)),AQ32:AQ52)+(E50/(Resources!$E$55/7)),TODAY()+(E50/(Resources!$E$55/7))))</f>
        <v>336574.2005</v>
      </c>
      <c r="AR50" s="100">
        <f t="array" ref="AR50">IF(ISNUMBER($AV50),IFNA(LOOKUP(2,1/(ISNUMBER(AR32:AR52)),AR32:AR52),TODAY()),IFNA(LOOKUP(2,1/(ISNUMBER(AR32:AR52)),AR32:AR52)+(F50/(Resources!$E$56/7)),TODAY()+(F50/(Resources!$E$56/7))))</f>
        <v>17888.56273</v>
      </c>
      <c r="AS50" s="100">
        <f t="shared" si="10"/>
        <v>336574.2005</v>
      </c>
      <c r="AT50" s="81">
        <f>0.39+0.28+0.34+0.7+2.91+0.9</f>
        <v>5.52</v>
      </c>
      <c r="AU50" s="82">
        <v>45666.0</v>
      </c>
      <c r="AV50" s="83"/>
    </row>
    <row r="51" ht="15.0" customHeight="1">
      <c r="A51" s="83" t="s">
        <v>97</v>
      </c>
      <c r="B51" s="92" t="s">
        <v>112</v>
      </c>
      <c r="C51" s="111" t="s">
        <v>127</v>
      </c>
      <c r="D51" s="93">
        <f>IF($A51="Feature",SUM(E51:F51)*'Roadmap setting'!$B$13,0)</f>
        <v>0.2</v>
      </c>
      <c r="E51" s="94">
        <v>1.0</v>
      </c>
      <c r="F51" s="94">
        <v>0.0</v>
      </c>
      <c r="G51" s="95">
        <f>IF($A51="Feature",IF('Roadmap setting'!$E$14,$F51*('Roadmap setting'!$B$14+'Roadmap setting'!$D$14),$F51*'Roadmap setting'!$B$14),0)</f>
        <v>0</v>
      </c>
      <c r="H51" s="93">
        <f>IF($A51="Feature",$E51*'Roadmap setting'!$B$15,0)</f>
        <v>0</v>
      </c>
      <c r="I51" s="95">
        <f>IF($A51="Feature",$F51*'Roadmap setting'!$B$16,0)</f>
        <v>0</v>
      </c>
      <c r="J51" s="93">
        <f>SUM($E51:$F51)*'Roadmap setting'!$B$17</f>
        <v>0.12</v>
      </c>
      <c r="K51" s="93">
        <f>SUM($E51:$F51)*'Roadmap setting'!$B$18</f>
        <v>0.01</v>
      </c>
      <c r="L51" s="93">
        <f>SUM($E51:$F51)*'Roadmap setting'!$B$19</f>
        <v>0</v>
      </c>
      <c r="M51" s="95">
        <f>SUM($E51:$F51)*'Roadmap setting'!$B$20</f>
        <v>0.02</v>
      </c>
      <c r="N51" s="79">
        <f t="shared" si="9"/>
        <v>1.35</v>
      </c>
      <c r="O51" s="96" t="b">
        <v>1</v>
      </c>
      <c r="P51" s="97"/>
      <c r="Q51" s="98"/>
      <c r="R51" s="97"/>
      <c r="S51" s="97"/>
      <c r="T51" s="97"/>
      <c r="U51" s="97"/>
      <c r="V51" s="99"/>
      <c r="W51" s="96" t="b">
        <v>0</v>
      </c>
      <c r="X51" s="97"/>
      <c r="Y51" s="98"/>
      <c r="Z51" s="97"/>
      <c r="AA51" s="97"/>
      <c r="AB51" s="97"/>
      <c r="AC51" s="97"/>
      <c r="AD51" s="99"/>
      <c r="AE51" s="96" t="b">
        <v>0</v>
      </c>
      <c r="AF51" s="97"/>
      <c r="AG51" s="98"/>
      <c r="AH51" s="97"/>
      <c r="AI51" s="97"/>
      <c r="AJ51" s="97"/>
      <c r="AK51" s="97"/>
      <c r="AL51" s="99"/>
      <c r="AM51" s="96" t="b">
        <v>0</v>
      </c>
      <c r="AN51" s="80">
        <f t="array" ref="AN51">INDEX(A51:AM51, MATCH(RIGHT('Roadmap setting'!$B$9, 3), $A$2:$AM$2, 0) - 1)
</f>
        <v>1.35</v>
      </c>
      <c r="AO51" s="100">
        <f t="array" ref="AO51">IFNA(LOOKUP(2,1/(ISNUMBER(AO41:AO47)),AO41:AO47)+(E51/(Resources!$P$55/7)),TODAY()+(E51/(Resources!$P$55/7)))</f>
        <v>174929.983</v>
      </c>
      <c r="AP51" s="100">
        <f t="array" ref="AP51">IFNA(LOOKUP(2,1/(ISNUMBER(AP41:AP47)),AP41:AP47)+(F51/(Resources!$P$56/7)),TODAY()+(F51/(Resources!$P$56/7)))</f>
        <v>5962.854244</v>
      </c>
      <c r="AQ51" s="100">
        <f t="array" ref="AQ51">IF(ISNUMBER($AV51),IFNA(LOOKUP(2,1/(ISNUMBER(AQ41:AQ47)),AQ41:AQ47),TODAY()),IFNA(LOOKUP(2,1/(ISNUMBER(AQ41:AQ47)),AQ41:AQ47)+(E51/(Resources!$E$55/7)),TODAY()+(E51/(Resources!$E$55/7))))</f>
        <v>336575.475</v>
      </c>
      <c r="AR51" s="100">
        <f t="array" ref="AR51">IF(ISNUMBER($AV51),IFNA(LOOKUP(2,1/(ISNUMBER(AR41:AR47)),AR41:AR47),TODAY()),IFNA(LOOKUP(2,1/(ISNUMBER(AR41:AR47)),AR41:AR47)+(F51/(Resources!$E$56/7)),TODAY()+(F51/(Resources!$E$56/7))))</f>
        <v>17888.56273</v>
      </c>
      <c r="AS51" s="100">
        <f t="shared" si="10"/>
        <v>336575.475</v>
      </c>
      <c r="AT51" s="81">
        <f t="shared" ref="AT51:AT53" si="11">0.39+0.28+0.34+0.7+0.9</f>
        <v>2.61</v>
      </c>
      <c r="AU51" s="102">
        <v>45680.0</v>
      </c>
      <c r="AV51" s="83"/>
    </row>
    <row r="52" ht="15.0" customHeight="1">
      <c r="A52" s="83" t="s">
        <v>97</v>
      </c>
      <c r="B52" s="92" t="s">
        <v>100</v>
      </c>
      <c r="C52" s="113" t="s">
        <v>128</v>
      </c>
      <c r="D52" s="93">
        <f>IF($A52="Feature",SUM(E52:F52)*'Roadmap setting'!$B$13,0)</f>
        <v>1</v>
      </c>
      <c r="E52" s="94">
        <v>5.0</v>
      </c>
      <c r="F52" s="94">
        <v>0.0</v>
      </c>
      <c r="G52" s="95">
        <f>IF($A52="Feature",IF('Roadmap setting'!$E$14,$F52*('Roadmap setting'!$B$14+'Roadmap setting'!$D$14),$F52*'Roadmap setting'!$B$14),0)</f>
        <v>0</v>
      </c>
      <c r="H52" s="93">
        <f>IF($A52="Feature",$E52*'Roadmap setting'!$B$15,0)</f>
        <v>0</v>
      </c>
      <c r="I52" s="95">
        <f>IF($A52="Feature",$F52*'Roadmap setting'!$B$16,0)</f>
        <v>0</v>
      </c>
      <c r="J52" s="93">
        <f>SUM($E52:$F52)*'Roadmap setting'!$B$17</f>
        <v>0.6</v>
      </c>
      <c r="K52" s="93">
        <f>SUM($E52:$F52)*'Roadmap setting'!$B$18</f>
        <v>0.05</v>
      </c>
      <c r="L52" s="93">
        <f>SUM($E52:$F52)*'Roadmap setting'!$B$19</f>
        <v>0</v>
      </c>
      <c r="M52" s="95">
        <f>SUM($E52:$F52)*'Roadmap setting'!$B$20</f>
        <v>0.1</v>
      </c>
      <c r="N52" s="79">
        <f t="shared" si="9"/>
        <v>6.75</v>
      </c>
      <c r="O52" s="96" t="b">
        <v>1</v>
      </c>
      <c r="P52" s="97"/>
      <c r="Q52" s="98"/>
      <c r="R52" s="97"/>
      <c r="S52" s="97"/>
      <c r="T52" s="97"/>
      <c r="U52" s="97"/>
      <c r="V52" s="99"/>
      <c r="W52" s="96" t="b">
        <v>0</v>
      </c>
      <c r="X52" s="97"/>
      <c r="Y52" s="98"/>
      <c r="Z52" s="97"/>
      <c r="AA52" s="97"/>
      <c r="AB52" s="97"/>
      <c r="AC52" s="97"/>
      <c r="AD52" s="99"/>
      <c r="AE52" s="96" t="b">
        <v>0</v>
      </c>
      <c r="AF52" s="97"/>
      <c r="AG52" s="98"/>
      <c r="AH52" s="97"/>
      <c r="AI52" s="97"/>
      <c r="AJ52" s="97"/>
      <c r="AK52" s="97"/>
      <c r="AL52" s="99"/>
      <c r="AM52" s="96" t="b">
        <v>0</v>
      </c>
      <c r="AN52" s="80">
        <f t="array" ref="AN52">INDEX(A52:AM52, MATCH(RIGHT('Roadmap setting'!$B$9, 3), $A$2:$AM$2, 0) - 1)
</f>
        <v>6.75</v>
      </c>
      <c r="AO52" s="100">
        <f t="array" ref="AO52">IFNA(LOOKUP(2,1/(ISNUMBER(AO54:AO55)),AO54:AO55)+(E52/(Resources!$P$55/7)),TODAY()+(E52/(Resources!$P$55/7)))</f>
        <v>174931.3026</v>
      </c>
      <c r="AP52" s="100">
        <f t="array" ref="AP52">IFNA(LOOKUP(2,1/(ISNUMBER(AP54:AP55)),AP54:AP55)+(F52/(Resources!$P$56/7)),TODAY()+(F52/(Resources!$P$56/7)))</f>
        <v>5962.854244</v>
      </c>
      <c r="AQ52" s="100">
        <f t="array" ref="AQ52">IF(ISNUMBER($AV52),IFNA(LOOKUP(2,1/(ISNUMBER(AQ54:AQ55)),AQ54:AQ55),TODAY()),IFNA(LOOKUP(2,1/(ISNUMBER(AQ54:AQ55)),AQ54:AQ55)+(E52/(Resources!$E$55/7)),TODAY()+(E52/(Resources!$E$55/7))))</f>
        <v>336578.5361</v>
      </c>
      <c r="AR52" s="100">
        <f t="array" ref="AR52">IF(ISNUMBER($AV52),IFNA(LOOKUP(2,1/(ISNUMBER(AR54:AR55)),AR54:AR55),TODAY()),IFNA(LOOKUP(2,1/(ISNUMBER(AR54:AR55)),AR54:AR55)+(F52/(Resources!$E$56/7)),TODAY()+(F52/(Resources!$E$56/7))))</f>
        <v>17888.56273</v>
      </c>
      <c r="AS52" s="100">
        <f t="shared" si="10"/>
        <v>336578.5361</v>
      </c>
      <c r="AT52" s="81">
        <f t="shared" si="11"/>
        <v>2.61</v>
      </c>
      <c r="AU52" s="102">
        <v>45680.0</v>
      </c>
      <c r="AV52" s="83"/>
    </row>
    <row r="53" ht="15.0" customHeight="1">
      <c r="A53" s="83" t="s">
        <v>97</v>
      </c>
      <c r="B53" s="92" t="s">
        <v>112</v>
      </c>
      <c r="C53" s="113" t="s">
        <v>129</v>
      </c>
      <c r="D53" s="93">
        <f>IF($A53="Feature",SUM(E53:F53)*'Roadmap setting'!$B$13,0)</f>
        <v>0.2</v>
      </c>
      <c r="E53" s="94">
        <v>1.0</v>
      </c>
      <c r="F53" s="94">
        <v>0.0</v>
      </c>
      <c r="G53" s="95">
        <f>IF($A53="Feature",IF('Roadmap setting'!$E$14,$F53*('Roadmap setting'!$B$14+'Roadmap setting'!$D$14),$F53*'Roadmap setting'!$B$14),0)</f>
        <v>0</v>
      </c>
      <c r="H53" s="93">
        <f>IF($A53="Feature",$E53*'Roadmap setting'!$B$15,0)</f>
        <v>0</v>
      </c>
      <c r="I53" s="95">
        <f>IF($A53="Feature",$F53*'Roadmap setting'!$B$16,0)</f>
        <v>0</v>
      </c>
      <c r="J53" s="93">
        <f>SUM($E53:$F53)*'Roadmap setting'!$B$17</f>
        <v>0.12</v>
      </c>
      <c r="K53" s="93">
        <f>SUM($E53:$F53)*'Roadmap setting'!$B$18</f>
        <v>0.01</v>
      </c>
      <c r="L53" s="93">
        <f>SUM($E53:$F53)*'Roadmap setting'!$B$19</f>
        <v>0</v>
      </c>
      <c r="M53" s="95">
        <f>SUM($E53:$F53)*'Roadmap setting'!$B$20</f>
        <v>0.02</v>
      </c>
      <c r="N53" s="79">
        <f t="shared" si="9"/>
        <v>1.35</v>
      </c>
      <c r="O53" s="96" t="b">
        <v>1</v>
      </c>
      <c r="P53" s="97"/>
      <c r="Q53" s="98"/>
      <c r="R53" s="97"/>
      <c r="S53" s="97"/>
      <c r="T53" s="97"/>
      <c r="U53" s="97"/>
      <c r="V53" s="99"/>
      <c r="W53" s="96" t="b">
        <v>0</v>
      </c>
      <c r="X53" s="97"/>
      <c r="Y53" s="98"/>
      <c r="Z53" s="97"/>
      <c r="AA53" s="97"/>
      <c r="AB53" s="97"/>
      <c r="AC53" s="97"/>
      <c r="AD53" s="99"/>
      <c r="AE53" s="96" t="b">
        <v>0</v>
      </c>
      <c r="AF53" s="97"/>
      <c r="AG53" s="98"/>
      <c r="AH53" s="97"/>
      <c r="AI53" s="97"/>
      <c r="AJ53" s="97"/>
      <c r="AK53" s="97"/>
      <c r="AL53" s="99"/>
      <c r="AM53" s="96" t="b">
        <v>0</v>
      </c>
      <c r="AN53" s="80">
        <f t="array" ref="AN53">INDEX(A53:AM53, MATCH(RIGHT('Roadmap setting'!$B$9, 3), $A$2:$AM$2, 0) - 1)
</f>
        <v>1.35</v>
      </c>
      <c r="AO53" s="100">
        <f t="array" ref="AO53">IFNA(LOOKUP(2,1/(ISNUMBER(AO32:AO52)),AO32:AO52)+(E53/(Resources!$P$55/7)),TODAY()+(E53/(Resources!$P$55/7)))</f>
        <v>174931.427</v>
      </c>
      <c r="AP53" s="100">
        <f t="array" ref="AP53">IFNA(LOOKUP(2,1/(ISNUMBER(AP32:AP52)),AP32:AP52)+(F53/(Resources!$P$56/7)),TODAY()+(F53/(Resources!$P$56/7)))</f>
        <v>5962.854244</v>
      </c>
      <c r="AQ53" s="100">
        <f t="array" ref="AQ53">IF(ISNUMBER($AV53),IFNA(LOOKUP(2,1/(ISNUMBER(AQ32:AQ52)),AQ32:AQ52),TODAY()),IFNA(LOOKUP(2,1/(ISNUMBER(AQ32:AQ52)),AQ32:AQ52)+(E53/(Resources!$E$55/7)),TODAY()+(E53/(Resources!$E$55/7))))</f>
        <v>336578.791</v>
      </c>
      <c r="AR53" s="100">
        <f t="array" ref="AR53">IF(ISNUMBER($AV53),IFNA(LOOKUP(2,1/(ISNUMBER(AR32:AR52)),AR32:AR52),TODAY()),IFNA(LOOKUP(2,1/(ISNUMBER(AR32:AR52)),AR32:AR52)+(F53/(Resources!$E$56/7)),TODAY()+(F53/(Resources!$E$56/7))))</f>
        <v>17888.56273</v>
      </c>
      <c r="AS53" s="100">
        <f t="shared" si="10"/>
        <v>336578.791</v>
      </c>
      <c r="AT53" s="81">
        <f t="shared" si="11"/>
        <v>2.61</v>
      </c>
      <c r="AU53" s="102">
        <v>45680.0</v>
      </c>
      <c r="AV53" s="83"/>
    </row>
    <row r="54" ht="15.0" customHeight="1">
      <c r="A54" s="83" t="s">
        <v>97</v>
      </c>
      <c r="B54" s="92" t="s">
        <v>100</v>
      </c>
      <c r="C54" s="113" t="s">
        <v>130</v>
      </c>
      <c r="D54" s="93">
        <f>IF($A54="Feature",SUM(E54:F54)*'Roadmap setting'!$B$13,0)</f>
        <v>2.4</v>
      </c>
      <c r="E54" s="94">
        <v>12.0</v>
      </c>
      <c r="F54" s="94">
        <v>0.0</v>
      </c>
      <c r="G54" s="95">
        <f>IF($A54="Feature",IF('Roadmap setting'!$E$14,$F54*('Roadmap setting'!$B$14+'Roadmap setting'!$D$14),$F54*'Roadmap setting'!$B$14),0)</f>
        <v>0</v>
      </c>
      <c r="H54" s="93">
        <f>IF($A54="Feature",$E54*'Roadmap setting'!$B$15,0)</f>
        <v>0</v>
      </c>
      <c r="I54" s="95">
        <f>IF($A54="Feature",$F54*'Roadmap setting'!$B$16,0)</f>
        <v>0</v>
      </c>
      <c r="J54" s="93">
        <f>SUM($E54:$F54)*'Roadmap setting'!$B$17</f>
        <v>1.44</v>
      </c>
      <c r="K54" s="93">
        <f>SUM($E54:$F54)*'Roadmap setting'!$B$18</f>
        <v>0.12</v>
      </c>
      <c r="L54" s="93">
        <f>SUM($E54:$F54)*'Roadmap setting'!$B$19</f>
        <v>0</v>
      </c>
      <c r="M54" s="95">
        <f>SUM($E54:$F54)*'Roadmap setting'!$B$20</f>
        <v>0.24</v>
      </c>
      <c r="N54" s="79">
        <f t="shared" si="9"/>
        <v>16.2</v>
      </c>
      <c r="O54" s="96" t="b">
        <v>1</v>
      </c>
      <c r="P54" s="97"/>
      <c r="Q54" s="98"/>
      <c r="R54" s="97"/>
      <c r="S54" s="97"/>
      <c r="T54" s="97"/>
      <c r="U54" s="97"/>
      <c r="V54" s="99"/>
      <c r="W54" s="96" t="b">
        <v>0</v>
      </c>
      <c r="X54" s="97"/>
      <c r="Y54" s="98"/>
      <c r="Z54" s="97"/>
      <c r="AA54" s="97"/>
      <c r="AB54" s="97"/>
      <c r="AC54" s="97"/>
      <c r="AD54" s="99"/>
      <c r="AE54" s="96" t="b">
        <v>0</v>
      </c>
      <c r="AF54" s="97"/>
      <c r="AG54" s="98"/>
      <c r="AH54" s="97"/>
      <c r="AI54" s="97"/>
      <c r="AJ54" s="97"/>
      <c r="AK54" s="97"/>
      <c r="AL54" s="99"/>
      <c r="AM54" s="96" t="b">
        <v>0</v>
      </c>
      <c r="AN54" s="80">
        <f t="array" ref="AN54">INDEX(A54:AM54, MATCH(RIGHT('Roadmap setting'!$B$9, 3), $A$2:$AM$2, 0) - 1)
</f>
        <v>16.2</v>
      </c>
      <c r="AO54" s="100">
        <f t="array" ref="AO54">IFNA(LOOKUP(2,1/(ISNUMBER(AO51)),AO51)+(E54/(Resources!$P$55/7)),TODAY()+(E54/(Resources!$P$55/7)))</f>
        <v>174931.4749</v>
      </c>
      <c r="AP54" s="100">
        <f t="array" ref="AP54">IFNA(LOOKUP(2,1/(ISNUMBER(AP51)),AP51)+(F54/(Resources!$P$56/7)),TODAY()+(F54/(Resources!$P$56/7)))</f>
        <v>5962.854244</v>
      </c>
      <c r="AQ54" s="100">
        <f t="array" ref="AQ54">IF(ISNUMBER($AV54),IFNA(LOOKUP(2,1/(ISNUMBER(AQ51)),AQ51),TODAY()),IFNA(LOOKUP(2,1/(ISNUMBER(AQ51)),AQ51)+(E54/(Resources!$E$55/7)),TODAY()+(E54/(Resources!$E$55/7))))</f>
        <v>336578.5338</v>
      </c>
      <c r="AR54" s="100">
        <f t="array" ref="AR54">IF(ISNUMBER($AV54),IFNA(LOOKUP(2,1/(ISNUMBER(AR51)),AR51),TODAY()),IFNA(LOOKUP(2,1/(ISNUMBER(AR51)),AR51)+(F54/(Resources!$E$56/7)),TODAY()+(F54/(Resources!$E$56/7))))</f>
        <v>17888.56273</v>
      </c>
      <c r="AS54" s="100">
        <f t="shared" si="10"/>
        <v>336578.5338</v>
      </c>
      <c r="AT54" s="81">
        <f>0.39+0.28+0.34+0.7+3.83+0.9</f>
        <v>6.44</v>
      </c>
      <c r="AU54" s="102">
        <v>45680.0</v>
      </c>
      <c r="AV54" s="83"/>
    </row>
    <row r="55" ht="15.0" customHeight="1">
      <c r="A55" s="83" t="s">
        <v>97</v>
      </c>
      <c r="B55" s="92" t="s">
        <v>100</v>
      </c>
      <c r="C55" s="113" t="s">
        <v>131</v>
      </c>
      <c r="D55" s="93">
        <f>IF($A55="Feature",SUM(E55:F55)*'Roadmap setting'!$B$13,0)</f>
        <v>0.8</v>
      </c>
      <c r="E55" s="94">
        <v>4.0</v>
      </c>
      <c r="F55" s="94">
        <v>0.0</v>
      </c>
      <c r="G55" s="95">
        <f>IF($A55="Feature",IF('Roadmap setting'!$E$14,$F55*('Roadmap setting'!$B$14+'Roadmap setting'!$D$14),$F55*'Roadmap setting'!$B$14),0)</f>
        <v>0</v>
      </c>
      <c r="H55" s="93">
        <f>IF($A55="Feature",$E55*'Roadmap setting'!$B$15,0)</f>
        <v>0</v>
      </c>
      <c r="I55" s="95">
        <f>IF($A55="Feature",$F55*'Roadmap setting'!$B$16,0)</f>
        <v>0</v>
      </c>
      <c r="J55" s="93">
        <f>SUM($E55:$F55)*'Roadmap setting'!$B$17</f>
        <v>0.48</v>
      </c>
      <c r="K55" s="93">
        <f>SUM($E55:$F55)*'Roadmap setting'!$B$18</f>
        <v>0.04</v>
      </c>
      <c r="L55" s="93">
        <f>SUM($E55:$F55)*'Roadmap setting'!$B$19</f>
        <v>0</v>
      </c>
      <c r="M55" s="95">
        <f>SUM($E55:$F55)*'Roadmap setting'!$B$20</f>
        <v>0.08</v>
      </c>
      <c r="N55" s="79">
        <f t="shared" si="9"/>
        <v>5.4</v>
      </c>
      <c r="O55" s="96" t="b">
        <v>1</v>
      </c>
      <c r="P55" s="97"/>
      <c r="Q55" s="98"/>
      <c r="R55" s="97"/>
      <c r="S55" s="97"/>
      <c r="T55" s="97"/>
      <c r="U55" s="97"/>
      <c r="V55" s="99"/>
      <c r="W55" s="96" t="b">
        <v>0</v>
      </c>
      <c r="X55" s="97"/>
      <c r="Y55" s="98"/>
      <c r="Z55" s="97"/>
      <c r="AA55" s="97"/>
      <c r="AB55" s="97"/>
      <c r="AC55" s="97"/>
      <c r="AD55" s="99"/>
      <c r="AE55" s="96" t="b">
        <v>0</v>
      </c>
      <c r="AF55" s="97"/>
      <c r="AG55" s="98"/>
      <c r="AH55" s="97"/>
      <c r="AI55" s="97"/>
      <c r="AJ55" s="97"/>
      <c r="AK55" s="97"/>
      <c r="AL55" s="99"/>
      <c r="AM55" s="96" t="b">
        <v>0</v>
      </c>
      <c r="AN55" s="80">
        <f t="array" ref="AN55">INDEX(A55:AM55, MATCH(RIGHT('Roadmap setting'!$B$9, 3), $A$2:$AM$2, 0) - 1)
</f>
        <v>5.4</v>
      </c>
      <c r="AO55" s="100">
        <f t="array" ref="AO55">IFNA(LOOKUP(2,1/(ISNUMBER(AO29:AO54)),AO29:AO54)+(E55/(Resources!$P$55/7)),TODAY()+(E55/(Resources!$P$55/7)))</f>
        <v>174931.9722</v>
      </c>
      <c r="AP55" s="100">
        <f t="array" ref="AP55">IFNA(LOOKUP(2,1/(ISNUMBER(AP29:AP54)),AP29:AP54)+(F55/(Resources!$P$56/7)),TODAY()+(F55/(Resources!$P$56/7)))</f>
        <v>5962.854244</v>
      </c>
      <c r="AQ55" s="100">
        <f t="array" ref="AQ55">IF(ISNUMBER($AV55),IFNA(LOOKUP(2,1/(ISNUMBER(AQ29:AQ54)),AQ29:AQ54),TODAY()),IFNA(LOOKUP(2,1/(ISNUMBER(AQ29:AQ54)),AQ29:AQ54)+(E55/(Resources!$E$55/7)),TODAY()+(E55/(Resources!$E$55/7))))</f>
        <v>336579.5534</v>
      </c>
      <c r="AR55" s="100">
        <f t="array" ref="AR55">IF(ISNUMBER($AV55),IFNA(LOOKUP(2,1/(ISNUMBER(AR29:AR54)),AR29:AR54),TODAY()),IFNA(LOOKUP(2,1/(ISNUMBER(AR29:AR54)),AR29:AR54)+(F55/(Resources!$E$56/7)),TODAY()+(F55/(Resources!$E$56/7))))</f>
        <v>17888.56273</v>
      </c>
      <c r="AS55" s="100">
        <f t="shared" si="10"/>
        <v>336579.5534</v>
      </c>
      <c r="AT55" s="81">
        <f>0.39+0.28+0.34+0.7+5.95+0.9</f>
        <v>8.56</v>
      </c>
      <c r="AU55" s="102">
        <v>45680.0</v>
      </c>
      <c r="AV55" s="83"/>
    </row>
    <row r="56" ht="15.0" customHeight="1">
      <c r="A56" s="83" t="s">
        <v>97</v>
      </c>
      <c r="B56" s="92" t="s">
        <v>112</v>
      </c>
      <c r="C56" s="113" t="s">
        <v>132</v>
      </c>
      <c r="D56" s="93">
        <f>IF($A56="Feature",SUM(E56:F56)*'Roadmap setting'!$B$13,0)</f>
        <v>0.2</v>
      </c>
      <c r="E56" s="94">
        <v>1.0</v>
      </c>
      <c r="F56" s="94">
        <v>0.0</v>
      </c>
      <c r="G56" s="95">
        <f>IF($A56="Feature",IF('Roadmap setting'!$E$14,$F56*('Roadmap setting'!$B$14+'Roadmap setting'!$D$14),$F56*'Roadmap setting'!$B$14),0)</f>
        <v>0</v>
      </c>
      <c r="H56" s="93">
        <f>IF($A56="Feature",$E56*'Roadmap setting'!$B$15,0)</f>
        <v>0</v>
      </c>
      <c r="I56" s="95">
        <f>IF($A56="Feature",$F56*'Roadmap setting'!$B$16,0)</f>
        <v>0</v>
      </c>
      <c r="J56" s="93">
        <f>SUM($E56:$F56)*'Roadmap setting'!$B$17</f>
        <v>0.12</v>
      </c>
      <c r="K56" s="93">
        <f>SUM($E56:$F56)*'Roadmap setting'!$B$18</f>
        <v>0.01</v>
      </c>
      <c r="L56" s="93">
        <f>SUM($E56:$F56)*'Roadmap setting'!$B$19</f>
        <v>0</v>
      </c>
      <c r="M56" s="95">
        <f>SUM($E56:$F56)*'Roadmap setting'!$B$20</f>
        <v>0.02</v>
      </c>
      <c r="N56" s="79">
        <f t="shared" si="9"/>
        <v>1.35</v>
      </c>
      <c r="O56" s="96" t="b">
        <v>1</v>
      </c>
      <c r="P56" s="97"/>
      <c r="Q56" s="98"/>
      <c r="R56" s="97"/>
      <c r="S56" s="97"/>
      <c r="T56" s="97"/>
      <c r="U56" s="97"/>
      <c r="V56" s="99"/>
      <c r="W56" s="96" t="b">
        <v>0</v>
      </c>
      <c r="X56" s="97"/>
      <c r="Y56" s="98"/>
      <c r="Z56" s="97"/>
      <c r="AA56" s="97"/>
      <c r="AB56" s="97"/>
      <c r="AC56" s="97"/>
      <c r="AD56" s="99"/>
      <c r="AE56" s="96" t="b">
        <v>0</v>
      </c>
      <c r="AF56" s="97"/>
      <c r="AG56" s="98"/>
      <c r="AH56" s="97"/>
      <c r="AI56" s="97"/>
      <c r="AJ56" s="97"/>
      <c r="AK56" s="97"/>
      <c r="AL56" s="99"/>
      <c r="AM56" s="96" t="b">
        <v>0</v>
      </c>
      <c r="AN56" s="80">
        <f t="array" ref="AN56">INDEX(A56:AM56, MATCH(RIGHT('Roadmap setting'!$B$9, 3), $A$2:$AM$2, 0) - 1)
</f>
        <v>1.35</v>
      </c>
      <c r="AO56" s="100">
        <f t="array" ref="AO56">IFNA(LOOKUP(2,1/(ISNUMBER(AO28:AO38)),AO28:AO38)+(E56/(Resources!$P$55/7)),TODAY()+(E56/(Resources!$P$55/7)))</f>
        <v>174935.9507</v>
      </c>
      <c r="AP56" s="100">
        <f t="array" ref="AP56">IFNA(LOOKUP(2,1/(ISNUMBER(AP28:AP38)),AP28:AP38)+(F56/(Resources!$P$56/7)),TODAY()+(F56/(Resources!$P$56/7)))</f>
        <v>5964.49919</v>
      </c>
      <c r="AQ56" s="100">
        <f t="array" ref="AQ56">IF(ISNUMBER($AV56),IFNA(LOOKUP(2,1/(ISNUMBER(AQ28:AQ38)),AQ28:AQ38),TODAY()),IFNA(LOOKUP(2,1/(ISNUMBER(AQ28:AQ38)),AQ28:AQ38)+(E56/(Resources!$E$55/7)),TODAY()+(E56/(Resources!$E$55/7))))</f>
        <v>336587.7101</v>
      </c>
      <c r="AR56" s="100">
        <f t="array" ref="AR56">IF(ISNUMBER($AV56),IFNA(LOOKUP(2,1/(ISNUMBER(AR28:AR38)),AR28:AR38),TODAY()),IFNA(LOOKUP(2,1/(ISNUMBER(AR28:AR38)),AR28:AR38)+(F56/(Resources!$E$56/7)),TODAY()+(F56/(Resources!$E$56/7))))</f>
        <v>17891.3229</v>
      </c>
      <c r="AS56" s="100">
        <f t="shared" si="10"/>
        <v>336587.7101</v>
      </c>
      <c r="AT56" s="81">
        <f>0.39+0.28+0.34+0.7+0.9</f>
        <v>2.61</v>
      </c>
      <c r="AU56" s="102">
        <v>45680.0</v>
      </c>
      <c r="AV56" s="83"/>
    </row>
    <row r="57" ht="15.0" customHeight="1">
      <c r="A57" s="83" t="s">
        <v>77</v>
      </c>
      <c r="B57" s="92" t="s">
        <v>92</v>
      </c>
      <c r="C57" s="113" t="s">
        <v>133</v>
      </c>
      <c r="D57" s="93">
        <f>IF($A57="Feature",SUM(E57:F57)*'Roadmap setting'!$B$13,0)</f>
        <v>0</v>
      </c>
      <c r="E57" s="94">
        <v>8.0</v>
      </c>
      <c r="F57" s="94">
        <v>0.0</v>
      </c>
      <c r="G57" s="95">
        <f>IF($A57="Feature",IF('Roadmap setting'!$E$14,$F57*('Roadmap setting'!$B$14+'Roadmap setting'!$D$14),$F57*'Roadmap setting'!$B$14),0)</f>
        <v>0</v>
      </c>
      <c r="H57" s="93">
        <f>IF($A57="Feature",$E57*'Roadmap setting'!$B$15,0)</f>
        <v>0</v>
      </c>
      <c r="I57" s="95">
        <f>IF($A57="Feature",$F57*'Roadmap setting'!$B$16,0)</f>
        <v>0</v>
      </c>
      <c r="J57" s="93">
        <f>SUM($E57:$F57)*'Roadmap setting'!$B$17</f>
        <v>0.96</v>
      </c>
      <c r="K57" s="93">
        <f>SUM($E57:$F57)*'Roadmap setting'!$B$18</f>
        <v>0.08</v>
      </c>
      <c r="L57" s="93">
        <f>SUM($E57:$F57)*'Roadmap setting'!$B$19</f>
        <v>0</v>
      </c>
      <c r="M57" s="95">
        <f>SUM($E57:$F57)*'Roadmap setting'!$B$20</f>
        <v>0.16</v>
      </c>
      <c r="N57" s="79">
        <f t="shared" si="9"/>
        <v>9.2</v>
      </c>
      <c r="O57" s="96" t="b">
        <v>1</v>
      </c>
      <c r="P57" s="97"/>
      <c r="Q57" s="98"/>
      <c r="R57" s="97"/>
      <c r="S57" s="97"/>
      <c r="T57" s="97"/>
      <c r="U57" s="97"/>
      <c r="V57" s="99"/>
      <c r="W57" s="96" t="b">
        <v>0</v>
      </c>
      <c r="X57" s="97"/>
      <c r="Y57" s="98"/>
      <c r="Z57" s="97"/>
      <c r="AA57" s="97"/>
      <c r="AB57" s="97"/>
      <c r="AC57" s="97"/>
      <c r="AD57" s="99"/>
      <c r="AE57" s="96" t="b">
        <v>0</v>
      </c>
      <c r="AF57" s="97"/>
      <c r="AG57" s="98"/>
      <c r="AH57" s="97"/>
      <c r="AI57" s="97"/>
      <c r="AJ57" s="97"/>
      <c r="AK57" s="97"/>
      <c r="AL57" s="99"/>
      <c r="AM57" s="96" t="b">
        <v>0</v>
      </c>
      <c r="AN57" s="80">
        <f t="array" ref="AN57">INDEX(A57:AM57, MATCH(RIGHT('Roadmap setting'!$B$9, 3), $A$2:$AM$2, 0) - 1)
</f>
        <v>9.2</v>
      </c>
      <c r="AO57" s="100">
        <f t="array" ref="AO57">IFNA(LOOKUP(2,1/(ISNUMBER(AO29:AO39)),AO29:AO39)+(E57/(Resources!$P$55/7)),TODAY()+(E57/(Resources!$P$55/7)))</f>
        <v>174936.1514</v>
      </c>
      <c r="AP57" s="100">
        <f t="array" ref="AP57">IFNA(LOOKUP(2,1/(ISNUMBER(AP29:AP39)),AP29:AP39)+(F57/(Resources!$P$56/7)),TODAY()+(F57/(Resources!$P$56/7)))</f>
        <v>5964.49919</v>
      </c>
      <c r="AQ57" s="100">
        <f t="array" ref="AQ57">IF(ISNUMBER($AV57),IFNA(LOOKUP(2,1/(ISNUMBER(AQ29:AQ39)),AQ29:AQ39),TODAY()),IFNA(LOOKUP(2,1/(ISNUMBER(AQ29:AQ39)),AQ29:AQ39)+(E57/(Resources!$E$55/7)),TODAY()+(E57/(Resources!$E$55/7))))</f>
        <v>336588.4771</v>
      </c>
      <c r="AR57" s="100">
        <f t="array" ref="AR57">IF(ISNUMBER($AV57),IFNA(LOOKUP(2,1/(ISNUMBER(AR29:AR39)),AR29:AR39),TODAY()),IFNA(LOOKUP(2,1/(ISNUMBER(AR29:AR39)),AR29:AR39)+(F57/(Resources!$E$56/7)),TODAY()+(F57/(Resources!$E$56/7))))</f>
        <v>17891.3229</v>
      </c>
      <c r="AS57" s="100">
        <f t="shared" si="10"/>
        <v>336588.4771</v>
      </c>
      <c r="AT57" s="81">
        <f>0.39+0.28+0.34+0.7+13.22</f>
        <v>14.93</v>
      </c>
      <c r="AU57" s="102">
        <v>45680.0</v>
      </c>
      <c r="AV57" s="83"/>
    </row>
    <row r="58" ht="15.0" customHeight="1">
      <c r="A58" s="83" t="s">
        <v>77</v>
      </c>
      <c r="B58" s="92" t="s">
        <v>92</v>
      </c>
      <c r="C58" s="113" t="s">
        <v>134</v>
      </c>
      <c r="D58" s="93">
        <f>IF($A58="Feature",SUM(E58:F58)*'Roadmap setting'!$B$13,0)</f>
        <v>0</v>
      </c>
      <c r="E58" s="94">
        <v>12.0</v>
      </c>
      <c r="F58" s="94">
        <v>0.0</v>
      </c>
      <c r="G58" s="95">
        <f>IF($A58="Feature",IF('Roadmap setting'!$E$14,$F58*('Roadmap setting'!$B$14+'Roadmap setting'!$D$14),$F58*'Roadmap setting'!$B$14),0)</f>
        <v>0</v>
      </c>
      <c r="H58" s="93">
        <f>IF($A58="Feature",$E58*'Roadmap setting'!$B$15,0)</f>
        <v>0</v>
      </c>
      <c r="I58" s="95">
        <f>IF($A58="Feature",$F58*'Roadmap setting'!$B$16,0)</f>
        <v>0</v>
      </c>
      <c r="J58" s="93">
        <f>SUM($E58:$F58)*'Roadmap setting'!$B$17</f>
        <v>1.44</v>
      </c>
      <c r="K58" s="93">
        <f>SUM($E58:$F58)*'Roadmap setting'!$B$18</f>
        <v>0.12</v>
      </c>
      <c r="L58" s="93">
        <f>SUM($E58:$F58)*'Roadmap setting'!$B$19</f>
        <v>0</v>
      </c>
      <c r="M58" s="95">
        <f>SUM($E58:$F58)*'Roadmap setting'!$B$20</f>
        <v>0.24</v>
      </c>
      <c r="N58" s="79">
        <f t="shared" si="9"/>
        <v>13.8</v>
      </c>
      <c r="O58" s="96" t="b">
        <v>1</v>
      </c>
      <c r="P58" s="97"/>
      <c r="Q58" s="98"/>
      <c r="R58" s="97"/>
      <c r="S58" s="97"/>
      <c r="T58" s="97"/>
      <c r="U58" s="97"/>
      <c r="V58" s="99"/>
      <c r="W58" s="96" t="b">
        <v>0</v>
      </c>
      <c r="X58" s="97"/>
      <c r="Y58" s="98"/>
      <c r="Z58" s="97"/>
      <c r="AA58" s="97"/>
      <c r="AB58" s="97"/>
      <c r="AC58" s="97"/>
      <c r="AD58" s="99"/>
      <c r="AE58" s="96" t="b">
        <v>0</v>
      </c>
      <c r="AF58" s="97"/>
      <c r="AG58" s="98"/>
      <c r="AH58" s="97"/>
      <c r="AI58" s="97"/>
      <c r="AJ58" s="97"/>
      <c r="AK58" s="97"/>
      <c r="AL58" s="99"/>
      <c r="AM58" s="96" t="b">
        <v>0</v>
      </c>
      <c r="AN58" s="80">
        <f t="array" ref="AN58">INDEX(A58:AM58, MATCH(RIGHT('Roadmap setting'!$B$9, 3), $A$2:$AM$2, 0) - 1)
</f>
        <v>13.8</v>
      </c>
      <c r="AO58" s="100">
        <f t="array" ref="AO58">IFNA(LOOKUP(2,1/(ISNUMBER(AO30:AO40)),AO30:AO40)+(E58/(Resources!$P$55/7)),TODAY()+(E58/(Resources!$P$55/7)))</f>
        <v>174930.308</v>
      </c>
      <c r="AP58" s="100">
        <f t="array" ref="AP58">IFNA(LOOKUP(2,1/(ISNUMBER(AP30:AP40)),AP30:AP40)+(F58/(Resources!$P$56/7)),TODAY()+(F58/(Resources!$P$56/7)))</f>
        <v>5962.854244</v>
      </c>
      <c r="AQ58" s="100">
        <f t="array" ref="AQ58">IF(ISNUMBER($AV58),IFNA(LOOKUP(2,1/(ISNUMBER(AQ30:AQ40)),AQ30:AQ40),TODAY()),IFNA(LOOKUP(2,1/(ISNUMBER(AQ30:AQ40)),AQ30:AQ40)+(E58/(Resources!$E$55/7)),TODAY()+(E58/(Resources!$E$55/7))))</f>
        <v>336576.4969</v>
      </c>
      <c r="AR58" s="100">
        <f t="array" ref="AR58">IF(ISNUMBER($AV58),IFNA(LOOKUP(2,1/(ISNUMBER(AR30:AR40)),AR30:AR40),TODAY()),IFNA(LOOKUP(2,1/(ISNUMBER(AR30:AR40)),AR30:AR40)+(F58/(Resources!$E$56/7)),TODAY()+(F58/(Resources!$E$56/7))))</f>
        <v>17888.56273</v>
      </c>
      <c r="AS58" s="100">
        <f t="shared" si="10"/>
        <v>336576.4969</v>
      </c>
      <c r="AT58" s="81">
        <f>0.39+0.28+0.34+0.7+5.22+0.9</f>
        <v>7.83</v>
      </c>
      <c r="AU58" s="102">
        <v>45680.0</v>
      </c>
      <c r="AV58" s="83"/>
    </row>
    <row r="59" ht="15.0" customHeight="1">
      <c r="A59" s="83" t="s">
        <v>77</v>
      </c>
      <c r="B59" s="92" t="s">
        <v>100</v>
      </c>
      <c r="C59" s="113" t="s">
        <v>135</v>
      </c>
      <c r="D59" s="93">
        <f>IF($A59="Feature",SUM(E59:F59)*'Roadmap setting'!$B$13,0)</f>
        <v>0</v>
      </c>
      <c r="E59" s="94">
        <v>12.0</v>
      </c>
      <c r="F59" s="94">
        <v>0.0</v>
      </c>
      <c r="G59" s="95">
        <f>IF($A59="Feature",IF('Roadmap setting'!$E$14,$F59*('Roadmap setting'!$B$14+'Roadmap setting'!$D$14),$F59*'Roadmap setting'!$B$14),0)</f>
        <v>0</v>
      </c>
      <c r="H59" s="93">
        <f>IF($A59="Feature",$E59*'Roadmap setting'!$B$15,0)</f>
        <v>0</v>
      </c>
      <c r="I59" s="95">
        <f>IF($A59="Feature",$F59*'Roadmap setting'!$B$16,0)</f>
        <v>0</v>
      </c>
      <c r="J59" s="93">
        <f>SUM($E59:$F59)*'Roadmap setting'!$B$17</f>
        <v>1.44</v>
      </c>
      <c r="K59" s="93">
        <f>SUM($E59:$F59)*'Roadmap setting'!$B$18</f>
        <v>0.12</v>
      </c>
      <c r="L59" s="93">
        <f>SUM($E59:$F59)*'Roadmap setting'!$B$19</f>
        <v>0</v>
      </c>
      <c r="M59" s="95">
        <f>SUM($E59:$F59)*'Roadmap setting'!$B$20</f>
        <v>0.24</v>
      </c>
      <c r="N59" s="79">
        <f t="shared" si="9"/>
        <v>13.8</v>
      </c>
      <c r="O59" s="96" t="b">
        <v>1</v>
      </c>
      <c r="P59" s="97"/>
      <c r="Q59" s="98"/>
      <c r="R59" s="97"/>
      <c r="S59" s="97"/>
      <c r="T59" s="97"/>
      <c r="U59" s="97"/>
      <c r="V59" s="99"/>
      <c r="W59" s="96" t="b">
        <v>0</v>
      </c>
      <c r="X59" s="97"/>
      <c r="Y59" s="98"/>
      <c r="Z59" s="97"/>
      <c r="AA59" s="97"/>
      <c r="AB59" s="97"/>
      <c r="AC59" s="97"/>
      <c r="AD59" s="99"/>
      <c r="AE59" s="96" t="b">
        <v>0</v>
      </c>
      <c r="AF59" s="97"/>
      <c r="AG59" s="98"/>
      <c r="AH59" s="97"/>
      <c r="AI59" s="97"/>
      <c r="AJ59" s="97"/>
      <c r="AK59" s="97"/>
      <c r="AL59" s="99"/>
      <c r="AM59" s="96" t="b">
        <v>0</v>
      </c>
      <c r="AN59" s="80">
        <f t="array" ref="AN59">INDEX(A59:AM59, MATCH(RIGHT('Roadmap setting'!$B$9, 3), $A$2:$AM$2, 0) - 1)
</f>
        <v>13.8</v>
      </c>
      <c r="AO59" s="100">
        <f t="array" ref="AO59">IFNA(LOOKUP(2,1/(ISNUMBER(AO31:AO41)),AO31:AO41)+(E59/(Resources!$P$55/7)),TODAY()+(E59/(Resources!$P$55/7)))</f>
        <v>174931.9722</v>
      </c>
      <c r="AP59" s="100">
        <f t="array" ref="AP59">IFNA(LOOKUP(2,1/(ISNUMBER(AP31:AP41)),AP31:AP41)+(F59/(Resources!$P$56/7)),TODAY()+(F59/(Resources!$P$56/7)))</f>
        <v>5962.854244</v>
      </c>
      <c r="AQ59" s="100">
        <f t="array" ref="AQ59">IF(ISNUMBER($AV59),IFNA(LOOKUP(2,1/(ISNUMBER(AQ31:AQ41)),AQ31:AQ41),TODAY()),IFNA(LOOKUP(2,1/(ISNUMBER(AQ31:AQ41)),AQ31:AQ41)+(E59/(Resources!$E$55/7)),TODAY()+(E59/(Resources!$E$55/7))))</f>
        <v>336579.5534</v>
      </c>
      <c r="AR59" s="100">
        <f t="array" ref="AR59">IF(ISNUMBER($AV59),IFNA(LOOKUP(2,1/(ISNUMBER(AR31:AR41)),AR31:AR41),TODAY()),IFNA(LOOKUP(2,1/(ISNUMBER(AR31:AR41)),AR31:AR41)+(F59/(Resources!$E$56/7)),TODAY()+(F59/(Resources!$E$56/7))))</f>
        <v>17888.56273</v>
      </c>
      <c r="AS59" s="100">
        <f t="shared" si="10"/>
        <v>336579.5534</v>
      </c>
      <c r="AT59" s="81">
        <f>0.39+0.28+0.34+0.7+0.9+1</f>
        <v>3.61</v>
      </c>
      <c r="AU59" s="102">
        <v>45680.0</v>
      </c>
      <c r="AV59" s="83"/>
    </row>
    <row r="60" ht="27.75" customHeight="1">
      <c r="A60" s="84" t="s">
        <v>136</v>
      </c>
      <c r="C60" s="108" t="s">
        <v>137</v>
      </c>
      <c r="D60" s="84"/>
      <c r="E60" s="84"/>
      <c r="F60" s="84"/>
      <c r="G60" s="84"/>
      <c r="H60" s="84"/>
      <c r="I60" s="84"/>
      <c r="J60" s="84"/>
      <c r="K60" s="84"/>
      <c r="L60" s="84"/>
      <c r="M60" s="84"/>
      <c r="N60" s="84"/>
      <c r="O60" s="84"/>
      <c r="P60" s="84"/>
      <c r="Q60" s="84"/>
      <c r="R60" s="84"/>
      <c r="S60" s="84"/>
      <c r="T60" s="84"/>
      <c r="U60" s="84"/>
      <c r="V60" s="84"/>
      <c r="W60" s="84"/>
      <c r="X60" s="84"/>
      <c r="Y60" s="84"/>
      <c r="Z60" s="84"/>
      <c r="AA60" s="84"/>
      <c r="AB60" s="84"/>
      <c r="AC60" s="84"/>
      <c r="AD60" s="84"/>
      <c r="AE60" s="84"/>
      <c r="AF60" s="84"/>
      <c r="AG60" s="84"/>
      <c r="AH60" s="84"/>
      <c r="AI60" s="84"/>
      <c r="AJ60" s="84"/>
      <c r="AK60" s="84"/>
      <c r="AL60" s="84"/>
      <c r="AM60" s="84"/>
      <c r="AN60" s="84"/>
      <c r="AO60" s="84"/>
      <c r="AP60" s="84"/>
      <c r="AQ60" s="84"/>
      <c r="AR60" s="84"/>
      <c r="AS60" s="84"/>
      <c r="AT60" s="84"/>
      <c r="AU60" s="84"/>
      <c r="AV60" s="84"/>
    </row>
    <row r="61" ht="15.0" customHeight="1">
      <c r="A61" s="84" t="s">
        <v>138</v>
      </c>
      <c r="C61" s="108"/>
      <c r="D61" s="84"/>
      <c r="E61" s="84"/>
      <c r="F61" s="84"/>
      <c r="G61" s="84"/>
      <c r="H61" s="84"/>
      <c r="I61" s="84"/>
      <c r="J61" s="84"/>
      <c r="K61" s="84"/>
      <c r="L61" s="84"/>
      <c r="M61" s="84"/>
      <c r="N61" s="84"/>
      <c r="O61" s="84"/>
      <c r="P61" s="84"/>
      <c r="Q61" s="84"/>
      <c r="R61" s="84"/>
      <c r="S61" s="84"/>
      <c r="T61" s="84"/>
      <c r="U61" s="84"/>
      <c r="V61" s="84"/>
      <c r="W61" s="84"/>
      <c r="X61" s="84"/>
      <c r="Y61" s="84"/>
      <c r="Z61" s="84"/>
      <c r="AA61" s="84"/>
      <c r="AB61" s="84"/>
      <c r="AC61" s="84"/>
      <c r="AD61" s="84"/>
      <c r="AE61" s="84"/>
      <c r="AF61" s="84"/>
      <c r="AG61" s="84"/>
      <c r="AH61" s="84"/>
      <c r="AI61" s="84"/>
      <c r="AJ61" s="84"/>
      <c r="AK61" s="84"/>
      <c r="AL61" s="84"/>
      <c r="AM61" s="84"/>
      <c r="AN61" s="84"/>
      <c r="AO61" s="84"/>
      <c r="AP61" s="84"/>
      <c r="AQ61" s="84"/>
      <c r="AR61" s="84"/>
      <c r="AS61" s="84"/>
      <c r="AT61" s="84">
        <v>255.44</v>
      </c>
      <c r="AU61" s="84"/>
      <c r="AV61" s="84"/>
    </row>
    <row r="62" ht="15.0" customHeight="1">
      <c r="A62" s="83" t="s">
        <v>97</v>
      </c>
      <c r="B62" s="92" t="s">
        <v>92</v>
      </c>
      <c r="C62" s="115" t="s">
        <v>139</v>
      </c>
      <c r="D62" s="93">
        <f>IF($A62="Feature",SUM(E62:F62)*'Roadmap setting'!$B$13,0)</f>
        <v>3.2</v>
      </c>
      <c r="E62" s="94">
        <v>16.0</v>
      </c>
      <c r="F62" s="94">
        <v>0.0</v>
      </c>
      <c r="G62" s="95">
        <f>IF($A62="Feature",IF('Roadmap setting'!$E$14,$F62*('Roadmap setting'!$B$14+'Roadmap setting'!$D$14),$F62*'Roadmap setting'!$B$14),0)</f>
        <v>0</v>
      </c>
      <c r="H62" s="93">
        <f>IF($A62="Feature",$E62*'Roadmap setting'!$B$15,0)</f>
        <v>0</v>
      </c>
      <c r="I62" s="95">
        <f>IF($A62="Feature",$F62*'Roadmap setting'!$B$16,0)</f>
        <v>0</v>
      </c>
      <c r="J62" s="93">
        <f>SUM($E62:$F62)*'Roadmap setting'!$B$17</f>
        <v>1.92</v>
      </c>
      <c r="K62" s="93">
        <f>SUM($E62:$F62)*'Roadmap setting'!$B$18</f>
        <v>0.16</v>
      </c>
      <c r="L62" s="93">
        <f>SUM($E62:$F62)*'Roadmap setting'!$B$19</f>
        <v>0</v>
      </c>
      <c r="M62" s="95">
        <f>SUM($E62:$F62)*'Roadmap setting'!$B$20</f>
        <v>0.32</v>
      </c>
      <c r="N62" s="79">
        <f t="shared" ref="N62:N90" si="12">SUM($D62:$G62)+SUM(H62:M62)</f>
        <v>21.6</v>
      </c>
      <c r="O62" s="96" t="b">
        <v>1</v>
      </c>
      <c r="P62" s="97"/>
      <c r="Q62" s="98"/>
      <c r="R62" s="97"/>
      <c r="S62" s="97"/>
      <c r="T62" s="97"/>
      <c r="U62" s="97"/>
      <c r="V62" s="99"/>
      <c r="W62" s="96" t="b">
        <v>0</v>
      </c>
      <c r="X62" s="97"/>
      <c r="Y62" s="98"/>
      <c r="Z62" s="97"/>
      <c r="AA62" s="97"/>
      <c r="AB62" s="97"/>
      <c r="AC62" s="97"/>
      <c r="AD62" s="99"/>
      <c r="AE62" s="96" t="b">
        <v>0</v>
      </c>
      <c r="AF62" s="97"/>
      <c r="AG62" s="98"/>
      <c r="AH62" s="97"/>
      <c r="AI62" s="97"/>
      <c r="AJ62" s="97"/>
      <c r="AK62" s="97"/>
      <c r="AL62" s="99"/>
      <c r="AM62" s="96" t="b">
        <v>0</v>
      </c>
      <c r="AN62" s="80">
        <f t="array" ref="AN62">INDEX(A62:AM62, MATCH(RIGHT('Roadmap setting'!$B$9, 3), $A$2:$AM$2, 0) - 1)
</f>
        <v>21.6</v>
      </c>
      <c r="AO62" s="100">
        <f t="array" ref="AO62">IFNA(LOOKUP(2,1/(ISNUMBER(AO32:AO60)),AO32:AO60)+(E62/(Resources!$P$55/7)),TODAY()+(E62/(Resources!$P$55/7)))</f>
        <v>174933.9615</v>
      </c>
      <c r="AP62" s="100">
        <f t="array" ref="AP62">IFNA(LOOKUP(2,1/(ISNUMBER(AP32:AP60)),AP32:AP60)+(F62/(Resources!$P$56/7)),TODAY()+(F62/(Resources!$P$56/7)))</f>
        <v>5962.854244</v>
      </c>
      <c r="AQ62" s="100">
        <f t="array" ref="AQ62">IF(ISNUMBER($AV62),IFNA(LOOKUP(2,1/(ISNUMBER(AQ32:AQ60)),AQ32:AQ60),TODAY()),IFNA(LOOKUP(2,1/(ISNUMBER(AQ32:AQ60)),AQ32:AQ60)+(E62/(Resources!$E$55/7)),TODAY()+(E62/(Resources!$E$55/7))))</f>
        <v>336583.6317</v>
      </c>
      <c r="AR62" s="100">
        <f t="array" ref="AR62">IF(ISNUMBER($AV62),IFNA(LOOKUP(2,1/(ISNUMBER(AR32:AR60)),AR32:AR60),TODAY()),IFNA(LOOKUP(2,1/(ISNUMBER(AR32:AR60)),AR32:AR60)+(F62/(Resources!$E$56/7)),TODAY()+(F62/(Resources!$E$56/7))))</f>
        <v>17888.56273</v>
      </c>
      <c r="AS62" s="100">
        <f t="shared" ref="AS62:AS90" si="13">IFERROR(MAX(AQ62,AR62),"")</f>
        <v>336583.6317</v>
      </c>
      <c r="AT62" s="101"/>
      <c r="AU62" s="102">
        <v>45705.0</v>
      </c>
      <c r="AV62" s="83"/>
    </row>
    <row r="63" ht="15.0" customHeight="1">
      <c r="A63" s="83" t="s">
        <v>77</v>
      </c>
      <c r="B63" s="92" t="s">
        <v>92</v>
      </c>
      <c r="C63" s="115" t="s">
        <v>140</v>
      </c>
      <c r="D63" s="93">
        <f>IF($A63="Feature",SUM(E63:F63)*'Roadmap setting'!$B$13,0)</f>
        <v>0</v>
      </c>
      <c r="E63" s="94">
        <v>4.0</v>
      </c>
      <c r="F63" s="94">
        <v>0.0</v>
      </c>
      <c r="G63" s="95">
        <f>IF($A63="Feature",IF('Roadmap setting'!$E$14,$F63*('Roadmap setting'!$B$14+'Roadmap setting'!$D$14),$F63*'Roadmap setting'!$B$14),0)</f>
        <v>0</v>
      </c>
      <c r="H63" s="93">
        <f>IF($A63="Feature",$E63*'Roadmap setting'!$B$15,0)</f>
        <v>0</v>
      </c>
      <c r="I63" s="95">
        <f>IF($A63="Feature",$F63*'Roadmap setting'!$B$16,0)</f>
        <v>0</v>
      </c>
      <c r="J63" s="93">
        <f>SUM($E63:$F63)*'Roadmap setting'!$B$17</f>
        <v>0.48</v>
      </c>
      <c r="K63" s="93">
        <f>SUM($E63:$F63)*'Roadmap setting'!$B$18</f>
        <v>0.04</v>
      </c>
      <c r="L63" s="93">
        <f>SUM($E63:$F63)*'Roadmap setting'!$B$19</f>
        <v>0</v>
      </c>
      <c r="M63" s="95">
        <f>SUM($E63:$F63)*'Roadmap setting'!$B$20</f>
        <v>0.08</v>
      </c>
      <c r="N63" s="79">
        <f t="shared" si="12"/>
        <v>4.6</v>
      </c>
      <c r="O63" s="96" t="b">
        <v>1</v>
      </c>
      <c r="P63" s="97"/>
      <c r="Q63" s="98"/>
      <c r="R63" s="97"/>
      <c r="S63" s="97"/>
      <c r="T63" s="97"/>
      <c r="U63" s="97"/>
      <c r="V63" s="99"/>
      <c r="W63" s="96" t="b">
        <v>0</v>
      </c>
      <c r="X63" s="97"/>
      <c r="Y63" s="98"/>
      <c r="Z63" s="97"/>
      <c r="AA63" s="97"/>
      <c r="AB63" s="97"/>
      <c r="AC63" s="97"/>
      <c r="AD63" s="99"/>
      <c r="AE63" s="96" t="b">
        <v>0</v>
      </c>
      <c r="AF63" s="97"/>
      <c r="AG63" s="98"/>
      <c r="AH63" s="97"/>
      <c r="AI63" s="97"/>
      <c r="AJ63" s="97"/>
      <c r="AK63" s="97"/>
      <c r="AL63" s="99"/>
      <c r="AM63" s="96" t="b">
        <v>0</v>
      </c>
      <c r="AN63" s="80">
        <f t="array" ref="AN63">INDEX(A63:AM63, MATCH(RIGHT('Roadmap setting'!$B$9, 3), $A$2:$AM$2, 0) - 1)
</f>
        <v>4.6</v>
      </c>
      <c r="AO63" s="100">
        <f t="array" ref="AO63">IFNA(LOOKUP(2,1/(ISNUMBER(AO32:AO62)),AO32:AO62)+(E63/(Resources!$P$55/7)),TODAY()+(E63/(Resources!$P$55/7)))</f>
        <v>174934.4588</v>
      </c>
      <c r="AP63" s="100">
        <f t="array" ref="AP63">IFNA(LOOKUP(2,1/(ISNUMBER(AP32:AP62)),AP32:AP62)+(F63/(Resources!$P$56/7)),TODAY()+(F63/(Resources!$P$56/7)))</f>
        <v>5962.854244</v>
      </c>
      <c r="AQ63" s="100">
        <f t="array" ref="AQ63">IF(ISNUMBER($AV63),IFNA(LOOKUP(2,1/(ISNUMBER(AQ32:AQ62)),AQ32:AQ62),TODAY()),IFNA(LOOKUP(2,1/(ISNUMBER(AQ32:AQ62)),AQ32:AQ62)+(E63/(Resources!$E$55/7)),TODAY()+(E63/(Resources!$E$55/7))))</f>
        <v>336584.6513</v>
      </c>
      <c r="AR63" s="100">
        <f t="array" ref="AR63">IF(ISNUMBER($AV63),IFNA(LOOKUP(2,1/(ISNUMBER(AR32:AR62)),AR32:AR62),TODAY()),IFNA(LOOKUP(2,1/(ISNUMBER(AR32:AR62)),AR32:AR62)+(F63/(Resources!$E$56/7)),TODAY()+(F63/(Resources!$E$56/7))))</f>
        <v>17888.56273</v>
      </c>
      <c r="AS63" s="100">
        <f t="shared" si="13"/>
        <v>336584.6513</v>
      </c>
      <c r="AT63" s="101"/>
      <c r="AU63" s="102">
        <v>45705.0</v>
      </c>
      <c r="AV63" s="83"/>
    </row>
    <row r="64" ht="15.0" customHeight="1">
      <c r="A64" s="83" t="s">
        <v>97</v>
      </c>
      <c r="B64" s="92" t="s">
        <v>92</v>
      </c>
      <c r="C64" s="116" t="s">
        <v>141</v>
      </c>
      <c r="D64" s="93">
        <f>IF($A64="Feature",SUM(E64:F64)*'Roadmap setting'!$B$13,0)</f>
        <v>0.6</v>
      </c>
      <c r="E64" s="94">
        <v>3.0</v>
      </c>
      <c r="F64" s="94">
        <v>0.0</v>
      </c>
      <c r="G64" s="95">
        <f>IF($A64="Feature",IF('Roadmap setting'!$E$14,$F64*('Roadmap setting'!$B$14+'Roadmap setting'!$D$14),$F64*'Roadmap setting'!$B$14),0)</f>
        <v>0</v>
      </c>
      <c r="H64" s="93">
        <f>IF($A64="Feature",$E64*'Roadmap setting'!$B$15,0)</f>
        <v>0</v>
      </c>
      <c r="I64" s="95">
        <f>IF($A64="Feature",$F64*'Roadmap setting'!$B$16,0)</f>
        <v>0</v>
      </c>
      <c r="J64" s="93">
        <f>SUM($E64:$F64)*'Roadmap setting'!$B$17</f>
        <v>0.36</v>
      </c>
      <c r="K64" s="93">
        <f>SUM($E64:$F64)*'Roadmap setting'!$B$18</f>
        <v>0.03</v>
      </c>
      <c r="L64" s="93">
        <f>SUM($E64:$F64)*'Roadmap setting'!$B$19</f>
        <v>0</v>
      </c>
      <c r="M64" s="95">
        <f>SUM($E64:$F64)*'Roadmap setting'!$B$20</f>
        <v>0.06</v>
      </c>
      <c r="N64" s="79">
        <f t="shared" si="12"/>
        <v>4.05</v>
      </c>
      <c r="O64" s="96" t="b">
        <v>1</v>
      </c>
      <c r="P64" s="97"/>
      <c r="Q64" s="98"/>
      <c r="R64" s="97"/>
      <c r="S64" s="97"/>
      <c r="T64" s="97"/>
      <c r="U64" s="97"/>
      <c r="V64" s="99"/>
      <c r="W64" s="96" t="b">
        <v>0</v>
      </c>
      <c r="X64" s="97"/>
      <c r="Y64" s="98"/>
      <c r="Z64" s="97"/>
      <c r="AA64" s="97"/>
      <c r="AB64" s="97"/>
      <c r="AC64" s="97"/>
      <c r="AD64" s="99"/>
      <c r="AE64" s="96" t="b">
        <v>0</v>
      </c>
      <c r="AF64" s="97"/>
      <c r="AG64" s="98"/>
      <c r="AH64" s="97"/>
      <c r="AI64" s="97"/>
      <c r="AJ64" s="97"/>
      <c r="AK64" s="97"/>
      <c r="AL64" s="99"/>
      <c r="AM64" s="96" t="b">
        <v>0</v>
      </c>
      <c r="AN64" s="80">
        <f t="array" ref="AN64">INDEX(A64:AM64, MATCH(RIGHT('Roadmap setting'!$B$9, 3), $A$2:$AM$2, 0) - 1)
</f>
        <v>4.05</v>
      </c>
      <c r="AO64" s="100">
        <f t="array" ref="AO64">IFNA(LOOKUP(2,1/(ISNUMBER(AO43:AO63)),AO43:AO63)+(E64/(Resources!$P$55/7)),TODAY()+(E64/(Resources!$P$55/7)))</f>
        <v>174934.8317</v>
      </c>
      <c r="AP64" s="100">
        <f t="array" ref="AP64">IFNA(LOOKUP(2,1/(ISNUMBER(AP43:AP63)),AP43:AP63)+(F64/(Resources!$P$56/7)),TODAY()+(F64/(Resources!$P$56/7)))</f>
        <v>5962.854244</v>
      </c>
      <c r="AQ64" s="100">
        <f t="array" ref="AQ64">IF(ISNUMBER($AV64),IFNA(LOOKUP(2,1/(ISNUMBER(AQ43:AQ63)),AQ43:AQ63),TODAY()),IFNA(LOOKUP(2,1/(ISNUMBER(AQ43:AQ63)),AQ43:AQ63)+(E64/(Resources!$E$55/7)),TODAY()+(E64/(Resources!$E$55/7))))</f>
        <v>336585.416</v>
      </c>
      <c r="AR64" s="100">
        <f t="array" ref="AR64">IF(ISNUMBER($AV64),IFNA(LOOKUP(2,1/(ISNUMBER(AR43:AR63)),AR43:AR63),TODAY()),IFNA(LOOKUP(2,1/(ISNUMBER(AR43:AR63)),AR43:AR63)+(F64/(Resources!$E$56/7)),TODAY()+(F64/(Resources!$E$56/7))))</f>
        <v>17888.56273</v>
      </c>
      <c r="AS64" s="100">
        <f t="shared" si="13"/>
        <v>336585.416</v>
      </c>
      <c r="AT64" s="101"/>
      <c r="AU64" s="102">
        <v>45705.0</v>
      </c>
      <c r="AV64" s="83"/>
    </row>
    <row r="65" ht="15.0" customHeight="1">
      <c r="A65" s="83" t="s">
        <v>97</v>
      </c>
      <c r="B65" s="92" t="s">
        <v>92</v>
      </c>
      <c r="C65" s="116" t="s">
        <v>142</v>
      </c>
      <c r="D65" s="93">
        <f>IF($A65="Feature",SUM(E65:F65)*'Roadmap setting'!$B$13,0)</f>
        <v>1.6</v>
      </c>
      <c r="E65" s="94">
        <v>8.0</v>
      </c>
      <c r="F65" s="94">
        <v>0.0</v>
      </c>
      <c r="G65" s="95">
        <f>IF($A65="Feature",IF('Roadmap setting'!$E$14,$F65*('Roadmap setting'!$B$14+'Roadmap setting'!$D$14),$F65*'Roadmap setting'!$B$14),0)</f>
        <v>0</v>
      </c>
      <c r="H65" s="93">
        <f>IF($A65="Feature",$E65*'Roadmap setting'!$B$15,0)</f>
        <v>0</v>
      </c>
      <c r="I65" s="95">
        <f>IF($A65="Feature",$F65*'Roadmap setting'!$B$16,0)</f>
        <v>0</v>
      </c>
      <c r="J65" s="93">
        <f>SUM($E65:$F65)*'Roadmap setting'!$B$17</f>
        <v>0.96</v>
      </c>
      <c r="K65" s="93">
        <f>SUM($E65:$F65)*'Roadmap setting'!$B$18</f>
        <v>0.08</v>
      </c>
      <c r="L65" s="93">
        <f>SUM($E65:$F65)*'Roadmap setting'!$B$19</f>
        <v>0</v>
      </c>
      <c r="M65" s="95">
        <f>SUM($E65:$F65)*'Roadmap setting'!$B$20</f>
        <v>0.16</v>
      </c>
      <c r="N65" s="79">
        <f t="shared" si="12"/>
        <v>10.8</v>
      </c>
      <c r="O65" s="96" t="b">
        <v>1</v>
      </c>
      <c r="P65" s="97"/>
      <c r="Q65" s="98"/>
      <c r="R65" s="97"/>
      <c r="S65" s="97"/>
      <c r="T65" s="97"/>
      <c r="U65" s="97"/>
      <c r="V65" s="99"/>
      <c r="W65" s="96" t="b">
        <v>0</v>
      </c>
      <c r="X65" s="97"/>
      <c r="Y65" s="98"/>
      <c r="Z65" s="97"/>
      <c r="AA65" s="97"/>
      <c r="AB65" s="97"/>
      <c r="AC65" s="97"/>
      <c r="AD65" s="99"/>
      <c r="AE65" s="96" t="b">
        <v>0</v>
      </c>
      <c r="AF65" s="97"/>
      <c r="AG65" s="98"/>
      <c r="AH65" s="97"/>
      <c r="AI65" s="97"/>
      <c r="AJ65" s="97"/>
      <c r="AK65" s="97"/>
      <c r="AL65" s="99"/>
      <c r="AM65" s="96" t="b">
        <v>0</v>
      </c>
      <c r="AN65" s="80">
        <f t="array" ref="AN65">INDEX(A65:AM65, MATCH(RIGHT('Roadmap setting'!$B$9, 3), $A$2:$AM$2, 0) - 1)
</f>
        <v>10.8</v>
      </c>
      <c r="AO65" s="100">
        <f t="array" ref="AO65">IFNA(LOOKUP(2,1/(ISNUMBER(AO53:AO64)),AO53:AO64)+(E65/(Resources!$P$55/7)),TODAY()+(E65/(Resources!$P$55/7)))</f>
        <v>174935.8263</v>
      </c>
      <c r="AP65" s="100">
        <f t="array" ref="AP65">IFNA(LOOKUP(2,1/(ISNUMBER(AP53:AP64)),AP53:AP64)+(F65/(Resources!$P$56/7)),TODAY()+(F65/(Resources!$P$56/7)))</f>
        <v>5962.854244</v>
      </c>
      <c r="AQ65" s="100">
        <f t="array" ref="AQ65">IF(ISNUMBER($AV65),IFNA(LOOKUP(2,1/(ISNUMBER(AQ53:AQ64)),AQ53:AQ64),TODAY()),IFNA(LOOKUP(2,1/(ISNUMBER(AQ53:AQ64)),AQ53:AQ64)+(E65/(Resources!$E$55/7)),TODAY()+(E65/(Resources!$E$55/7))))</f>
        <v>336587.4552</v>
      </c>
      <c r="AR65" s="100">
        <f t="array" ref="AR65">IF(ISNUMBER($AV65),IFNA(LOOKUP(2,1/(ISNUMBER(AR53:AR64)),AR53:AR64),TODAY()),IFNA(LOOKUP(2,1/(ISNUMBER(AR53:AR64)),AR53:AR64)+(F65/(Resources!$E$56/7)),TODAY()+(F65/(Resources!$E$56/7))))</f>
        <v>17888.56273</v>
      </c>
      <c r="AS65" s="100">
        <f t="shared" si="13"/>
        <v>336587.4552</v>
      </c>
      <c r="AT65" s="101"/>
      <c r="AU65" s="102">
        <v>45705.0</v>
      </c>
      <c r="AV65" s="83"/>
    </row>
    <row r="66" ht="15.0" customHeight="1">
      <c r="A66" s="83" t="s">
        <v>97</v>
      </c>
      <c r="B66" s="92" t="s">
        <v>100</v>
      </c>
      <c r="C66" s="116" t="s">
        <v>143</v>
      </c>
      <c r="D66" s="93">
        <f>IF($A66="Feature",SUM(E66:F66)*'Roadmap setting'!$B$13,0)</f>
        <v>0.4</v>
      </c>
      <c r="E66" s="94">
        <v>2.0</v>
      </c>
      <c r="F66" s="94">
        <v>0.0</v>
      </c>
      <c r="G66" s="95">
        <f>IF($A66="Feature",IF('Roadmap setting'!$E$14,$F66*('Roadmap setting'!$B$14+'Roadmap setting'!$D$14),$F66*'Roadmap setting'!$B$14),0)</f>
        <v>0</v>
      </c>
      <c r="H66" s="93">
        <f>IF($A66="Feature",$E66*'Roadmap setting'!$B$15,0)</f>
        <v>0</v>
      </c>
      <c r="I66" s="95">
        <f>IF($A66="Feature",$F66*'Roadmap setting'!$B$16,0)</f>
        <v>0</v>
      </c>
      <c r="J66" s="93">
        <f>SUM($E66:$F66)*'Roadmap setting'!$B$17</f>
        <v>0.24</v>
      </c>
      <c r="K66" s="93">
        <f>SUM($E66:$F66)*'Roadmap setting'!$B$18</f>
        <v>0.02</v>
      </c>
      <c r="L66" s="93">
        <f>SUM($E66:$F66)*'Roadmap setting'!$B$19</f>
        <v>0</v>
      </c>
      <c r="M66" s="95">
        <f>SUM($E66:$F66)*'Roadmap setting'!$B$20</f>
        <v>0.04</v>
      </c>
      <c r="N66" s="79">
        <f t="shared" si="12"/>
        <v>2.7</v>
      </c>
      <c r="O66" s="96" t="b">
        <v>1</v>
      </c>
      <c r="P66" s="97"/>
      <c r="Q66" s="98"/>
      <c r="R66" s="97"/>
      <c r="S66" s="97"/>
      <c r="T66" s="97"/>
      <c r="U66" s="97"/>
      <c r="V66" s="99"/>
      <c r="W66" s="96" t="b">
        <v>0</v>
      </c>
      <c r="X66" s="97"/>
      <c r="Y66" s="98"/>
      <c r="Z66" s="97"/>
      <c r="AA66" s="97"/>
      <c r="AB66" s="97"/>
      <c r="AC66" s="97"/>
      <c r="AD66" s="99"/>
      <c r="AE66" s="96" t="b">
        <v>0</v>
      </c>
      <c r="AF66" s="97"/>
      <c r="AG66" s="98"/>
      <c r="AH66" s="97"/>
      <c r="AI66" s="97"/>
      <c r="AJ66" s="97"/>
      <c r="AK66" s="97"/>
      <c r="AL66" s="99"/>
      <c r="AM66" s="96" t="b">
        <v>0</v>
      </c>
      <c r="AN66" s="80">
        <f t="array" ref="AN66">INDEX(A66:AM66, MATCH(RIGHT('Roadmap setting'!$B$9, 3), $A$2:$AM$2, 0) - 1)
</f>
        <v>2.7</v>
      </c>
      <c r="AO66" s="100">
        <f t="array" ref="AO66">IFNA(LOOKUP(2,1/(ISNUMBER(AO60:AO65)),AO60:AO65)+(E66/(Resources!$P$55/7)),TODAY()+(E66/(Resources!$P$55/7)))</f>
        <v>174936.075</v>
      </c>
      <c r="AP66" s="100">
        <f t="array" ref="AP66">IFNA(LOOKUP(2,1/(ISNUMBER(AP60:AP65)),AP60:AP65)+(F66/(Resources!$P$56/7)),TODAY()+(F66/(Resources!$P$56/7)))</f>
        <v>5962.854244</v>
      </c>
      <c r="AQ66" s="100">
        <f t="array" ref="AQ66">IF(ISNUMBER($AV66),IFNA(LOOKUP(2,1/(ISNUMBER(AQ60:AQ65)),AQ60:AQ65),TODAY()),IFNA(LOOKUP(2,1/(ISNUMBER(AQ60:AQ65)),AQ60:AQ65)+(E66/(Resources!$E$55/7)),TODAY()+(E66/(Resources!$E$55/7))))</f>
        <v>336587.965</v>
      </c>
      <c r="AR66" s="100">
        <f t="array" ref="AR66">IF(ISNUMBER($AV66),IFNA(LOOKUP(2,1/(ISNUMBER(AR60:AR65)),AR60:AR65),TODAY()),IFNA(LOOKUP(2,1/(ISNUMBER(AR60:AR65)),AR60:AR65)+(F66/(Resources!$E$56/7)),TODAY()+(F66/(Resources!$E$56/7))))</f>
        <v>17888.56273</v>
      </c>
      <c r="AS66" s="100">
        <f t="shared" si="13"/>
        <v>336587.965</v>
      </c>
      <c r="AT66" s="101"/>
      <c r="AU66" s="102">
        <v>45705.0</v>
      </c>
      <c r="AV66" s="83"/>
    </row>
    <row r="67" ht="15.0" customHeight="1">
      <c r="A67" s="83" t="s">
        <v>97</v>
      </c>
      <c r="B67" s="92" t="s">
        <v>100</v>
      </c>
      <c r="C67" s="116" t="s">
        <v>144</v>
      </c>
      <c r="D67" s="93">
        <f>IF($A67="Feature",SUM(E67:F67)*'Roadmap setting'!$B$13,0)</f>
        <v>0.2</v>
      </c>
      <c r="E67" s="94">
        <v>1.0</v>
      </c>
      <c r="F67" s="94">
        <v>0.0</v>
      </c>
      <c r="G67" s="95">
        <f>IF($A67="Feature",IF('Roadmap setting'!$E$14,$F67*('Roadmap setting'!$B$14+'Roadmap setting'!$D$14),$F67*'Roadmap setting'!$B$14),0)</f>
        <v>0</v>
      </c>
      <c r="H67" s="93">
        <f>IF($A67="Feature",$E67*'Roadmap setting'!$B$15,0)</f>
        <v>0</v>
      </c>
      <c r="I67" s="95">
        <f>IF($A67="Feature",$F67*'Roadmap setting'!$B$16,0)</f>
        <v>0</v>
      </c>
      <c r="J67" s="93">
        <f>SUM($E67:$F67)*'Roadmap setting'!$B$17</f>
        <v>0.12</v>
      </c>
      <c r="K67" s="93">
        <f>SUM($E67:$F67)*'Roadmap setting'!$B$18</f>
        <v>0.01</v>
      </c>
      <c r="L67" s="93">
        <f>SUM($E67:$F67)*'Roadmap setting'!$B$19</f>
        <v>0</v>
      </c>
      <c r="M67" s="95">
        <f>SUM($E67:$F67)*'Roadmap setting'!$B$20</f>
        <v>0.02</v>
      </c>
      <c r="N67" s="79">
        <f t="shared" si="12"/>
        <v>1.35</v>
      </c>
      <c r="O67" s="96" t="b">
        <v>1</v>
      </c>
      <c r="P67" s="97"/>
      <c r="Q67" s="98"/>
      <c r="R67" s="97"/>
      <c r="S67" s="97"/>
      <c r="T67" s="97"/>
      <c r="U67" s="97"/>
      <c r="V67" s="99"/>
      <c r="W67" s="96" t="b">
        <v>0</v>
      </c>
      <c r="X67" s="97"/>
      <c r="Y67" s="98"/>
      <c r="Z67" s="97"/>
      <c r="AA67" s="97"/>
      <c r="AB67" s="97"/>
      <c r="AC67" s="97"/>
      <c r="AD67" s="99"/>
      <c r="AE67" s="96" t="b">
        <v>0</v>
      </c>
      <c r="AF67" s="97"/>
      <c r="AG67" s="98"/>
      <c r="AH67" s="97"/>
      <c r="AI67" s="97"/>
      <c r="AJ67" s="97"/>
      <c r="AK67" s="97"/>
      <c r="AL67" s="99"/>
      <c r="AM67" s="96" t="b">
        <v>0</v>
      </c>
      <c r="AN67" s="80">
        <f t="array" ref="AN67">INDEX(A67:AM67, MATCH(RIGHT('Roadmap setting'!$B$9, 3), $A$2:$AM$2, 0) - 1)
</f>
        <v>1.35</v>
      </c>
      <c r="AO67" s="100">
        <f t="array" ref="AO67">IFNA(LOOKUP(2,1/(ISNUMBER(AO62:AO66)),AO62:AO66)+(E67/(Resources!$P$55/7)),TODAY()+(E67/(Resources!$P$55/7)))</f>
        <v>174936.1993</v>
      </c>
      <c r="AP67" s="100">
        <f t="array" ref="AP67">IFNA(LOOKUP(2,1/(ISNUMBER(AP62:AP66)),AP62:AP66)+(F67/(Resources!$P$56/7)),TODAY()+(F67/(Resources!$P$56/7)))</f>
        <v>5962.854244</v>
      </c>
      <c r="AQ67" s="100">
        <f t="array" ref="AQ67">IF(ISNUMBER($AV67),IFNA(LOOKUP(2,1/(ISNUMBER(AQ62:AQ66)),AQ62:AQ66),TODAY()),IFNA(LOOKUP(2,1/(ISNUMBER(AQ62:AQ66)),AQ62:AQ66)+(E67/(Resources!$E$55/7)),TODAY()+(E67/(Resources!$E$55/7))))</f>
        <v>336588.2199</v>
      </c>
      <c r="AR67" s="100">
        <f t="array" ref="AR67">IF(ISNUMBER($AV67),IFNA(LOOKUP(2,1/(ISNUMBER(AR62:AR66)),AR62:AR66),TODAY()),IFNA(LOOKUP(2,1/(ISNUMBER(AR62:AR66)),AR62:AR66)+(F67/(Resources!$E$56/7)),TODAY()+(F67/(Resources!$E$56/7))))</f>
        <v>17888.56273</v>
      </c>
      <c r="AS67" s="100">
        <f t="shared" si="13"/>
        <v>336588.2199</v>
      </c>
      <c r="AT67" s="101"/>
      <c r="AU67" s="102">
        <v>45705.0</v>
      </c>
      <c r="AV67" s="83"/>
    </row>
    <row r="68" ht="15.0" customHeight="1">
      <c r="A68" s="83" t="s">
        <v>97</v>
      </c>
      <c r="B68" s="92" t="s">
        <v>112</v>
      </c>
      <c r="C68" s="116" t="s">
        <v>145</v>
      </c>
      <c r="D68" s="93">
        <f>IF($A68="Feature",SUM(E68:F68)*'Roadmap setting'!$B$13,0)</f>
        <v>0.4</v>
      </c>
      <c r="E68" s="94">
        <v>2.0</v>
      </c>
      <c r="F68" s="94">
        <v>0.0</v>
      </c>
      <c r="G68" s="95">
        <f>IF($A68="Feature",IF('Roadmap setting'!$E$14,$F68*('Roadmap setting'!$B$14+'Roadmap setting'!$D$14),$F68*'Roadmap setting'!$B$14),0)</f>
        <v>0</v>
      </c>
      <c r="H68" s="93">
        <f>IF($A68="Feature",$E68*'Roadmap setting'!$B$15,0)</f>
        <v>0</v>
      </c>
      <c r="I68" s="95">
        <f>IF($A68="Feature",$F68*'Roadmap setting'!$B$16,0)</f>
        <v>0</v>
      </c>
      <c r="J68" s="93">
        <f>SUM($E68:$F68)*'Roadmap setting'!$B$17</f>
        <v>0.24</v>
      </c>
      <c r="K68" s="93">
        <f>SUM($E68:$F68)*'Roadmap setting'!$B$18</f>
        <v>0.02</v>
      </c>
      <c r="L68" s="93">
        <f>SUM($E68:$F68)*'Roadmap setting'!$B$19</f>
        <v>0</v>
      </c>
      <c r="M68" s="95">
        <f>SUM($E68:$F68)*'Roadmap setting'!$B$20</f>
        <v>0.04</v>
      </c>
      <c r="N68" s="79">
        <f t="shared" si="12"/>
        <v>2.7</v>
      </c>
      <c r="O68" s="96" t="b">
        <v>1</v>
      </c>
      <c r="P68" s="97"/>
      <c r="Q68" s="98"/>
      <c r="R68" s="97"/>
      <c r="S68" s="97"/>
      <c r="T68" s="97"/>
      <c r="U68" s="97"/>
      <c r="V68" s="99"/>
      <c r="W68" s="96" t="b">
        <v>0</v>
      </c>
      <c r="X68" s="97"/>
      <c r="Y68" s="98"/>
      <c r="Z68" s="97"/>
      <c r="AA68" s="97"/>
      <c r="AB68" s="97"/>
      <c r="AC68" s="97"/>
      <c r="AD68" s="99"/>
      <c r="AE68" s="96" t="b">
        <v>0</v>
      </c>
      <c r="AF68" s="97"/>
      <c r="AG68" s="98"/>
      <c r="AH68" s="97"/>
      <c r="AI68" s="97"/>
      <c r="AJ68" s="97"/>
      <c r="AK68" s="97"/>
      <c r="AL68" s="99"/>
      <c r="AM68" s="96" t="b">
        <v>0</v>
      </c>
      <c r="AN68" s="80">
        <f t="array" ref="AN68">INDEX(A68:AM68, MATCH(RIGHT('Roadmap setting'!$B$9, 3), $A$2:$AM$2, 0) - 1)
</f>
        <v>2.7</v>
      </c>
      <c r="AO68" s="100">
        <f t="array" ref="AO68">IFNA(LOOKUP(2,1/(ISNUMBER(AO63:AO67)),AO63:AO67)+(E68/(Resources!$P$55/7)),TODAY()+(E68/(Resources!$P$55/7)))</f>
        <v>174936.448</v>
      </c>
      <c r="AP68" s="100">
        <f t="array" ref="AP68">IFNA(LOOKUP(2,1/(ISNUMBER(AP63:AP67)),AP63:AP67)+(F68/(Resources!$P$56/7)),TODAY()+(F68/(Resources!$P$56/7)))</f>
        <v>5962.854244</v>
      </c>
      <c r="AQ68" s="100">
        <f t="array" ref="AQ68">IF(ISNUMBER($AV68),IFNA(LOOKUP(2,1/(ISNUMBER(AQ63:AQ67)),AQ63:AQ67),TODAY()),IFNA(LOOKUP(2,1/(ISNUMBER(AQ63:AQ67)),AQ63:AQ67)+(E68/(Resources!$E$55/7)),TODAY()+(E68/(Resources!$E$55/7))))</f>
        <v>336588.7297</v>
      </c>
      <c r="AR68" s="100">
        <f t="array" ref="AR68">IF(ISNUMBER($AV68),IFNA(LOOKUP(2,1/(ISNUMBER(AR63:AR67)),AR63:AR67),TODAY()),IFNA(LOOKUP(2,1/(ISNUMBER(AR63:AR67)),AR63:AR67)+(F68/(Resources!$E$56/7)),TODAY()+(F68/(Resources!$E$56/7))))</f>
        <v>17888.56273</v>
      </c>
      <c r="AS68" s="100">
        <f t="shared" si="13"/>
        <v>336588.7297</v>
      </c>
      <c r="AT68" s="101"/>
      <c r="AU68" s="102">
        <v>45705.0</v>
      </c>
      <c r="AV68" s="83"/>
    </row>
    <row r="69" ht="15.0" customHeight="1">
      <c r="A69" s="83" t="s">
        <v>97</v>
      </c>
      <c r="B69" s="92" t="s">
        <v>92</v>
      </c>
      <c r="C69" s="116" t="s">
        <v>146</v>
      </c>
      <c r="D69" s="93">
        <f>IF($A69="Feature",SUM(E69:F69)*'Roadmap setting'!$B$13,0)</f>
        <v>0.6</v>
      </c>
      <c r="E69" s="94">
        <v>3.0</v>
      </c>
      <c r="F69" s="94">
        <v>0.0</v>
      </c>
      <c r="G69" s="95">
        <f>IF($A69="Feature",IF('Roadmap setting'!$E$14,$F69*('Roadmap setting'!$B$14+'Roadmap setting'!$D$14),$F69*'Roadmap setting'!$B$14),0)</f>
        <v>0</v>
      </c>
      <c r="H69" s="93">
        <f>IF($A69="Feature",$E69*'Roadmap setting'!$B$15,0)</f>
        <v>0</v>
      </c>
      <c r="I69" s="95">
        <f>IF($A69="Feature",$F69*'Roadmap setting'!$B$16,0)</f>
        <v>0</v>
      </c>
      <c r="J69" s="93">
        <f>SUM($E69:$F69)*'Roadmap setting'!$B$17</f>
        <v>0.36</v>
      </c>
      <c r="K69" s="93">
        <f>SUM($E69:$F69)*'Roadmap setting'!$B$18</f>
        <v>0.03</v>
      </c>
      <c r="L69" s="93">
        <f>SUM($E69:$F69)*'Roadmap setting'!$B$19</f>
        <v>0</v>
      </c>
      <c r="M69" s="95">
        <f>SUM($E69:$F69)*'Roadmap setting'!$B$20</f>
        <v>0.06</v>
      </c>
      <c r="N69" s="79">
        <f t="shared" si="12"/>
        <v>4.05</v>
      </c>
      <c r="O69" s="96" t="b">
        <v>1</v>
      </c>
      <c r="P69" s="97"/>
      <c r="Q69" s="98"/>
      <c r="R69" s="97"/>
      <c r="S69" s="97"/>
      <c r="T69" s="97"/>
      <c r="U69" s="97"/>
      <c r="V69" s="99"/>
      <c r="W69" s="96" t="b">
        <v>0</v>
      </c>
      <c r="X69" s="97"/>
      <c r="Y69" s="98"/>
      <c r="Z69" s="97"/>
      <c r="AA69" s="97"/>
      <c r="AB69" s="97"/>
      <c r="AC69" s="97"/>
      <c r="AD69" s="99"/>
      <c r="AE69" s="96" t="b">
        <v>0</v>
      </c>
      <c r="AF69" s="97"/>
      <c r="AG69" s="98"/>
      <c r="AH69" s="97"/>
      <c r="AI69" s="97"/>
      <c r="AJ69" s="97"/>
      <c r="AK69" s="97"/>
      <c r="AL69" s="99"/>
      <c r="AM69" s="96" t="b">
        <v>0</v>
      </c>
      <c r="AN69" s="80">
        <f t="array" ref="AN69">INDEX(A69:AM69, MATCH(RIGHT('Roadmap setting'!$B$9, 3), $A$2:$AM$2, 0) - 1)
</f>
        <v>4.05</v>
      </c>
      <c r="AO69" s="100">
        <f t="array" ref="AO69">IFNA(LOOKUP(2,1/(ISNUMBER(AO64:AO68)),AO64:AO68)+(E69/(Resources!$P$55/7)),TODAY()+(E69/(Resources!$P$55/7)))</f>
        <v>174936.821</v>
      </c>
      <c r="AP69" s="100">
        <f t="array" ref="AP69">IFNA(LOOKUP(2,1/(ISNUMBER(AP64:AP68)),AP64:AP68)+(F69/(Resources!$P$56/7)),TODAY()+(F69/(Resources!$P$56/7)))</f>
        <v>5962.854244</v>
      </c>
      <c r="AQ69" s="100">
        <f t="array" ref="AQ69">IF(ISNUMBER($AV69),IFNA(LOOKUP(2,1/(ISNUMBER(AQ64:AQ68)),AQ64:AQ68),TODAY()),IFNA(LOOKUP(2,1/(ISNUMBER(AQ64:AQ68)),AQ64:AQ68)+(E69/(Resources!$E$55/7)),TODAY()+(E69/(Resources!$E$55/7))))</f>
        <v>336589.4944</v>
      </c>
      <c r="AR69" s="100">
        <f t="array" ref="AR69">IF(ISNUMBER($AV69),IFNA(LOOKUP(2,1/(ISNUMBER(AR64:AR68)),AR64:AR68),TODAY()),IFNA(LOOKUP(2,1/(ISNUMBER(AR64:AR68)),AR64:AR68)+(F69/(Resources!$E$56/7)),TODAY()+(F69/(Resources!$E$56/7))))</f>
        <v>17888.56273</v>
      </c>
      <c r="AS69" s="100">
        <f t="shared" si="13"/>
        <v>336589.4944</v>
      </c>
      <c r="AT69" s="101"/>
      <c r="AU69" s="102">
        <v>45705.0</v>
      </c>
      <c r="AV69" s="83"/>
    </row>
    <row r="70" ht="15.0" customHeight="1">
      <c r="A70" s="83" t="s">
        <v>97</v>
      </c>
      <c r="B70" s="92" t="s">
        <v>92</v>
      </c>
      <c r="C70" s="116" t="s">
        <v>147</v>
      </c>
      <c r="D70" s="93">
        <f>IF($A70="Feature",SUM(E70:F70)*'Roadmap setting'!$B$13,0)</f>
        <v>1.6</v>
      </c>
      <c r="E70" s="94">
        <v>8.0</v>
      </c>
      <c r="F70" s="94">
        <v>0.0</v>
      </c>
      <c r="G70" s="95">
        <f>IF($A70="Feature",IF('Roadmap setting'!$E$14,$F70*('Roadmap setting'!$B$14+'Roadmap setting'!$D$14),$F70*'Roadmap setting'!$B$14),0)</f>
        <v>0</v>
      </c>
      <c r="H70" s="93">
        <f>IF($A70="Feature",$E70*'Roadmap setting'!$B$15,0)</f>
        <v>0</v>
      </c>
      <c r="I70" s="95">
        <f>IF($A70="Feature",$F70*'Roadmap setting'!$B$16,0)</f>
        <v>0</v>
      </c>
      <c r="J70" s="93">
        <f>SUM($E70:$F70)*'Roadmap setting'!$B$17</f>
        <v>0.96</v>
      </c>
      <c r="K70" s="93">
        <f>SUM($E70:$F70)*'Roadmap setting'!$B$18</f>
        <v>0.08</v>
      </c>
      <c r="L70" s="93">
        <f>SUM($E70:$F70)*'Roadmap setting'!$B$19</f>
        <v>0</v>
      </c>
      <c r="M70" s="95">
        <f>SUM($E70:$F70)*'Roadmap setting'!$B$20</f>
        <v>0.16</v>
      </c>
      <c r="N70" s="79">
        <f t="shared" si="12"/>
        <v>10.8</v>
      </c>
      <c r="O70" s="96" t="b">
        <v>1</v>
      </c>
      <c r="P70" s="97"/>
      <c r="Q70" s="98"/>
      <c r="R70" s="97"/>
      <c r="S70" s="97"/>
      <c r="T70" s="97"/>
      <c r="U70" s="97"/>
      <c r="V70" s="99"/>
      <c r="W70" s="96" t="b">
        <v>0</v>
      </c>
      <c r="X70" s="97"/>
      <c r="Y70" s="98"/>
      <c r="Z70" s="97"/>
      <c r="AA70" s="97"/>
      <c r="AB70" s="97"/>
      <c r="AC70" s="97"/>
      <c r="AD70" s="99"/>
      <c r="AE70" s="96" t="b">
        <v>0</v>
      </c>
      <c r="AF70" s="97"/>
      <c r="AG70" s="98"/>
      <c r="AH70" s="97"/>
      <c r="AI70" s="97"/>
      <c r="AJ70" s="97"/>
      <c r="AK70" s="97"/>
      <c r="AL70" s="99"/>
      <c r="AM70" s="96" t="b">
        <v>0</v>
      </c>
      <c r="AN70" s="80">
        <f t="array" ref="AN70">INDEX(A70:AM70, MATCH(RIGHT('Roadmap setting'!$B$9, 3), $A$2:$AM$2, 0) - 1)
</f>
        <v>10.8</v>
      </c>
      <c r="AO70" s="100">
        <f t="array" ref="AO70">IFNA(LOOKUP(2,1/(ISNUMBER(AO64:AO69)),AO64:AO69)+(E70/(Resources!$P$55/7)),TODAY()+(E70/(Resources!$P$55/7)))</f>
        <v>174937.8156</v>
      </c>
      <c r="AP70" s="100">
        <f t="array" ref="AP70">IFNA(LOOKUP(2,1/(ISNUMBER(AP64:AP69)),AP64:AP69)+(F70/(Resources!$P$56/7)),TODAY()+(F70/(Resources!$P$56/7)))</f>
        <v>5962.854244</v>
      </c>
      <c r="AQ70" s="100">
        <f t="array" ref="AQ70">IF(ISNUMBER($AV70),IFNA(LOOKUP(2,1/(ISNUMBER(AQ64:AQ69)),AQ64:AQ69),TODAY()),IFNA(LOOKUP(2,1/(ISNUMBER(AQ64:AQ69)),AQ64:AQ69)+(E70/(Resources!$E$55/7)),TODAY()+(E70/(Resources!$E$55/7))))</f>
        <v>336591.5335</v>
      </c>
      <c r="AR70" s="100">
        <f t="array" ref="AR70">IF(ISNUMBER($AV70),IFNA(LOOKUP(2,1/(ISNUMBER(AR64:AR69)),AR64:AR69),TODAY()),IFNA(LOOKUP(2,1/(ISNUMBER(AR64:AR69)),AR64:AR69)+(F70/(Resources!$E$56/7)),TODAY()+(F70/(Resources!$E$56/7))))</f>
        <v>17888.56273</v>
      </c>
      <c r="AS70" s="100">
        <f t="shared" si="13"/>
        <v>336591.5335</v>
      </c>
      <c r="AT70" s="101"/>
      <c r="AU70" s="102">
        <v>45705.0</v>
      </c>
      <c r="AV70" s="83"/>
    </row>
    <row r="71" ht="15.0" customHeight="1">
      <c r="A71" s="83" t="s">
        <v>97</v>
      </c>
      <c r="B71" s="92" t="s">
        <v>100</v>
      </c>
      <c r="C71" s="116" t="s">
        <v>148</v>
      </c>
      <c r="D71" s="93">
        <f>IF($A71="Feature",SUM(E71:F71)*'Roadmap setting'!$B$13,0)</f>
        <v>0.4</v>
      </c>
      <c r="E71" s="94">
        <v>2.0</v>
      </c>
      <c r="F71" s="94">
        <v>0.0</v>
      </c>
      <c r="G71" s="95">
        <f>IF($A71="Feature",IF('Roadmap setting'!$E$14,$F71*('Roadmap setting'!$B$14+'Roadmap setting'!$D$14),$F71*'Roadmap setting'!$B$14),0)</f>
        <v>0</v>
      </c>
      <c r="H71" s="93">
        <f>IF($A71="Feature",$E71*'Roadmap setting'!$B$15,0)</f>
        <v>0</v>
      </c>
      <c r="I71" s="95">
        <f>IF($A71="Feature",$F71*'Roadmap setting'!$B$16,0)</f>
        <v>0</v>
      </c>
      <c r="J71" s="93">
        <f>SUM($E71:$F71)*'Roadmap setting'!$B$17</f>
        <v>0.24</v>
      </c>
      <c r="K71" s="93">
        <f>SUM($E71:$F71)*'Roadmap setting'!$B$18</f>
        <v>0.02</v>
      </c>
      <c r="L71" s="93">
        <f>SUM($E71:$F71)*'Roadmap setting'!$B$19</f>
        <v>0</v>
      </c>
      <c r="M71" s="95">
        <f>SUM($E71:$F71)*'Roadmap setting'!$B$20</f>
        <v>0.04</v>
      </c>
      <c r="N71" s="79">
        <f t="shared" si="12"/>
        <v>2.7</v>
      </c>
      <c r="O71" s="96" t="b">
        <v>1</v>
      </c>
      <c r="P71" s="97"/>
      <c r="Q71" s="98"/>
      <c r="R71" s="97"/>
      <c r="S71" s="97"/>
      <c r="T71" s="97"/>
      <c r="U71" s="97"/>
      <c r="V71" s="99"/>
      <c r="W71" s="96" t="b">
        <v>0</v>
      </c>
      <c r="X71" s="97"/>
      <c r="Y71" s="98"/>
      <c r="Z71" s="97"/>
      <c r="AA71" s="97"/>
      <c r="AB71" s="97"/>
      <c r="AC71" s="97"/>
      <c r="AD71" s="99"/>
      <c r="AE71" s="96" t="b">
        <v>0</v>
      </c>
      <c r="AF71" s="97"/>
      <c r="AG71" s="98"/>
      <c r="AH71" s="97"/>
      <c r="AI71" s="97"/>
      <c r="AJ71" s="97"/>
      <c r="AK71" s="97"/>
      <c r="AL71" s="99"/>
      <c r="AM71" s="96" t="b">
        <v>0</v>
      </c>
      <c r="AN71" s="80">
        <f t="array" ref="AN71">INDEX(A71:AM71, MATCH(RIGHT('Roadmap setting'!$B$9, 3), $A$2:$AM$2, 0) - 1)
</f>
        <v>2.7</v>
      </c>
      <c r="AO71" s="100">
        <f t="array" ref="AO71">IFNA(LOOKUP(2,1/(ISNUMBER(AO65:AO70)),AO65:AO70)+(E71/(Resources!$P$55/7)),TODAY()+(E71/(Resources!$P$55/7)))</f>
        <v>174938.0642</v>
      </c>
      <c r="AP71" s="100">
        <f t="array" ref="AP71">IFNA(LOOKUP(2,1/(ISNUMBER(AP65:AP70)),AP65:AP70)+(F71/(Resources!$P$56/7)),TODAY()+(F71/(Resources!$P$56/7)))</f>
        <v>5962.854244</v>
      </c>
      <c r="AQ71" s="100">
        <f t="array" ref="AQ71">IF(ISNUMBER($AV71),IFNA(LOOKUP(2,1/(ISNUMBER(AQ65:AQ70)),AQ65:AQ70),TODAY()),IFNA(LOOKUP(2,1/(ISNUMBER(AQ65:AQ70)),AQ65:AQ70)+(E71/(Resources!$E$55/7)),TODAY()+(E71/(Resources!$E$55/7))))</f>
        <v>336592.0433</v>
      </c>
      <c r="AR71" s="100">
        <f t="array" ref="AR71">IF(ISNUMBER($AV71),IFNA(LOOKUP(2,1/(ISNUMBER(AR65:AR70)),AR65:AR70),TODAY()),IFNA(LOOKUP(2,1/(ISNUMBER(AR65:AR70)),AR65:AR70)+(F71/(Resources!$E$56/7)),TODAY()+(F71/(Resources!$E$56/7))))</f>
        <v>17888.56273</v>
      </c>
      <c r="AS71" s="100">
        <f t="shared" si="13"/>
        <v>336592.0433</v>
      </c>
      <c r="AT71" s="101"/>
      <c r="AU71" s="102">
        <v>45705.0</v>
      </c>
      <c r="AV71" s="83"/>
    </row>
    <row r="72" ht="15.0" customHeight="1">
      <c r="A72" s="83" t="s">
        <v>97</v>
      </c>
      <c r="B72" s="92" t="s">
        <v>112</v>
      </c>
      <c r="C72" s="116" t="s">
        <v>149</v>
      </c>
      <c r="D72" s="93">
        <f>IF($A72="Feature",SUM(E72:F72)*'Roadmap setting'!$B$13,0)</f>
        <v>0.2</v>
      </c>
      <c r="E72" s="94">
        <v>1.0</v>
      </c>
      <c r="F72" s="94">
        <v>0.0</v>
      </c>
      <c r="G72" s="95">
        <f>IF($A72="Feature",IF('Roadmap setting'!$E$14,$F72*('Roadmap setting'!$B$14+'Roadmap setting'!$D$14),$F72*'Roadmap setting'!$B$14),0)</f>
        <v>0</v>
      </c>
      <c r="H72" s="93">
        <f>IF($A72="Feature",$E72*'Roadmap setting'!$B$15,0)</f>
        <v>0</v>
      </c>
      <c r="I72" s="95">
        <f>IF($A72="Feature",$F72*'Roadmap setting'!$B$16,0)</f>
        <v>0</v>
      </c>
      <c r="J72" s="93">
        <f>SUM($E72:$F72)*'Roadmap setting'!$B$17</f>
        <v>0.12</v>
      </c>
      <c r="K72" s="93">
        <f>SUM($E72:$F72)*'Roadmap setting'!$B$18</f>
        <v>0.01</v>
      </c>
      <c r="L72" s="93">
        <f>SUM($E72:$F72)*'Roadmap setting'!$B$19</f>
        <v>0</v>
      </c>
      <c r="M72" s="95">
        <f>SUM($E72:$F72)*'Roadmap setting'!$B$20</f>
        <v>0.02</v>
      </c>
      <c r="N72" s="79">
        <f t="shared" si="12"/>
        <v>1.35</v>
      </c>
      <c r="O72" s="96" t="b">
        <v>1</v>
      </c>
      <c r="P72" s="97"/>
      <c r="Q72" s="98"/>
      <c r="R72" s="97"/>
      <c r="S72" s="97"/>
      <c r="T72" s="97"/>
      <c r="U72" s="97"/>
      <c r="V72" s="99"/>
      <c r="W72" s="96" t="b">
        <v>0</v>
      </c>
      <c r="X72" s="97"/>
      <c r="Y72" s="98"/>
      <c r="Z72" s="97"/>
      <c r="AA72" s="97"/>
      <c r="AB72" s="97"/>
      <c r="AC72" s="97"/>
      <c r="AD72" s="99"/>
      <c r="AE72" s="96" t="b">
        <v>0</v>
      </c>
      <c r="AF72" s="97"/>
      <c r="AG72" s="98"/>
      <c r="AH72" s="97"/>
      <c r="AI72" s="97"/>
      <c r="AJ72" s="97"/>
      <c r="AK72" s="97"/>
      <c r="AL72" s="99"/>
      <c r="AM72" s="96" t="b">
        <v>0</v>
      </c>
      <c r="AN72" s="80">
        <f t="array" ref="AN72">INDEX(A72:AM72, MATCH(RIGHT('Roadmap setting'!$B$9, 3), $A$2:$AM$2, 0) - 1)
</f>
        <v>1.35</v>
      </c>
      <c r="AO72" s="100">
        <f t="array" ref="AO72">IFNA(LOOKUP(2,1/(ISNUMBER(AO66:AO71)),AO66:AO71)+(E72/(Resources!$P$55/7)),TODAY()+(E72/(Resources!$P$55/7)))</f>
        <v>174938.1886</v>
      </c>
      <c r="AP72" s="100">
        <f t="array" ref="AP72">IFNA(LOOKUP(2,1/(ISNUMBER(AP66:AP71)),AP66:AP71)+(F72/(Resources!$P$56/7)),TODAY()+(F72/(Resources!$P$56/7)))</f>
        <v>5962.854244</v>
      </c>
      <c r="AQ72" s="100">
        <f t="array" ref="AQ72">IF(ISNUMBER($AV72),IFNA(LOOKUP(2,1/(ISNUMBER(AQ66:AQ71)),AQ66:AQ71),TODAY()),IFNA(LOOKUP(2,1/(ISNUMBER(AQ66:AQ71)),AQ66:AQ71)+(E72/(Resources!$E$55/7)),TODAY()+(E72/(Resources!$E$55/7))))</f>
        <v>336592.2982</v>
      </c>
      <c r="AR72" s="100">
        <f t="array" ref="AR72">IF(ISNUMBER($AV72),IFNA(LOOKUP(2,1/(ISNUMBER(AR66:AR71)),AR66:AR71),TODAY()),IFNA(LOOKUP(2,1/(ISNUMBER(AR66:AR71)),AR66:AR71)+(F72/(Resources!$E$56/7)),TODAY()+(F72/(Resources!$E$56/7))))</f>
        <v>17888.56273</v>
      </c>
      <c r="AS72" s="100">
        <f t="shared" si="13"/>
        <v>336592.2982</v>
      </c>
      <c r="AT72" s="101"/>
      <c r="AU72" s="102">
        <v>45705.0</v>
      </c>
      <c r="AV72" s="83"/>
    </row>
    <row r="73" ht="15.0" customHeight="1">
      <c r="A73" s="83" t="s">
        <v>97</v>
      </c>
      <c r="B73" s="92" t="s">
        <v>112</v>
      </c>
      <c r="C73" s="116" t="s">
        <v>150</v>
      </c>
      <c r="D73" s="93">
        <f>IF($A73="Feature",SUM(E73:F73)*'Roadmap setting'!$B$13,0)</f>
        <v>0.4</v>
      </c>
      <c r="E73" s="94">
        <v>2.0</v>
      </c>
      <c r="F73" s="94">
        <v>0.0</v>
      </c>
      <c r="G73" s="95">
        <f>IF($A73="Feature",IF('Roadmap setting'!$E$14,$F73*('Roadmap setting'!$B$14+'Roadmap setting'!$D$14),$F73*'Roadmap setting'!$B$14),0)</f>
        <v>0</v>
      </c>
      <c r="H73" s="93">
        <f>IF($A73="Feature",$E73*'Roadmap setting'!$B$15,0)</f>
        <v>0</v>
      </c>
      <c r="I73" s="95">
        <f>IF($A73="Feature",$F73*'Roadmap setting'!$B$16,0)</f>
        <v>0</v>
      </c>
      <c r="J73" s="93">
        <f>SUM($E73:$F73)*'Roadmap setting'!$B$17</f>
        <v>0.24</v>
      </c>
      <c r="K73" s="93">
        <f>SUM($E73:$F73)*'Roadmap setting'!$B$18</f>
        <v>0.02</v>
      </c>
      <c r="L73" s="93">
        <f>SUM($E73:$F73)*'Roadmap setting'!$B$19</f>
        <v>0</v>
      </c>
      <c r="M73" s="95">
        <f>SUM($E73:$F73)*'Roadmap setting'!$B$20</f>
        <v>0.04</v>
      </c>
      <c r="N73" s="79">
        <f t="shared" si="12"/>
        <v>2.7</v>
      </c>
      <c r="O73" s="96" t="b">
        <v>1</v>
      </c>
      <c r="P73" s="97"/>
      <c r="Q73" s="98"/>
      <c r="R73" s="97"/>
      <c r="S73" s="97"/>
      <c r="T73" s="97"/>
      <c r="U73" s="97"/>
      <c r="V73" s="99"/>
      <c r="W73" s="96" t="b">
        <v>0</v>
      </c>
      <c r="X73" s="97"/>
      <c r="Y73" s="98"/>
      <c r="Z73" s="97"/>
      <c r="AA73" s="97"/>
      <c r="AB73" s="97"/>
      <c r="AC73" s="97"/>
      <c r="AD73" s="99"/>
      <c r="AE73" s="96" t="b">
        <v>0</v>
      </c>
      <c r="AF73" s="97"/>
      <c r="AG73" s="98"/>
      <c r="AH73" s="97"/>
      <c r="AI73" s="97"/>
      <c r="AJ73" s="97"/>
      <c r="AK73" s="97"/>
      <c r="AL73" s="99"/>
      <c r="AM73" s="96" t="b">
        <v>0</v>
      </c>
      <c r="AN73" s="80">
        <f t="array" ref="AN73">INDEX(A73:AM73, MATCH(RIGHT('Roadmap setting'!$B$9, 3), $A$2:$AM$2, 0) - 1)
</f>
        <v>2.7</v>
      </c>
      <c r="AO73" s="100">
        <f t="array" ref="AO73">IFNA(LOOKUP(2,1/(ISNUMBER(AO67:AO72)),AO67:AO72)+(E73/(Resources!$P$55/7)),TODAY()+(E73/(Resources!$P$55/7)))</f>
        <v>174938.4372</v>
      </c>
      <c r="AP73" s="100">
        <f t="array" ref="AP73">IFNA(LOOKUP(2,1/(ISNUMBER(AP67:AP72)),AP67:AP72)+(F73/(Resources!$P$56/7)),TODAY()+(F73/(Resources!$P$56/7)))</f>
        <v>5962.854244</v>
      </c>
      <c r="AQ73" s="100">
        <f t="array" ref="AQ73">IF(ISNUMBER($AV73),IFNA(LOOKUP(2,1/(ISNUMBER(AQ67:AQ72)),AQ67:AQ72),TODAY()),IFNA(LOOKUP(2,1/(ISNUMBER(AQ67:AQ72)),AQ67:AQ72)+(E73/(Resources!$E$55/7)),TODAY()+(E73/(Resources!$E$55/7))))</f>
        <v>336592.808</v>
      </c>
      <c r="AR73" s="100">
        <f t="array" ref="AR73">IF(ISNUMBER($AV73),IFNA(LOOKUP(2,1/(ISNUMBER(AR67:AR72)),AR67:AR72),TODAY()),IFNA(LOOKUP(2,1/(ISNUMBER(AR67:AR72)),AR67:AR72)+(F73/(Resources!$E$56/7)),TODAY()+(F73/(Resources!$E$56/7))))</f>
        <v>17888.56273</v>
      </c>
      <c r="AS73" s="100">
        <f t="shared" si="13"/>
        <v>336592.808</v>
      </c>
      <c r="AT73" s="101"/>
      <c r="AU73" s="102">
        <v>45705.0</v>
      </c>
      <c r="AV73" s="83"/>
    </row>
    <row r="74" ht="15.0" customHeight="1">
      <c r="A74" s="83" t="s">
        <v>97</v>
      </c>
      <c r="B74" s="92" t="s">
        <v>92</v>
      </c>
      <c r="C74" s="116" t="s">
        <v>151</v>
      </c>
      <c r="D74" s="93">
        <f>IF($A74="Feature",SUM(E74:F74)*'Roadmap setting'!$B$13,0)</f>
        <v>0.4</v>
      </c>
      <c r="E74" s="94">
        <v>2.0</v>
      </c>
      <c r="F74" s="94">
        <v>0.0</v>
      </c>
      <c r="G74" s="95">
        <f>IF($A74="Feature",IF('Roadmap setting'!$E$14,$F74*('Roadmap setting'!$B$14+'Roadmap setting'!$D$14),$F74*'Roadmap setting'!$B$14),0)</f>
        <v>0</v>
      </c>
      <c r="H74" s="93">
        <f>IF($A74="Feature",$E74*'Roadmap setting'!$B$15,0)</f>
        <v>0</v>
      </c>
      <c r="I74" s="95">
        <f>IF($A74="Feature",$F74*'Roadmap setting'!$B$16,0)</f>
        <v>0</v>
      </c>
      <c r="J74" s="93">
        <f>SUM($E74:$F74)*'Roadmap setting'!$B$17</f>
        <v>0.24</v>
      </c>
      <c r="K74" s="93">
        <f>SUM($E74:$F74)*'Roadmap setting'!$B$18</f>
        <v>0.02</v>
      </c>
      <c r="L74" s="93">
        <f>SUM($E74:$F74)*'Roadmap setting'!$B$19</f>
        <v>0</v>
      </c>
      <c r="M74" s="95">
        <f>SUM($E74:$F74)*'Roadmap setting'!$B$20</f>
        <v>0.04</v>
      </c>
      <c r="N74" s="79">
        <f t="shared" si="12"/>
        <v>2.7</v>
      </c>
      <c r="O74" s="96" t="b">
        <v>1</v>
      </c>
      <c r="P74" s="97"/>
      <c r="Q74" s="98"/>
      <c r="R74" s="97"/>
      <c r="S74" s="97"/>
      <c r="T74" s="97"/>
      <c r="U74" s="97"/>
      <c r="V74" s="99"/>
      <c r="W74" s="96" t="b">
        <v>0</v>
      </c>
      <c r="X74" s="97"/>
      <c r="Y74" s="98"/>
      <c r="Z74" s="97"/>
      <c r="AA74" s="97"/>
      <c r="AB74" s="97"/>
      <c r="AC74" s="97"/>
      <c r="AD74" s="99"/>
      <c r="AE74" s="96" t="b">
        <v>0</v>
      </c>
      <c r="AF74" s="97"/>
      <c r="AG74" s="98"/>
      <c r="AH74" s="97"/>
      <c r="AI74" s="97"/>
      <c r="AJ74" s="97"/>
      <c r="AK74" s="97"/>
      <c r="AL74" s="99"/>
      <c r="AM74" s="96" t="b">
        <v>0</v>
      </c>
      <c r="AN74" s="80">
        <f t="array" ref="AN74">INDEX(A74:AM74, MATCH(RIGHT('Roadmap setting'!$B$9, 3), $A$2:$AM$2, 0) - 1)
</f>
        <v>2.7</v>
      </c>
      <c r="AO74" s="100">
        <f t="array" ref="AO74">IFNA(LOOKUP(2,1/(ISNUMBER(AO73)),AO73)+(E74/(Resources!$P$55/7)),TODAY()+(E74/(Resources!$P$55/7)))</f>
        <v>174938.6859</v>
      </c>
      <c r="AP74" s="100">
        <f t="array" ref="AP74">IFNA(LOOKUP(2,1/(ISNUMBER(AP73)),AP73)+(F74/(Resources!$P$56/7)),TODAY()+(F74/(Resources!$P$56/7)))</f>
        <v>5962.854244</v>
      </c>
      <c r="AQ74" s="100">
        <f t="array" ref="AQ74">IF(ISNUMBER($AV74),IFNA(LOOKUP(2,1/(ISNUMBER(AQ73)),AQ73),TODAY()),IFNA(LOOKUP(2,1/(ISNUMBER(AQ73)),AQ73)+(E74/(Resources!$E$55/7)),TODAY()+(E74/(Resources!$E$55/7))))</f>
        <v>336593.3178</v>
      </c>
      <c r="AR74" s="100">
        <f t="array" ref="AR74">IF(ISNUMBER($AV74),IFNA(LOOKUP(2,1/(ISNUMBER(AR73)),AR73),TODAY()),IFNA(LOOKUP(2,1/(ISNUMBER(AR73)),AR73)+(F74/(Resources!$E$56/7)),TODAY()+(F74/(Resources!$E$56/7))))</f>
        <v>17888.56273</v>
      </c>
      <c r="AS74" s="100">
        <f t="shared" si="13"/>
        <v>336593.3178</v>
      </c>
      <c r="AT74" s="101"/>
      <c r="AU74" s="102">
        <v>45705.0</v>
      </c>
      <c r="AV74" s="83"/>
    </row>
    <row r="75" ht="15.0" customHeight="1">
      <c r="A75" s="83" t="s">
        <v>97</v>
      </c>
      <c r="B75" s="92" t="s">
        <v>112</v>
      </c>
      <c r="C75" s="116" t="s">
        <v>152</v>
      </c>
      <c r="D75" s="93">
        <f>IF($A75="Feature",SUM(E75:F75)*'Roadmap setting'!$B$13,0)</f>
        <v>0.2</v>
      </c>
      <c r="E75" s="94">
        <v>1.0</v>
      </c>
      <c r="F75" s="94">
        <v>0.0</v>
      </c>
      <c r="G75" s="95">
        <f>IF($A75="Feature",IF('Roadmap setting'!$E$14,$F75*('Roadmap setting'!$B$14+'Roadmap setting'!$D$14),$F75*'Roadmap setting'!$B$14),0)</f>
        <v>0</v>
      </c>
      <c r="H75" s="93">
        <f>IF($A75="Feature",$E75*'Roadmap setting'!$B$15,0)</f>
        <v>0</v>
      </c>
      <c r="I75" s="95">
        <f>IF($A75="Feature",$F75*'Roadmap setting'!$B$16,0)</f>
        <v>0</v>
      </c>
      <c r="J75" s="93">
        <f>SUM($E75:$F75)*'Roadmap setting'!$B$17</f>
        <v>0.12</v>
      </c>
      <c r="K75" s="93">
        <f>SUM($E75:$F75)*'Roadmap setting'!$B$18</f>
        <v>0.01</v>
      </c>
      <c r="L75" s="93">
        <f>SUM($E75:$F75)*'Roadmap setting'!$B$19</f>
        <v>0</v>
      </c>
      <c r="M75" s="95">
        <f>SUM($E75:$F75)*'Roadmap setting'!$B$20</f>
        <v>0.02</v>
      </c>
      <c r="N75" s="79">
        <f t="shared" si="12"/>
        <v>1.35</v>
      </c>
      <c r="O75" s="96" t="b">
        <v>1</v>
      </c>
      <c r="P75" s="97"/>
      <c r="Q75" s="98"/>
      <c r="R75" s="97"/>
      <c r="S75" s="97"/>
      <c r="T75" s="97"/>
      <c r="U75" s="97"/>
      <c r="V75" s="99"/>
      <c r="W75" s="96" t="b">
        <v>0</v>
      </c>
      <c r="X75" s="97"/>
      <c r="Y75" s="98"/>
      <c r="Z75" s="97"/>
      <c r="AA75" s="97"/>
      <c r="AB75" s="97"/>
      <c r="AC75" s="97"/>
      <c r="AD75" s="99"/>
      <c r="AE75" s="96" t="b">
        <v>0</v>
      </c>
      <c r="AF75" s="97"/>
      <c r="AG75" s="98"/>
      <c r="AH75" s="97"/>
      <c r="AI75" s="97"/>
      <c r="AJ75" s="97"/>
      <c r="AK75" s="97"/>
      <c r="AL75" s="99"/>
      <c r="AM75" s="96" t="b">
        <v>0</v>
      </c>
      <c r="AN75" s="80">
        <f t="array" ref="AN75">INDEX(A75:AM75, MATCH(RIGHT('Roadmap setting'!$B$9, 3), $A$2:$AM$2, 0) - 1)
</f>
        <v>1.35</v>
      </c>
      <c r="AO75" s="100">
        <f t="array" ref="AO75">IFNA(LOOKUP(2,1/(ISNUMBER(AO67:AO74)),AO67:AO74)+(E75/(Resources!$P$55/7)),TODAY()+(E75/(Resources!$P$55/7)))</f>
        <v>174938.8102</v>
      </c>
      <c r="AP75" s="100">
        <f t="array" ref="AP75">IFNA(LOOKUP(2,1/(ISNUMBER(AP67:AP74)),AP67:AP74)+(F75/(Resources!$P$56/7)),TODAY()+(F75/(Resources!$P$56/7)))</f>
        <v>5962.854244</v>
      </c>
      <c r="AQ75" s="100">
        <f t="array" ref="AQ75">IF(ISNUMBER($AV75),IFNA(LOOKUP(2,1/(ISNUMBER(AQ67:AQ74)),AQ67:AQ74),TODAY()),IFNA(LOOKUP(2,1/(ISNUMBER(AQ67:AQ74)),AQ67:AQ74)+(E75/(Resources!$E$55/7)),TODAY()+(E75/(Resources!$E$55/7))))</f>
        <v>336593.5727</v>
      </c>
      <c r="AR75" s="100">
        <f t="array" ref="AR75">IF(ISNUMBER($AV75),IFNA(LOOKUP(2,1/(ISNUMBER(AR67:AR74)),AR67:AR74),TODAY()),IFNA(LOOKUP(2,1/(ISNUMBER(AR67:AR74)),AR67:AR74)+(F75/(Resources!$E$56/7)),TODAY()+(F75/(Resources!$E$56/7))))</f>
        <v>17888.56273</v>
      </c>
      <c r="AS75" s="100">
        <f t="shared" si="13"/>
        <v>336593.5727</v>
      </c>
      <c r="AT75" s="101"/>
      <c r="AU75" s="102">
        <v>45705.0</v>
      </c>
      <c r="AV75" s="83"/>
    </row>
    <row r="76" ht="15.0" customHeight="1">
      <c r="A76" s="83" t="s">
        <v>97</v>
      </c>
      <c r="B76" s="92" t="s">
        <v>92</v>
      </c>
      <c r="C76" s="116" t="s">
        <v>153</v>
      </c>
      <c r="D76" s="93">
        <f>IF($A76="Feature",SUM(E76:F76)*'Roadmap setting'!$B$13,0)</f>
        <v>0.8</v>
      </c>
      <c r="E76" s="94">
        <v>0.0</v>
      </c>
      <c r="F76" s="94">
        <v>4.0</v>
      </c>
      <c r="G76" s="95">
        <f>IF($A76="Feature",IF('Roadmap setting'!$E$14,$F76*('Roadmap setting'!$B$14+'Roadmap setting'!$D$14),$F76*'Roadmap setting'!$B$14),0)</f>
        <v>0.6</v>
      </c>
      <c r="H76" s="93">
        <f>IF($A76="Feature",$E76*'Roadmap setting'!$B$15,0)</f>
        <v>0</v>
      </c>
      <c r="I76" s="95">
        <f>IF($A76="Feature",$F76*'Roadmap setting'!$B$16,0)</f>
        <v>0</v>
      </c>
      <c r="J76" s="93">
        <f>SUM($E76:$F76)*'Roadmap setting'!$B$17</f>
        <v>0.48</v>
      </c>
      <c r="K76" s="93">
        <f>SUM($E76:$F76)*'Roadmap setting'!$B$18</f>
        <v>0.04</v>
      </c>
      <c r="L76" s="93">
        <f>SUM($E76:$F76)*'Roadmap setting'!$B$19</f>
        <v>0</v>
      </c>
      <c r="M76" s="95">
        <f>SUM($E76:$F76)*'Roadmap setting'!$B$20</f>
        <v>0.08</v>
      </c>
      <c r="N76" s="79">
        <f t="shared" si="12"/>
        <v>6</v>
      </c>
      <c r="O76" s="96" t="b">
        <v>1</v>
      </c>
      <c r="P76" s="97"/>
      <c r="Q76" s="98"/>
      <c r="R76" s="97"/>
      <c r="S76" s="97"/>
      <c r="T76" s="97"/>
      <c r="U76" s="97"/>
      <c r="V76" s="99"/>
      <c r="W76" s="96" t="b">
        <v>0</v>
      </c>
      <c r="X76" s="97"/>
      <c r="Y76" s="98"/>
      <c r="Z76" s="97"/>
      <c r="AA76" s="97"/>
      <c r="AB76" s="97"/>
      <c r="AC76" s="97"/>
      <c r="AD76" s="99"/>
      <c r="AE76" s="96" t="b">
        <v>0</v>
      </c>
      <c r="AF76" s="97"/>
      <c r="AG76" s="98"/>
      <c r="AH76" s="97"/>
      <c r="AI76" s="97"/>
      <c r="AJ76" s="97"/>
      <c r="AK76" s="97"/>
      <c r="AL76" s="99"/>
      <c r="AM76" s="96" t="b">
        <v>0</v>
      </c>
      <c r="AN76" s="80">
        <f t="array" ref="AN76">INDEX(A76:AM76, MATCH(RIGHT('Roadmap setting'!$B$9, 3), $A$2:$AM$2, 0) - 1)
</f>
        <v>6</v>
      </c>
      <c r="AO76" s="100">
        <f t="array" ref="AO76">IFNA(LOOKUP(2,1/(ISNUMBER(AO68:AO75)),AO68:AO75)+(E76/(Resources!$P$55/7)),TODAY()+(E76/(Resources!$P$55/7)))</f>
        <v>174938.8102</v>
      </c>
      <c r="AP76" s="100">
        <f t="array" ref="AP76">IFNA(LOOKUP(2,1/(ISNUMBER(AP68:AP75)),AP68:AP75)+(F76/(Resources!$P$56/7)),TODAY()+(F76/(Resources!$P$56/7)))</f>
        <v>5963.676717</v>
      </c>
      <c r="AQ76" s="100">
        <f t="array" ref="AQ76">IF(ISNUMBER($AV76),IFNA(LOOKUP(2,1/(ISNUMBER(AQ68:AQ75)),AQ68:AQ75),TODAY()),IFNA(LOOKUP(2,1/(ISNUMBER(AQ68:AQ75)),AQ68:AQ75)+(E76/(Resources!$E$55/7)),TODAY()+(E76/(Resources!$E$55/7))))</f>
        <v>336593.5727</v>
      </c>
      <c r="AR76" s="100">
        <f t="array" ref="AR76">IF(ISNUMBER($AV76),IFNA(LOOKUP(2,1/(ISNUMBER(AR68:AR75)),AR68:AR75),TODAY()),IFNA(LOOKUP(2,1/(ISNUMBER(AR68:AR75)),AR68:AR75)+(F76/(Resources!$E$56/7)),TODAY()+(F76/(Resources!$E$56/7))))</f>
        <v>17889.94281</v>
      </c>
      <c r="AS76" s="100">
        <f t="shared" si="13"/>
        <v>336593.5727</v>
      </c>
      <c r="AT76" s="101"/>
      <c r="AU76" s="102">
        <v>45705.0</v>
      </c>
      <c r="AV76" s="83"/>
    </row>
    <row r="77" ht="15.0" customHeight="1">
      <c r="A77" s="83" t="s">
        <v>97</v>
      </c>
      <c r="B77" s="92" t="s">
        <v>100</v>
      </c>
      <c r="C77" s="116" t="s">
        <v>154</v>
      </c>
      <c r="D77" s="93">
        <f>IF($A77="Feature",SUM(E77:F77)*'Roadmap setting'!$B$13,0)</f>
        <v>1</v>
      </c>
      <c r="E77" s="94">
        <v>4.0</v>
      </c>
      <c r="F77" s="94">
        <v>1.0</v>
      </c>
      <c r="G77" s="95">
        <f>IF($A77="Feature",IF('Roadmap setting'!$E$14,$F77*('Roadmap setting'!$B$14+'Roadmap setting'!$D$14),$F77*'Roadmap setting'!$B$14),0)</f>
        <v>0.15</v>
      </c>
      <c r="H77" s="93">
        <f>IF($A77="Feature",$E77*'Roadmap setting'!$B$15,0)</f>
        <v>0</v>
      </c>
      <c r="I77" s="95">
        <f>IF($A77="Feature",$F77*'Roadmap setting'!$B$16,0)</f>
        <v>0</v>
      </c>
      <c r="J77" s="93">
        <f>SUM($E77:$F77)*'Roadmap setting'!$B$17</f>
        <v>0.6</v>
      </c>
      <c r="K77" s="93">
        <f>SUM($E77:$F77)*'Roadmap setting'!$B$18</f>
        <v>0.05</v>
      </c>
      <c r="L77" s="93">
        <f>SUM($E77:$F77)*'Roadmap setting'!$B$19</f>
        <v>0</v>
      </c>
      <c r="M77" s="95">
        <f>SUM($E77:$F77)*'Roadmap setting'!$B$20</f>
        <v>0.1</v>
      </c>
      <c r="N77" s="79">
        <f t="shared" si="12"/>
        <v>6.9</v>
      </c>
      <c r="O77" s="96" t="b">
        <v>1</v>
      </c>
      <c r="P77" s="97"/>
      <c r="Q77" s="98"/>
      <c r="R77" s="97"/>
      <c r="S77" s="97"/>
      <c r="T77" s="97"/>
      <c r="U77" s="97"/>
      <c r="V77" s="99"/>
      <c r="W77" s="96" t="b">
        <v>0</v>
      </c>
      <c r="X77" s="97"/>
      <c r="Y77" s="98"/>
      <c r="Z77" s="97"/>
      <c r="AA77" s="97"/>
      <c r="AB77" s="97"/>
      <c r="AC77" s="97"/>
      <c r="AD77" s="99"/>
      <c r="AE77" s="96" t="b">
        <v>0</v>
      </c>
      <c r="AF77" s="97"/>
      <c r="AG77" s="98"/>
      <c r="AH77" s="97"/>
      <c r="AI77" s="97"/>
      <c r="AJ77" s="97"/>
      <c r="AK77" s="97"/>
      <c r="AL77" s="99"/>
      <c r="AM77" s="96" t="b">
        <v>0</v>
      </c>
      <c r="AN77" s="80">
        <f t="array" ref="AN77">INDEX(A77:AM77, MATCH(RIGHT('Roadmap setting'!$B$9, 3), $A$2:$AM$2, 0) - 1)
</f>
        <v>6.9</v>
      </c>
      <c r="AO77" s="100">
        <f t="array" ref="AO77">IFNA(LOOKUP(2,1/(ISNUMBER(AO72:AO75)),AO72:AO75)+(E77/(Resources!$P$55/7)),TODAY()+(E77/(Resources!$P$55/7)))</f>
        <v>174939.3075</v>
      </c>
      <c r="AP77" s="100">
        <f t="array" ref="AP77">IFNA(LOOKUP(2,1/(ISNUMBER(AP72:AP75)),AP72:AP75)+(F77/(Resources!$P$56/7)),TODAY()+(F77/(Resources!$P$56/7)))</f>
        <v>5963.059862</v>
      </c>
      <c r="AQ77" s="100">
        <f t="array" ref="AQ77">IF(ISNUMBER($AV77),IFNA(LOOKUP(2,1/(ISNUMBER(AQ72:AQ75)),AQ72:AQ75),TODAY()),IFNA(LOOKUP(2,1/(ISNUMBER(AQ72:AQ75)),AQ72:AQ75)+(E77/(Resources!$E$55/7)),TODAY()+(E77/(Resources!$E$55/7))))</f>
        <v>336594.5923</v>
      </c>
      <c r="AR77" s="100">
        <f t="array" ref="AR77">IF(ISNUMBER($AV77),IFNA(LOOKUP(2,1/(ISNUMBER(AR72:AR75)),AR72:AR75),TODAY()),IFNA(LOOKUP(2,1/(ISNUMBER(AR72:AR75)),AR72:AR75)+(F77/(Resources!$E$56/7)),TODAY()+(F77/(Resources!$E$56/7))))</f>
        <v>17888.90775</v>
      </c>
      <c r="AS77" s="100">
        <f t="shared" si="13"/>
        <v>336594.5923</v>
      </c>
      <c r="AT77" s="101"/>
      <c r="AU77" s="102">
        <v>45705.0</v>
      </c>
      <c r="AV77" s="83"/>
    </row>
    <row r="78" ht="15.0" customHeight="1">
      <c r="A78" s="83" t="s">
        <v>97</v>
      </c>
      <c r="B78" s="92" t="s">
        <v>92</v>
      </c>
      <c r="C78" s="116" t="s">
        <v>155</v>
      </c>
      <c r="D78" s="93">
        <f>IF($A78="Feature",SUM(E78:F78)*'Roadmap setting'!$B$13,0)</f>
        <v>0.2</v>
      </c>
      <c r="F78" s="94">
        <v>1.0</v>
      </c>
      <c r="G78" s="95">
        <f>IF($A78="Feature",IF('Roadmap setting'!$E$14,$F78*('Roadmap setting'!$B$14+'Roadmap setting'!$D$14),$F78*'Roadmap setting'!$B$14),0)</f>
        <v>0.15</v>
      </c>
      <c r="H78" s="93">
        <f>IF($A78="Feature",$E78*'Roadmap setting'!$B$15,0)</f>
        <v>0</v>
      </c>
      <c r="I78" s="95">
        <f>IF($A78="Feature",$F78*'Roadmap setting'!$B$16,0)</f>
        <v>0</v>
      </c>
      <c r="J78" s="93">
        <f>SUM($E78:$F78)*'Roadmap setting'!$B$17</f>
        <v>0.12</v>
      </c>
      <c r="K78" s="93">
        <f>SUM($E78:$F78)*'Roadmap setting'!$B$18</f>
        <v>0.01</v>
      </c>
      <c r="L78" s="93">
        <f>SUM($E78:$F78)*'Roadmap setting'!$B$19</f>
        <v>0</v>
      </c>
      <c r="M78" s="95">
        <f>SUM($E78:$F78)*'Roadmap setting'!$B$20</f>
        <v>0.02</v>
      </c>
      <c r="N78" s="79">
        <f t="shared" si="12"/>
        <v>1.5</v>
      </c>
      <c r="O78" s="96" t="b">
        <v>1</v>
      </c>
      <c r="P78" s="97"/>
      <c r="Q78" s="98"/>
      <c r="R78" s="97"/>
      <c r="S78" s="97"/>
      <c r="T78" s="97"/>
      <c r="U78" s="97"/>
      <c r="V78" s="99"/>
      <c r="W78" s="96" t="b">
        <v>0</v>
      </c>
      <c r="X78" s="97"/>
      <c r="Y78" s="98"/>
      <c r="Z78" s="97"/>
      <c r="AA78" s="97"/>
      <c r="AB78" s="97"/>
      <c r="AC78" s="97"/>
      <c r="AD78" s="99"/>
      <c r="AE78" s="96" t="b">
        <v>0</v>
      </c>
      <c r="AF78" s="97"/>
      <c r="AG78" s="98"/>
      <c r="AH78" s="97"/>
      <c r="AI78" s="97"/>
      <c r="AJ78" s="97"/>
      <c r="AK78" s="97"/>
      <c r="AL78" s="99"/>
      <c r="AM78" s="96" t="b">
        <v>0</v>
      </c>
      <c r="AN78" s="80">
        <f t="array" ref="AN78">INDEX(A78:AM78, MATCH(RIGHT('Roadmap setting'!$B$9, 3), $A$2:$AM$2, 0) - 1)
</f>
        <v>1.5</v>
      </c>
      <c r="AO78" s="100">
        <f t="array" ref="AO78">IFNA(LOOKUP(2,1/(ISNUMBER(AO71:AO77)),AO71:AO77)+(E78/(Resources!$P$55/7)),TODAY()+(E78/(Resources!$P$55/7)))</f>
        <v>174939.3075</v>
      </c>
      <c r="AP78" s="100">
        <f t="array" ref="AP78">IFNA(LOOKUP(2,1/(ISNUMBER(AP71:AP77)),AP71:AP77)+(F78/(Resources!$P$56/7)),TODAY()+(F78/(Resources!$P$56/7)))</f>
        <v>5963.265481</v>
      </c>
      <c r="AQ78" s="100">
        <f t="array" ref="AQ78">IF(ISNUMBER($AV78),IFNA(LOOKUP(2,1/(ISNUMBER(AQ71:AQ77)),AQ71:AQ77),TODAY()),IFNA(LOOKUP(2,1/(ISNUMBER(AQ71:AQ77)),AQ71:AQ77)+(E78/(Resources!$E$55/7)),TODAY()+(E78/(Resources!$E$55/7))))</f>
        <v>336594.5923</v>
      </c>
      <c r="AR78" s="100">
        <f t="array" ref="AR78">IF(ISNUMBER($AV78),IFNA(LOOKUP(2,1/(ISNUMBER(AR71:AR77)),AR71:AR77),TODAY()),IFNA(LOOKUP(2,1/(ISNUMBER(AR71:AR77)),AR71:AR77)+(F78/(Resources!$E$56/7)),TODAY()+(F78/(Resources!$E$56/7))))</f>
        <v>17889.25277</v>
      </c>
      <c r="AS78" s="100">
        <f t="shared" si="13"/>
        <v>336594.5923</v>
      </c>
      <c r="AT78" s="101"/>
      <c r="AU78" s="102">
        <v>45705.0</v>
      </c>
      <c r="AV78" s="83"/>
    </row>
    <row r="79" ht="15.0" customHeight="1">
      <c r="A79" s="83" t="s">
        <v>97</v>
      </c>
      <c r="B79" s="92" t="s">
        <v>92</v>
      </c>
      <c r="C79" s="116" t="s">
        <v>156</v>
      </c>
      <c r="D79" s="93">
        <f>IF($A79="Feature",SUM(E79:F79)*'Roadmap setting'!$B$13,0)</f>
        <v>0.2</v>
      </c>
      <c r="F79" s="94">
        <v>1.0</v>
      </c>
      <c r="G79" s="95">
        <f>IF($A79="Feature",IF('Roadmap setting'!$E$14,$F79*('Roadmap setting'!$B$14+'Roadmap setting'!$D$14),$F79*'Roadmap setting'!$B$14),0)</f>
        <v>0.15</v>
      </c>
      <c r="H79" s="93">
        <f>IF($A79="Feature",$E79*'Roadmap setting'!$B$15,0)</f>
        <v>0</v>
      </c>
      <c r="I79" s="95">
        <f>IF($A79="Feature",$F79*'Roadmap setting'!$B$16,0)</f>
        <v>0</v>
      </c>
      <c r="J79" s="93">
        <f>SUM($E79:$F79)*'Roadmap setting'!$B$17</f>
        <v>0.12</v>
      </c>
      <c r="K79" s="93">
        <f>SUM($E79:$F79)*'Roadmap setting'!$B$18</f>
        <v>0.01</v>
      </c>
      <c r="L79" s="93">
        <f>SUM($E79:$F79)*'Roadmap setting'!$B$19</f>
        <v>0</v>
      </c>
      <c r="M79" s="95">
        <f>SUM($E79:$F79)*'Roadmap setting'!$B$20</f>
        <v>0.02</v>
      </c>
      <c r="N79" s="79">
        <f t="shared" si="12"/>
        <v>1.5</v>
      </c>
      <c r="O79" s="96" t="b">
        <v>1</v>
      </c>
      <c r="P79" s="97"/>
      <c r="Q79" s="98"/>
      <c r="R79" s="97"/>
      <c r="S79" s="97"/>
      <c r="T79" s="97"/>
      <c r="U79" s="97"/>
      <c r="V79" s="99"/>
      <c r="W79" s="96" t="b">
        <v>0</v>
      </c>
      <c r="X79" s="97"/>
      <c r="Y79" s="98"/>
      <c r="Z79" s="97"/>
      <c r="AA79" s="97"/>
      <c r="AB79" s="97"/>
      <c r="AC79" s="97"/>
      <c r="AD79" s="99"/>
      <c r="AE79" s="96" t="b">
        <v>0</v>
      </c>
      <c r="AF79" s="97"/>
      <c r="AG79" s="98"/>
      <c r="AH79" s="97"/>
      <c r="AI79" s="97"/>
      <c r="AJ79" s="97"/>
      <c r="AK79" s="97"/>
      <c r="AL79" s="99"/>
      <c r="AM79" s="96" t="b">
        <v>0</v>
      </c>
      <c r="AN79" s="80">
        <f t="array" ref="AN79">INDEX(A79:AM79, MATCH(RIGHT('Roadmap setting'!$B$9, 3), $A$2:$AM$2, 0) - 1)
</f>
        <v>1.5</v>
      </c>
      <c r="AO79" s="100">
        <f t="array" ref="AO79">IFNA(LOOKUP(2,1/(ISNUMBER(AO74:AO78)),AO74:AO78)+(E79/(Resources!$P$55/7)),TODAY()+(E79/(Resources!$P$55/7)))</f>
        <v>174939.3075</v>
      </c>
      <c r="AP79" s="100">
        <f t="array" ref="AP79">IFNA(LOOKUP(2,1/(ISNUMBER(AP74:AP78)),AP74:AP78)+(F79/(Resources!$P$56/7)),TODAY()+(F79/(Resources!$P$56/7)))</f>
        <v>5963.471099</v>
      </c>
      <c r="AQ79" s="100">
        <f t="array" ref="AQ79">IF(ISNUMBER($AV79),IFNA(LOOKUP(2,1/(ISNUMBER(AQ74:AQ78)),AQ74:AQ78),TODAY()),IFNA(LOOKUP(2,1/(ISNUMBER(AQ74:AQ78)),AQ74:AQ78)+(E79/(Resources!$E$55/7)),TODAY()+(E79/(Resources!$E$55/7))))</f>
        <v>336594.5923</v>
      </c>
      <c r="AR79" s="100">
        <f t="array" ref="AR79">IF(ISNUMBER($AV79),IFNA(LOOKUP(2,1/(ISNUMBER(AR74:AR78)),AR74:AR78),TODAY()),IFNA(LOOKUP(2,1/(ISNUMBER(AR74:AR78)),AR74:AR78)+(F79/(Resources!$E$56/7)),TODAY()+(F79/(Resources!$E$56/7))))</f>
        <v>17889.59779</v>
      </c>
      <c r="AS79" s="100">
        <f t="shared" si="13"/>
        <v>336594.5923</v>
      </c>
      <c r="AT79" s="101"/>
      <c r="AU79" s="102">
        <v>45705.0</v>
      </c>
      <c r="AV79" s="83"/>
    </row>
    <row r="80" ht="15.0" customHeight="1">
      <c r="A80" s="83" t="s">
        <v>97</v>
      </c>
      <c r="B80" s="92" t="s">
        <v>92</v>
      </c>
      <c r="C80" s="116" t="s">
        <v>157</v>
      </c>
      <c r="D80" s="93">
        <f>IF($A80="Feature",SUM(E80:F80)*'Roadmap setting'!$B$13,0)</f>
        <v>0.4</v>
      </c>
      <c r="F80" s="94">
        <v>2.0</v>
      </c>
      <c r="G80" s="95">
        <f>IF($A80="Feature",IF('Roadmap setting'!$E$14,$F80*('Roadmap setting'!$B$14+'Roadmap setting'!$D$14),$F80*'Roadmap setting'!$B$14),0)</f>
        <v>0.3</v>
      </c>
      <c r="H80" s="93">
        <f>IF($A80="Feature",$E80*'Roadmap setting'!$B$15,0)</f>
        <v>0</v>
      </c>
      <c r="I80" s="95">
        <f>IF($A80="Feature",$F80*'Roadmap setting'!$B$16,0)</f>
        <v>0</v>
      </c>
      <c r="J80" s="93">
        <f>SUM($E80:$F80)*'Roadmap setting'!$B$17</f>
        <v>0.24</v>
      </c>
      <c r="K80" s="93">
        <f>SUM($E80:$F80)*'Roadmap setting'!$B$18</f>
        <v>0.02</v>
      </c>
      <c r="L80" s="93">
        <f>SUM($E80:$F80)*'Roadmap setting'!$B$19</f>
        <v>0</v>
      </c>
      <c r="M80" s="95">
        <f>SUM($E80:$F80)*'Roadmap setting'!$B$20</f>
        <v>0.04</v>
      </c>
      <c r="N80" s="79">
        <f t="shared" si="12"/>
        <v>3</v>
      </c>
      <c r="O80" s="96" t="b">
        <v>1</v>
      </c>
      <c r="P80" s="97"/>
      <c r="Q80" s="98"/>
      <c r="R80" s="97"/>
      <c r="S80" s="97"/>
      <c r="T80" s="97"/>
      <c r="U80" s="97"/>
      <c r="V80" s="99"/>
      <c r="W80" s="96" t="b">
        <v>0</v>
      </c>
      <c r="X80" s="97"/>
      <c r="Y80" s="98"/>
      <c r="Z80" s="97"/>
      <c r="AA80" s="97"/>
      <c r="AB80" s="97"/>
      <c r="AC80" s="97"/>
      <c r="AD80" s="99"/>
      <c r="AE80" s="96" t="b">
        <v>0</v>
      </c>
      <c r="AF80" s="97"/>
      <c r="AG80" s="98"/>
      <c r="AH80" s="97"/>
      <c r="AI80" s="97"/>
      <c r="AJ80" s="97"/>
      <c r="AK80" s="97"/>
      <c r="AL80" s="99"/>
      <c r="AM80" s="96" t="b">
        <v>0</v>
      </c>
      <c r="AN80" s="80">
        <f t="array" ref="AN80">INDEX(A80:AM80, MATCH(RIGHT('Roadmap setting'!$B$9, 3), $A$2:$AM$2, 0) - 1)
</f>
        <v>3</v>
      </c>
      <c r="AO80" s="100">
        <f t="array" ref="AO80">IFNA(LOOKUP(2,1/(ISNUMBER(AO75:AO79)),AO75:AO79)+(E80/(Resources!$P$55/7)),TODAY()+(E80/(Resources!$P$55/7)))</f>
        <v>174939.3075</v>
      </c>
      <c r="AP80" s="100">
        <f t="array" ref="AP80">IFNA(LOOKUP(2,1/(ISNUMBER(AP75:AP79)),AP75:AP79)+(F80/(Resources!$P$56/7)),TODAY()+(F80/(Resources!$P$56/7)))</f>
        <v>5963.882335</v>
      </c>
      <c r="AQ80" s="100">
        <f t="array" ref="AQ80">IF(ISNUMBER($AV80),IFNA(LOOKUP(2,1/(ISNUMBER(AQ75:AQ79)),AQ75:AQ79),TODAY()),IFNA(LOOKUP(2,1/(ISNUMBER(AQ75:AQ79)),AQ75:AQ79)+(E80/(Resources!$E$55/7)),TODAY()+(E80/(Resources!$E$55/7))))</f>
        <v>336594.5923</v>
      </c>
      <c r="AR80" s="100">
        <f t="array" ref="AR80">IF(ISNUMBER($AV80),IFNA(LOOKUP(2,1/(ISNUMBER(AR75:AR79)),AR75:AR79),TODAY()),IFNA(LOOKUP(2,1/(ISNUMBER(AR75:AR79)),AR75:AR79)+(F80/(Resources!$E$56/7)),TODAY()+(F80/(Resources!$E$56/7))))</f>
        <v>17890.28783</v>
      </c>
      <c r="AS80" s="100">
        <f t="shared" si="13"/>
        <v>336594.5923</v>
      </c>
      <c r="AT80" s="101"/>
      <c r="AU80" s="102">
        <v>45705.0</v>
      </c>
      <c r="AV80" s="83"/>
    </row>
    <row r="81" ht="15.0" customHeight="1">
      <c r="A81" s="83" t="s">
        <v>97</v>
      </c>
      <c r="B81" s="92" t="s">
        <v>92</v>
      </c>
      <c r="C81" s="116" t="s">
        <v>158</v>
      </c>
      <c r="D81" s="93">
        <f>IF($A81="Feature",SUM(E81:F81)*'Roadmap setting'!$B$13,0)</f>
        <v>0.6</v>
      </c>
      <c r="F81" s="94">
        <v>3.0</v>
      </c>
      <c r="G81" s="95">
        <f>IF($A81="Feature",IF('Roadmap setting'!$E$14,$F81*('Roadmap setting'!$B$14+'Roadmap setting'!$D$14),$F81*'Roadmap setting'!$B$14),0)</f>
        <v>0.45</v>
      </c>
      <c r="H81" s="93">
        <f>IF($A81="Feature",$E81*'Roadmap setting'!$B$15,0)</f>
        <v>0</v>
      </c>
      <c r="I81" s="95">
        <f>IF($A81="Feature",$F81*'Roadmap setting'!$B$16,0)</f>
        <v>0</v>
      </c>
      <c r="J81" s="93">
        <f>SUM($E81:$F81)*'Roadmap setting'!$B$17</f>
        <v>0.36</v>
      </c>
      <c r="K81" s="93">
        <f>SUM($E81:$F81)*'Roadmap setting'!$B$18</f>
        <v>0.03</v>
      </c>
      <c r="L81" s="93">
        <f>SUM($E81:$F81)*'Roadmap setting'!$B$19</f>
        <v>0</v>
      </c>
      <c r="M81" s="95">
        <f>SUM($E81:$F81)*'Roadmap setting'!$B$20</f>
        <v>0.06</v>
      </c>
      <c r="N81" s="79">
        <f t="shared" si="12"/>
        <v>4.5</v>
      </c>
      <c r="O81" s="96" t="b">
        <v>1</v>
      </c>
      <c r="P81" s="97"/>
      <c r="Q81" s="98"/>
      <c r="R81" s="97"/>
      <c r="S81" s="97"/>
      <c r="T81" s="97"/>
      <c r="U81" s="97"/>
      <c r="V81" s="99"/>
      <c r="W81" s="96" t="b">
        <v>0</v>
      </c>
      <c r="X81" s="97"/>
      <c r="Y81" s="98"/>
      <c r="Z81" s="97"/>
      <c r="AA81" s="97"/>
      <c r="AB81" s="97"/>
      <c r="AC81" s="97"/>
      <c r="AD81" s="99"/>
      <c r="AE81" s="96" t="b">
        <v>0</v>
      </c>
      <c r="AF81" s="97"/>
      <c r="AG81" s="98"/>
      <c r="AH81" s="97"/>
      <c r="AI81" s="97"/>
      <c r="AJ81" s="97"/>
      <c r="AK81" s="97"/>
      <c r="AL81" s="99"/>
      <c r="AM81" s="96" t="b">
        <v>0</v>
      </c>
      <c r="AN81" s="80">
        <f t="array" ref="AN81">INDEX(A81:AM81, MATCH(RIGHT('Roadmap setting'!$B$9, 3), $A$2:$AM$2, 0) - 1)
</f>
        <v>4.5</v>
      </c>
      <c r="AO81" s="100">
        <f t="array" ref="AO81">IFNA(LOOKUP(2,1/(ISNUMBER(AO75:AO80)),AO75:AO80)+(E81/(Resources!$P$55/7)),TODAY()+(E81/(Resources!$P$55/7)))</f>
        <v>174939.3075</v>
      </c>
      <c r="AP81" s="100">
        <f t="array" ref="AP81">IFNA(LOOKUP(2,1/(ISNUMBER(AP75:AP80)),AP75:AP80)+(F81/(Resources!$P$56/7)),TODAY()+(F81/(Resources!$P$56/7)))</f>
        <v>5964.49919</v>
      </c>
      <c r="AQ81" s="100">
        <f t="array" ref="AQ81">IF(ISNUMBER($AV81),IFNA(LOOKUP(2,1/(ISNUMBER(AQ75:AQ80)),AQ75:AQ80),TODAY()),IFNA(LOOKUP(2,1/(ISNUMBER(AQ75:AQ80)),AQ75:AQ80)+(E81/(Resources!$E$55/7)),TODAY()+(E81/(Resources!$E$55/7))))</f>
        <v>336594.5923</v>
      </c>
      <c r="AR81" s="100">
        <f t="array" ref="AR81">IF(ISNUMBER($AV81),IFNA(LOOKUP(2,1/(ISNUMBER(AR75:AR80)),AR75:AR80),TODAY()),IFNA(LOOKUP(2,1/(ISNUMBER(AR75:AR80)),AR75:AR80)+(F81/(Resources!$E$56/7)),TODAY()+(F81/(Resources!$E$56/7))))</f>
        <v>17891.3229</v>
      </c>
      <c r="AS81" s="100">
        <f t="shared" si="13"/>
        <v>336594.5923</v>
      </c>
      <c r="AT81" s="101"/>
      <c r="AU81" s="102">
        <v>45705.0</v>
      </c>
      <c r="AV81" s="83"/>
    </row>
    <row r="82" ht="15.0" customHeight="1">
      <c r="A82" s="83" t="s">
        <v>97</v>
      </c>
      <c r="B82" s="92" t="s">
        <v>92</v>
      </c>
      <c r="C82" s="116" t="s">
        <v>159</v>
      </c>
      <c r="D82" s="93">
        <f>IF($A82="Feature",SUM(E82:F82)*'Roadmap setting'!$B$13,0)</f>
        <v>0.8</v>
      </c>
      <c r="F82" s="94">
        <v>4.0</v>
      </c>
      <c r="G82" s="95">
        <f>IF($A82="Feature",IF('Roadmap setting'!$E$14,$F82*('Roadmap setting'!$B$14+'Roadmap setting'!$D$14),$F82*'Roadmap setting'!$B$14),0)</f>
        <v>0.6</v>
      </c>
      <c r="H82" s="93">
        <f>IF($A82="Feature",$E82*'Roadmap setting'!$B$15,0)</f>
        <v>0</v>
      </c>
      <c r="I82" s="95">
        <f>IF($A82="Feature",$F82*'Roadmap setting'!$B$16,0)</f>
        <v>0</v>
      </c>
      <c r="J82" s="93">
        <f>SUM($E82:$F82)*'Roadmap setting'!$B$17</f>
        <v>0.48</v>
      </c>
      <c r="K82" s="93">
        <f>SUM($E82:$F82)*'Roadmap setting'!$B$18</f>
        <v>0.04</v>
      </c>
      <c r="L82" s="93">
        <f>SUM($E82:$F82)*'Roadmap setting'!$B$19</f>
        <v>0</v>
      </c>
      <c r="M82" s="95">
        <f>SUM($E82:$F82)*'Roadmap setting'!$B$20</f>
        <v>0.08</v>
      </c>
      <c r="N82" s="79">
        <f t="shared" si="12"/>
        <v>6</v>
      </c>
      <c r="O82" s="96" t="b">
        <v>1</v>
      </c>
      <c r="P82" s="97"/>
      <c r="Q82" s="98"/>
      <c r="R82" s="97"/>
      <c r="S82" s="97"/>
      <c r="T82" s="97"/>
      <c r="U82" s="97"/>
      <c r="V82" s="99"/>
      <c r="W82" s="96" t="b">
        <v>0</v>
      </c>
      <c r="X82" s="97"/>
      <c r="Y82" s="98"/>
      <c r="Z82" s="97"/>
      <c r="AA82" s="97"/>
      <c r="AB82" s="97"/>
      <c r="AC82" s="97"/>
      <c r="AD82" s="99"/>
      <c r="AE82" s="96" t="b">
        <v>0</v>
      </c>
      <c r="AF82" s="97"/>
      <c r="AG82" s="98"/>
      <c r="AH82" s="97"/>
      <c r="AI82" s="97"/>
      <c r="AJ82" s="97"/>
      <c r="AK82" s="97"/>
      <c r="AL82" s="99"/>
      <c r="AM82" s="96" t="b">
        <v>0</v>
      </c>
      <c r="AN82" s="80">
        <f t="array" ref="AN82">INDEX(A82:AM82, MATCH(RIGHT('Roadmap setting'!$B$9, 3), $A$2:$AM$2, 0) - 1)
</f>
        <v>6</v>
      </c>
      <c r="AO82" s="100">
        <f t="array" ref="AO82">IFNA(LOOKUP(2,1/(ISNUMBER(AO76:AO81)),AO76:AO81)+(E82/(Resources!$P$55/7)),TODAY()+(E82/(Resources!$P$55/7)))</f>
        <v>174939.3075</v>
      </c>
      <c r="AP82" s="100">
        <f t="array" ref="AP82">IFNA(LOOKUP(2,1/(ISNUMBER(AP76:AP81)),AP76:AP81)+(F82/(Resources!$P$56/7)),TODAY()+(F82/(Resources!$P$56/7)))</f>
        <v>5965.321663</v>
      </c>
      <c r="AQ82" s="100">
        <f t="array" ref="AQ82">IF(ISNUMBER($AV82),IFNA(LOOKUP(2,1/(ISNUMBER(AQ76:AQ81)),AQ76:AQ81),TODAY()),IFNA(LOOKUP(2,1/(ISNUMBER(AQ76:AQ81)),AQ76:AQ81)+(E82/(Resources!$E$55/7)),TODAY()+(E82/(Resources!$E$55/7))))</f>
        <v>336594.5923</v>
      </c>
      <c r="AR82" s="100">
        <f t="array" ref="AR82">IF(ISNUMBER($AV82),IFNA(LOOKUP(2,1/(ISNUMBER(AR76:AR81)),AR76:AR81),TODAY()),IFNA(LOOKUP(2,1/(ISNUMBER(AR76:AR81)),AR76:AR81)+(F82/(Resources!$E$56/7)),TODAY()+(F82/(Resources!$E$56/7))))</f>
        <v>17892.70298</v>
      </c>
      <c r="AS82" s="100">
        <f t="shared" si="13"/>
        <v>336594.5923</v>
      </c>
      <c r="AT82" s="101"/>
      <c r="AU82" s="102">
        <v>45705.0</v>
      </c>
      <c r="AV82" s="83"/>
    </row>
    <row r="83" ht="15.0" customHeight="1">
      <c r="A83" s="83" t="s">
        <v>97</v>
      </c>
      <c r="B83" s="92" t="s">
        <v>100</v>
      </c>
      <c r="C83" s="116" t="s">
        <v>160</v>
      </c>
      <c r="D83" s="93">
        <f>IF($A83="Feature",SUM(E83:F83)*'Roadmap setting'!$B$13,0)</f>
        <v>0.6</v>
      </c>
      <c r="F83" s="94">
        <v>3.0</v>
      </c>
      <c r="G83" s="95">
        <f>IF($A83="Feature",IF('Roadmap setting'!$E$14,$F83*('Roadmap setting'!$B$14+'Roadmap setting'!$D$14),$F83*'Roadmap setting'!$B$14),0)</f>
        <v>0.45</v>
      </c>
      <c r="H83" s="93">
        <f>IF($A83="Feature",$E83*'Roadmap setting'!$B$15,0)</f>
        <v>0</v>
      </c>
      <c r="I83" s="95">
        <f>IF($A83="Feature",$F83*'Roadmap setting'!$B$16,0)</f>
        <v>0</v>
      </c>
      <c r="J83" s="93">
        <f>SUM($E83:$F83)*'Roadmap setting'!$B$17</f>
        <v>0.36</v>
      </c>
      <c r="K83" s="93">
        <f>SUM($E83:$F83)*'Roadmap setting'!$B$18</f>
        <v>0.03</v>
      </c>
      <c r="L83" s="93">
        <f>SUM($E83:$F83)*'Roadmap setting'!$B$19</f>
        <v>0</v>
      </c>
      <c r="M83" s="95">
        <f>SUM($E83:$F83)*'Roadmap setting'!$B$20</f>
        <v>0.06</v>
      </c>
      <c r="N83" s="79">
        <f t="shared" si="12"/>
        <v>4.5</v>
      </c>
      <c r="O83" s="96" t="b">
        <v>1</v>
      </c>
      <c r="P83" s="97"/>
      <c r="Q83" s="98"/>
      <c r="R83" s="97"/>
      <c r="S83" s="97"/>
      <c r="T83" s="97"/>
      <c r="U83" s="97"/>
      <c r="V83" s="99"/>
      <c r="W83" s="96" t="b">
        <v>0</v>
      </c>
      <c r="X83" s="97"/>
      <c r="Y83" s="98"/>
      <c r="Z83" s="97"/>
      <c r="AA83" s="97"/>
      <c r="AB83" s="97"/>
      <c r="AC83" s="97"/>
      <c r="AD83" s="99"/>
      <c r="AE83" s="96" t="b">
        <v>0</v>
      </c>
      <c r="AF83" s="97"/>
      <c r="AG83" s="98"/>
      <c r="AH83" s="97"/>
      <c r="AI83" s="97"/>
      <c r="AJ83" s="97"/>
      <c r="AK83" s="97"/>
      <c r="AL83" s="99"/>
      <c r="AM83" s="96" t="b">
        <v>0</v>
      </c>
      <c r="AN83" s="80">
        <f t="array" ref="AN83">INDEX(A83:AM83, MATCH(RIGHT('Roadmap setting'!$B$9, 3), $A$2:$AM$2, 0) - 1)
</f>
        <v>4.5</v>
      </c>
      <c r="AO83" s="100">
        <f t="array" ref="AO83">IFNA(LOOKUP(2,1/(ISNUMBER(AO77:AO82)),AO77:AO82)+(E83/(Resources!$P$55/7)),TODAY()+(E83/(Resources!$P$55/7)))</f>
        <v>174939.3075</v>
      </c>
      <c r="AP83" s="100">
        <f t="array" ref="AP83">IFNA(LOOKUP(2,1/(ISNUMBER(AP77:AP82)),AP77:AP82)+(F83/(Resources!$P$56/7)),TODAY()+(F83/(Resources!$P$56/7)))</f>
        <v>5965.938518</v>
      </c>
      <c r="AQ83" s="100">
        <f t="array" ref="AQ83">IF(ISNUMBER($AV83),IFNA(LOOKUP(2,1/(ISNUMBER(AQ77:AQ82)),AQ77:AQ82),TODAY()),IFNA(LOOKUP(2,1/(ISNUMBER(AQ77:AQ82)),AQ77:AQ82)+(E83/(Resources!$E$55/7)),TODAY()+(E83/(Resources!$E$55/7))))</f>
        <v>336594.5923</v>
      </c>
      <c r="AR83" s="100">
        <f t="array" ref="AR83">IF(ISNUMBER($AV83),IFNA(LOOKUP(2,1/(ISNUMBER(AR77:AR82)),AR77:AR82),TODAY()),IFNA(LOOKUP(2,1/(ISNUMBER(AR77:AR82)),AR77:AR82)+(F83/(Resources!$E$56/7)),TODAY()+(F83/(Resources!$E$56/7))))</f>
        <v>17893.73804</v>
      </c>
      <c r="AS83" s="100">
        <f t="shared" si="13"/>
        <v>336594.5923</v>
      </c>
      <c r="AT83" s="101"/>
      <c r="AU83" s="102">
        <v>45705.0</v>
      </c>
      <c r="AV83" s="83"/>
    </row>
    <row r="84" ht="15.0" customHeight="1">
      <c r="A84" s="83" t="s">
        <v>97</v>
      </c>
      <c r="B84" s="92" t="s">
        <v>100</v>
      </c>
      <c r="C84" s="109" t="s">
        <v>161</v>
      </c>
      <c r="D84" s="93">
        <f>IF($A84="Feature",SUM(E84:F84)*'Roadmap setting'!$B$13,0)</f>
        <v>0.8</v>
      </c>
      <c r="F84" s="94">
        <v>4.0</v>
      </c>
      <c r="G84" s="95">
        <f>IF($A84="Feature",IF('Roadmap setting'!$E$14,$F84*('Roadmap setting'!$B$14+'Roadmap setting'!$D$14),$F84*'Roadmap setting'!$B$14),0)</f>
        <v>0.6</v>
      </c>
      <c r="H84" s="93">
        <f>IF($A84="Feature",$E84*'Roadmap setting'!$B$15,0)</f>
        <v>0</v>
      </c>
      <c r="I84" s="95">
        <f>IF($A84="Feature",$F84*'Roadmap setting'!$B$16,0)</f>
        <v>0</v>
      </c>
      <c r="J84" s="93">
        <f>SUM($E84:$F84)*'Roadmap setting'!$B$17</f>
        <v>0.48</v>
      </c>
      <c r="K84" s="93">
        <f>SUM($E84:$F84)*'Roadmap setting'!$B$18</f>
        <v>0.04</v>
      </c>
      <c r="L84" s="93">
        <f>SUM($E84:$F84)*'Roadmap setting'!$B$19</f>
        <v>0</v>
      </c>
      <c r="M84" s="95">
        <f>SUM($E84:$F84)*'Roadmap setting'!$B$20</f>
        <v>0.08</v>
      </c>
      <c r="N84" s="79">
        <f t="shared" si="12"/>
        <v>6</v>
      </c>
      <c r="O84" s="96" t="b">
        <v>1</v>
      </c>
      <c r="P84" s="97"/>
      <c r="Q84" s="98"/>
      <c r="R84" s="97"/>
      <c r="S84" s="97"/>
      <c r="T84" s="97"/>
      <c r="U84" s="97"/>
      <c r="V84" s="99"/>
      <c r="W84" s="96" t="b">
        <v>0</v>
      </c>
      <c r="X84" s="97"/>
      <c r="Y84" s="98"/>
      <c r="Z84" s="97"/>
      <c r="AA84" s="97"/>
      <c r="AB84" s="97"/>
      <c r="AC84" s="97"/>
      <c r="AD84" s="99"/>
      <c r="AE84" s="96" t="b">
        <v>0</v>
      </c>
      <c r="AF84" s="97"/>
      <c r="AG84" s="98"/>
      <c r="AH84" s="97"/>
      <c r="AI84" s="97"/>
      <c r="AJ84" s="97"/>
      <c r="AK84" s="97"/>
      <c r="AL84" s="99"/>
      <c r="AM84" s="96" t="b">
        <v>0</v>
      </c>
      <c r="AN84" s="80">
        <f t="array" ref="AN84">INDEX(A84:AM84, MATCH(RIGHT('Roadmap setting'!$B$9, 3), $A$2:$AM$2, 0) - 1)
</f>
        <v>6</v>
      </c>
      <c r="AO84" s="100">
        <f t="array" ref="AO84">IFNA(LOOKUP(2,1/(ISNUMBER(AO78:AO83)),AO78:AO83)+(E84/(Resources!$P$55/7)),TODAY()+(E84/(Resources!$P$55/7)))</f>
        <v>174939.3075</v>
      </c>
      <c r="AP84" s="100">
        <f t="array" ref="AP84">IFNA(LOOKUP(2,1/(ISNUMBER(AP78:AP83)),AP78:AP83)+(F84/(Resources!$P$56/7)),TODAY()+(F84/(Resources!$P$56/7)))</f>
        <v>5966.760991</v>
      </c>
      <c r="AQ84" s="100">
        <f t="array" ref="AQ84">IF(ISNUMBER($AV84),IFNA(LOOKUP(2,1/(ISNUMBER(AQ78:AQ83)),AQ78:AQ83),TODAY()),IFNA(LOOKUP(2,1/(ISNUMBER(AQ78:AQ83)),AQ78:AQ83)+(E84/(Resources!$E$55/7)),TODAY()+(E84/(Resources!$E$55/7))))</f>
        <v>336594.5923</v>
      </c>
      <c r="AR84" s="100">
        <f t="array" ref="AR84">IF(ISNUMBER($AV84),IFNA(LOOKUP(2,1/(ISNUMBER(AR78:AR83)),AR78:AR83),TODAY()),IFNA(LOOKUP(2,1/(ISNUMBER(AR78:AR83)),AR78:AR83)+(F84/(Resources!$E$56/7)),TODAY()+(F84/(Resources!$E$56/7))))</f>
        <v>17895.11812</v>
      </c>
      <c r="AS84" s="100">
        <f t="shared" si="13"/>
        <v>336594.5923</v>
      </c>
      <c r="AT84" s="101"/>
      <c r="AU84" s="102">
        <v>45705.0</v>
      </c>
      <c r="AV84" s="83"/>
    </row>
    <row r="85" ht="15.0" customHeight="1">
      <c r="A85" s="83" t="s">
        <v>97</v>
      </c>
      <c r="B85" s="92" t="s">
        <v>100</v>
      </c>
      <c r="C85" s="116" t="s">
        <v>162</v>
      </c>
      <c r="D85" s="93">
        <f>IF($A85="Feature",SUM(E85:F85)*'Roadmap setting'!$B$13,0)</f>
        <v>1.4</v>
      </c>
      <c r="E85" s="94">
        <v>5.0</v>
      </c>
      <c r="F85" s="94">
        <v>2.0</v>
      </c>
      <c r="G85" s="95">
        <f>IF($A85="Feature",IF('Roadmap setting'!$E$14,$F85*('Roadmap setting'!$B$14+'Roadmap setting'!$D$14),$F85*'Roadmap setting'!$B$14),0)</f>
        <v>0.3</v>
      </c>
      <c r="H85" s="93">
        <f>IF($A85="Feature",$E85*'Roadmap setting'!$B$15,0)</f>
        <v>0</v>
      </c>
      <c r="I85" s="95">
        <f>IF($A85="Feature",$F85*'Roadmap setting'!$B$16,0)</f>
        <v>0</v>
      </c>
      <c r="J85" s="93">
        <f>SUM($E85:$F85)*'Roadmap setting'!$B$17</f>
        <v>0.84</v>
      </c>
      <c r="K85" s="93">
        <f>SUM($E85:$F85)*'Roadmap setting'!$B$18</f>
        <v>0.07</v>
      </c>
      <c r="L85" s="93">
        <f>SUM($E85:$F85)*'Roadmap setting'!$B$19</f>
        <v>0</v>
      </c>
      <c r="M85" s="95">
        <f>SUM($E85:$F85)*'Roadmap setting'!$B$20</f>
        <v>0.14</v>
      </c>
      <c r="N85" s="79">
        <f t="shared" si="12"/>
        <v>9.75</v>
      </c>
      <c r="O85" s="96" t="b">
        <v>1</v>
      </c>
      <c r="P85" s="97"/>
      <c r="Q85" s="98"/>
      <c r="R85" s="97"/>
      <c r="S85" s="97"/>
      <c r="T85" s="97"/>
      <c r="U85" s="97"/>
      <c r="V85" s="99"/>
      <c r="W85" s="96" t="b">
        <v>0</v>
      </c>
      <c r="X85" s="97"/>
      <c r="Y85" s="98"/>
      <c r="Z85" s="97"/>
      <c r="AA85" s="97"/>
      <c r="AB85" s="97"/>
      <c r="AC85" s="97"/>
      <c r="AD85" s="99"/>
      <c r="AE85" s="96" t="b">
        <v>0</v>
      </c>
      <c r="AF85" s="97"/>
      <c r="AG85" s="98"/>
      <c r="AH85" s="97"/>
      <c r="AI85" s="97"/>
      <c r="AJ85" s="97"/>
      <c r="AK85" s="97"/>
      <c r="AL85" s="99"/>
      <c r="AM85" s="96" t="b">
        <v>0</v>
      </c>
      <c r="AN85" s="80">
        <f t="array" ref="AN85">INDEX(A85:AM85, MATCH(RIGHT('Roadmap setting'!$B$9, 3), $A$2:$AM$2, 0) - 1)
</f>
        <v>9.75</v>
      </c>
      <c r="AO85" s="100">
        <f t="array" ref="AO85">IFNA(LOOKUP(2,1/(ISNUMBER(AO79:AO84)),AO79:AO84)+(E85/(Resources!$P$55/7)),TODAY()+(E85/(Resources!$P$55/7)))</f>
        <v>174939.9291</v>
      </c>
      <c r="AP85" s="100">
        <f t="array" ref="AP85">IFNA(LOOKUP(2,1/(ISNUMBER(AP79:AP84)),AP79:AP84)+(F85/(Resources!$P$56/7)),TODAY()+(F85/(Resources!$P$56/7)))</f>
        <v>5967.172228</v>
      </c>
      <c r="AQ85" s="100">
        <f t="array" ref="AQ85">IF(ISNUMBER($AV85),IFNA(LOOKUP(2,1/(ISNUMBER(AQ79:AQ84)),AQ79:AQ84),TODAY()),IFNA(LOOKUP(2,1/(ISNUMBER(AQ79:AQ84)),AQ79:AQ84)+(E85/(Resources!$E$55/7)),TODAY()+(E85/(Resources!$E$55/7))))</f>
        <v>336595.8668</v>
      </c>
      <c r="AR85" s="100">
        <f t="array" ref="AR85">IF(ISNUMBER($AV85),IFNA(LOOKUP(2,1/(ISNUMBER(AR79:AR84)),AR79:AR84),TODAY()),IFNA(LOOKUP(2,1/(ISNUMBER(AR79:AR84)),AR79:AR84)+(F85/(Resources!$E$56/7)),TODAY()+(F85/(Resources!$E$56/7))))</f>
        <v>17895.80816</v>
      </c>
      <c r="AS85" s="100">
        <f t="shared" si="13"/>
        <v>336595.8668</v>
      </c>
      <c r="AT85" s="101"/>
      <c r="AU85" s="102">
        <v>45705.0</v>
      </c>
      <c r="AV85" s="83"/>
    </row>
    <row r="86" ht="15.0" customHeight="1">
      <c r="A86" s="83" t="s">
        <v>97</v>
      </c>
      <c r="B86" s="92" t="s">
        <v>112</v>
      </c>
      <c r="C86" s="109" t="s">
        <v>163</v>
      </c>
      <c r="D86" s="93">
        <f>IF($A86="Feature",SUM(E86:F86)*'Roadmap setting'!$B$13,0)</f>
        <v>2</v>
      </c>
      <c r="F86" s="94">
        <v>10.0</v>
      </c>
      <c r="G86" s="95">
        <f>IF($A86="Feature",IF('Roadmap setting'!$E$14,$F86*('Roadmap setting'!$B$14+'Roadmap setting'!$D$14),$F86*'Roadmap setting'!$B$14),0)</f>
        <v>1.5</v>
      </c>
      <c r="H86" s="93">
        <f>IF($A86="Feature",$E86*'Roadmap setting'!$B$15,0)</f>
        <v>0</v>
      </c>
      <c r="I86" s="95">
        <f>IF($A86="Feature",$F86*'Roadmap setting'!$B$16,0)</f>
        <v>0</v>
      </c>
      <c r="J86" s="93">
        <f>SUM($E86:$F86)*'Roadmap setting'!$B$17</f>
        <v>1.2</v>
      </c>
      <c r="K86" s="93">
        <f>SUM($E86:$F86)*'Roadmap setting'!$B$18</f>
        <v>0.1</v>
      </c>
      <c r="L86" s="93">
        <f>SUM($E86:$F86)*'Roadmap setting'!$B$19</f>
        <v>0</v>
      </c>
      <c r="M86" s="95">
        <f>SUM($E86:$F86)*'Roadmap setting'!$B$20</f>
        <v>0.2</v>
      </c>
      <c r="N86" s="79">
        <f t="shared" si="12"/>
        <v>15</v>
      </c>
      <c r="O86" s="96" t="b">
        <v>1</v>
      </c>
      <c r="P86" s="97"/>
      <c r="Q86" s="98"/>
      <c r="R86" s="97"/>
      <c r="S86" s="97"/>
      <c r="T86" s="97"/>
      <c r="U86" s="97"/>
      <c r="V86" s="99"/>
      <c r="W86" s="96" t="b">
        <v>0</v>
      </c>
      <c r="X86" s="97"/>
      <c r="Y86" s="98"/>
      <c r="Z86" s="97"/>
      <c r="AA86" s="97"/>
      <c r="AB86" s="97"/>
      <c r="AC86" s="97"/>
      <c r="AD86" s="99"/>
      <c r="AE86" s="96" t="b">
        <v>0</v>
      </c>
      <c r="AF86" s="97"/>
      <c r="AG86" s="98"/>
      <c r="AH86" s="97"/>
      <c r="AI86" s="97"/>
      <c r="AJ86" s="97"/>
      <c r="AK86" s="97"/>
      <c r="AL86" s="99"/>
      <c r="AM86" s="96" t="b">
        <v>0</v>
      </c>
      <c r="AN86" s="80">
        <f t="array" ref="AN86">INDEX(A86:AM86, MATCH(RIGHT('Roadmap setting'!$B$9, 3), $A$2:$AM$2, 0) - 1)
</f>
        <v>15</v>
      </c>
      <c r="AO86" s="100">
        <f t="array" ref="AO86">IFNA(LOOKUP(2,1/(ISNUMBER(AO79:AO84)),AO79:AO84)+(E86/(Resources!$P$55/7)),TODAY()+(E86/(Resources!$P$55/7)))</f>
        <v>174939.3075</v>
      </c>
      <c r="AP86" s="100">
        <f t="array" ref="AP86">IFNA(LOOKUP(2,1/(ISNUMBER(AP79:AP84)),AP79:AP84)+(F86/(Resources!$P$56/7)),TODAY()+(F86/(Resources!$P$56/7)))</f>
        <v>5968.817174</v>
      </c>
      <c r="AQ86" s="100">
        <f t="array" ref="AQ86">IF(ISNUMBER($AV86),IFNA(LOOKUP(2,1/(ISNUMBER(AQ79:AQ84)),AQ79:AQ84),TODAY()),IFNA(LOOKUP(2,1/(ISNUMBER(AQ79:AQ84)),AQ79:AQ84)+(E86/(Resources!$E$55/7)),TODAY()+(E86/(Resources!$E$55/7))))</f>
        <v>336594.5923</v>
      </c>
      <c r="AR86" s="100">
        <f t="array" ref="AR86">IF(ISNUMBER($AV86),IFNA(LOOKUP(2,1/(ISNUMBER(AR79:AR84)),AR79:AR84),TODAY()),IFNA(LOOKUP(2,1/(ISNUMBER(AR79:AR84)),AR79:AR84)+(F86/(Resources!$E$56/7)),TODAY()+(F86/(Resources!$E$56/7))))</f>
        <v>17898.56833</v>
      </c>
      <c r="AS86" s="100">
        <f t="shared" si="13"/>
        <v>336594.5923</v>
      </c>
      <c r="AT86" s="101"/>
      <c r="AU86" s="102">
        <v>45705.0</v>
      </c>
      <c r="AV86" s="83"/>
    </row>
    <row r="87" ht="15.0" customHeight="1">
      <c r="A87" s="83" t="s">
        <v>97</v>
      </c>
      <c r="B87" s="92" t="s">
        <v>112</v>
      </c>
      <c r="C87" s="109" t="s">
        <v>164</v>
      </c>
      <c r="D87" s="93">
        <f>IF($A87="Feature",SUM(E87:F87)*'Roadmap setting'!$B$13,0)</f>
        <v>0.6</v>
      </c>
      <c r="F87" s="94">
        <v>3.0</v>
      </c>
      <c r="G87" s="95">
        <f>IF($A87="Feature",IF('Roadmap setting'!$E$14,$F87*('Roadmap setting'!$B$14+'Roadmap setting'!$D$14),$F87*'Roadmap setting'!$B$14),0)</f>
        <v>0.45</v>
      </c>
      <c r="H87" s="93">
        <f>IF($A87="Feature",$E87*'Roadmap setting'!$B$15,0)</f>
        <v>0</v>
      </c>
      <c r="I87" s="95">
        <f>IF($A87="Feature",$F87*'Roadmap setting'!$B$16,0)</f>
        <v>0</v>
      </c>
      <c r="J87" s="93">
        <f>SUM($E87:$F87)*'Roadmap setting'!$B$17</f>
        <v>0.36</v>
      </c>
      <c r="K87" s="93">
        <f>SUM($E87:$F87)*'Roadmap setting'!$B$18</f>
        <v>0.03</v>
      </c>
      <c r="L87" s="93">
        <f>SUM($E87:$F87)*'Roadmap setting'!$B$19</f>
        <v>0</v>
      </c>
      <c r="M87" s="95">
        <f>SUM($E87:$F87)*'Roadmap setting'!$B$20</f>
        <v>0.06</v>
      </c>
      <c r="N87" s="79">
        <f t="shared" si="12"/>
        <v>4.5</v>
      </c>
      <c r="O87" s="96" t="b">
        <v>1</v>
      </c>
      <c r="P87" s="97"/>
      <c r="Q87" s="98"/>
      <c r="R87" s="97"/>
      <c r="S87" s="97"/>
      <c r="T87" s="97"/>
      <c r="U87" s="97"/>
      <c r="V87" s="99"/>
      <c r="W87" s="96" t="b">
        <v>0</v>
      </c>
      <c r="X87" s="97"/>
      <c r="Y87" s="98"/>
      <c r="Z87" s="97"/>
      <c r="AA87" s="97"/>
      <c r="AB87" s="97"/>
      <c r="AC87" s="97"/>
      <c r="AD87" s="99"/>
      <c r="AE87" s="96" t="b">
        <v>0</v>
      </c>
      <c r="AF87" s="97"/>
      <c r="AG87" s="98"/>
      <c r="AH87" s="97"/>
      <c r="AI87" s="97"/>
      <c r="AJ87" s="97"/>
      <c r="AK87" s="97"/>
      <c r="AL87" s="99"/>
      <c r="AM87" s="96" t="b">
        <v>0</v>
      </c>
      <c r="AN87" s="80">
        <f t="array" ref="AN87">INDEX(A87:AM87, MATCH(RIGHT('Roadmap setting'!$B$9, 3), $A$2:$AM$2, 0) - 1)
</f>
        <v>4.5</v>
      </c>
      <c r="AO87" s="100">
        <f t="array" ref="AO87">IFNA(LOOKUP(2,1/(ISNUMBER(AO80:AO85)),AO80:AO85)+(E87/(Resources!$P$55/7)),TODAY()+(E87/(Resources!$P$55/7)))</f>
        <v>174939.9291</v>
      </c>
      <c r="AP87" s="100">
        <f t="array" ref="AP87">IFNA(LOOKUP(2,1/(ISNUMBER(AP80:AP85)),AP80:AP85)+(F87/(Resources!$P$56/7)),TODAY()+(F87/(Resources!$P$56/7)))</f>
        <v>5967.789082</v>
      </c>
      <c r="AQ87" s="100">
        <f t="array" ref="AQ87">IF(ISNUMBER($AV87),IFNA(LOOKUP(2,1/(ISNUMBER(AQ80:AQ85)),AQ80:AQ85),TODAY()),IFNA(LOOKUP(2,1/(ISNUMBER(AQ80:AQ85)),AQ80:AQ85)+(E87/(Resources!$E$55/7)),TODAY()+(E87/(Resources!$E$55/7))))</f>
        <v>336595.8668</v>
      </c>
      <c r="AR87" s="100">
        <f t="array" ref="AR87">IF(ISNUMBER($AV87),IFNA(LOOKUP(2,1/(ISNUMBER(AR80:AR85)),AR80:AR85),TODAY()),IFNA(LOOKUP(2,1/(ISNUMBER(AR80:AR85)),AR80:AR85)+(F87/(Resources!$E$56/7)),TODAY()+(F87/(Resources!$E$56/7))))</f>
        <v>17896.84322</v>
      </c>
      <c r="AS87" s="100">
        <f t="shared" si="13"/>
        <v>336595.8668</v>
      </c>
      <c r="AT87" s="101"/>
      <c r="AU87" s="102">
        <v>45705.0</v>
      </c>
      <c r="AV87" s="83"/>
    </row>
    <row r="88" ht="15.0" customHeight="1">
      <c r="A88" s="83" t="s">
        <v>97</v>
      </c>
      <c r="B88" s="92" t="s">
        <v>100</v>
      </c>
      <c r="C88" s="116" t="s">
        <v>165</v>
      </c>
      <c r="D88" s="93">
        <f>IF($A88="Feature",SUM(E88:F88)*'Roadmap setting'!$B$13,0)</f>
        <v>0.2</v>
      </c>
      <c r="F88" s="94">
        <v>1.0</v>
      </c>
      <c r="G88" s="95">
        <f>IF($A88="Feature",IF('Roadmap setting'!$E$14,$F88*('Roadmap setting'!$B$14+'Roadmap setting'!$D$14),$F88*'Roadmap setting'!$B$14),0)</f>
        <v>0.15</v>
      </c>
      <c r="H88" s="93">
        <f>IF($A88="Feature",$E88*'Roadmap setting'!$B$15,0)</f>
        <v>0</v>
      </c>
      <c r="I88" s="95">
        <f>IF($A88="Feature",$F88*'Roadmap setting'!$B$16,0)</f>
        <v>0</v>
      </c>
      <c r="J88" s="93">
        <f>SUM($E88:$F88)*'Roadmap setting'!$B$17</f>
        <v>0.12</v>
      </c>
      <c r="K88" s="93">
        <f>SUM($E88:$F88)*'Roadmap setting'!$B$18</f>
        <v>0.01</v>
      </c>
      <c r="L88" s="93">
        <f>SUM($E88:$F88)*'Roadmap setting'!$B$19</f>
        <v>0</v>
      </c>
      <c r="M88" s="95">
        <f>SUM($E88:$F88)*'Roadmap setting'!$B$20</f>
        <v>0.02</v>
      </c>
      <c r="N88" s="79">
        <f t="shared" si="12"/>
        <v>1.5</v>
      </c>
      <c r="O88" s="96" t="b">
        <v>1</v>
      </c>
      <c r="P88" s="97"/>
      <c r="Q88" s="98"/>
      <c r="R88" s="97"/>
      <c r="S88" s="97"/>
      <c r="T88" s="97"/>
      <c r="U88" s="97"/>
      <c r="V88" s="99"/>
      <c r="W88" s="96" t="b">
        <v>0</v>
      </c>
      <c r="X88" s="97"/>
      <c r="Y88" s="98"/>
      <c r="Z88" s="97"/>
      <c r="AA88" s="97"/>
      <c r="AB88" s="97"/>
      <c r="AC88" s="97"/>
      <c r="AD88" s="99"/>
      <c r="AE88" s="96" t="b">
        <v>0</v>
      </c>
      <c r="AF88" s="97"/>
      <c r="AG88" s="98"/>
      <c r="AH88" s="97"/>
      <c r="AI88" s="97"/>
      <c r="AJ88" s="97"/>
      <c r="AK88" s="97"/>
      <c r="AL88" s="99"/>
      <c r="AM88" s="96" t="b">
        <v>0</v>
      </c>
      <c r="AN88" s="80">
        <f t="array" ref="AN88">INDEX(A88:AM88, MATCH(RIGHT('Roadmap setting'!$B$9, 3), $A$2:$AM$2, 0) - 1)
</f>
        <v>1.5</v>
      </c>
      <c r="AO88" s="100">
        <f t="array" ref="AO88">IFNA(LOOKUP(2,1/(ISNUMBER(AO81:AO87)),AO81:AO87)+(E88/(Resources!$P$55/7)),TODAY()+(E88/(Resources!$P$55/7)))</f>
        <v>174939.9291</v>
      </c>
      <c r="AP88" s="100">
        <f t="array" ref="AP88">IFNA(LOOKUP(2,1/(ISNUMBER(AP81:AP87)),AP81:AP87)+(F88/(Resources!$P$56/7)),TODAY()+(F88/(Resources!$P$56/7)))</f>
        <v>5967.994701</v>
      </c>
      <c r="AQ88" s="100">
        <f t="array" ref="AQ88">IF(ISNUMBER($AV88),IFNA(LOOKUP(2,1/(ISNUMBER(AQ81:AQ87)),AQ81:AQ87),TODAY()),IFNA(LOOKUP(2,1/(ISNUMBER(AQ81:AQ87)),AQ81:AQ87)+(E88/(Resources!$E$55/7)),TODAY()+(E88/(Resources!$E$55/7))))</f>
        <v>336595.8668</v>
      </c>
      <c r="AR88" s="100">
        <f t="array" ref="AR88">IF(ISNUMBER($AV88),IFNA(LOOKUP(2,1/(ISNUMBER(AR81:AR87)),AR81:AR87),TODAY()),IFNA(LOOKUP(2,1/(ISNUMBER(AR81:AR87)),AR81:AR87)+(F88/(Resources!$E$56/7)),TODAY()+(F88/(Resources!$E$56/7))))</f>
        <v>17897.18824</v>
      </c>
      <c r="AS88" s="100">
        <f t="shared" si="13"/>
        <v>336595.8668</v>
      </c>
      <c r="AT88" s="101"/>
      <c r="AU88" s="102">
        <v>45705.0</v>
      </c>
      <c r="AV88" s="83"/>
    </row>
    <row r="89" ht="15.0" customHeight="1">
      <c r="A89" s="83" t="s">
        <v>97</v>
      </c>
      <c r="B89" s="92" t="s">
        <v>92</v>
      </c>
      <c r="C89" s="116" t="s">
        <v>166</v>
      </c>
      <c r="D89" s="93">
        <f>IF($A89="Feature",SUM(E89:F89)*'Roadmap setting'!$B$13,0)</f>
        <v>1.6</v>
      </c>
      <c r="E89" s="94">
        <v>3.0</v>
      </c>
      <c r="F89" s="94">
        <v>5.0</v>
      </c>
      <c r="G89" s="95">
        <f>IF($A89="Feature",IF('Roadmap setting'!$E$14,$F89*('Roadmap setting'!$B$14+'Roadmap setting'!$D$14),$F89*'Roadmap setting'!$B$14),0)</f>
        <v>0.75</v>
      </c>
      <c r="H89" s="93">
        <f>IF($A89="Feature",$E89*'Roadmap setting'!$B$15,0)</f>
        <v>0</v>
      </c>
      <c r="I89" s="95">
        <f>IF($A89="Feature",$F89*'Roadmap setting'!$B$16,0)</f>
        <v>0</v>
      </c>
      <c r="J89" s="93">
        <f>SUM($E89:$F89)*'Roadmap setting'!$B$17</f>
        <v>0.96</v>
      </c>
      <c r="K89" s="93">
        <f>SUM($E89:$F89)*'Roadmap setting'!$B$18</f>
        <v>0.08</v>
      </c>
      <c r="L89" s="93">
        <f>SUM($E89:$F89)*'Roadmap setting'!$B$19</f>
        <v>0</v>
      </c>
      <c r="M89" s="95">
        <f>SUM($E89:$F89)*'Roadmap setting'!$B$20</f>
        <v>0.16</v>
      </c>
      <c r="N89" s="79">
        <f t="shared" si="12"/>
        <v>11.55</v>
      </c>
      <c r="O89" s="96" t="b">
        <v>1</v>
      </c>
      <c r="P89" s="97"/>
      <c r="Q89" s="98"/>
      <c r="R89" s="97"/>
      <c r="S89" s="97"/>
      <c r="T89" s="97"/>
      <c r="U89" s="97"/>
      <c r="V89" s="99"/>
      <c r="W89" s="96" t="b">
        <v>0</v>
      </c>
      <c r="X89" s="97"/>
      <c r="Y89" s="98"/>
      <c r="Z89" s="97"/>
      <c r="AA89" s="97"/>
      <c r="AB89" s="97"/>
      <c r="AC89" s="97"/>
      <c r="AD89" s="99"/>
      <c r="AE89" s="96" t="b">
        <v>0</v>
      </c>
      <c r="AF89" s="97"/>
      <c r="AG89" s="98"/>
      <c r="AH89" s="97"/>
      <c r="AI89" s="97"/>
      <c r="AJ89" s="97"/>
      <c r="AK89" s="97"/>
      <c r="AL89" s="99"/>
      <c r="AM89" s="96" t="b">
        <v>0</v>
      </c>
      <c r="AN89" s="80">
        <f t="array" ref="AN89">INDEX(A89:AM89, MATCH(RIGHT('Roadmap setting'!$B$9, 3), $A$2:$AM$2, 0) - 1)
</f>
        <v>11.55</v>
      </c>
      <c r="AO89" s="100">
        <f t="array" ref="AO89">IFNA(LOOKUP(2,1/(ISNUMBER(AO82:AO88)),AO82:AO88)+(E89/(Resources!$P$55/7)),TODAY()+(E89/(Resources!$P$55/7)))</f>
        <v>174940.3021</v>
      </c>
      <c r="AP89" s="100">
        <f t="array" ref="AP89">IFNA(LOOKUP(2,1/(ISNUMBER(AP82:AP88)),AP82:AP88)+(F89/(Resources!$P$56/7)),TODAY()+(F89/(Resources!$P$56/7)))</f>
        <v>5969.022792</v>
      </c>
      <c r="AQ89" s="100">
        <f t="array" ref="AQ89">IF(ISNUMBER($AV89),IFNA(LOOKUP(2,1/(ISNUMBER(AQ82:AQ88)),AQ82:AQ88),TODAY()),IFNA(LOOKUP(2,1/(ISNUMBER(AQ82:AQ88)),AQ82:AQ88)+(E89/(Resources!$E$55/7)),TODAY()+(E89/(Resources!$E$55/7))))</f>
        <v>336596.6315</v>
      </c>
      <c r="AR89" s="100">
        <f t="array" ref="AR89">IF(ISNUMBER($AV89),IFNA(LOOKUP(2,1/(ISNUMBER(AR82:AR88)),AR82:AR88),TODAY()),IFNA(LOOKUP(2,1/(ISNUMBER(AR82:AR88)),AR82:AR88)+(F89/(Resources!$E$56/7)),TODAY()+(F89/(Resources!$E$56/7))))</f>
        <v>17898.91335</v>
      </c>
      <c r="AS89" s="100">
        <f t="shared" si="13"/>
        <v>336596.6315</v>
      </c>
      <c r="AT89" s="101"/>
      <c r="AU89" s="102">
        <v>45705.0</v>
      </c>
      <c r="AV89" s="83"/>
    </row>
    <row r="90" ht="15.0" customHeight="1">
      <c r="A90" s="83" t="s">
        <v>97</v>
      </c>
      <c r="B90" s="92" t="s">
        <v>112</v>
      </c>
      <c r="C90" s="116" t="s">
        <v>167</v>
      </c>
      <c r="D90" s="93">
        <f>IF($A90="Feature",SUM(E90:F90)*'Roadmap setting'!$B$13,0)</f>
        <v>0.6</v>
      </c>
      <c r="E90" s="94"/>
      <c r="F90" s="94">
        <v>3.0</v>
      </c>
      <c r="G90" s="95">
        <f>IF($A90="Feature",IF('Roadmap setting'!$E$14,$F90*('Roadmap setting'!$B$14+'Roadmap setting'!$D$14),$F90*'Roadmap setting'!$B$14),0)</f>
        <v>0.45</v>
      </c>
      <c r="H90" s="93">
        <f>IF($A90="Feature",$E90*'Roadmap setting'!$B$15,0)</f>
        <v>0</v>
      </c>
      <c r="I90" s="95">
        <f>IF($A90="Feature",$F90*'Roadmap setting'!$B$16,0)</f>
        <v>0</v>
      </c>
      <c r="J90" s="93">
        <f>SUM($E90:$F90)*'Roadmap setting'!$B$17</f>
        <v>0.36</v>
      </c>
      <c r="K90" s="93">
        <f>SUM($E90:$F90)*'Roadmap setting'!$B$18</f>
        <v>0.03</v>
      </c>
      <c r="L90" s="93">
        <f>SUM($E90:$F90)*'Roadmap setting'!$B$19</f>
        <v>0</v>
      </c>
      <c r="M90" s="95">
        <f>SUM($E90:$F90)*'Roadmap setting'!$B$20</f>
        <v>0.06</v>
      </c>
      <c r="N90" s="79">
        <f t="shared" si="12"/>
        <v>4.5</v>
      </c>
      <c r="O90" s="96" t="b">
        <v>1</v>
      </c>
      <c r="P90" s="97"/>
      <c r="Q90" s="98"/>
      <c r="R90" s="97"/>
      <c r="S90" s="97"/>
      <c r="T90" s="97"/>
      <c r="U90" s="97"/>
      <c r="V90" s="99"/>
      <c r="W90" s="96" t="b">
        <v>0</v>
      </c>
      <c r="X90" s="97"/>
      <c r="Y90" s="98"/>
      <c r="Z90" s="97"/>
      <c r="AA90" s="97"/>
      <c r="AB90" s="97"/>
      <c r="AC90" s="97"/>
      <c r="AD90" s="99"/>
      <c r="AE90" s="96" t="b">
        <v>0</v>
      </c>
      <c r="AF90" s="97"/>
      <c r="AG90" s="98"/>
      <c r="AH90" s="97"/>
      <c r="AI90" s="97"/>
      <c r="AJ90" s="97"/>
      <c r="AK90" s="97"/>
      <c r="AL90" s="99"/>
      <c r="AM90" s="96" t="b">
        <v>0</v>
      </c>
      <c r="AN90" s="80">
        <f t="array" ref="AN90">INDEX(A90:AM90, MATCH(RIGHT('Roadmap setting'!$B$9, 3), $A$2:$AM$2, 0) - 1)
</f>
        <v>4.5</v>
      </c>
      <c r="AO90" s="100">
        <f t="array" ref="AO90">IFNA(LOOKUP(2,1/(ISNUMBER(AO83:AO89)),AO83:AO89)+(E90/(Resources!$P$55/7)),TODAY()+(E90/(Resources!$P$55/7)))</f>
        <v>174940.3021</v>
      </c>
      <c r="AP90" s="100">
        <f t="array" ref="AP90">IFNA(LOOKUP(2,1/(ISNUMBER(AP83:AP89)),AP83:AP89)+(F90/(Resources!$P$56/7)),TODAY()+(F90/(Resources!$P$56/7)))</f>
        <v>5969.639647</v>
      </c>
      <c r="AQ90" s="100">
        <f t="array" ref="AQ90">IF(ISNUMBER($AV90),IFNA(LOOKUP(2,1/(ISNUMBER(AQ83:AQ89)),AQ83:AQ89),TODAY()),IFNA(LOOKUP(2,1/(ISNUMBER(AQ83:AQ89)),AQ83:AQ89)+(E90/(Resources!$E$55/7)),TODAY()+(E90/(Resources!$E$55/7))))</f>
        <v>336596.6315</v>
      </c>
      <c r="AR90" s="100">
        <f t="array" ref="AR90">IF(ISNUMBER($AV90),IFNA(LOOKUP(2,1/(ISNUMBER(AR83:AR89)),AR83:AR89),TODAY()),IFNA(LOOKUP(2,1/(ISNUMBER(AR83:AR89)),AR83:AR89)+(F90/(Resources!$E$56/7)),TODAY()+(F90/(Resources!$E$56/7))))</f>
        <v>17899.94841</v>
      </c>
      <c r="AS90" s="100">
        <f t="shared" si="13"/>
        <v>336596.6315</v>
      </c>
      <c r="AT90" s="101"/>
      <c r="AU90" s="102">
        <v>45705.0</v>
      </c>
      <c r="AV90" s="83"/>
    </row>
    <row r="91" ht="15.0" customHeight="1">
      <c r="A91" s="84" t="s">
        <v>168</v>
      </c>
      <c r="C91" s="108"/>
      <c r="D91" s="84"/>
      <c r="E91" s="84"/>
      <c r="F91" s="84"/>
      <c r="G91" s="84"/>
      <c r="H91" s="84"/>
      <c r="I91" s="84"/>
      <c r="J91" s="84"/>
      <c r="K91" s="84"/>
      <c r="L91" s="84"/>
      <c r="M91" s="84"/>
      <c r="N91" s="84"/>
      <c r="O91" s="84"/>
      <c r="P91" s="84"/>
      <c r="Q91" s="84"/>
      <c r="R91" s="84"/>
      <c r="S91" s="84"/>
      <c r="T91" s="84"/>
      <c r="U91" s="84"/>
      <c r="V91" s="84"/>
      <c r="W91" s="84"/>
      <c r="X91" s="84"/>
      <c r="Y91" s="84"/>
      <c r="Z91" s="84"/>
      <c r="AA91" s="84"/>
      <c r="AB91" s="84"/>
      <c r="AC91" s="84"/>
      <c r="AD91" s="84"/>
      <c r="AE91" s="84"/>
      <c r="AF91" s="84"/>
      <c r="AG91" s="84"/>
      <c r="AH91" s="84"/>
      <c r="AI91" s="84"/>
      <c r="AJ91" s="84"/>
      <c r="AK91" s="84"/>
      <c r="AL91" s="84"/>
      <c r="AM91" s="84"/>
      <c r="AN91" s="84"/>
      <c r="AO91" s="84"/>
      <c r="AP91" s="84"/>
      <c r="AQ91" s="84"/>
      <c r="AR91" s="84"/>
      <c r="AS91" s="84"/>
      <c r="AT91" s="84"/>
      <c r="AU91" s="84"/>
      <c r="AV91" s="84"/>
    </row>
    <row r="92" ht="15.0" customHeight="1">
      <c r="A92" s="83" t="s">
        <v>97</v>
      </c>
      <c r="B92" s="92" t="s">
        <v>112</v>
      </c>
      <c r="C92" s="116" t="s">
        <v>169</v>
      </c>
      <c r="D92" s="93">
        <f>IF($A92="Feature",SUM(E92:F92)*'Roadmap setting'!$B$13,0)</f>
        <v>0.9</v>
      </c>
      <c r="E92" s="94">
        <v>3.0</v>
      </c>
      <c r="F92" s="94">
        <v>1.5</v>
      </c>
      <c r="G92" s="95">
        <f>IF($A92="Feature",IF('Roadmap setting'!$E$14,$F92*('Roadmap setting'!$B$14+'Roadmap setting'!$D$14),$F92*'Roadmap setting'!$B$14),0)</f>
        <v>0.225</v>
      </c>
      <c r="H92" s="93">
        <f>IF($A92="Feature",$E92*'Roadmap setting'!$B$15,0)</f>
        <v>0</v>
      </c>
      <c r="I92" s="95">
        <f>IF($A92="Feature",$F92*'Roadmap setting'!$B$16,0)</f>
        <v>0</v>
      </c>
      <c r="J92" s="93">
        <f>SUM($E92:$F92)*'Roadmap setting'!$B$17</f>
        <v>0.54</v>
      </c>
      <c r="K92" s="93">
        <f>SUM($E92:$F92)*'Roadmap setting'!$B$18</f>
        <v>0.045</v>
      </c>
      <c r="L92" s="93">
        <f>SUM($E92:$F92)*'Roadmap setting'!$B$19</f>
        <v>0</v>
      </c>
      <c r="M92" s="95">
        <f>SUM($E92:$F92)*'Roadmap setting'!$B$20</f>
        <v>0.09</v>
      </c>
      <c r="N92" s="79">
        <f>SUM($D92:$G92)+SUM(H92:M92)</f>
        <v>6.3</v>
      </c>
      <c r="O92" s="96" t="b">
        <v>1</v>
      </c>
      <c r="P92" s="97"/>
      <c r="Q92" s="98"/>
      <c r="R92" s="97"/>
      <c r="S92" s="97"/>
      <c r="T92" s="97"/>
      <c r="U92" s="98"/>
      <c r="V92" s="99"/>
      <c r="W92" s="96" t="b">
        <v>0</v>
      </c>
      <c r="X92" s="97"/>
      <c r="Y92" s="98"/>
      <c r="Z92" s="97"/>
      <c r="AA92" s="97"/>
      <c r="AB92" s="97"/>
      <c r="AC92" s="98"/>
      <c r="AD92" s="99"/>
      <c r="AE92" s="96" t="b">
        <v>0</v>
      </c>
      <c r="AF92" s="97"/>
      <c r="AG92" s="98"/>
      <c r="AH92" s="97"/>
      <c r="AI92" s="97"/>
      <c r="AJ92" s="97"/>
      <c r="AK92" s="98"/>
      <c r="AL92" s="99"/>
      <c r="AM92" s="96" t="b">
        <v>0</v>
      </c>
      <c r="AN92" s="80">
        <f t="array" ref="AN92">INDEX(A92:AM92, MATCH(RIGHT('Roadmap setting'!$B$9, 3), $A$2:$AM$2, 0) - 1)
</f>
        <v>6.3</v>
      </c>
      <c r="AO92" s="100">
        <f t="array" ref="AO92">IFNA(LOOKUP(2,1/(ISNUMBER(AO120:AO126)),AO120:AO126)+(E92/(Resources!$P$55/7)),TODAY()+(E92/(Resources!$P$55/7)))</f>
        <v>45782.47037</v>
      </c>
      <c r="AP92" s="100">
        <f t="array" ref="AP92">IFNA(LOOKUP(2,1/(ISNUMBER(AP120:AP126)),AP120:AP126)+(F92/(Resources!$P$56/7)),TODAY()+(F92/(Resources!$P$56/7)))</f>
        <v>45782.6545</v>
      </c>
      <c r="AQ92" s="100">
        <f t="array" ref="AQ92">IF(ISNUMBER($AV92),IFNA(LOOKUP(2,1/(ISNUMBER(AQ120:AQ126)),AQ120:AQ126),TODAY()),IFNA(LOOKUP(2,1/(ISNUMBER(AQ120:AQ126)),AQ120:AQ126)+(E92/(Resources!$E$55/7)),TODAY()+(E92/(Resources!$E$55/7))))</f>
        <v>45788.2155</v>
      </c>
      <c r="AR92" s="100">
        <f t="array" ref="AR92">IF(ISNUMBER($AV92),IFNA(LOOKUP(2,1/(ISNUMBER(AR120:AR126)),AR120:AR126),TODAY()),IFNA(LOOKUP(2,1/(ISNUMBER(AR120:AR126)),AR120:AR126)+(F92/(Resources!$E$56/7)),TODAY()+(F92/(Resources!$E$56/7))))</f>
        <v>45786.48806</v>
      </c>
      <c r="AS92" s="100">
        <f>IFERROR(MAX(AQ92,AR92),"")</f>
        <v>45788.2155</v>
      </c>
      <c r="AT92" s="82"/>
      <c r="AU92" s="82"/>
      <c r="AV92" s="83"/>
    </row>
    <row r="93" ht="15.0" customHeight="1">
      <c r="A93" s="71"/>
      <c r="B93" s="71"/>
      <c r="C93" s="117" t="s">
        <v>170</v>
      </c>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c r="AD93" s="74"/>
      <c r="AE93" s="73"/>
      <c r="AF93" s="72"/>
      <c r="AG93" s="72"/>
      <c r="AH93" s="72"/>
      <c r="AI93" s="72"/>
      <c r="AJ93" s="72"/>
      <c r="AK93" s="72"/>
      <c r="AL93" s="74"/>
      <c r="AM93" s="73"/>
      <c r="AN93" s="75"/>
      <c r="AO93" s="75"/>
      <c r="AP93" s="75"/>
      <c r="AQ93" s="75"/>
      <c r="AR93" s="75"/>
      <c r="AS93" s="75"/>
      <c r="AT93" s="75"/>
      <c r="AU93" s="75"/>
      <c r="AV93" s="76"/>
    </row>
    <row r="94" ht="15.0" customHeight="1">
      <c r="A94" s="83" t="s">
        <v>97</v>
      </c>
      <c r="B94" s="118" t="s">
        <v>92</v>
      </c>
      <c r="C94" s="116" t="s">
        <v>171</v>
      </c>
      <c r="D94" s="93">
        <f>IF($A94="Feature",SUM(E94:F94)*'Roadmap setting'!$B$13,0)</f>
        <v>1</v>
      </c>
      <c r="E94" s="94">
        <v>5.0</v>
      </c>
      <c r="F94" s="94">
        <v>0.0</v>
      </c>
      <c r="G94" s="95">
        <f>IF($A94="Feature",IF('Roadmap setting'!$E$14,$F94*('Roadmap setting'!$B$14+'Roadmap setting'!$D$14),$F94*'Roadmap setting'!$B$14),0)</f>
        <v>0</v>
      </c>
      <c r="H94" s="93">
        <f>IF($A94="Feature",$E94*'Roadmap setting'!$B$15,0)</f>
        <v>0</v>
      </c>
      <c r="I94" s="95">
        <f>IF($A94="Feature",$F94*'Roadmap setting'!$B$16,0)</f>
        <v>0</v>
      </c>
      <c r="J94" s="93">
        <f>SUM($E94:$F94)*'Roadmap setting'!$B$17</f>
        <v>0.6</v>
      </c>
      <c r="K94" s="93">
        <f>SUM($E94:$F94)*'Roadmap setting'!$B$18</f>
        <v>0.05</v>
      </c>
      <c r="L94" s="93">
        <f>SUM($E94:$F94)*'Roadmap setting'!$B$19</f>
        <v>0</v>
      </c>
      <c r="M94" s="95">
        <f>SUM($E94:$F94)*'Roadmap setting'!$B$20</f>
        <v>0.1</v>
      </c>
      <c r="N94" s="79">
        <f t="shared" ref="N94:N101" si="14">SUM($D94:$G94)+SUM(H94:M94)</f>
        <v>6.75</v>
      </c>
      <c r="O94" s="96" t="b">
        <v>1</v>
      </c>
      <c r="P94" s="97"/>
      <c r="Q94" s="98"/>
      <c r="R94" s="97"/>
      <c r="S94" s="97"/>
      <c r="T94" s="97"/>
      <c r="U94" s="97"/>
      <c r="V94" s="99"/>
      <c r="W94" s="96" t="b">
        <v>0</v>
      </c>
      <c r="X94" s="97"/>
      <c r="Y94" s="98"/>
      <c r="Z94" s="97"/>
      <c r="AA94" s="97"/>
      <c r="AB94" s="97"/>
      <c r="AC94" s="97"/>
      <c r="AD94" s="99"/>
      <c r="AE94" s="96" t="b">
        <v>0</v>
      </c>
      <c r="AF94" s="97"/>
      <c r="AG94" s="98"/>
      <c r="AH94" s="97"/>
      <c r="AI94" s="97"/>
      <c r="AJ94" s="97"/>
      <c r="AK94" s="97"/>
      <c r="AL94" s="99"/>
      <c r="AM94" s="96" t="b">
        <v>0</v>
      </c>
      <c r="AN94" s="80">
        <f t="array" ref="AN94">INDEX(A94:AM94, MATCH(RIGHT('Roadmap setting'!$B$9, 3), $A$2:$AM$2, 0) - 1)
</f>
        <v>6.75</v>
      </c>
      <c r="AO94" s="100">
        <f t="array" ref="AO94">IFNA(LOOKUP(2,1/(ISNUMBER(AO92:AO93)),AO92:AO93)+(E94/(Resources!$P$55/7)),TODAY()+(E94/(Resources!$P$55/7)))</f>
        <v>45783.092</v>
      </c>
      <c r="AP94" s="100">
        <f t="array" ref="AP94">IFNA(LOOKUP(2,1/(ISNUMBER(AP92:AP93)),AP92:AP93)+(F94/(Resources!$P$56/7)),TODAY()+(F94/(Resources!$P$56/7)))</f>
        <v>45782.6545</v>
      </c>
      <c r="AQ94" s="100">
        <f t="array" ref="AQ94">IF(ISNUMBER($AV94),IFNA(LOOKUP(2,1/(ISNUMBER(AQ92:AQ93)),AQ92:AQ93),TODAY()),IFNA(LOOKUP(2,1/(ISNUMBER(AQ92:AQ93)),AQ92:AQ93)+(E94/(Resources!$E$55/7)),TODAY()+(E94/(Resources!$E$55/7))))</f>
        <v>45789.48999</v>
      </c>
      <c r="AR94" s="100">
        <f t="array" ref="AR94">IF(ISNUMBER($AV94),IFNA(LOOKUP(2,1/(ISNUMBER(AR92:AR93)),AR92:AR93),TODAY()),IFNA(LOOKUP(2,1/(ISNUMBER(AR92:AR93)),AR92:AR93)+(F94/(Resources!$E$56/7)),TODAY()+(F94/(Resources!$E$56/7))))</f>
        <v>45786.48806</v>
      </c>
      <c r="AS94" s="100">
        <f t="shared" ref="AS94:AS101" si="15">IFERROR(MAX(AQ94,AR94),"")</f>
        <v>45789.48999</v>
      </c>
      <c r="AT94" s="101"/>
      <c r="AU94" s="102">
        <v>45708.0</v>
      </c>
      <c r="AV94" s="83"/>
    </row>
    <row r="95" ht="15.0" customHeight="1">
      <c r="A95" s="83" t="s">
        <v>97</v>
      </c>
      <c r="B95" s="118" t="s">
        <v>92</v>
      </c>
      <c r="C95" s="116" t="s">
        <v>172</v>
      </c>
      <c r="D95" s="93">
        <f>IF($A95="Feature",SUM(E95:F95)*'Roadmap setting'!$B$13,0)</f>
        <v>0</v>
      </c>
      <c r="F95" s="94">
        <v>0.0</v>
      </c>
      <c r="G95" s="95">
        <f>IF($A95="Feature",IF('Roadmap setting'!$E$14,$F95*('Roadmap setting'!$B$14+'Roadmap setting'!$D$14),$F95*'Roadmap setting'!$B$14),0)</f>
        <v>0</v>
      </c>
      <c r="H95" s="93">
        <f>IF($A95="Feature",$E95*'Roadmap setting'!$B$15,0)</f>
        <v>0</v>
      </c>
      <c r="I95" s="95">
        <f>IF($A95="Feature",$F95*'Roadmap setting'!$B$16,0)</f>
        <v>0</v>
      </c>
      <c r="J95" s="93">
        <f>SUM($E95:$F95)*'Roadmap setting'!$B$17</f>
        <v>0</v>
      </c>
      <c r="K95" s="93">
        <f>SUM($E95:$F95)*'Roadmap setting'!$B$18</f>
        <v>0</v>
      </c>
      <c r="L95" s="93">
        <f>SUM($E95:$F95)*'Roadmap setting'!$B$19</f>
        <v>0</v>
      </c>
      <c r="M95" s="95">
        <f>SUM($E95:$F95)*'Roadmap setting'!$B$20</f>
        <v>0</v>
      </c>
      <c r="N95" s="79">
        <f t="shared" si="14"/>
        <v>0</v>
      </c>
      <c r="O95" s="96" t="b">
        <v>1</v>
      </c>
      <c r="P95" s="97"/>
      <c r="Q95" s="98"/>
      <c r="R95" s="97"/>
      <c r="S95" s="97"/>
      <c r="T95" s="97"/>
      <c r="U95" s="97"/>
      <c r="V95" s="99"/>
      <c r="W95" s="96" t="b">
        <v>0</v>
      </c>
      <c r="X95" s="97"/>
      <c r="Y95" s="98"/>
      <c r="Z95" s="97"/>
      <c r="AA95" s="97"/>
      <c r="AB95" s="97"/>
      <c r="AC95" s="97"/>
      <c r="AD95" s="99"/>
      <c r="AE95" s="96" t="b">
        <v>0</v>
      </c>
      <c r="AF95" s="97"/>
      <c r="AG95" s="98"/>
      <c r="AH95" s="97"/>
      <c r="AI95" s="97"/>
      <c r="AJ95" s="97"/>
      <c r="AK95" s="97"/>
      <c r="AL95" s="99"/>
      <c r="AM95" s="96" t="b">
        <v>0</v>
      </c>
      <c r="AN95" s="80">
        <f t="array" ref="AN95">INDEX(A95:AM95, MATCH(RIGHT('Roadmap setting'!$B$9, 3), $A$2:$AM$2, 0) - 1)
</f>
        <v>0</v>
      </c>
      <c r="AO95" s="100">
        <f t="array" ref="AO95">IFNA(LOOKUP(2,1/(ISNUMBER(AO92:AO94)),AO92:AO94)+(E95/(Resources!$P$55/7)),TODAY()+(E95/(Resources!$P$55/7)))</f>
        <v>45783.092</v>
      </c>
      <c r="AP95" s="100">
        <f t="array" ref="AP95">IFNA(LOOKUP(2,1/(ISNUMBER(AP92:AP94)),AP92:AP94)+(F95/(Resources!$P$56/7)),TODAY()+(F95/(Resources!$P$56/7)))</f>
        <v>45782.6545</v>
      </c>
      <c r="AQ95" s="100">
        <f t="array" ref="AQ95">IF(ISNUMBER($AV95),IFNA(LOOKUP(2,1/(ISNUMBER(AQ92:AQ94)),AQ92:AQ94),TODAY()),IFNA(LOOKUP(2,1/(ISNUMBER(AQ92:AQ94)),AQ92:AQ94)+(E95/(Resources!$E$55/7)),TODAY()+(E95/(Resources!$E$55/7))))</f>
        <v>45789.48999</v>
      </c>
      <c r="AR95" s="100">
        <f t="array" ref="AR95">IF(ISNUMBER($AV95),IFNA(LOOKUP(2,1/(ISNUMBER(AR92:AR94)),AR92:AR94),TODAY()),IFNA(LOOKUP(2,1/(ISNUMBER(AR92:AR94)),AR92:AR94)+(F95/(Resources!$E$56/7)),TODAY()+(F95/(Resources!$E$56/7))))</f>
        <v>45786.48806</v>
      </c>
      <c r="AS95" s="100">
        <f t="shared" si="15"/>
        <v>45789.48999</v>
      </c>
      <c r="AT95" s="101"/>
      <c r="AU95" s="102">
        <v>45708.0</v>
      </c>
      <c r="AV95" s="83"/>
    </row>
    <row r="96" ht="15.0" customHeight="1">
      <c r="A96" s="83" t="s">
        <v>97</v>
      </c>
      <c r="B96" s="118" t="s">
        <v>100</v>
      </c>
      <c r="C96" s="116" t="s">
        <v>173</v>
      </c>
      <c r="D96" s="93">
        <f>IF($A96="Feature",SUM(E96:F96)*'Roadmap setting'!$B$13,0)</f>
        <v>0</v>
      </c>
      <c r="F96" s="94">
        <v>0.0</v>
      </c>
      <c r="G96" s="95">
        <f>IF($A96="Feature",IF('Roadmap setting'!$E$14,$F96*('Roadmap setting'!$B$14+'Roadmap setting'!$D$14),$F96*'Roadmap setting'!$B$14),0)</f>
        <v>0</v>
      </c>
      <c r="H96" s="93">
        <f>IF($A96="Feature",$E96*'Roadmap setting'!$B$15,0)</f>
        <v>0</v>
      </c>
      <c r="I96" s="95">
        <f>IF($A96="Feature",$F96*'Roadmap setting'!$B$16,0)</f>
        <v>0</v>
      </c>
      <c r="J96" s="93">
        <f>SUM($E96:$F96)*'Roadmap setting'!$B$17</f>
        <v>0</v>
      </c>
      <c r="K96" s="93">
        <f>SUM($E96:$F96)*'Roadmap setting'!$B$18</f>
        <v>0</v>
      </c>
      <c r="L96" s="93">
        <f>SUM($E96:$F96)*'Roadmap setting'!$B$19</f>
        <v>0</v>
      </c>
      <c r="M96" s="95">
        <f>SUM($E96:$F96)*'Roadmap setting'!$B$20</f>
        <v>0</v>
      </c>
      <c r="N96" s="79">
        <f t="shared" si="14"/>
        <v>0</v>
      </c>
      <c r="O96" s="96" t="b">
        <v>1</v>
      </c>
      <c r="P96" s="97"/>
      <c r="Q96" s="98"/>
      <c r="R96" s="97"/>
      <c r="S96" s="97"/>
      <c r="T96" s="97"/>
      <c r="U96" s="97"/>
      <c r="V96" s="99"/>
      <c r="W96" s="96" t="b">
        <v>0</v>
      </c>
      <c r="X96" s="97"/>
      <c r="Y96" s="98"/>
      <c r="Z96" s="97"/>
      <c r="AA96" s="97"/>
      <c r="AB96" s="97"/>
      <c r="AC96" s="97"/>
      <c r="AD96" s="99"/>
      <c r="AE96" s="96" t="b">
        <v>0</v>
      </c>
      <c r="AF96" s="97"/>
      <c r="AG96" s="98"/>
      <c r="AH96" s="97"/>
      <c r="AI96" s="97"/>
      <c r="AJ96" s="97"/>
      <c r="AK96" s="97"/>
      <c r="AL96" s="99"/>
      <c r="AM96" s="96" t="b">
        <v>0</v>
      </c>
      <c r="AN96" s="80">
        <f t="array" ref="AN96">INDEX(A96:AM96, MATCH(RIGHT('Roadmap setting'!$B$9, 3), $A$2:$AM$2, 0) - 1)
</f>
        <v>0</v>
      </c>
      <c r="AO96" s="100">
        <f t="array" ref="AO96">IFNA(LOOKUP(2,1/(ISNUMBER(AO92:AO95)),AO92:AO95)+(E96/(Resources!$P$55/7)),TODAY()+(E96/(Resources!$P$55/7)))</f>
        <v>45783.092</v>
      </c>
      <c r="AP96" s="100">
        <f t="array" ref="AP96">IFNA(LOOKUP(2,1/(ISNUMBER(AP92:AP95)),AP92:AP95)+(F96/(Resources!$P$56/7)),TODAY()+(F96/(Resources!$P$56/7)))</f>
        <v>45782.6545</v>
      </c>
      <c r="AQ96" s="100">
        <f t="array" ref="AQ96">IF(ISNUMBER($AV96),IFNA(LOOKUP(2,1/(ISNUMBER(AQ92:AQ95)),AQ92:AQ95),TODAY()),IFNA(LOOKUP(2,1/(ISNUMBER(AQ92:AQ95)),AQ92:AQ95)+(E96/(Resources!$E$55/7)),TODAY()+(E96/(Resources!$E$55/7))))</f>
        <v>45789.48999</v>
      </c>
      <c r="AR96" s="100">
        <f t="array" ref="AR96">IF(ISNUMBER($AV96),IFNA(LOOKUP(2,1/(ISNUMBER(AR92:AR95)),AR92:AR95),TODAY()),IFNA(LOOKUP(2,1/(ISNUMBER(AR92:AR95)),AR92:AR95)+(F96/(Resources!$E$56/7)),TODAY()+(F96/(Resources!$E$56/7))))</f>
        <v>45786.48806</v>
      </c>
      <c r="AS96" s="100">
        <f t="shared" si="15"/>
        <v>45789.48999</v>
      </c>
      <c r="AT96" s="101"/>
      <c r="AU96" s="102">
        <v>45708.0</v>
      </c>
      <c r="AV96" s="83"/>
    </row>
    <row r="97" ht="15.0" customHeight="1">
      <c r="A97" s="83" t="s">
        <v>97</v>
      </c>
      <c r="B97" s="118" t="s">
        <v>100</v>
      </c>
      <c r="C97" s="116" t="s">
        <v>174</v>
      </c>
      <c r="D97" s="93">
        <f>IF($A97="Feature",SUM(E97:F97)*'Roadmap setting'!$B$13,0)</f>
        <v>0</v>
      </c>
      <c r="F97" s="94">
        <v>0.0</v>
      </c>
      <c r="G97" s="95">
        <f>IF($A97="Feature",IF('Roadmap setting'!$E$14,$F97*('Roadmap setting'!$B$14+'Roadmap setting'!$D$14),$F97*'Roadmap setting'!$B$14),0)</f>
        <v>0</v>
      </c>
      <c r="H97" s="93">
        <f>IF($A97="Feature",$E97*'Roadmap setting'!$B$15,0)</f>
        <v>0</v>
      </c>
      <c r="I97" s="95">
        <f>IF($A97="Feature",$F97*'Roadmap setting'!$B$16,0)</f>
        <v>0</v>
      </c>
      <c r="J97" s="93">
        <f>SUM($E97:$F97)*'Roadmap setting'!$B$17</f>
        <v>0</v>
      </c>
      <c r="K97" s="93">
        <f>SUM($E97:$F97)*'Roadmap setting'!$B$18</f>
        <v>0</v>
      </c>
      <c r="L97" s="93">
        <f>SUM($E97:$F97)*'Roadmap setting'!$B$19</f>
        <v>0</v>
      </c>
      <c r="M97" s="95">
        <f>SUM($E97:$F97)*'Roadmap setting'!$B$20</f>
        <v>0</v>
      </c>
      <c r="N97" s="79">
        <f t="shared" si="14"/>
        <v>0</v>
      </c>
      <c r="O97" s="96" t="b">
        <v>1</v>
      </c>
      <c r="P97" s="97"/>
      <c r="Q97" s="98"/>
      <c r="R97" s="97"/>
      <c r="S97" s="97"/>
      <c r="T97" s="97"/>
      <c r="U97" s="97"/>
      <c r="V97" s="99"/>
      <c r="W97" s="96" t="b">
        <v>0</v>
      </c>
      <c r="X97" s="97"/>
      <c r="Y97" s="98"/>
      <c r="Z97" s="97"/>
      <c r="AA97" s="97"/>
      <c r="AB97" s="97"/>
      <c r="AC97" s="97"/>
      <c r="AD97" s="99"/>
      <c r="AE97" s="96" t="b">
        <v>0</v>
      </c>
      <c r="AF97" s="97"/>
      <c r="AG97" s="98"/>
      <c r="AH97" s="97"/>
      <c r="AI97" s="97"/>
      <c r="AJ97" s="97"/>
      <c r="AK97" s="97"/>
      <c r="AL97" s="99"/>
      <c r="AM97" s="96" t="b">
        <v>0</v>
      </c>
      <c r="AN97" s="80">
        <f t="array" ref="AN97">INDEX(A97:AM97, MATCH(RIGHT('Roadmap setting'!$B$9, 3), $A$2:$AM$2, 0) - 1)
</f>
        <v>0</v>
      </c>
      <c r="AO97" s="100">
        <f t="array" ref="AO97">IFNA(LOOKUP(2,1/(ISNUMBER(AO92:AO96)),AO92:AO96)+(E97/(Resources!$P$55/7)),TODAY()+(E97/(Resources!$P$55/7)))</f>
        <v>45783.092</v>
      </c>
      <c r="AP97" s="100">
        <f t="array" ref="AP97">IFNA(LOOKUP(2,1/(ISNUMBER(AP92:AP96)),AP92:AP96)+(F97/(Resources!$P$56/7)),TODAY()+(F97/(Resources!$P$56/7)))</f>
        <v>45782.6545</v>
      </c>
      <c r="AQ97" s="100">
        <f t="array" ref="AQ97">IF(ISNUMBER($AV97),IFNA(LOOKUP(2,1/(ISNUMBER(AQ92:AQ96)),AQ92:AQ96),TODAY()),IFNA(LOOKUP(2,1/(ISNUMBER(AQ92:AQ96)),AQ92:AQ96)+(E97/(Resources!$E$55/7)),TODAY()+(E97/(Resources!$E$55/7))))</f>
        <v>45789.48999</v>
      </c>
      <c r="AR97" s="100">
        <f t="array" ref="AR97">IF(ISNUMBER($AV97),IFNA(LOOKUP(2,1/(ISNUMBER(AR92:AR96)),AR92:AR96),TODAY()),IFNA(LOOKUP(2,1/(ISNUMBER(AR92:AR96)),AR92:AR96)+(F97/(Resources!$E$56/7)),TODAY()+(F97/(Resources!$E$56/7))))</f>
        <v>45786.48806</v>
      </c>
      <c r="AS97" s="100">
        <f t="shared" si="15"/>
        <v>45789.48999</v>
      </c>
      <c r="AT97" s="101"/>
      <c r="AU97" s="102">
        <v>45708.0</v>
      </c>
      <c r="AV97" s="83"/>
    </row>
    <row r="98" ht="15.0" customHeight="1">
      <c r="A98" s="83" t="s">
        <v>97</v>
      </c>
      <c r="B98" s="118" t="s">
        <v>92</v>
      </c>
      <c r="C98" s="116" t="s">
        <v>175</v>
      </c>
      <c r="D98" s="93">
        <f>IF($A98="Feature",SUM(E98:F98)*'Roadmap setting'!$B$13,0)</f>
        <v>0</v>
      </c>
      <c r="F98" s="94">
        <v>0.0</v>
      </c>
      <c r="G98" s="95">
        <f>IF($A98="Feature",IF('Roadmap setting'!$E$14,$F98*('Roadmap setting'!$B$14+'Roadmap setting'!$D$14),$F98*'Roadmap setting'!$B$14),0)</f>
        <v>0</v>
      </c>
      <c r="H98" s="93">
        <f>IF($A98="Feature",$E98*'Roadmap setting'!$B$15,0)</f>
        <v>0</v>
      </c>
      <c r="I98" s="95">
        <f>IF($A98="Feature",$F98*'Roadmap setting'!$B$16,0)</f>
        <v>0</v>
      </c>
      <c r="J98" s="93">
        <f>SUM($E98:$F98)*'Roadmap setting'!$B$17</f>
        <v>0</v>
      </c>
      <c r="K98" s="93">
        <f>SUM($E98:$F98)*'Roadmap setting'!$B$18</f>
        <v>0</v>
      </c>
      <c r="L98" s="93">
        <f>SUM($E98:$F98)*'Roadmap setting'!$B$19</f>
        <v>0</v>
      </c>
      <c r="M98" s="95">
        <f>SUM($E98:$F98)*'Roadmap setting'!$B$20</f>
        <v>0</v>
      </c>
      <c r="N98" s="79">
        <f t="shared" si="14"/>
        <v>0</v>
      </c>
      <c r="O98" s="96" t="b">
        <v>1</v>
      </c>
      <c r="P98" s="97"/>
      <c r="Q98" s="98"/>
      <c r="R98" s="97"/>
      <c r="S98" s="97"/>
      <c r="T98" s="97"/>
      <c r="U98" s="97"/>
      <c r="V98" s="99"/>
      <c r="W98" s="96" t="b">
        <v>0</v>
      </c>
      <c r="X98" s="97"/>
      <c r="Y98" s="98"/>
      <c r="Z98" s="97"/>
      <c r="AA98" s="97"/>
      <c r="AB98" s="97"/>
      <c r="AC98" s="97"/>
      <c r="AD98" s="99"/>
      <c r="AE98" s="96" t="b">
        <v>0</v>
      </c>
      <c r="AF98" s="97"/>
      <c r="AG98" s="98"/>
      <c r="AH98" s="97"/>
      <c r="AI98" s="97"/>
      <c r="AJ98" s="97"/>
      <c r="AK98" s="97"/>
      <c r="AL98" s="99"/>
      <c r="AM98" s="96" t="b">
        <v>0</v>
      </c>
      <c r="AN98" s="80">
        <f t="array" ref="AN98">INDEX(A98:AM98, MATCH(RIGHT('Roadmap setting'!$B$9, 3), $A$2:$AM$2, 0) - 1)
</f>
        <v>0</v>
      </c>
      <c r="AO98" s="100">
        <f t="array" ref="AO98">IFNA(LOOKUP(2,1/(ISNUMBER(AO92:AO97)),AO92:AO97)+(E98/(Resources!$P$55/7)),TODAY()+(E98/(Resources!$P$55/7)))</f>
        <v>45783.092</v>
      </c>
      <c r="AP98" s="100">
        <f t="array" ref="AP98">IFNA(LOOKUP(2,1/(ISNUMBER(AP92:AP97)),AP92:AP97)+(F98/(Resources!$P$56/7)),TODAY()+(F98/(Resources!$P$56/7)))</f>
        <v>45782.6545</v>
      </c>
      <c r="AQ98" s="100">
        <f t="array" ref="AQ98">IF(ISNUMBER($AV98),IFNA(LOOKUP(2,1/(ISNUMBER(AQ92:AQ97)),AQ92:AQ97),TODAY()),IFNA(LOOKUP(2,1/(ISNUMBER(AQ92:AQ97)),AQ92:AQ97)+(E98/(Resources!$E$55/7)),TODAY()+(E98/(Resources!$E$55/7))))</f>
        <v>45789.48999</v>
      </c>
      <c r="AR98" s="100">
        <f t="array" ref="AR98">IF(ISNUMBER($AV98),IFNA(LOOKUP(2,1/(ISNUMBER(AR92:AR97)),AR92:AR97),TODAY()),IFNA(LOOKUP(2,1/(ISNUMBER(AR92:AR97)),AR92:AR97)+(F98/(Resources!$E$56/7)),TODAY()+(F98/(Resources!$E$56/7))))</f>
        <v>45786.48806</v>
      </c>
      <c r="AS98" s="100">
        <f t="shared" si="15"/>
        <v>45789.48999</v>
      </c>
      <c r="AT98" s="101"/>
      <c r="AU98" s="102">
        <v>45708.0</v>
      </c>
      <c r="AV98" s="83"/>
    </row>
    <row r="99" ht="15.0" customHeight="1">
      <c r="A99" s="83" t="s">
        <v>97</v>
      </c>
      <c r="B99" s="118" t="s">
        <v>92</v>
      </c>
      <c r="C99" s="116" t="s">
        <v>176</v>
      </c>
      <c r="D99" s="93">
        <f>IF($A99="Feature",SUM(E99:F99)*'Roadmap setting'!$B$13,0)</f>
        <v>0</v>
      </c>
      <c r="F99" s="94">
        <v>0.0</v>
      </c>
      <c r="G99" s="95">
        <f>IF($A99="Feature",IF('Roadmap setting'!$E$14,$F99*('Roadmap setting'!$B$14+'Roadmap setting'!$D$14),$F99*'Roadmap setting'!$B$14),0)</f>
        <v>0</v>
      </c>
      <c r="H99" s="93">
        <f>IF($A99="Feature",$E99*'Roadmap setting'!$B$15,0)</f>
        <v>0</v>
      </c>
      <c r="I99" s="95">
        <f>IF($A99="Feature",$F99*'Roadmap setting'!$B$16,0)</f>
        <v>0</v>
      </c>
      <c r="J99" s="93">
        <f>SUM($E99:$F99)*'Roadmap setting'!$B$17</f>
        <v>0</v>
      </c>
      <c r="K99" s="93">
        <f>SUM($E99:$F99)*'Roadmap setting'!$B$18</f>
        <v>0</v>
      </c>
      <c r="L99" s="93">
        <f>SUM($E99:$F99)*'Roadmap setting'!$B$19</f>
        <v>0</v>
      </c>
      <c r="M99" s="95">
        <f>SUM($E99:$F99)*'Roadmap setting'!$B$20</f>
        <v>0</v>
      </c>
      <c r="N99" s="79">
        <f t="shared" si="14"/>
        <v>0</v>
      </c>
      <c r="O99" s="96" t="b">
        <v>1</v>
      </c>
      <c r="P99" s="97"/>
      <c r="Q99" s="98"/>
      <c r="R99" s="97"/>
      <c r="S99" s="97"/>
      <c r="T99" s="97"/>
      <c r="U99" s="97"/>
      <c r="V99" s="99"/>
      <c r="W99" s="96" t="b">
        <v>0</v>
      </c>
      <c r="X99" s="97"/>
      <c r="Y99" s="98"/>
      <c r="Z99" s="97"/>
      <c r="AA99" s="97"/>
      <c r="AB99" s="97"/>
      <c r="AC99" s="97"/>
      <c r="AD99" s="99"/>
      <c r="AE99" s="96" t="b">
        <v>0</v>
      </c>
      <c r="AF99" s="97"/>
      <c r="AG99" s="98"/>
      <c r="AH99" s="97"/>
      <c r="AI99" s="97"/>
      <c r="AJ99" s="97"/>
      <c r="AK99" s="97"/>
      <c r="AL99" s="99"/>
      <c r="AM99" s="96" t="b">
        <v>0</v>
      </c>
      <c r="AN99" s="80">
        <f t="array" ref="AN99">INDEX(A99:AM99, MATCH(RIGHT('Roadmap setting'!$B$9, 3), $A$2:$AM$2, 0) - 1)
</f>
        <v>0</v>
      </c>
      <c r="AO99" s="100">
        <f t="array" ref="AO99">IFNA(LOOKUP(2,1/(ISNUMBER(AO92:AO98)),AO92:AO98)+(E99/(Resources!$P$55/7)),TODAY()+(E99/(Resources!$P$55/7)))</f>
        <v>45783.092</v>
      </c>
      <c r="AP99" s="100">
        <f t="array" ref="AP99">IFNA(LOOKUP(2,1/(ISNUMBER(AP92:AP98)),AP92:AP98)+(F99/(Resources!$P$56/7)),TODAY()+(F99/(Resources!$P$56/7)))</f>
        <v>45782.6545</v>
      </c>
      <c r="AQ99" s="100">
        <f t="array" ref="AQ99">IF(ISNUMBER($AV99),IFNA(LOOKUP(2,1/(ISNUMBER(AQ92:AQ98)),AQ92:AQ98),TODAY()),IFNA(LOOKUP(2,1/(ISNUMBER(AQ92:AQ98)),AQ92:AQ98)+(E99/(Resources!$E$55/7)),TODAY()+(E99/(Resources!$E$55/7))))</f>
        <v>45789.48999</v>
      </c>
      <c r="AR99" s="100">
        <f t="array" ref="AR99">IF(ISNUMBER($AV99),IFNA(LOOKUP(2,1/(ISNUMBER(AR92:AR98)),AR92:AR98),TODAY()),IFNA(LOOKUP(2,1/(ISNUMBER(AR92:AR98)),AR92:AR98)+(F99/(Resources!$E$56/7)),TODAY()+(F99/(Resources!$E$56/7))))</f>
        <v>45786.48806</v>
      </c>
      <c r="AS99" s="100">
        <f t="shared" si="15"/>
        <v>45789.48999</v>
      </c>
      <c r="AT99" s="101"/>
      <c r="AU99" s="102">
        <v>45708.0</v>
      </c>
      <c r="AV99" s="83"/>
    </row>
    <row r="100" ht="15.0" customHeight="1">
      <c r="A100" s="83" t="s">
        <v>97</v>
      </c>
      <c r="B100" s="118" t="s">
        <v>100</v>
      </c>
      <c r="C100" s="116" t="s">
        <v>177</v>
      </c>
      <c r="D100" s="93">
        <f>IF($A100="Feature",SUM(E100:F100)*'Roadmap setting'!$B$13,0)</f>
        <v>0</v>
      </c>
      <c r="F100" s="94">
        <v>0.0</v>
      </c>
      <c r="G100" s="95">
        <f>IF($A100="Feature",IF('Roadmap setting'!$E$14,$F100*('Roadmap setting'!$B$14+'Roadmap setting'!$D$14),$F100*'Roadmap setting'!$B$14),0)</f>
        <v>0</v>
      </c>
      <c r="H100" s="93">
        <f>IF($A100="Feature",$E100*'Roadmap setting'!$B$15,0)</f>
        <v>0</v>
      </c>
      <c r="I100" s="95">
        <f>IF($A100="Feature",$F100*'Roadmap setting'!$B$16,0)</f>
        <v>0</v>
      </c>
      <c r="J100" s="93">
        <f>SUM($E100:$F100)*'Roadmap setting'!$B$17</f>
        <v>0</v>
      </c>
      <c r="K100" s="93">
        <f>SUM($E100:$F100)*'Roadmap setting'!$B$18</f>
        <v>0</v>
      </c>
      <c r="L100" s="93">
        <f>SUM($E100:$F100)*'Roadmap setting'!$B$19</f>
        <v>0</v>
      </c>
      <c r="M100" s="95">
        <f>SUM($E100:$F100)*'Roadmap setting'!$B$20</f>
        <v>0</v>
      </c>
      <c r="N100" s="79">
        <f t="shared" si="14"/>
        <v>0</v>
      </c>
      <c r="O100" s="96" t="b">
        <v>1</v>
      </c>
      <c r="P100" s="97"/>
      <c r="Q100" s="98"/>
      <c r="R100" s="97"/>
      <c r="S100" s="97"/>
      <c r="T100" s="97"/>
      <c r="U100" s="97"/>
      <c r="V100" s="99"/>
      <c r="W100" s="96" t="b">
        <v>0</v>
      </c>
      <c r="X100" s="97"/>
      <c r="Y100" s="98"/>
      <c r="Z100" s="97"/>
      <c r="AA100" s="97"/>
      <c r="AB100" s="97"/>
      <c r="AC100" s="97"/>
      <c r="AD100" s="99"/>
      <c r="AE100" s="96" t="b">
        <v>0</v>
      </c>
      <c r="AF100" s="97"/>
      <c r="AG100" s="98"/>
      <c r="AH100" s="97"/>
      <c r="AI100" s="97"/>
      <c r="AJ100" s="97"/>
      <c r="AK100" s="97"/>
      <c r="AL100" s="99"/>
      <c r="AM100" s="96" t="b">
        <v>0</v>
      </c>
      <c r="AN100" s="80">
        <f t="array" ref="AN100">INDEX(A100:AM100, MATCH(RIGHT('Roadmap setting'!$B$9, 3), $A$2:$AM$2, 0) - 1)
</f>
        <v>0</v>
      </c>
      <c r="AO100" s="100">
        <f t="array" ref="AO100">IFNA(LOOKUP(2,1/(ISNUMBER(AO93:AO99)),AO93:AO99)+(E100/(Resources!$P$55/7)),TODAY()+(E100/(Resources!$P$55/7)))</f>
        <v>45783.092</v>
      </c>
      <c r="AP100" s="100">
        <f t="array" ref="AP100">IFNA(LOOKUP(2,1/(ISNUMBER(AP93:AP99)),AP93:AP99)+(F100/(Resources!$P$56/7)),TODAY()+(F100/(Resources!$P$56/7)))</f>
        <v>45782.6545</v>
      </c>
      <c r="AQ100" s="100">
        <f t="array" ref="AQ100">IF(ISNUMBER($AV100),IFNA(LOOKUP(2,1/(ISNUMBER(AQ93:AQ99)),AQ93:AQ99),TODAY()),IFNA(LOOKUP(2,1/(ISNUMBER(AQ93:AQ99)),AQ93:AQ99)+(E100/(Resources!$E$55/7)),TODAY()+(E100/(Resources!$E$55/7))))</f>
        <v>45789.48999</v>
      </c>
      <c r="AR100" s="100">
        <f t="array" ref="AR100">IF(ISNUMBER($AV100),IFNA(LOOKUP(2,1/(ISNUMBER(AR93:AR99)),AR93:AR99),TODAY()),IFNA(LOOKUP(2,1/(ISNUMBER(AR93:AR99)),AR93:AR99)+(F100/(Resources!$E$56/7)),TODAY()+(F100/(Resources!$E$56/7))))</f>
        <v>45786.48806</v>
      </c>
      <c r="AS100" s="100">
        <f t="shared" si="15"/>
        <v>45789.48999</v>
      </c>
      <c r="AT100" s="101"/>
      <c r="AU100" s="102">
        <v>45708.0</v>
      </c>
      <c r="AV100" s="83"/>
    </row>
    <row r="101" ht="15.0" customHeight="1">
      <c r="A101" s="83" t="s">
        <v>97</v>
      </c>
      <c r="B101" s="118" t="s">
        <v>100</v>
      </c>
      <c r="C101" s="116" t="s">
        <v>178</v>
      </c>
      <c r="D101" s="93">
        <f>IF($A101="Feature",SUM(E101:F101)*'Roadmap setting'!$B$13,0)</f>
        <v>0</v>
      </c>
      <c r="F101" s="94">
        <v>0.0</v>
      </c>
      <c r="G101" s="95">
        <f>IF($A101="Feature",IF('Roadmap setting'!$E$14,$F101*('Roadmap setting'!$B$14+'Roadmap setting'!$D$14),$F101*'Roadmap setting'!$B$14),0)</f>
        <v>0</v>
      </c>
      <c r="H101" s="93">
        <f>IF($A101="Feature",$E101*'Roadmap setting'!$B$15,0)</f>
        <v>0</v>
      </c>
      <c r="I101" s="95">
        <f>IF($A101="Feature",$F101*'Roadmap setting'!$B$16,0)</f>
        <v>0</v>
      </c>
      <c r="J101" s="93">
        <f>SUM($E101:$F101)*'Roadmap setting'!$B$17</f>
        <v>0</v>
      </c>
      <c r="K101" s="93">
        <f>SUM($E101:$F101)*'Roadmap setting'!$B$18</f>
        <v>0</v>
      </c>
      <c r="L101" s="93">
        <f>SUM($E101:$F101)*'Roadmap setting'!$B$19</f>
        <v>0</v>
      </c>
      <c r="M101" s="95">
        <f>SUM($E101:$F101)*'Roadmap setting'!$B$20</f>
        <v>0</v>
      </c>
      <c r="N101" s="79">
        <f t="shared" si="14"/>
        <v>0</v>
      </c>
      <c r="O101" s="96" t="b">
        <v>1</v>
      </c>
      <c r="P101" s="97"/>
      <c r="Q101" s="98"/>
      <c r="R101" s="97"/>
      <c r="S101" s="97"/>
      <c r="T101" s="97"/>
      <c r="U101" s="97"/>
      <c r="V101" s="99"/>
      <c r="W101" s="96" t="b">
        <v>0</v>
      </c>
      <c r="X101" s="97"/>
      <c r="Y101" s="98"/>
      <c r="Z101" s="97"/>
      <c r="AA101" s="97"/>
      <c r="AB101" s="97"/>
      <c r="AC101" s="97"/>
      <c r="AD101" s="99"/>
      <c r="AE101" s="96" t="b">
        <v>0</v>
      </c>
      <c r="AF101" s="97"/>
      <c r="AG101" s="98"/>
      <c r="AH101" s="97"/>
      <c r="AI101" s="97"/>
      <c r="AJ101" s="97"/>
      <c r="AK101" s="97"/>
      <c r="AL101" s="99"/>
      <c r="AM101" s="96" t="b">
        <v>0</v>
      </c>
      <c r="AN101" s="80">
        <f t="array" ref="AN101">INDEX(A101:AM101, MATCH(RIGHT('Roadmap setting'!$B$9, 3), $A$2:$AM$2, 0) - 1)
</f>
        <v>0</v>
      </c>
      <c r="AO101" s="100">
        <f t="array" ref="AO101">IFNA(LOOKUP(2,1/(ISNUMBER(AO94:AO100)),AO94:AO100)+(E101/(Resources!$P$55/7)),TODAY()+(E101/(Resources!$P$55/7)))</f>
        <v>45783.092</v>
      </c>
      <c r="AP101" s="100">
        <f t="array" ref="AP101">IFNA(LOOKUP(2,1/(ISNUMBER(AP94:AP100)),AP94:AP100)+(F101/(Resources!$P$56/7)),TODAY()+(F101/(Resources!$P$56/7)))</f>
        <v>45782.6545</v>
      </c>
      <c r="AQ101" s="100">
        <f t="array" ref="AQ101">IF(ISNUMBER($AV101),IFNA(LOOKUP(2,1/(ISNUMBER(AQ94:AQ100)),AQ94:AQ100),TODAY()),IFNA(LOOKUP(2,1/(ISNUMBER(AQ94:AQ100)),AQ94:AQ100)+(E101/(Resources!$E$55/7)),TODAY()+(E101/(Resources!$E$55/7))))</f>
        <v>45789.48999</v>
      </c>
      <c r="AR101" s="100">
        <f t="array" ref="AR101">IF(ISNUMBER($AV101),IFNA(LOOKUP(2,1/(ISNUMBER(AR94:AR100)),AR94:AR100),TODAY()),IFNA(LOOKUP(2,1/(ISNUMBER(AR94:AR100)),AR94:AR100)+(F101/(Resources!$E$56/7)),TODAY()+(F101/(Resources!$E$56/7))))</f>
        <v>45786.48806</v>
      </c>
      <c r="AS101" s="100">
        <f t="shared" si="15"/>
        <v>45789.48999</v>
      </c>
      <c r="AT101" s="101"/>
      <c r="AU101" s="102">
        <v>45708.0</v>
      </c>
      <c r="AV101" s="83"/>
    </row>
    <row r="102" ht="15.0" customHeight="1">
      <c r="A102" s="71"/>
      <c r="B102" s="71"/>
      <c r="C102" s="117" t="s">
        <v>179</v>
      </c>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c r="AB102" s="72"/>
      <c r="AC102" s="72"/>
      <c r="AD102" s="72"/>
      <c r="AE102" s="72"/>
      <c r="AF102" s="72"/>
      <c r="AG102" s="72"/>
      <c r="AH102" s="72"/>
      <c r="AI102" s="72"/>
      <c r="AJ102" s="72"/>
      <c r="AK102" s="72"/>
      <c r="AL102" s="74"/>
      <c r="AM102" s="73"/>
      <c r="AN102" s="75"/>
      <c r="AO102" s="75"/>
      <c r="AP102" s="75"/>
      <c r="AQ102" s="75"/>
      <c r="AR102" s="75"/>
      <c r="AS102" s="75"/>
      <c r="AT102" s="75"/>
      <c r="AU102" s="75"/>
      <c r="AV102" s="76"/>
    </row>
    <row r="103" ht="15.0" customHeight="1">
      <c r="A103" s="83" t="s">
        <v>97</v>
      </c>
      <c r="B103" s="119" t="s">
        <v>92</v>
      </c>
      <c r="C103" s="116" t="s">
        <v>180</v>
      </c>
      <c r="D103" s="93">
        <f>IF($A103="Feature",SUM(E103:F103)*'Roadmap setting'!$B$13,0)</f>
        <v>1.2</v>
      </c>
      <c r="E103" s="94">
        <v>3.0</v>
      </c>
      <c r="F103" s="94">
        <v>3.0</v>
      </c>
      <c r="G103" s="95">
        <f>IF($A103="Feature",IF('Roadmap setting'!$E$14,$F103*('Roadmap setting'!$B$14+'Roadmap setting'!$D$14),$F103*'Roadmap setting'!$B$14),0)</f>
        <v>0.45</v>
      </c>
      <c r="H103" s="93">
        <f>IF($A103="Feature",$E103*'Roadmap setting'!$B$15,0)</f>
        <v>0</v>
      </c>
      <c r="I103" s="95">
        <f>IF($A103="Feature",$F103*'Roadmap setting'!$B$16,0)</f>
        <v>0</v>
      </c>
      <c r="J103" s="93">
        <f>SUM($E103:$F103)*'Roadmap setting'!$B$17</f>
        <v>0.72</v>
      </c>
      <c r="K103" s="93">
        <f>SUM($E103:$F103)*'Roadmap setting'!$B$18</f>
        <v>0.06</v>
      </c>
      <c r="L103" s="93">
        <f>SUM($E103:$F103)*'Roadmap setting'!$B$19</f>
        <v>0</v>
      </c>
      <c r="M103" s="95">
        <f>SUM($E103:$F103)*'Roadmap setting'!$B$20</f>
        <v>0.12</v>
      </c>
      <c r="N103" s="79">
        <f t="shared" ref="N103:N107" si="16">SUM($D103:$G103)+SUM(H103:M103)</f>
        <v>8.55</v>
      </c>
      <c r="O103" s="96" t="b">
        <v>1</v>
      </c>
      <c r="P103" s="97"/>
      <c r="Q103" s="98"/>
      <c r="R103" s="97"/>
      <c r="S103" s="97"/>
      <c r="T103" s="97"/>
      <c r="U103" s="97"/>
      <c r="V103" s="99"/>
      <c r="W103" s="96" t="b">
        <v>0</v>
      </c>
      <c r="X103" s="97"/>
      <c r="Y103" s="98"/>
      <c r="Z103" s="97"/>
      <c r="AA103" s="97"/>
      <c r="AB103" s="97"/>
      <c r="AC103" s="97"/>
      <c r="AD103" s="99"/>
      <c r="AE103" s="96" t="b">
        <v>0</v>
      </c>
      <c r="AF103" s="97"/>
      <c r="AG103" s="98"/>
      <c r="AH103" s="97"/>
      <c r="AI103" s="97"/>
      <c r="AJ103" s="97"/>
      <c r="AK103" s="97"/>
      <c r="AL103" s="99"/>
      <c r="AM103" s="96" t="b">
        <v>0</v>
      </c>
      <c r="AN103" s="80">
        <f t="array" ref="AN103">INDEX(A103:AM103, MATCH(RIGHT('Roadmap setting'!$B$9, 3), $A$2:$AM$2, 0) - 1)
</f>
        <v>8.55</v>
      </c>
      <c r="AO103" s="100">
        <f t="array" ref="AO103">IFNA(LOOKUP(2,1/(ISNUMBER(AO96:AO102)),AO96:AO102)+(E103/(Resources!$P$55/7)),TODAY()+(E103/(Resources!$P$55/7)))</f>
        <v>45783.46498</v>
      </c>
      <c r="AP103" s="100">
        <f t="array" ref="AP103">IFNA(LOOKUP(2,1/(ISNUMBER(AP96:AP102)),AP96:AP102)+(F103/(Resources!$P$56/7)),TODAY()+(F103/(Resources!$P$56/7)))</f>
        <v>45783.27136</v>
      </c>
      <c r="AQ103" s="100">
        <f t="array" ref="AQ103">IF(ISNUMBER($AV103),IFNA(LOOKUP(2,1/(ISNUMBER(AQ96:AQ102)),AQ96:AQ102),TODAY()),IFNA(LOOKUP(2,1/(ISNUMBER(AQ96:AQ102)),AQ96:AQ102)+(E103/(Resources!$E$55/7)),TODAY()+(E103/(Resources!$E$55/7))))</f>
        <v>45790.25468</v>
      </c>
      <c r="AR103" s="100">
        <f t="array" ref="AR103">IF(ISNUMBER($AV103),IFNA(LOOKUP(2,1/(ISNUMBER(AR96:AR102)),AR96:AR102),TODAY()),IFNA(LOOKUP(2,1/(ISNUMBER(AR96:AR102)),AR96:AR102)+(F103/(Resources!$E$56/7)),TODAY()+(F103/(Resources!$E$56/7))))</f>
        <v>45787.52312</v>
      </c>
      <c r="AS103" s="100">
        <f t="shared" ref="AS103:AS107" si="17">IFERROR(MAX(AQ103,AR103),"")</f>
        <v>45790.25468</v>
      </c>
      <c r="AT103" s="101"/>
      <c r="AU103" s="102">
        <v>45708.0</v>
      </c>
      <c r="AV103" s="83"/>
    </row>
    <row r="104" ht="15.0" customHeight="1">
      <c r="A104" s="83" t="s">
        <v>97</v>
      </c>
      <c r="B104" s="119" t="s">
        <v>92</v>
      </c>
      <c r="C104" s="116" t="s">
        <v>181</v>
      </c>
      <c r="D104" s="93">
        <f>IF($A104="Feature",SUM(E104:F104)*'Roadmap setting'!$B$13,0)</f>
        <v>1</v>
      </c>
      <c r="E104" s="94">
        <v>2.0</v>
      </c>
      <c r="F104" s="94">
        <v>3.0</v>
      </c>
      <c r="G104" s="95">
        <f>IF($A104="Feature",IF('Roadmap setting'!$E$14,$F104*('Roadmap setting'!$B$14+'Roadmap setting'!$D$14),$F104*'Roadmap setting'!$B$14),0)</f>
        <v>0.45</v>
      </c>
      <c r="H104" s="93">
        <f>IF($A104="Feature",$E104*'Roadmap setting'!$B$15,0)</f>
        <v>0</v>
      </c>
      <c r="I104" s="95">
        <f>IF($A104="Feature",$F104*'Roadmap setting'!$B$16,0)</f>
        <v>0</v>
      </c>
      <c r="J104" s="93">
        <f>SUM($E104:$F104)*'Roadmap setting'!$B$17</f>
        <v>0.6</v>
      </c>
      <c r="K104" s="93">
        <f>SUM($E104:$F104)*'Roadmap setting'!$B$18</f>
        <v>0.05</v>
      </c>
      <c r="L104" s="93">
        <f>SUM($E104:$F104)*'Roadmap setting'!$B$19</f>
        <v>0</v>
      </c>
      <c r="M104" s="95">
        <f>SUM($E104:$F104)*'Roadmap setting'!$B$20</f>
        <v>0.1</v>
      </c>
      <c r="N104" s="79">
        <f t="shared" si="16"/>
        <v>7.2</v>
      </c>
      <c r="O104" s="96" t="b">
        <v>1</v>
      </c>
      <c r="P104" s="97"/>
      <c r="Q104" s="98"/>
      <c r="R104" s="97"/>
      <c r="S104" s="97"/>
      <c r="T104" s="97"/>
      <c r="U104" s="97"/>
      <c r="V104" s="99"/>
      <c r="W104" s="96" t="b">
        <v>0</v>
      </c>
      <c r="X104" s="97"/>
      <c r="Y104" s="98"/>
      <c r="Z104" s="97"/>
      <c r="AA104" s="97"/>
      <c r="AB104" s="97"/>
      <c r="AC104" s="97"/>
      <c r="AD104" s="99"/>
      <c r="AE104" s="96" t="b">
        <v>0</v>
      </c>
      <c r="AF104" s="97"/>
      <c r="AG104" s="98"/>
      <c r="AH104" s="97"/>
      <c r="AI104" s="97"/>
      <c r="AJ104" s="97"/>
      <c r="AK104" s="97"/>
      <c r="AL104" s="99"/>
      <c r="AM104" s="96" t="b">
        <v>0</v>
      </c>
      <c r="AN104" s="80">
        <f t="array" ref="AN104">INDEX(A104:AM104, MATCH(RIGHT('Roadmap setting'!$B$9, 3), $A$2:$AM$2, 0) - 1)
</f>
        <v>7.2</v>
      </c>
      <c r="AO104" s="100">
        <f t="array" ref="AO104">IFNA(LOOKUP(2,1/(ISNUMBER(AO99:AO103)),AO99:AO103)+(E104/(Resources!$P$55/7)),TODAY()+(E104/(Resources!$P$55/7)))</f>
        <v>45783.71363</v>
      </c>
      <c r="AP104" s="100">
        <f t="array" ref="AP104">IFNA(LOOKUP(2,1/(ISNUMBER(AP99:AP103)),AP99:AP103)+(F104/(Resources!$P$56/7)),TODAY()+(F104/(Resources!$P$56/7)))</f>
        <v>45783.88821</v>
      </c>
      <c r="AQ104" s="100">
        <f t="array" ref="AQ104">IF(ISNUMBER($AV104),IFNA(LOOKUP(2,1/(ISNUMBER(AQ99:AQ103)),AQ99:AQ103),TODAY()),IFNA(LOOKUP(2,1/(ISNUMBER(AQ99:AQ103)),AQ99:AQ103)+(E104/(Resources!$E$55/7)),TODAY()+(E104/(Resources!$E$55/7))))</f>
        <v>45790.76448</v>
      </c>
      <c r="AR104" s="100">
        <f t="array" ref="AR104">IF(ISNUMBER($AV104),IFNA(LOOKUP(2,1/(ISNUMBER(AR99:AR103)),AR99:AR103),TODAY()),IFNA(LOOKUP(2,1/(ISNUMBER(AR99:AR103)),AR99:AR103)+(F104/(Resources!$E$56/7)),TODAY()+(F104/(Resources!$E$56/7))))</f>
        <v>45788.55819</v>
      </c>
      <c r="AS104" s="100">
        <f t="shared" si="17"/>
        <v>45790.76448</v>
      </c>
      <c r="AT104" s="101">
        <v>13.0</v>
      </c>
      <c r="AU104" s="102">
        <v>45708.0</v>
      </c>
      <c r="AV104" s="83"/>
    </row>
    <row r="105" ht="15.0" customHeight="1">
      <c r="A105" s="83" t="s">
        <v>97</v>
      </c>
      <c r="B105" s="119" t="s">
        <v>92</v>
      </c>
      <c r="C105" s="116" t="s">
        <v>182</v>
      </c>
      <c r="D105" s="93">
        <f>IF($A105="Feature",SUM(E105:F105)*'Roadmap setting'!$B$13,0)</f>
        <v>1.6</v>
      </c>
      <c r="E105" s="94">
        <v>4.0</v>
      </c>
      <c r="F105" s="94">
        <v>4.0</v>
      </c>
      <c r="G105" s="95">
        <f>IF($A105="Feature",IF('Roadmap setting'!$E$14,$F105*('Roadmap setting'!$B$14+'Roadmap setting'!$D$14),$F105*'Roadmap setting'!$B$14),0)</f>
        <v>0.6</v>
      </c>
      <c r="H105" s="93">
        <f>IF($A105="Feature",$E105*'Roadmap setting'!$B$15,0)</f>
        <v>0</v>
      </c>
      <c r="I105" s="95">
        <f>IF($A105="Feature",$F105*'Roadmap setting'!$B$16,0)</f>
        <v>0</v>
      </c>
      <c r="J105" s="93">
        <f>SUM($E105:$F105)*'Roadmap setting'!$B$17</f>
        <v>0.96</v>
      </c>
      <c r="K105" s="93">
        <f>SUM($E105:$F105)*'Roadmap setting'!$B$18</f>
        <v>0.08</v>
      </c>
      <c r="L105" s="93">
        <f>SUM($E105:$F105)*'Roadmap setting'!$B$19</f>
        <v>0</v>
      </c>
      <c r="M105" s="95">
        <f>SUM($E105:$F105)*'Roadmap setting'!$B$20</f>
        <v>0.16</v>
      </c>
      <c r="N105" s="79">
        <f t="shared" si="16"/>
        <v>11.4</v>
      </c>
      <c r="O105" s="96" t="b">
        <v>1</v>
      </c>
      <c r="P105" s="97"/>
      <c r="Q105" s="98"/>
      <c r="R105" s="97"/>
      <c r="S105" s="97"/>
      <c r="T105" s="97"/>
      <c r="U105" s="97"/>
      <c r="V105" s="99"/>
      <c r="W105" s="96" t="b">
        <v>0</v>
      </c>
      <c r="X105" s="97"/>
      <c r="Y105" s="98"/>
      <c r="Z105" s="97"/>
      <c r="AA105" s="97"/>
      <c r="AB105" s="97"/>
      <c r="AC105" s="97"/>
      <c r="AD105" s="99"/>
      <c r="AE105" s="96" t="b">
        <v>0</v>
      </c>
      <c r="AF105" s="97"/>
      <c r="AG105" s="98"/>
      <c r="AH105" s="97"/>
      <c r="AI105" s="97"/>
      <c r="AJ105" s="97"/>
      <c r="AK105" s="97"/>
      <c r="AL105" s="99"/>
      <c r="AM105" s="96" t="b">
        <v>0</v>
      </c>
      <c r="AN105" s="80">
        <f t="array" ref="AN105">INDEX(A105:AM105, MATCH(RIGHT('Roadmap setting'!$B$9, 3), $A$2:$AM$2, 0) - 1)
</f>
        <v>11.4</v>
      </c>
      <c r="AO105" s="100">
        <f t="array" ref="AO105">IFNA(LOOKUP(2,1/(ISNUMBER(AO100:AO104)),AO100:AO104)+(E105/(Resources!$P$55/7)),TODAY()+(E105/(Resources!$P$55/7)))</f>
        <v>45784.21094</v>
      </c>
      <c r="AP105" s="100">
        <f t="array" ref="AP105">IFNA(LOOKUP(2,1/(ISNUMBER(AP100:AP104)),AP100:AP104)+(F105/(Resources!$P$56/7)),TODAY()+(F105/(Resources!$P$56/7)))</f>
        <v>45784.71068</v>
      </c>
      <c r="AQ105" s="100">
        <f t="array" ref="AQ105">IF(ISNUMBER($AV105),IFNA(LOOKUP(2,1/(ISNUMBER(AQ100:AQ104)),AQ100:AQ104),TODAY()),IFNA(LOOKUP(2,1/(ISNUMBER(AQ100:AQ104)),AQ100:AQ104)+(E105/(Resources!$E$55/7)),TODAY()+(E105/(Resources!$E$55/7))))</f>
        <v>45791.78407</v>
      </c>
      <c r="AR105" s="100">
        <f t="array" ref="AR105">IF(ISNUMBER($AV105),IFNA(LOOKUP(2,1/(ISNUMBER(AR100:AR104)),AR100:AR104),TODAY()),IFNA(LOOKUP(2,1/(ISNUMBER(AR100:AR104)),AR100:AR104)+(F105/(Resources!$E$56/7)),TODAY()+(F105/(Resources!$E$56/7))))</f>
        <v>45789.93827</v>
      </c>
      <c r="AS105" s="100">
        <f t="shared" si="17"/>
        <v>45791.78407</v>
      </c>
      <c r="AT105" s="101">
        <v>7.07</v>
      </c>
      <c r="AU105" s="102">
        <v>45708.0</v>
      </c>
      <c r="AV105" s="83"/>
    </row>
    <row r="106" ht="15.0" customHeight="1">
      <c r="A106" s="83" t="s">
        <v>77</v>
      </c>
      <c r="B106" s="119" t="s">
        <v>92</v>
      </c>
      <c r="C106" s="116" t="s">
        <v>183</v>
      </c>
      <c r="D106" s="93">
        <f>IF($A106="Feature",SUM(E106:F106)*'Roadmap setting'!$B$13,0)</f>
        <v>0</v>
      </c>
      <c r="E106" s="94">
        <v>2.0</v>
      </c>
      <c r="F106" s="94">
        <v>2.0</v>
      </c>
      <c r="G106" s="95">
        <f>IF($A106="Feature",IF('Roadmap setting'!$E$14,$F106*('Roadmap setting'!$B$14+'Roadmap setting'!$D$14),$F106*'Roadmap setting'!$B$14),0)</f>
        <v>0</v>
      </c>
      <c r="H106" s="93">
        <f>IF($A106="Feature",$E106*'Roadmap setting'!$B$15,0)</f>
        <v>0</v>
      </c>
      <c r="I106" s="95">
        <f>IF($A106="Feature",$F106*'Roadmap setting'!$B$16,0)</f>
        <v>0</v>
      </c>
      <c r="J106" s="93">
        <f>SUM($E106:$F106)*'Roadmap setting'!$B$17</f>
        <v>0.48</v>
      </c>
      <c r="K106" s="93">
        <f>SUM($E106:$F106)*'Roadmap setting'!$B$18</f>
        <v>0.04</v>
      </c>
      <c r="L106" s="93">
        <f>SUM($E106:$F106)*'Roadmap setting'!$B$19</f>
        <v>0</v>
      </c>
      <c r="M106" s="95">
        <f>SUM($E106:$F106)*'Roadmap setting'!$B$20</f>
        <v>0.08</v>
      </c>
      <c r="N106" s="79">
        <f t="shared" si="16"/>
        <v>4.6</v>
      </c>
      <c r="O106" s="96" t="b">
        <v>1</v>
      </c>
      <c r="P106" s="97"/>
      <c r="Q106" s="98"/>
      <c r="R106" s="97"/>
      <c r="S106" s="97"/>
      <c r="T106" s="97"/>
      <c r="U106" s="97"/>
      <c r="V106" s="99"/>
      <c r="W106" s="96" t="b">
        <v>0</v>
      </c>
      <c r="X106" s="97"/>
      <c r="Y106" s="98"/>
      <c r="Z106" s="97"/>
      <c r="AA106" s="97"/>
      <c r="AB106" s="97"/>
      <c r="AC106" s="97"/>
      <c r="AD106" s="99"/>
      <c r="AE106" s="96" t="b">
        <v>0</v>
      </c>
      <c r="AF106" s="97"/>
      <c r="AG106" s="98"/>
      <c r="AH106" s="97"/>
      <c r="AI106" s="97"/>
      <c r="AJ106" s="97"/>
      <c r="AK106" s="97"/>
      <c r="AL106" s="99"/>
      <c r="AM106" s="96" t="b">
        <v>0</v>
      </c>
      <c r="AN106" s="80">
        <f t="array" ref="AN106">INDEX(A106:AM106, MATCH(RIGHT('Roadmap setting'!$B$9, 3), $A$2:$AM$2, 0) - 1)
</f>
        <v>4.6</v>
      </c>
      <c r="AO106" s="100">
        <f t="array" ref="AO106">IFNA(LOOKUP(2,1/(ISNUMBER(AO102:AO105)),AO102:AO105)+(E106/(Resources!$P$55/7)),TODAY()+(E106/(Resources!$P$55/7)))</f>
        <v>45784.45959</v>
      </c>
      <c r="AP106" s="100">
        <f t="array" ref="AP106">IFNA(LOOKUP(2,1/(ISNUMBER(AP102:AP105)),AP102:AP105)+(F106/(Resources!$P$56/7)),TODAY()+(F106/(Resources!$P$56/7)))</f>
        <v>45785.12192</v>
      </c>
      <c r="AQ106" s="100">
        <f t="array" ref="AQ106">IF(ISNUMBER($AV106),IFNA(LOOKUP(2,1/(ISNUMBER(AQ102:AQ105)),AQ102:AQ105),TODAY()),IFNA(LOOKUP(2,1/(ISNUMBER(AQ102:AQ105)),AQ102:AQ105)+(E106/(Resources!$E$55/7)),TODAY()+(E106/(Resources!$E$55/7))))</f>
        <v>45792.29386</v>
      </c>
      <c r="AR106" s="100">
        <f t="array" ref="AR106">IF(ISNUMBER($AV106),IFNA(LOOKUP(2,1/(ISNUMBER(AR102:AR105)),AR102:AR105),TODAY()),IFNA(LOOKUP(2,1/(ISNUMBER(AR102:AR105)),AR102:AR105)+(F106/(Resources!$E$56/7)),TODAY()+(F106/(Resources!$E$56/7))))</f>
        <v>45790.62831</v>
      </c>
      <c r="AS106" s="100">
        <f t="shared" si="17"/>
        <v>45792.29386</v>
      </c>
      <c r="AT106" s="101">
        <v>21.57</v>
      </c>
      <c r="AU106" s="102">
        <v>45708.0</v>
      </c>
      <c r="AV106" s="83"/>
    </row>
    <row r="107" ht="15.0" customHeight="1">
      <c r="A107" s="83" t="s">
        <v>97</v>
      </c>
      <c r="B107" s="119" t="s">
        <v>92</v>
      </c>
      <c r="C107" s="116" t="s">
        <v>184</v>
      </c>
      <c r="D107" s="93">
        <f>IF($A107="Feature",SUM(E107:F107)*'Roadmap setting'!$B$13,0)</f>
        <v>0.4</v>
      </c>
      <c r="E107" s="94">
        <v>1.0</v>
      </c>
      <c r="F107" s="94">
        <v>1.0</v>
      </c>
      <c r="G107" s="95">
        <f>IF($A107="Feature",IF('Roadmap setting'!$E$14,$F107*('Roadmap setting'!$B$14+'Roadmap setting'!$D$14),$F107*'Roadmap setting'!$B$14),0)</f>
        <v>0.15</v>
      </c>
      <c r="H107" s="93">
        <f>IF($A107="Feature",$E107*'Roadmap setting'!$B$15,0)</f>
        <v>0</v>
      </c>
      <c r="I107" s="95">
        <f>IF($A107="Feature",$F107*'Roadmap setting'!$B$16,0)</f>
        <v>0</v>
      </c>
      <c r="J107" s="93">
        <f>SUM($E107:$F107)*'Roadmap setting'!$B$17</f>
        <v>0.24</v>
      </c>
      <c r="K107" s="93">
        <f>SUM($E107:$F107)*'Roadmap setting'!$B$18</f>
        <v>0.02</v>
      </c>
      <c r="L107" s="93">
        <f>SUM($E107:$F107)*'Roadmap setting'!$B$19</f>
        <v>0</v>
      </c>
      <c r="M107" s="95">
        <f>SUM($E107:$F107)*'Roadmap setting'!$B$20</f>
        <v>0.04</v>
      </c>
      <c r="N107" s="79">
        <f t="shared" si="16"/>
        <v>2.85</v>
      </c>
      <c r="O107" s="96" t="b">
        <v>1</v>
      </c>
      <c r="P107" s="97"/>
      <c r="Q107" s="98"/>
      <c r="R107" s="97"/>
      <c r="S107" s="97"/>
      <c r="T107" s="97"/>
      <c r="U107" s="97"/>
      <c r="V107" s="99"/>
      <c r="W107" s="96" t="b">
        <v>0</v>
      </c>
      <c r="X107" s="97"/>
      <c r="Y107" s="98"/>
      <c r="Z107" s="97"/>
      <c r="AA107" s="97"/>
      <c r="AB107" s="97"/>
      <c r="AC107" s="97"/>
      <c r="AD107" s="99"/>
      <c r="AE107" s="96" t="b">
        <v>0</v>
      </c>
      <c r="AF107" s="97"/>
      <c r="AG107" s="98"/>
      <c r="AH107" s="97"/>
      <c r="AI107" s="97"/>
      <c r="AJ107" s="97"/>
      <c r="AK107" s="97"/>
      <c r="AL107" s="99"/>
      <c r="AM107" s="96" t="b">
        <v>0</v>
      </c>
      <c r="AN107" s="80">
        <f t="array" ref="AN107">INDEX(A107:AM107, MATCH(RIGHT('Roadmap setting'!$B$9, 3), $A$2:$AM$2, 0) - 1)
</f>
        <v>2.85</v>
      </c>
      <c r="AO107" s="100">
        <f t="array" ref="AO107">IFNA(LOOKUP(2,1/(ISNUMBER(AO104:AO168)),AO104:AO168)+(E107/(Resources!$P$55/7)),TODAY()+(E107/(Resources!$P$55/7)))</f>
        <v>45781.47575</v>
      </c>
      <c r="AP107" s="100">
        <f t="array" ref="AP107">IFNA(LOOKUP(2,1/(ISNUMBER(AP104:AP168)),AP104:AP168)+(F107/(Resources!$P$56/7)),TODAY()+(F107/(Resources!$P$56/7)))</f>
        <v>45783.16855</v>
      </c>
      <c r="AQ107" s="100">
        <f t="array" ref="AQ107">IF(ISNUMBER($AV107),IFNA(LOOKUP(2,1/(ISNUMBER(AQ104:AQ168)),AQ104:AQ168),TODAY()),IFNA(LOOKUP(2,1/(ISNUMBER(AQ104:AQ168)),AQ104:AQ168)+(E107/(Resources!$E$55/7)),TODAY()+(E107/(Resources!$E$55/7))))</f>
        <v>45786.17632</v>
      </c>
      <c r="AR107" s="100">
        <f t="array" ref="AR107">IF(ISNUMBER($AV107),IFNA(LOOKUP(2,1/(ISNUMBER(AR104:AR168)),AR104:AR168),TODAY()),IFNA(LOOKUP(2,1/(ISNUMBER(AR104:AR168)),AR104:AR168)+(F107/(Resources!$E$56/7)),TODAY()+(F107/(Resources!$E$56/7))))</f>
        <v>45787.35061</v>
      </c>
      <c r="AS107" s="100">
        <f t="shared" si="17"/>
        <v>45787.35061</v>
      </c>
      <c r="AT107" s="101">
        <v>25.75</v>
      </c>
      <c r="AU107" s="102">
        <v>45708.0</v>
      </c>
      <c r="AV107" s="83"/>
    </row>
    <row r="108" ht="25.5" customHeight="1">
      <c r="A108" s="84" t="s">
        <v>185</v>
      </c>
      <c r="C108" s="108" t="s">
        <v>186</v>
      </c>
      <c r="D108" s="84"/>
      <c r="E108" s="84"/>
      <c r="F108" s="84"/>
      <c r="G108" s="84"/>
      <c r="H108" s="84"/>
      <c r="I108" s="84"/>
      <c r="J108" s="84"/>
      <c r="K108" s="84"/>
      <c r="L108" s="84"/>
      <c r="M108" s="84"/>
      <c r="N108" s="84"/>
      <c r="O108" s="84"/>
      <c r="P108" s="84"/>
      <c r="Q108" s="84"/>
      <c r="R108" s="84"/>
      <c r="S108" s="84"/>
      <c r="T108" s="84"/>
      <c r="U108" s="84"/>
      <c r="V108" s="84"/>
      <c r="W108" s="84"/>
      <c r="X108" s="84"/>
      <c r="Y108" s="84"/>
      <c r="Z108" s="84"/>
      <c r="AA108" s="84"/>
      <c r="AB108" s="84"/>
      <c r="AC108" s="84"/>
      <c r="AD108" s="84"/>
      <c r="AE108" s="84"/>
      <c r="AF108" s="84"/>
      <c r="AG108" s="84"/>
      <c r="AH108" s="84"/>
      <c r="AI108" s="84"/>
      <c r="AJ108" s="84"/>
      <c r="AK108" s="84"/>
      <c r="AL108" s="84"/>
      <c r="AM108" s="84"/>
      <c r="AN108" s="84"/>
      <c r="AO108" s="84"/>
      <c r="AP108" s="84"/>
      <c r="AQ108" s="84"/>
      <c r="AR108" s="84"/>
      <c r="AS108" s="84"/>
      <c r="AT108" s="84"/>
      <c r="AU108" s="84"/>
      <c r="AV108" s="84"/>
    </row>
    <row r="109" ht="15.0" customHeight="1">
      <c r="A109" s="84" t="s">
        <v>187</v>
      </c>
      <c r="C109" s="108"/>
      <c r="D109" s="84"/>
      <c r="E109" s="84"/>
      <c r="F109" s="84"/>
      <c r="G109" s="84"/>
      <c r="H109" s="84"/>
      <c r="I109" s="84"/>
      <c r="J109" s="84"/>
      <c r="K109" s="84"/>
      <c r="L109" s="84"/>
      <c r="M109" s="84"/>
      <c r="N109" s="84"/>
      <c r="O109" s="84"/>
      <c r="P109" s="84"/>
      <c r="Q109" s="84"/>
      <c r="R109" s="84"/>
      <c r="S109" s="84"/>
      <c r="T109" s="84"/>
      <c r="U109" s="84"/>
      <c r="V109" s="84"/>
      <c r="W109" s="84"/>
      <c r="X109" s="84"/>
      <c r="Y109" s="84"/>
      <c r="Z109" s="84"/>
      <c r="AA109" s="84"/>
      <c r="AB109" s="84"/>
      <c r="AC109" s="84"/>
      <c r="AD109" s="84"/>
      <c r="AE109" s="84"/>
      <c r="AF109" s="84"/>
      <c r="AG109" s="84"/>
      <c r="AH109" s="84"/>
      <c r="AI109" s="84"/>
      <c r="AJ109" s="84"/>
      <c r="AK109" s="84"/>
      <c r="AL109" s="84"/>
      <c r="AM109" s="84"/>
      <c r="AN109" s="84"/>
      <c r="AO109" s="84"/>
      <c r="AP109" s="84"/>
      <c r="AQ109" s="84"/>
      <c r="AR109" s="84"/>
      <c r="AS109" s="84"/>
      <c r="AT109" s="84">
        <f>49.8+41.15+7.6</f>
        <v>98.55</v>
      </c>
      <c r="AU109" s="84"/>
      <c r="AV109" s="84"/>
    </row>
    <row r="110" ht="15.0" customHeight="1">
      <c r="A110" s="120"/>
      <c r="B110" s="120"/>
      <c r="C110" s="121" t="s">
        <v>188</v>
      </c>
      <c r="D110" s="73"/>
      <c r="E110" s="73"/>
      <c r="F110" s="73"/>
      <c r="G110" s="73"/>
      <c r="H110" s="73"/>
      <c r="I110" s="73"/>
      <c r="J110" s="73"/>
      <c r="K110" s="73"/>
      <c r="L110" s="73"/>
      <c r="M110" s="73"/>
      <c r="N110" s="73"/>
      <c r="O110" s="73"/>
      <c r="P110" s="73"/>
      <c r="Q110" s="73"/>
      <c r="R110" s="73"/>
      <c r="S110" s="73"/>
      <c r="T110" s="73"/>
      <c r="U110" s="73"/>
      <c r="V110" s="73"/>
      <c r="W110" s="73"/>
      <c r="X110" s="72"/>
      <c r="Y110" s="72"/>
      <c r="Z110" s="72"/>
      <c r="AA110" s="72"/>
      <c r="AB110" s="72"/>
      <c r="AC110" s="72"/>
      <c r="AD110" s="74"/>
      <c r="AE110" s="73"/>
      <c r="AF110" s="72"/>
      <c r="AG110" s="72"/>
      <c r="AH110" s="72"/>
      <c r="AI110" s="72"/>
      <c r="AJ110" s="72"/>
      <c r="AK110" s="72"/>
      <c r="AL110" s="74"/>
      <c r="AM110" s="73"/>
      <c r="AN110" s="75"/>
      <c r="AO110" s="75"/>
      <c r="AP110" s="75"/>
      <c r="AQ110" s="75"/>
      <c r="AR110" s="75"/>
      <c r="AS110" s="75"/>
      <c r="AT110" s="75"/>
      <c r="AU110" s="75"/>
      <c r="AV110" s="75"/>
    </row>
    <row r="111" ht="15.0" customHeight="1">
      <c r="A111" s="83" t="s">
        <v>97</v>
      </c>
      <c r="B111" s="92" t="s">
        <v>92</v>
      </c>
      <c r="C111" s="122" t="s">
        <v>189</v>
      </c>
      <c r="D111" s="123">
        <f>IF($A111="Feature",SUM(E111:F111)*'Roadmap setting'!$B$13,0)</f>
        <v>0.7</v>
      </c>
      <c r="E111" s="94">
        <v>2.0</v>
      </c>
      <c r="F111" s="94">
        <v>1.5</v>
      </c>
      <c r="G111" s="95">
        <f>IF($A111="Feature",IF('Roadmap setting'!$E$14,$F111*('Roadmap setting'!$B$14+'Roadmap setting'!$D$14),$F111*'Roadmap setting'!$B$14),0)</f>
        <v>0.225</v>
      </c>
      <c r="H111" s="93">
        <f>IF($A111="Feature",$E111*'Roadmap setting'!$B$15,0)</f>
        <v>0</v>
      </c>
      <c r="I111" s="95">
        <f>IF($A111="Feature",$F111*'Roadmap setting'!$B$16,0)</f>
        <v>0</v>
      </c>
      <c r="J111" s="93">
        <f>SUM($E111:$F111)*'Roadmap setting'!$B$17</f>
        <v>0.42</v>
      </c>
      <c r="K111" s="93">
        <f>SUM($E111:$F111)*'Roadmap setting'!$B$18</f>
        <v>0.035</v>
      </c>
      <c r="L111" s="93">
        <f>SUM($E111:$F111)*'Roadmap setting'!$B$19</f>
        <v>0</v>
      </c>
      <c r="M111" s="95">
        <f>SUM($E111:$F111)*'Roadmap setting'!$B$20</f>
        <v>0.07</v>
      </c>
      <c r="N111" s="79">
        <f t="shared" ref="N111:N118" si="18">SUM($D111:$G111)+SUM(H111:M111)</f>
        <v>4.95</v>
      </c>
      <c r="O111" s="96" t="b">
        <v>1</v>
      </c>
      <c r="P111" s="97"/>
      <c r="Q111" s="98"/>
      <c r="R111" s="97"/>
      <c r="S111" s="97"/>
      <c r="T111" s="97"/>
      <c r="U111" s="98"/>
      <c r="V111" s="99"/>
      <c r="W111" s="96" t="b">
        <v>0</v>
      </c>
      <c r="X111" s="97"/>
      <c r="Y111" s="98"/>
      <c r="Z111" s="97"/>
      <c r="AA111" s="97"/>
      <c r="AB111" s="97"/>
      <c r="AC111" s="98"/>
      <c r="AD111" s="99"/>
      <c r="AE111" s="96" t="b">
        <v>0</v>
      </c>
      <c r="AF111" s="97"/>
      <c r="AG111" s="98"/>
      <c r="AH111" s="97"/>
      <c r="AI111" s="97"/>
      <c r="AJ111" s="97"/>
      <c r="AK111" s="98"/>
      <c r="AL111" s="99"/>
      <c r="AM111" s="96" t="b">
        <v>0</v>
      </c>
      <c r="AN111" s="80">
        <f t="array" ref="AN111">INDEX(A111:AM111, MATCH(RIGHT('Roadmap setting'!$B$9, 3), $A$2:$AM$2, 0) - 1)
</f>
        <v>4.95</v>
      </c>
      <c r="AO111" s="100">
        <f t="array" ref="AO111">IFNA(LOOKUP(2,1/(ISNUMBER(AO86:AO110)),AO86:AO110)+(E111/(Resources!$P$55/7)),TODAY()+(E111/(Resources!$P$55/7)))</f>
        <v>45781.72441</v>
      </c>
      <c r="AP111" s="100">
        <f t="array" ref="AP111">IFNA(LOOKUP(2,1/(ISNUMBER(AP86:AP110)),AP86:AP110)+(F111/(Resources!$P$56/7)),TODAY()+(F111/(Resources!$P$56/7)))</f>
        <v>45783.47698</v>
      </c>
      <c r="AQ111" s="100">
        <f t="array" ref="AQ111">IF(ISNUMBER($AV111),IFNA(LOOKUP(2,1/(ISNUMBER(AQ86:AQ110)),AQ86:AQ110),TODAY()),IFNA(LOOKUP(2,1/(ISNUMBER(AQ86:AQ110)),AQ86:AQ110)+(E111/(Resources!$E$55/7)),TODAY()+(E111/(Resources!$E$55/7))))</f>
        <v>45786.68611</v>
      </c>
      <c r="AR111" s="100">
        <f t="array" ref="AR111">IF(ISNUMBER($AV111),IFNA(LOOKUP(2,1/(ISNUMBER(AR86:AR110)),AR86:AR110),TODAY()),IFNA(LOOKUP(2,1/(ISNUMBER(AR86:AR110)),AR86:AR110)+(F111/(Resources!$E$56/7)),TODAY()+(F111/(Resources!$E$56/7))))</f>
        <v>45787.86814</v>
      </c>
      <c r="AS111" s="100">
        <f t="shared" ref="AS111:AS118" si="19">IFERROR(MAX(AQ111,AR111),"")</f>
        <v>45787.86814</v>
      </c>
      <c r="AT111" s="82"/>
      <c r="AU111" s="82"/>
      <c r="AV111" s="83"/>
    </row>
    <row r="112" ht="15.0" customHeight="1">
      <c r="A112" s="83" t="s">
        <v>97</v>
      </c>
      <c r="B112" s="92" t="s">
        <v>112</v>
      </c>
      <c r="C112" s="122" t="s">
        <v>190</v>
      </c>
      <c r="D112" s="123">
        <f>IF($A112="Feature",SUM(E112:F112)*'Roadmap setting'!$B$13,0)</f>
        <v>0.7</v>
      </c>
      <c r="E112" s="94">
        <v>2.0</v>
      </c>
      <c r="F112" s="94">
        <v>1.5</v>
      </c>
      <c r="G112" s="95">
        <f>IF($A112="Feature",IF('Roadmap setting'!$E$14,$F112*('Roadmap setting'!$B$14+'Roadmap setting'!$D$14),$F112*'Roadmap setting'!$B$14),0)</f>
        <v>0.225</v>
      </c>
      <c r="H112" s="93">
        <f>IF($A112="Feature",$E112*'Roadmap setting'!$B$15,0)</f>
        <v>0</v>
      </c>
      <c r="I112" s="95">
        <f>IF($A112="Feature",$F112*'Roadmap setting'!$B$16,0)</f>
        <v>0</v>
      </c>
      <c r="J112" s="93">
        <f>SUM($E112:$F112)*'Roadmap setting'!$B$17</f>
        <v>0.42</v>
      </c>
      <c r="K112" s="93">
        <f>SUM($E112:$F112)*'Roadmap setting'!$B$18</f>
        <v>0.035</v>
      </c>
      <c r="L112" s="93">
        <f>SUM($E112:$F112)*'Roadmap setting'!$B$19</f>
        <v>0</v>
      </c>
      <c r="M112" s="95">
        <f>SUM($E112:$F112)*'Roadmap setting'!$B$20</f>
        <v>0.07</v>
      </c>
      <c r="N112" s="79">
        <f t="shared" si="18"/>
        <v>4.95</v>
      </c>
      <c r="O112" s="96" t="b">
        <v>1</v>
      </c>
      <c r="P112" s="97"/>
      <c r="Q112" s="98"/>
      <c r="R112" s="97"/>
      <c r="S112" s="97"/>
      <c r="T112" s="97"/>
      <c r="U112" s="98"/>
      <c r="V112" s="99"/>
      <c r="W112" s="96" t="b">
        <v>0</v>
      </c>
      <c r="X112" s="97"/>
      <c r="Y112" s="98"/>
      <c r="Z112" s="97"/>
      <c r="AA112" s="97"/>
      <c r="AB112" s="97"/>
      <c r="AC112" s="98"/>
      <c r="AD112" s="99"/>
      <c r="AE112" s="96" t="b">
        <v>0</v>
      </c>
      <c r="AF112" s="97"/>
      <c r="AG112" s="98"/>
      <c r="AH112" s="97"/>
      <c r="AI112" s="97"/>
      <c r="AJ112" s="97"/>
      <c r="AK112" s="98"/>
      <c r="AL112" s="99"/>
      <c r="AM112" s="96" t="b">
        <v>0</v>
      </c>
      <c r="AN112" s="80">
        <f t="array" ref="AN112">INDEX(A112:AM112, MATCH(RIGHT('Roadmap setting'!$B$9, 3), $A$2:$AM$2, 0) - 1)
</f>
        <v>4.95</v>
      </c>
      <c r="AO112" s="100">
        <f t="array" ref="AO112">IFNA(LOOKUP(2,1/(ISNUMBER(AO87:AO111)),AO87:AO111)+(E112/(Resources!$P$55/7)),TODAY()+(E112/(Resources!$P$55/7)))</f>
        <v>45781.97306</v>
      </c>
      <c r="AP112" s="100">
        <f t="array" ref="AP112">IFNA(LOOKUP(2,1/(ISNUMBER(AP87:AP111)),AP87:AP111)+(F112/(Resources!$P$56/7)),TODAY()+(F112/(Resources!$P$56/7)))</f>
        <v>45783.7854</v>
      </c>
      <c r="AQ112" s="100">
        <f t="array" ref="AQ112">IF(ISNUMBER($AV112),IFNA(LOOKUP(2,1/(ISNUMBER(AQ87:AQ111)),AQ87:AQ111),TODAY()),IFNA(LOOKUP(2,1/(ISNUMBER(AQ87:AQ111)),AQ87:AQ111)+(E112/(Resources!$E$55/7)),TODAY()+(E112/(Resources!$E$55/7))))</f>
        <v>45787.19591</v>
      </c>
      <c r="AR112" s="100">
        <f t="array" ref="AR112">IF(ISNUMBER($AV112),IFNA(LOOKUP(2,1/(ISNUMBER(AR87:AR111)),AR87:AR111),TODAY()),IFNA(LOOKUP(2,1/(ISNUMBER(AR87:AR111)),AR87:AR111)+(F112/(Resources!$E$56/7)),TODAY()+(F112/(Resources!$E$56/7))))</f>
        <v>45788.38568</v>
      </c>
      <c r="AS112" s="100">
        <f t="shared" si="19"/>
        <v>45788.38568</v>
      </c>
      <c r="AT112" s="82"/>
      <c r="AU112" s="82"/>
      <c r="AV112" s="83"/>
    </row>
    <row r="113" ht="15.0" customHeight="1">
      <c r="A113" s="83" t="s">
        <v>97</v>
      </c>
      <c r="B113" s="92" t="s">
        <v>92</v>
      </c>
      <c r="C113" s="122" t="s">
        <v>191</v>
      </c>
      <c r="D113" s="123">
        <f>IF($A113="Feature",SUM(E113:F113)*'Roadmap setting'!$B$13,0)</f>
        <v>1.2</v>
      </c>
      <c r="E113" s="94">
        <v>4.0</v>
      </c>
      <c r="F113" s="94">
        <v>2.0</v>
      </c>
      <c r="G113" s="95">
        <f>IF($A113="Feature",IF('Roadmap setting'!$E$14,$F113*('Roadmap setting'!$B$14+'Roadmap setting'!$D$14),$F113*'Roadmap setting'!$B$14),0)</f>
        <v>0.3</v>
      </c>
      <c r="H113" s="93">
        <f>IF($A113="Feature",$E113*'Roadmap setting'!$B$15,0)</f>
        <v>0</v>
      </c>
      <c r="I113" s="95">
        <f>IF($A113="Feature",$F113*'Roadmap setting'!$B$16,0)</f>
        <v>0</v>
      </c>
      <c r="J113" s="93">
        <f>SUM($E113:$F113)*'Roadmap setting'!$B$17</f>
        <v>0.72</v>
      </c>
      <c r="K113" s="93">
        <f>SUM($E113:$F113)*'Roadmap setting'!$B$18</f>
        <v>0.06</v>
      </c>
      <c r="L113" s="93">
        <f>SUM($E113:$F113)*'Roadmap setting'!$B$19</f>
        <v>0</v>
      </c>
      <c r="M113" s="95">
        <f>SUM($E113:$F113)*'Roadmap setting'!$B$20</f>
        <v>0.12</v>
      </c>
      <c r="N113" s="79">
        <f t="shared" si="18"/>
        <v>8.4</v>
      </c>
      <c r="O113" s="96" t="b">
        <v>1</v>
      </c>
      <c r="P113" s="97"/>
      <c r="Q113" s="98"/>
      <c r="R113" s="97"/>
      <c r="S113" s="97"/>
      <c r="T113" s="97"/>
      <c r="U113" s="98"/>
      <c r="V113" s="99"/>
      <c r="W113" s="96" t="b">
        <v>0</v>
      </c>
      <c r="X113" s="97"/>
      <c r="Y113" s="98"/>
      <c r="Z113" s="97"/>
      <c r="AA113" s="97"/>
      <c r="AB113" s="97"/>
      <c r="AC113" s="98"/>
      <c r="AD113" s="99"/>
      <c r="AE113" s="96" t="b">
        <v>0</v>
      </c>
      <c r="AF113" s="97"/>
      <c r="AG113" s="98"/>
      <c r="AH113" s="97"/>
      <c r="AI113" s="97"/>
      <c r="AJ113" s="97"/>
      <c r="AK113" s="98"/>
      <c r="AL113" s="99"/>
      <c r="AM113" s="96" t="b">
        <v>0</v>
      </c>
      <c r="AN113" s="80">
        <f t="array" ref="AN113">INDEX(A113:AM113, MATCH(RIGHT('Roadmap setting'!$B$9, 3), $A$2:$AM$2, 0) - 1)
</f>
        <v>8.4</v>
      </c>
      <c r="AO113" s="100">
        <f t="array" ref="AO113">IFNA(LOOKUP(2,1/(ISNUMBER(AO88:AO112)),AO88:AO112)+(E113/(Resources!$P$55/7)),TODAY()+(E113/(Resources!$P$55/7)))</f>
        <v>45782.47037</v>
      </c>
      <c r="AP113" s="100">
        <f t="array" ref="AP113">IFNA(LOOKUP(2,1/(ISNUMBER(AP88:AP112)),AP88:AP112)+(F113/(Resources!$P$56/7)),TODAY()+(F113/(Resources!$P$56/7)))</f>
        <v>45784.19664</v>
      </c>
      <c r="AQ113" s="100">
        <f t="array" ref="AQ113">IF(ISNUMBER($AV113),IFNA(LOOKUP(2,1/(ISNUMBER(AQ88:AQ112)),AQ88:AQ112),TODAY()),IFNA(LOOKUP(2,1/(ISNUMBER(AQ88:AQ112)),AQ88:AQ112)+(E113/(Resources!$E$55/7)),TODAY()+(E113/(Resources!$E$55/7))))</f>
        <v>45788.2155</v>
      </c>
      <c r="AR113" s="100">
        <f t="array" ref="AR113">IF(ISNUMBER($AV113),IFNA(LOOKUP(2,1/(ISNUMBER(AR88:AR112)),AR88:AR112),TODAY()),IFNA(LOOKUP(2,1/(ISNUMBER(AR88:AR112)),AR88:AR112)+(F113/(Resources!$E$56/7)),TODAY()+(F113/(Resources!$E$56/7))))</f>
        <v>45789.07572</v>
      </c>
      <c r="AS113" s="100">
        <f t="shared" si="19"/>
        <v>45789.07572</v>
      </c>
      <c r="AT113" s="82"/>
      <c r="AU113" s="82"/>
      <c r="AV113" s="83"/>
    </row>
    <row r="114" ht="15.0" customHeight="1">
      <c r="A114" s="83" t="s">
        <v>97</v>
      </c>
      <c r="B114" s="92" t="s">
        <v>100</v>
      </c>
      <c r="C114" s="122" t="s">
        <v>192</v>
      </c>
      <c r="D114" s="123">
        <f>IF($A114="Feature",SUM(E114:F114)*'Roadmap setting'!$B$13,0)</f>
        <v>0.6</v>
      </c>
      <c r="E114" s="94">
        <v>1.5</v>
      </c>
      <c r="F114" s="94">
        <v>1.5</v>
      </c>
      <c r="G114" s="95">
        <f>IF($A114="Feature",IF('Roadmap setting'!$E$14,$F114*('Roadmap setting'!$B$14+'Roadmap setting'!$D$14),$F114*'Roadmap setting'!$B$14),0)</f>
        <v>0.225</v>
      </c>
      <c r="H114" s="93">
        <f>IF($A114="Feature",$E114*'Roadmap setting'!$B$15,0)</f>
        <v>0</v>
      </c>
      <c r="I114" s="95">
        <f>IF($A114="Feature",$F114*'Roadmap setting'!$B$16,0)</f>
        <v>0</v>
      </c>
      <c r="J114" s="93">
        <f>SUM($E114:$F114)*'Roadmap setting'!$B$17</f>
        <v>0.36</v>
      </c>
      <c r="K114" s="93">
        <f>SUM($E114:$F114)*'Roadmap setting'!$B$18</f>
        <v>0.03</v>
      </c>
      <c r="L114" s="93">
        <f>SUM($E114:$F114)*'Roadmap setting'!$B$19</f>
        <v>0</v>
      </c>
      <c r="M114" s="95">
        <f>SUM($E114:$F114)*'Roadmap setting'!$B$20</f>
        <v>0.06</v>
      </c>
      <c r="N114" s="79">
        <f t="shared" si="18"/>
        <v>4.275</v>
      </c>
      <c r="O114" s="96" t="b">
        <v>1</v>
      </c>
      <c r="P114" s="97"/>
      <c r="Q114" s="98"/>
      <c r="R114" s="97"/>
      <c r="S114" s="97"/>
      <c r="T114" s="97"/>
      <c r="U114" s="98"/>
      <c r="V114" s="99"/>
      <c r="W114" s="96" t="b">
        <v>0</v>
      </c>
      <c r="X114" s="97"/>
      <c r="Y114" s="98"/>
      <c r="Z114" s="97"/>
      <c r="AA114" s="97"/>
      <c r="AB114" s="97"/>
      <c r="AC114" s="98"/>
      <c r="AD114" s="99"/>
      <c r="AE114" s="96" t="b">
        <v>0</v>
      </c>
      <c r="AF114" s="97"/>
      <c r="AG114" s="98"/>
      <c r="AH114" s="97"/>
      <c r="AI114" s="97"/>
      <c r="AJ114" s="97"/>
      <c r="AK114" s="98"/>
      <c r="AL114" s="99"/>
      <c r="AM114" s="96" t="b">
        <v>0</v>
      </c>
      <c r="AN114" s="80">
        <f t="array" ref="AN114">INDEX(A114:AM114, MATCH(RIGHT('Roadmap setting'!$B$9, 3), $A$2:$AM$2, 0) - 1)
</f>
        <v>4.275</v>
      </c>
      <c r="AO114" s="100">
        <f t="array" ref="AO114">IFNA(LOOKUP(2,1/(ISNUMBER(AO89:AO113)),AO89:AO113)+(E114/(Resources!$P$55/7)),TODAY()+(E114/(Resources!$P$55/7)))</f>
        <v>45782.65686</v>
      </c>
      <c r="AP114" s="100">
        <f t="array" ref="AP114">IFNA(LOOKUP(2,1/(ISNUMBER(AP89:AP113)),AP89:AP113)+(F114/(Resources!$P$56/7)),TODAY()+(F114/(Resources!$P$56/7)))</f>
        <v>45784.50507</v>
      </c>
      <c r="AQ114" s="100">
        <f t="array" ref="AQ114">IF(ISNUMBER($AV114),IFNA(LOOKUP(2,1/(ISNUMBER(AQ89:AQ113)),AQ89:AQ113),TODAY()),IFNA(LOOKUP(2,1/(ISNUMBER(AQ89:AQ113)),AQ89:AQ113)+(E114/(Resources!$E$55/7)),TODAY()+(E114/(Resources!$E$55/7))))</f>
        <v>45788.59785</v>
      </c>
      <c r="AR114" s="100">
        <f t="array" ref="AR114">IF(ISNUMBER($AV114),IFNA(LOOKUP(2,1/(ISNUMBER(AR89:AR113)),AR89:AR113),TODAY()),IFNA(LOOKUP(2,1/(ISNUMBER(AR89:AR113)),AR89:AR113)+(F114/(Resources!$E$56/7)),TODAY()+(F114/(Resources!$E$56/7))))</f>
        <v>45789.59325</v>
      </c>
      <c r="AS114" s="100">
        <f t="shared" si="19"/>
        <v>45789.59325</v>
      </c>
      <c r="AT114" s="82"/>
      <c r="AU114" s="82"/>
      <c r="AV114" s="83"/>
    </row>
    <row r="115" ht="15.0" customHeight="1">
      <c r="A115" s="83" t="s">
        <v>97</v>
      </c>
      <c r="B115" s="92" t="s">
        <v>92</v>
      </c>
      <c r="C115" s="122" t="s">
        <v>193</v>
      </c>
      <c r="D115" s="123">
        <f>IF($A115="Feature",SUM(E115:F115)*'Roadmap setting'!$B$13,0)</f>
        <v>0.4</v>
      </c>
      <c r="E115" s="94">
        <v>0.5</v>
      </c>
      <c r="F115" s="94">
        <v>1.5</v>
      </c>
      <c r="G115" s="95">
        <f>IF($A115="Feature",IF('Roadmap setting'!$E$14,$F115*('Roadmap setting'!$B$14+'Roadmap setting'!$D$14),$F115*'Roadmap setting'!$B$14),0)</f>
        <v>0.225</v>
      </c>
      <c r="H115" s="93">
        <f>IF($A115="Feature",$E115*'Roadmap setting'!$B$15,0)</f>
        <v>0</v>
      </c>
      <c r="I115" s="95">
        <f>IF($A115="Feature",$F115*'Roadmap setting'!$B$16,0)</f>
        <v>0</v>
      </c>
      <c r="J115" s="93">
        <f>SUM($E115:$F115)*'Roadmap setting'!$B$17</f>
        <v>0.24</v>
      </c>
      <c r="K115" s="93">
        <f>SUM($E115:$F115)*'Roadmap setting'!$B$18</f>
        <v>0.02</v>
      </c>
      <c r="L115" s="93">
        <f>SUM($E115:$F115)*'Roadmap setting'!$B$19</f>
        <v>0</v>
      </c>
      <c r="M115" s="95">
        <f>SUM($E115:$F115)*'Roadmap setting'!$B$20</f>
        <v>0.04</v>
      </c>
      <c r="N115" s="79">
        <f t="shared" si="18"/>
        <v>2.925</v>
      </c>
      <c r="O115" s="96" t="b">
        <v>1</v>
      </c>
      <c r="P115" s="97"/>
      <c r="Q115" s="98"/>
      <c r="R115" s="97"/>
      <c r="S115" s="97"/>
      <c r="T115" s="97"/>
      <c r="U115" s="98"/>
      <c r="V115" s="99"/>
      <c r="W115" s="96" t="b">
        <v>0</v>
      </c>
      <c r="X115" s="97"/>
      <c r="Y115" s="98"/>
      <c r="Z115" s="97"/>
      <c r="AA115" s="97"/>
      <c r="AB115" s="97"/>
      <c r="AC115" s="98"/>
      <c r="AD115" s="99"/>
      <c r="AE115" s="96" t="b">
        <v>0</v>
      </c>
      <c r="AF115" s="97"/>
      <c r="AG115" s="98"/>
      <c r="AH115" s="97"/>
      <c r="AI115" s="97"/>
      <c r="AJ115" s="97"/>
      <c r="AK115" s="98"/>
      <c r="AL115" s="99"/>
      <c r="AM115" s="96" t="b">
        <v>0</v>
      </c>
      <c r="AN115" s="80">
        <f t="array" ref="AN115">INDEX(A115:AM115, MATCH(RIGHT('Roadmap setting'!$B$9, 3), $A$2:$AM$2, 0) - 1)
</f>
        <v>2.925</v>
      </c>
      <c r="AO115" s="100">
        <f t="array" ref="AO115">IFNA(LOOKUP(2,1/(ISNUMBER(AO90:AO114)),AO90:AO114)+(E115/(Resources!$P$55/7)),TODAY()+(E115/(Resources!$P$55/7)))</f>
        <v>45782.71902</v>
      </c>
      <c r="AP115" s="100">
        <f t="array" ref="AP115">IFNA(LOOKUP(2,1/(ISNUMBER(AP90:AP114)),AP90:AP114)+(F115/(Resources!$P$56/7)),TODAY()+(F115/(Resources!$P$56/7)))</f>
        <v>45784.81349</v>
      </c>
      <c r="AQ115" s="100">
        <f t="array" ref="AQ115">IF(ISNUMBER($AV115),IFNA(LOOKUP(2,1/(ISNUMBER(AQ90:AQ114)),AQ90:AQ114),TODAY()),IFNA(LOOKUP(2,1/(ISNUMBER(AQ90:AQ114)),AQ90:AQ114)+(E115/(Resources!$E$55/7)),TODAY()+(E115/(Resources!$E$55/7))))</f>
        <v>45788.7253</v>
      </c>
      <c r="AR115" s="100">
        <f t="array" ref="AR115">IF(ISNUMBER($AV115),IFNA(LOOKUP(2,1/(ISNUMBER(AR90:AR114)),AR90:AR114),TODAY()),IFNA(LOOKUP(2,1/(ISNUMBER(AR90:AR114)),AR90:AR114)+(F115/(Resources!$E$56/7)),TODAY()+(F115/(Resources!$E$56/7))))</f>
        <v>45790.11078</v>
      </c>
      <c r="AS115" s="100">
        <f t="shared" si="19"/>
        <v>45790.11078</v>
      </c>
      <c r="AT115" s="82"/>
      <c r="AU115" s="82"/>
      <c r="AV115" s="83"/>
    </row>
    <row r="116" ht="15.0" customHeight="1">
      <c r="A116" s="83" t="s">
        <v>97</v>
      </c>
      <c r="B116" s="92" t="s">
        <v>100</v>
      </c>
      <c r="C116" s="122" t="s">
        <v>194</v>
      </c>
      <c r="D116" s="123">
        <f>IF($A116="Feature",SUM(E116:F116)*'Roadmap setting'!$B$13,0)</f>
        <v>0.9</v>
      </c>
      <c r="E116" s="94">
        <v>3.0</v>
      </c>
      <c r="F116" s="94">
        <v>1.5</v>
      </c>
      <c r="G116" s="95">
        <f>IF($A116="Feature",IF('Roadmap setting'!$E$14,$F116*('Roadmap setting'!$B$14+'Roadmap setting'!$D$14),$F116*'Roadmap setting'!$B$14),0)</f>
        <v>0.225</v>
      </c>
      <c r="H116" s="93">
        <f>IF($A116="Feature",$E116*'Roadmap setting'!$B$15,0)</f>
        <v>0</v>
      </c>
      <c r="I116" s="95">
        <f>IF($A116="Feature",$F116*'Roadmap setting'!$B$16,0)</f>
        <v>0</v>
      </c>
      <c r="J116" s="93">
        <f>SUM($E116:$F116)*'Roadmap setting'!$B$17</f>
        <v>0.54</v>
      </c>
      <c r="K116" s="93">
        <f>SUM($E116:$F116)*'Roadmap setting'!$B$18</f>
        <v>0.045</v>
      </c>
      <c r="L116" s="93">
        <f>SUM($E116:$F116)*'Roadmap setting'!$B$19</f>
        <v>0</v>
      </c>
      <c r="M116" s="95">
        <f>SUM($E116:$F116)*'Roadmap setting'!$B$20</f>
        <v>0.09</v>
      </c>
      <c r="N116" s="79">
        <f t="shared" si="18"/>
        <v>6.3</v>
      </c>
      <c r="O116" s="96" t="b">
        <v>1</v>
      </c>
      <c r="P116" s="97"/>
      <c r="Q116" s="98"/>
      <c r="R116" s="97"/>
      <c r="S116" s="97"/>
      <c r="T116" s="97"/>
      <c r="U116" s="98"/>
      <c r="V116" s="99"/>
      <c r="W116" s="96" t="b">
        <v>0</v>
      </c>
      <c r="X116" s="97"/>
      <c r="Y116" s="98"/>
      <c r="Z116" s="97"/>
      <c r="AA116" s="97"/>
      <c r="AB116" s="97"/>
      <c r="AC116" s="98"/>
      <c r="AD116" s="99"/>
      <c r="AE116" s="96" t="b">
        <v>0</v>
      </c>
      <c r="AF116" s="97"/>
      <c r="AG116" s="98"/>
      <c r="AH116" s="97"/>
      <c r="AI116" s="97"/>
      <c r="AJ116" s="97"/>
      <c r="AK116" s="98"/>
      <c r="AL116" s="99"/>
      <c r="AM116" s="96" t="b">
        <v>0</v>
      </c>
      <c r="AN116" s="80">
        <f t="array" ref="AN116">INDEX(A116:AM116, MATCH(RIGHT('Roadmap setting'!$B$9, 3), $A$2:$AM$2, 0) - 1)
</f>
        <v>6.3</v>
      </c>
      <c r="AO116" s="100">
        <f t="array" ref="AO116">IFNA(LOOKUP(2,1/(ISNUMBER(AO91:AO115)),AO91:AO115)+(E116/(Resources!$P$55/7)),TODAY()+(E116/(Resources!$P$55/7)))</f>
        <v>45783.092</v>
      </c>
      <c r="AP116" s="100">
        <f t="array" ref="AP116">IFNA(LOOKUP(2,1/(ISNUMBER(AP91:AP115)),AP91:AP115)+(F116/(Resources!$P$56/7)),TODAY()+(F116/(Resources!$P$56/7)))</f>
        <v>45785.12192</v>
      </c>
      <c r="AQ116" s="100">
        <f t="array" ref="AQ116">IF(ISNUMBER($AV116),IFNA(LOOKUP(2,1/(ISNUMBER(AQ91:AQ115)),AQ91:AQ115),TODAY()),IFNA(LOOKUP(2,1/(ISNUMBER(AQ91:AQ115)),AQ91:AQ115)+(E116/(Resources!$E$55/7)),TODAY()+(E116/(Resources!$E$55/7))))</f>
        <v>45789.48999</v>
      </c>
      <c r="AR116" s="100">
        <f t="array" ref="AR116">IF(ISNUMBER($AV116),IFNA(LOOKUP(2,1/(ISNUMBER(AR91:AR115)),AR91:AR115),TODAY()),IFNA(LOOKUP(2,1/(ISNUMBER(AR91:AR115)),AR91:AR115)+(F116/(Resources!$E$56/7)),TODAY()+(F116/(Resources!$E$56/7))))</f>
        <v>45790.62831</v>
      </c>
      <c r="AS116" s="100">
        <f t="shared" si="19"/>
        <v>45790.62831</v>
      </c>
      <c r="AT116" s="82"/>
      <c r="AU116" s="82"/>
      <c r="AV116" s="83"/>
    </row>
    <row r="117" ht="15.0" customHeight="1">
      <c r="A117" s="83" t="s">
        <v>97</v>
      </c>
      <c r="B117" s="92" t="s">
        <v>92</v>
      </c>
      <c r="C117" s="109" t="s">
        <v>195</v>
      </c>
      <c r="D117" s="123">
        <f>IF($A117="Feature",SUM(E117:F117)*'Roadmap setting'!$B$13,0)</f>
        <v>2</v>
      </c>
      <c r="E117" s="94">
        <v>8.0</v>
      </c>
      <c r="F117" s="94">
        <v>2.0</v>
      </c>
      <c r="G117" s="95">
        <f>IF($A117="Feature",IF('Roadmap setting'!$E$14,$F117*('Roadmap setting'!$B$14+'Roadmap setting'!$D$14),$F117*'Roadmap setting'!$B$14),0)</f>
        <v>0.3</v>
      </c>
      <c r="H117" s="93">
        <f>IF($A117="Feature",$E117*'Roadmap setting'!$B$15,0)</f>
        <v>0</v>
      </c>
      <c r="I117" s="95">
        <f>IF($A117="Feature",$F117*'Roadmap setting'!$B$16,0)</f>
        <v>0</v>
      </c>
      <c r="J117" s="93">
        <f>SUM($E117:$F117)*'Roadmap setting'!$B$17</f>
        <v>1.2</v>
      </c>
      <c r="K117" s="93">
        <f>SUM($E117:$F117)*'Roadmap setting'!$B$18</f>
        <v>0.1</v>
      </c>
      <c r="L117" s="93">
        <f>SUM($E117:$F117)*'Roadmap setting'!$B$19</f>
        <v>0</v>
      </c>
      <c r="M117" s="95">
        <f>SUM($E117:$F117)*'Roadmap setting'!$B$20</f>
        <v>0.2</v>
      </c>
      <c r="N117" s="79">
        <f t="shared" si="18"/>
        <v>13.8</v>
      </c>
      <c r="O117" s="96" t="b">
        <v>1</v>
      </c>
      <c r="P117" s="97"/>
      <c r="Q117" s="98"/>
      <c r="R117" s="97"/>
      <c r="S117" s="97"/>
      <c r="T117" s="97"/>
      <c r="U117" s="98"/>
      <c r="V117" s="99"/>
      <c r="W117" s="96" t="b">
        <v>0</v>
      </c>
      <c r="X117" s="97"/>
      <c r="Y117" s="98"/>
      <c r="Z117" s="97"/>
      <c r="AA117" s="97"/>
      <c r="AB117" s="97"/>
      <c r="AC117" s="98"/>
      <c r="AD117" s="99"/>
      <c r="AE117" s="96" t="b">
        <v>0</v>
      </c>
      <c r="AF117" s="97"/>
      <c r="AG117" s="98"/>
      <c r="AH117" s="97"/>
      <c r="AI117" s="97"/>
      <c r="AJ117" s="97"/>
      <c r="AK117" s="98"/>
      <c r="AL117" s="99"/>
      <c r="AM117" s="96" t="b">
        <v>0</v>
      </c>
      <c r="AN117" s="80">
        <f t="array" ref="AN117">INDEX(A117:AM117, MATCH(RIGHT('Roadmap setting'!$B$9, 3), $A$2:$AM$2, 0) - 1)
</f>
        <v>13.8</v>
      </c>
      <c r="AO117" s="100">
        <f t="array" ref="AO117">IFNA(LOOKUP(2,1/(ISNUMBER(AO110:AO116)),AO110:AO116)+(E117/(Resources!$P$55/7)),TODAY()+(E117/(Resources!$P$55/7)))</f>
        <v>45784.08661</v>
      </c>
      <c r="AP117" s="100">
        <f t="array" ref="AP117">IFNA(LOOKUP(2,1/(ISNUMBER(AP110:AP116)),AP110:AP116)+(F117/(Resources!$P$56/7)),TODAY()+(F117/(Resources!$P$56/7)))</f>
        <v>45785.53316</v>
      </c>
      <c r="AQ117" s="100">
        <f t="array" ref="AQ117">IF(ISNUMBER($AV117),IFNA(LOOKUP(2,1/(ISNUMBER(AQ110:AQ116)),AQ110:AQ116),TODAY()),IFNA(LOOKUP(2,1/(ISNUMBER(AQ110:AQ116)),AQ110:AQ116)+(E117/(Resources!$E$55/7)),TODAY()+(E117/(Resources!$E$55/7))))</f>
        <v>45791.52917</v>
      </c>
      <c r="AR117" s="100">
        <f t="array" ref="AR117">IF(ISNUMBER($AV117),IFNA(LOOKUP(2,1/(ISNUMBER(AR110:AR116)),AR110:AR116),TODAY()),IFNA(LOOKUP(2,1/(ISNUMBER(AR110:AR116)),AR110:AR116)+(F117/(Resources!$E$56/7)),TODAY()+(F117/(Resources!$E$56/7))))</f>
        <v>45791.31835</v>
      </c>
      <c r="AS117" s="100">
        <f t="shared" si="19"/>
        <v>45791.52917</v>
      </c>
      <c r="AT117" s="82"/>
      <c r="AU117" s="82"/>
      <c r="AV117" s="83"/>
    </row>
    <row r="118" ht="15.0" customHeight="1">
      <c r="A118" s="83" t="s">
        <v>97</v>
      </c>
      <c r="B118" s="92" t="s">
        <v>92</v>
      </c>
      <c r="C118" s="116" t="s">
        <v>196</v>
      </c>
      <c r="D118" s="93">
        <f>IF($A118="Feature",SUM(E118:F118)*'Roadmap setting'!$B$13,0)</f>
        <v>0.4</v>
      </c>
      <c r="F118" s="94">
        <v>2.0</v>
      </c>
      <c r="G118" s="95">
        <f>IF($A118="Feature",IF('Roadmap setting'!$E$14,$F118*('Roadmap setting'!$B$14+'Roadmap setting'!$D$14),$F118*'Roadmap setting'!$B$14),0)</f>
        <v>0.3</v>
      </c>
      <c r="H118" s="93">
        <f>IF($A118="Feature",$E118*'Roadmap setting'!$B$15,0)</f>
        <v>0</v>
      </c>
      <c r="I118" s="95">
        <f>IF($A118="Feature",$F118*'Roadmap setting'!$B$16,0)</f>
        <v>0</v>
      </c>
      <c r="J118" s="93">
        <f>SUM($E118:$F118)*'Roadmap setting'!$B$17</f>
        <v>0.24</v>
      </c>
      <c r="K118" s="93">
        <f>SUM($E118:$F118)*'Roadmap setting'!$B$18</f>
        <v>0.02</v>
      </c>
      <c r="L118" s="93">
        <f>SUM($E118:$F118)*'Roadmap setting'!$B$19</f>
        <v>0</v>
      </c>
      <c r="M118" s="95">
        <f>SUM($E118:$F118)*'Roadmap setting'!$B$20</f>
        <v>0.04</v>
      </c>
      <c r="N118" s="79">
        <f t="shared" si="18"/>
        <v>3</v>
      </c>
      <c r="O118" s="96" t="b">
        <v>1</v>
      </c>
      <c r="P118" s="97"/>
      <c r="Q118" s="98"/>
      <c r="R118" s="97"/>
      <c r="S118" s="97"/>
      <c r="T118" s="97"/>
      <c r="U118" s="98"/>
      <c r="V118" s="99"/>
      <c r="W118" s="96" t="b">
        <v>0</v>
      </c>
      <c r="X118" s="97"/>
      <c r="Y118" s="98"/>
      <c r="Z118" s="97"/>
      <c r="AA118" s="97"/>
      <c r="AB118" s="97"/>
      <c r="AC118" s="98"/>
      <c r="AD118" s="99"/>
      <c r="AE118" s="96" t="b">
        <v>0</v>
      </c>
      <c r="AF118" s="97"/>
      <c r="AG118" s="98"/>
      <c r="AH118" s="97"/>
      <c r="AI118" s="97"/>
      <c r="AJ118" s="97"/>
      <c r="AK118" s="98"/>
      <c r="AL118" s="99"/>
      <c r="AM118" s="96" t="b">
        <v>0</v>
      </c>
      <c r="AN118" s="80">
        <f t="array" ref="AN118">INDEX(A118:AM118, MATCH(RIGHT('Roadmap setting'!$B$9, 3), $A$2:$AM$2, 0) - 1)
</f>
        <v>3</v>
      </c>
      <c r="AO118" s="100">
        <f t="array" ref="AO118">IFNA(LOOKUP(2,1/(ISNUMBER(AO111:AO117)),AO111:AO117)+(E118/(Resources!$P$55/7)),TODAY()+(E118/(Resources!$P$55/7)))</f>
        <v>45784.08661</v>
      </c>
      <c r="AP118" s="100">
        <f t="array" ref="AP118">IFNA(LOOKUP(2,1/(ISNUMBER(AP111:AP117)),AP111:AP117)+(F118/(Resources!$P$56/7)),TODAY()+(F118/(Resources!$P$56/7)))</f>
        <v>45785.94439</v>
      </c>
      <c r="AQ118" s="100">
        <f t="array" ref="AQ118">IF(ISNUMBER($AV118),IFNA(LOOKUP(2,1/(ISNUMBER(AQ111:AQ117)),AQ111:AQ117),TODAY()),IFNA(LOOKUP(2,1/(ISNUMBER(AQ111:AQ117)),AQ111:AQ117)+(E118/(Resources!$E$55/7)),TODAY()+(E118/(Resources!$E$55/7))))</f>
        <v>45791.52917</v>
      </c>
      <c r="AR118" s="100">
        <f t="array" ref="AR118">IF(ISNUMBER($AV118),IFNA(LOOKUP(2,1/(ISNUMBER(AR111:AR117)),AR111:AR117),TODAY()),IFNA(LOOKUP(2,1/(ISNUMBER(AR111:AR117)),AR111:AR117)+(F118/(Resources!$E$56/7)),TODAY()+(F118/(Resources!$E$56/7))))</f>
        <v>45792.00839</v>
      </c>
      <c r="AS118" s="100">
        <f t="shared" si="19"/>
        <v>45792.00839</v>
      </c>
      <c r="AT118" s="82"/>
      <c r="AU118" s="82"/>
      <c r="AV118" s="83"/>
    </row>
    <row r="119" ht="15.0" customHeight="1">
      <c r="A119" s="120"/>
      <c r="B119" s="120"/>
      <c r="C119" s="124" t="s">
        <v>197</v>
      </c>
      <c r="D119" s="125"/>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c r="AB119" s="125"/>
      <c r="AC119" s="125"/>
      <c r="AD119" s="125"/>
      <c r="AE119" s="126"/>
      <c r="AF119" s="125"/>
      <c r="AG119" s="125"/>
      <c r="AH119" s="125"/>
      <c r="AI119" s="125"/>
      <c r="AJ119" s="125"/>
      <c r="AK119" s="125"/>
      <c r="AL119" s="125"/>
      <c r="AM119" s="126"/>
      <c r="AN119" s="127"/>
      <c r="AO119" s="127"/>
      <c r="AP119" s="127"/>
      <c r="AQ119" s="127"/>
      <c r="AR119" s="127"/>
      <c r="AS119" s="127"/>
      <c r="AT119" s="127"/>
      <c r="AU119" s="127"/>
      <c r="AV119" s="127"/>
    </row>
    <row r="120" ht="15.0" customHeight="1">
      <c r="A120" s="83" t="s">
        <v>97</v>
      </c>
      <c r="B120" s="92" t="s">
        <v>92</v>
      </c>
      <c r="C120" s="116" t="s">
        <v>198</v>
      </c>
      <c r="D120" s="93">
        <f>IF($A120="Feature",SUM(E120:F120)*'Roadmap setting'!$B$13,0)</f>
        <v>0.8</v>
      </c>
      <c r="E120" s="94">
        <v>2.0</v>
      </c>
      <c r="F120" s="94">
        <v>2.0</v>
      </c>
      <c r="G120" s="95">
        <f>IF($A120="Feature",IF('Roadmap setting'!$E$14,$F120*('Roadmap setting'!$B$14+'Roadmap setting'!$D$14),$F120*'Roadmap setting'!$B$14),0)</f>
        <v>0.3</v>
      </c>
      <c r="H120" s="93">
        <f>IF($A120="Feature",$E120*'Roadmap setting'!$B$15,0)</f>
        <v>0</v>
      </c>
      <c r="I120" s="95">
        <f>IF($A120="Feature",$F120*'Roadmap setting'!$B$16,0)</f>
        <v>0</v>
      </c>
      <c r="J120" s="93">
        <f>SUM($E120:$F120)*'Roadmap setting'!$B$17</f>
        <v>0.48</v>
      </c>
      <c r="K120" s="93">
        <f>SUM($E120:$F120)*'Roadmap setting'!$B$18</f>
        <v>0.04</v>
      </c>
      <c r="L120" s="93">
        <f>SUM($E120:$F120)*'Roadmap setting'!$B$19</f>
        <v>0</v>
      </c>
      <c r="M120" s="95">
        <f>SUM($E120:$F120)*'Roadmap setting'!$B$20</f>
        <v>0.08</v>
      </c>
      <c r="N120" s="79">
        <f t="shared" ref="N120:N126" si="20">SUM($D120:$G120)+SUM(H120:M120)</f>
        <v>5.7</v>
      </c>
      <c r="O120" s="96" t="b">
        <v>1</v>
      </c>
      <c r="P120" s="97"/>
      <c r="Q120" s="98"/>
      <c r="R120" s="97"/>
      <c r="S120" s="97"/>
      <c r="T120" s="97"/>
      <c r="U120" s="98"/>
      <c r="V120" s="99"/>
      <c r="W120" s="96" t="b">
        <v>0</v>
      </c>
      <c r="X120" s="97"/>
      <c r="Y120" s="98"/>
      <c r="Z120" s="97"/>
      <c r="AA120" s="97"/>
      <c r="AB120" s="97"/>
      <c r="AC120" s="98"/>
      <c r="AD120" s="99"/>
      <c r="AE120" s="96" t="b">
        <v>0</v>
      </c>
      <c r="AF120" s="97"/>
      <c r="AG120" s="98"/>
      <c r="AH120" s="97"/>
      <c r="AI120" s="97"/>
      <c r="AJ120" s="97"/>
      <c r="AK120" s="98"/>
      <c r="AL120" s="99"/>
      <c r="AM120" s="96" t="b">
        <v>0</v>
      </c>
      <c r="AN120" s="80">
        <f t="array" ref="AN120">INDEX(A120:AM120, MATCH(RIGHT('Roadmap setting'!$B$9, 3), $A$2:$AM$2, 0) - 1)
</f>
        <v>5.7</v>
      </c>
      <c r="AO120" s="100">
        <f t="array" ref="AO120">IFNA(LOOKUP(2,1/(ISNUMBER(AO114:AO119)),AO114:AO119)+(E120/(Resources!$P$55/7)),TODAY()+(E120/(Resources!$P$55/7)))</f>
        <v>45784.33526</v>
      </c>
      <c r="AP120" s="100">
        <f t="array" ref="AP120">IFNA(LOOKUP(2,1/(ISNUMBER(AP114:AP119)),AP114:AP119)+(F120/(Resources!$P$56/7)),TODAY()+(F120/(Resources!$P$56/7)))</f>
        <v>45786.35563</v>
      </c>
      <c r="AQ120" s="100">
        <f t="array" ref="AQ120">IF(ISNUMBER($AV120),IFNA(LOOKUP(2,1/(ISNUMBER(AQ114:AQ119)),AQ114:AQ119),TODAY()),IFNA(LOOKUP(2,1/(ISNUMBER(AQ114:AQ119)),AQ114:AQ119)+(E120/(Resources!$E$55/7)),TODAY()+(E120/(Resources!$E$55/7))))</f>
        <v>45792.03897</v>
      </c>
      <c r="AR120" s="100">
        <f t="array" ref="AR120">IF(ISNUMBER($AV120),IFNA(LOOKUP(2,1/(ISNUMBER(AR114:AR119)),AR114:AR119),TODAY()),IFNA(LOOKUP(2,1/(ISNUMBER(AR114:AR119)),AR114:AR119)+(F120/(Resources!$E$56/7)),TODAY()+(F120/(Resources!$E$56/7))))</f>
        <v>45792.69843</v>
      </c>
      <c r="AS120" s="100">
        <f t="shared" ref="AS120:AS126" si="21">IFERROR(MAX(AQ120,AR120),"")</f>
        <v>45792.69843</v>
      </c>
      <c r="AT120" s="82"/>
      <c r="AU120" s="82"/>
      <c r="AV120" s="83"/>
    </row>
    <row r="121" ht="15.0" customHeight="1">
      <c r="A121" s="83" t="s">
        <v>97</v>
      </c>
      <c r="B121" s="92" t="s">
        <v>112</v>
      </c>
      <c r="C121" s="116" t="s">
        <v>199</v>
      </c>
      <c r="D121" s="93">
        <f>IF($A121="Feature",SUM(E121:F121)*'Roadmap setting'!$B$13,0)</f>
        <v>0.8</v>
      </c>
      <c r="E121" s="94">
        <v>2.0</v>
      </c>
      <c r="F121" s="94">
        <v>2.0</v>
      </c>
      <c r="G121" s="95">
        <f>IF($A121="Feature",IF('Roadmap setting'!$E$14,$F121*('Roadmap setting'!$B$14+'Roadmap setting'!$D$14),$F121*'Roadmap setting'!$B$14),0)</f>
        <v>0.3</v>
      </c>
      <c r="H121" s="93">
        <f>IF($A121="Feature",$E121*'Roadmap setting'!$B$15,0)</f>
        <v>0</v>
      </c>
      <c r="I121" s="95">
        <f>IF($A121="Feature",$F121*'Roadmap setting'!$B$16,0)</f>
        <v>0</v>
      </c>
      <c r="J121" s="93">
        <f>SUM($E121:$F121)*'Roadmap setting'!$B$17</f>
        <v>0.48</v>
      </c>
      <c r="K121" s="93">
        <f>SUM($E121:$F121)*'Roadmap setting'!$B$18</f>
        <v>0.04</v>
      </c>
      <c r="L121" s="93">
        <f>SUM($E121:$F121)*'Roadmap setting'!$B$19</f>
        <v>0</v>
      </c>
      <c r="M121" s="95">
        <f>SUM($E121:$F121)*'Roadmap setting'!$B$20</f>
        <v>0.08</v>
      </c>
      <c r="N121" s="79">
        <f t="shared" si="20"/>
        <v>5.7</v>
      </c>
      <c r="O121" s="96" t="b">
        <v>1</v>
      </c>
      <c r="P121" s="97"/>
      <c r="Q121" s="98"/>
      <c r="R121" s="97"/>
      <c r="S121" s="97"/>
      <c r="T121" s="97"/>
      <c r="U121" s="98"/>
      <c r="V121" s="99"/>
      <c r="W121" s="96" t="b">
        <v>0</v>
      </c>
      <c r="X121" s="97"/>
      <c r="Y121" s="98"/>
      <c r="Z121" s="97"/>
      <c r="AA121" s="97"/>
      <c r="AB121" s="97"/>
      <c r="AC121" s="98"/>
      <c r="AD121" s="99"/>
      <c r="AE121" s="96" t="b">
        <v>0</v>
      </c>
      <c r="AF121" s="97"/>
      <c r="AG121" s="98"/>
      <c r="AH121" s="97"/>
      <c r="AI121" s="97"/>
      <c r="AJ121" s="97"/>
      <c r="AK121" s="98"/>
      <c r="AL121" s="99"/>
      <c r="AM121" s="96" t="b">
        <v>0</v>
      </c>
      <c r="AN121" s="80">
        <f t="array" ref="AN121">INDEX(A121:AM121, MATCH(RIGHT('Roadmap setting'!$B$9, 3), $A$2:$AM$2, 0) - 1)
</f>
        <v>5.7</v>
      </c>
      <c r="AO121" s="100">
        <f t="array" ref="AO121">IFNA(LOOKUP(2,1/(ISNUMBER(AO115:AO120)),AO115:AO120)+(E121/(Resources!$P$55/7)),TODAY()+(E121/(Resources!$P$55/7)))</f>
        <v>45784.58392</v>
      </c>
      <c r="AP121" s="100">
        <f t="array" ref="AP121">IFNA(LOOKUP(2,1/(ISNUMBER(AP115:AP120)),AP115:AP120)+(F121/(Resources!$P$56/7)),TODAY()+(F121/(Resources!$P$56/7)))</f>
        <v>45786.76687</v>
      </c>
      <c r="AQ121" s="100">
        <f t="array" ref="AQ121">IF(ISNUMBER($AV121),IFNA(LOOKUP(2,1/(ISNUMBER(AQ115:AQ120)),AQ115:AQ120),TODAY()),IFNA(LOOKUP(2,1/(ISNUMBER(AQ115:AQ120)),AQ115:AQ120)+(E121/(Resources!$E$55/7)),TODAY()+(E121/(Resources!$E$55/7))))</f>
        <v>45792.54876</v>
      </c>
      <c r="AR121" s="100">
        <f t="array" ref="AR121">IF(ISNUMBER($AV121),IFNA(LOOKUP(2,1/(ISNUMBER(AR115:AR120)),AR115:AR120),TODAY()),IFNA(LOOKUP(2,1/(ISNUMBER(AR115:AR120)),AR115:AR120)+(F121/(Resources!$E$56/7)),TODAY()+(F121/(Resources!$E$56/7))))</f>
        <v>45793.38847</v>
      </c>
      <c r="AS121" s="100">
        <f t="shared" si="21"/>
        <v>45793.38847</v>
      </c>
      <c r="AT121" s="82"/>
      <c r="AU121" s="82"/>
      <c r="AV121" s="83"/>
    </row>
    <row r="122" ht="15.0" customHeight="1">
      <c r="A122" s="83" t="s">
        <v>97</v>
      </c>
      <c r="B122" s="92" t="s">
        <v>92</v>
      </c>
      <c r="C122" s="116" t="s">
        <v>200</v>
      </c>
      <c r="D122" s="93">
        <f>IF($A122="Feature",SUM(E122:F122)*'Roadmap setting'!$B$13,0)</f>
        <v>1.2</v>
      </c>
      <c r="E122" s="94">
        <v>4.0</v>
      </c>
      <c r="F122" s="94">
        <v>2.0</v>
      </c>
      <c r="G122" s="95">
        <f>IF($A122="Feature",IF('Roadmap setting'!$E$14,$F122*('Roadmap setting'!$B$14+'Roadmap setting'!$D$14),$F122*'Roadmap setting'!$B$14),0)</f>
        <v>0.3</v>
      </c>
      <c r="H122" s="93">
        <f>IF($A122="Feature",$E122*'Roadmap setting'!$B$15,0)</f>
        <v>0</v>
      </c>
      <c r="I122" s="95">
        <f>IF($A122="Feature",$F122*'Roadmap setting'!$B$16,0)</f>
        <v>0</v>
      </c>
      <c r="J122" s="93">
        <f>SUM($E122:$F122)*'Roadmap setting'!$B$17</f>
        <v>0.72</v>
      </c>
      <c r="K122" s="93">
        <f>SUM($E122:$F122)*'Roadmap setting'!$B$18</f>
        <v>0.06</v>
      </c>
      <c r="L122" s="93">
        <f>SUM($E122:$F122)*'Roadmap setting'!$B$19</f>
        <v>0</v>
      </c>
      <c r="M122" s="95">
        <f>SUM($E122:$F122)*'Roadmap setting'!$B$20</f>
        <v>0.12</v>
      </c>
      <c r="N122" s="79">
        <f t="shared" si="20"/>
        <v>8.4</v>
      </c>
      <c r="O122" s="96" t="b">
        <v>1</v>
      </c>
      <c r="P122" s="97"/>
      <c r="Q122" s="98"/>
      <c r="R122" s="97"/>
      <c r="S122" s="97"/>
      <c r="T122" s="97"/>
      <c r="U122" s="98"/>
      <c r="V122" s="99"/>
      <c r="W122" s="96" t="b">
        <v>0</v>
      </c>
      <c r="X122" s="97"/>
      <c r="Y122" s="98"/>
      <c r="Z122" s="97"/>
      <c r="AA122" s="97"/>
      <c r="AB122" s="97"/>
      <c r="AC122" s="98"/>
      <c r="AD122" s="99"/>
      <c r="AE122" s="96" t="b">
        <v>0</v>
      </c>
      <c r="AF122" s="97"/>
      <c r="AG122" s="98"/>
      <c r="AH122" s="97"/>
      <c r="AI122" s="97"/>
      <c r="AJ122" s="97"/>
      <c r="AK122" s="98"/>
      <c r="AL122" s="99"/>
      <c r="AM122" s="96" t="b">
        <v>0</v>
      </c>
      <c r="AN122" s="80">
        <f t="array" ref="AN122">INDEX(A122:AM122, MATCH(RIGHT('Roadmap setting'!$B$9, 3), $A$2:$AM$2, 0) - 1)
</f>
        <v>8.4</v>
      </c>
      <c r="AO122" s="100">
        <f t="array" ref="AO122">IFNA(LOOKUP(2,1/(ISNUMBER(AO116:AO121)),AO116:AO121)+(E122/(Resources!$P$55/7)),TODAY()+(E122/(Resources!$P$55/7)))</f>
        <v>45785.08122</v>
      </c>
      <c r="AP122" s="100">
        <f t="array" ref="AP122">IFNA(LOOKUP(2,1/(ISNUMBER(AP116:AP121)),AP116:AP121)+(F122/(Resources!$P$56/7)),TODAY()+(F122/(Resources!$P$56/7)))</f>
        <v>45787.1781</v>
      </c>
      <c r="AQ122" s="100">
        <f t="array" ref="AQ122">IF(ISNUMBER($AV122),IFNA(LOOKUP(2,1/(ISNUMBER(AQ116:AQ121)),AQ116:AQ121),TODAY()),IFNA(LOOKUP(2,1/(ISNUMBER(AQ116:AQ121)),AQ116:AQ121)+(E122/(Resources!$E$55/7)),TODAY()+(E122/(Resources!$E$55/7))))</f>
        <v>45793.56835</v>
      </c>
      <c r="AR122" s="100">
        <f t="array" ref="AR122">IF(ISNUMBER($AV122),IFNA(LOOKUP(2,1/(ISNUMBER(AR116:AR121)),AR116:AR121),TODAY()),IFNA(LOOKUP(2,1/(ISNUMBER(AR116:AR121)),AR116:AR121)+(F122/(Resources!$E$56/7)),TODAY()+(F122/(Resources!$E$56/7))))</f>
        <v>45794.07851</v>
      </c>
      <c r="AS122" s="100">
        <f t="shared" si="21"/>
        <v>45794.07851</v>
      </c>
      <c r="AT122" s="82"/>
      <c r="AU122" s="82"/>
      <c r="AV122" s="83"/>
    </row>
    <row r="123" ht="15.0" customHeight="1">
      <c r="A123" s="83" t="s">
        <v>97</v>
      </c>
      <c r="B123" s="92" t="s">
        <v>100</v>
      </c>
      <c r="C123" s="116" t="s">
        <v>201</v>
      </c>
      <c r="D123" s="93">
        <f>IF($A123="Feature",SUM(E123:F123)*'Roadmap setting'!$B$13,0)</f>
        <v>0.7</v>
      </c>
      <c r="E123" s="94">
        <v>1.5</v>
      </c>
      <c r="F123" s="94">
        <v>2.0</v>
      </c>
      <c r="G123" s="95">
        <f>IF($A123="Feature",IF('Roadmap setting'!$E$14,$F123*('Roadmap setting'!$B$14+'Roadmap setting'!$D$14),$F123*'Roadmap setting'!$B$14),0)</f>
        <v>0.3</v>
      </c>
      <c r="H123" s="93">
        <f>IF($A123="Feature",$E123*'Roadmap setting'!$B$15,0)</f>
        <v>0</v>
      </c>
      <c r="I123" s="95">
        <f>IF($A123="Feature",$F123*'Roadmap setting'!$B$16,0)</f>
        <v>0</v>
      </c>
      <c r="J123" s="93">
        <f>SUM($E123:$F123)*'Roadmap setting'!$B$17</f>
        <v>0.42</v>
      </c>
      <c r="K123" s="93">
        <f>SUM($E123:$F123)*'Roadmap setting'!$B$18</f>
        <v>0.035</v>
      </c>
      <c r="L123" s="93">
        <f>SUM($E123:$F123)*'Roadmap setting'!$B$19</f>
        <v>0</v>
      </c>
      <c r="M123" s="95">
        <f>SUM($E123:$F123)*'Roadmap setting'!$B$20</f>
        <v>0.07</v>
      </c>
      <c r="N123" s="79">
        <f t="shared" si="20"/>
        <v>5.025</v>
      </c>
      <c r="O123" s="96" t="b">
        <v>1</v>
      </c>
      <c r="P123" s="97"/>
      <c r="Q123" s="98"/>
      <c r="R123" s="97"/>
      <c r="S123" s="97"/>
      <c r="T123" s="97"/>
      <c r="U123" s="98"/>
      <c r="V123" s="99"/>
      <c r="W123" s="96" t="b">
        <v>0</v>
      </c>
      <c r="X123" s="97"/>
      <c r="Y123" s="98"/>
      <c r="Z123" s="97"/>
      <c r="AA123" s="97"/>
      <c r="AB123" s="97"/>
      <c r="AC123" s="98"/>
      <c r="AD123" s="99"/>
      <c r="AE123" s="96" t="b">
        <v>0</v>
      </c>
      <c r="AF123" s="97"/>
      <c r="AG123" s="98"/>
      <c r="AH123" s="97"/>
      <c r="AI123" s="97"/>
      <c r="AJ123" s="97"/>
      <c r="AK123" s="98"/>
      <c r="AL123" s="99"/>
      <c r="AM123" s="96" t="b">
        <v>0</v>
      </c>
      <c r="AN123" s="80">
        <f t="array" ref="AN123">INDEX(A123:AM123, MATCH(RIGHT('Roadmap setting'!$B$9, 3), $A$2:$AM$2, 0) - 1)
</f>
        <v>5.025</v>
      </c>
      <c r="AO123" s="100">
        <f t="array" ref="AO123">IFNA(LOOKUP(2,1/(ISNUMBER(AO117:AO122)),AO117:AO122)+(E123/(Resources!$P$55/7)),TODAY()+(E123/(Resources!$P$55/7)))</f>
        <v>45785.26771</v>
      </c>
      <c r="AP123" s="100">
        <f t="array" ref="AP123">IFNA(LOOKUP(2,1/(ISNUMBER(AP117:AP122)),AP117:AP122)+(F123/(Resources!$P$56/7)),TODAY()+(F123/(Resources!$P$56/7)))</f>
        <v>45787.58934</v>
      </c>
      <c r="AQ123" s="100">
        <f t="array" ref="AQ123">IF(ISNUMBER($AV123),IFNA(LOOKUP(2,1/(ISNUMBER(AQ117:AQ122)),AQ117:AQ122),TODAY()),IFNA(LOOKUP(2,1/(ISNUMBER(AQ117:AQ122)),AQ117:AQ122)+(E123/(Resources!$E$55/7)),TODAY()+(E123/(Resources!$E$55/7))))</f>
        <v>45793.9507</v>
      </c>
      <c r="AR123" s="100">
        <f t="array" ref="AR123">IF(ISNUMBER($AV123),IFNA(LOOKUP(2,1/(ISNUMBER(AR117:AR122)),AR117:AR122),TODAY()),IFNA(LOOKUP(2,1/(ISNUMBER(AR117:AR122)),AR117:AR122)+(F123/(Resources!$E$56/7)),TODAY()+(F123/(Resources!$E$56/7))))</f>
        <v>45794.76855</v>
      </c>
      <c r="AS123" s="100">
        <f t="shared" si="21"/>
        <v>45794.76855</v>
      </c>
      <c r="AT123" s="82"/>
      <c r="AU123" s="82"/>
      <c r="AV123" s="83"/>
    </row>
    <row r="124" ht="15.0" customHeight="1">
      <c r="A124" s="83" t="s">
        <v>97</v>
      </c>
      <c r="B124" s="92" t="s">
        <v>100</v>
      </c>
      <c r="C124" s="116" t="s">
        <v>202</v>
      </c>
      <c r="D124" s="93">
        <f>IF($A124="Feature",SUM(E124:F124)*'Roadmap setting'!$B$13,0)</f>
        <v>1</v>
      </c>
      <c r="E124" s="94">
        <v>3.0</v>
      </c>
      <c r="F124" s="94">
        <v>2.0</v>
      </c>
      <c r="G124" s="95">
        <f>IF($A124="Feature",IF('Roadmap setting'!$E$14,$F124*('Roadmap setting'!$B$14+'Roadmap setting'!$D$14),$F124*'Roadmap setting'!$B$14),0)</f>
        <v>0.3</v>
      </c>
      <c r="H124" s="93">
        <f>IF($A124="Feature",$E124*'Roadmap setting'!$B$15,0)</f>
        <v>0</v>
      </c>
      <c r="I124" s="95">
        <f>IF($A124="Feature",$F124*'Roadmap setting'!$B$16,0)</f>
        <v>0</v>
      </c>
      <c r="J124" s="93">
        <f>SUM($E124:$F124)*'Roadmap setting'!$B$17</f>
        <v>0.6</v>
      </c>
      <c r="K124" s="93">
        <f>SUM($E124:$F124)*'Roadmap setting'!$B$18</f>
        <v>0.05</v>
      </c>
      <c r="L124" s="93">
        <f>SUM($E124:$F124)*'Roadmap setting'!$B$19</f>
        <v>0</v>
      </c>
      <c r="M124" s="95">
        <f>SUM($E124:$F124)*'Roadmap setting'!$B$20</f>
        <v>0.1</v>
      </c>
      <c r="N124" s="79">
        <f t="shared" si="20"/>
        <v>7.05</v>
      </c>
      <c r="O124" s="96" t="b">
        <v>1</v>
      </c>
      <c r="P124" s="97"/>
      <c r="Q124" s="98"/>
      <c r="R124" s="97"/>
      <c r="S124" s="97"/>
      <c r="T124" s="97"/>
      <c r="U124" s="98"/>
      <c r="V124" s="99"/>
      <c r="W124" s="96" t="b">
        <v>0</v>
      </c>
      <c r="X124" s="97"/>
      <c r="Y124" s="98"/>
      <c r="Z124" s="97"/>
      <c r="AA124" s="97"/>
      <c r="AB124" s="97"/>
      <c r="AC124" s="98"/>
      <c r="AD124" s="99"/>
      <c r="AE124" s="96" t="b">
        <v>0</v>
      </c>
      <c r="AF124" s="97"/>
      <c r="AG124" s="98"/>
      <c r="AH124" s="97"/>
      <c r="AI124" s="97"/>
      <c r="AJ124" s="97"/>
      <c r="AK124" s="98"/>
      <c r="AL124" s="99"/>
      <c r="AM124" s="96" t="b">
        <v>0</v>
      </c>
      <c r="AN124" s="80">
        <f t="array" ref="AN124">INDEX(A124:AM124, MATCH(RIGHT('Roadmap setting'!$B$9, 3), $A$2:$AM$2, 0) - 1)
</f>
        <v>7.05</v>
      </c>
      <c r="AO124" s="100">
        <f t="array" ref="AO124">IFNA(LOOKUP(2,1/(ISNUMBER(AO118:AO123)),AO118:AO123)+(E124/(Resources!$P$55/7)),TODAY()+(E124/(Resources!$P$55/7)))</f>
        <v>45785.64069</v>
      </c>
      <c r="AP124" s="100">
        <f t="array" ref="AP124">IFNA(LOOKUP(2,1/(ISNUMBER(AP118:AP123)),AP118:AP123)+(F124/(Resources!$P$56/7)),TODAY()+(F124/(Resources!$P$56/7)))</f>
        <v>45788.00058</v>
      </c>
      <c r="AQ124" s="100">
        <f t="array" ref="AQ124">IF(ISNUMBER($AV124),IFNA(LOOKUP(2,1/(ISNUMBER(AQ118:AQ123)),AQ118:AQ123),TODAY()),IFNA(LOOKUP(2,1/(ISNUMBER(AQ118:AQ123)),AQ118:AQ123)+(E124/(Resources!$E$55/7)),TODAY()+(E124/(Resources!$E$55/7))))</f>
        <v>45794.71539</v>
      </c>
      <c r="AR124" s="100">
        <f t="array" ref="AR124">IF(ISNUMBER($AV124),IFNA(LOOKUP(2,1/(ISNUMBER(AR118:AR123)),AR118:AR123),TODAY()),IFNA(LOOKUP(2,1/(ISNUMBER(AR118:AR123)),AR118:AR123)+(F124/(Resources!$E$56/7)),TODAY()+(F124/(Resources!$E$56/7))))</f>
        <v>45795.4586</v>
      </c>
      <c r="AS124" s="100">
        <f t="shared" si="21"/>
        <v>45795.4586</v>
      </c>
      <c r="AT124" s="82"/>
      <c r="AU124" s="82"/>
      <c r="AV124" s="83"/>
    </row>
    <row r="125" ht="15.0" customHeight="1">
      <c r="A125" s="83" t="s">
        <v>97</v>
      </c>
      <c r="B125" s="92" t="s">
        <v>92</v>
      </c>
      <c r="C125" s="116" t="s">
        <v>203</v>
      </c>
      <c r="D125" s="93">
        <f>IF($A125="Feature",SUM(E125:F125)*'Roadmap setting'!$B$13,0)</f>
        <v>2</v>
      </c>
      <c r="E125" s="94">
        <v>8.0</v>
      </c>
      <c r="F125" s="94">
        <v>2.0</v>
      </c>
      <c r="G125" s="95">
        <f>IF($A125="Feature",IF('Roadmap setting'!$E$14,$F125*('Roadmap setting'!$B$14+'Roadmap setting'!$D$14),$F125*'Roadmap setting'!$B$14),0)</f>
        <v>0.3</v>
      </c>
      <c r="H125" s="93">
        <f>IF($A125="Feature",$E125*'Roadmap setting'!$B$15,0)</f>
        <v>0</v>
      </c>
      <c r="I125" s="95">
        <f>IF($A125="Feature",$F125*'Roadmap setting'!$B$16,0)</f>
        <v>0</v>
      </c>
      <c r="J125" s="93">
        <f>SUM($E125:$F125)*'Roadmap setting'!$B$17</f>
        <v>1.2</v>
      </c>
      <c r="K125" s="93">
        <f>SUM($E125:$F125)*'Roadmap setting'!$B$18</f>
        <v>0.1</v>
      </c>
      <c r="L125" s="93">
        <f>SUM($E125:$F125)*'Roadmap setting'!$B$19</f>
        <v>0</v>
      </c>
      <c r="M125" s="95">
        <f>SUM($E125:$F125)*'Roadmap setting'!$B$20</f>
        <v>0.2</v>
      </c>
      <c r="N125" s="79">
        <f t="shared" si="20"/>
        <v>13.8</v>
      </c>
      <c r="O125" s="96" t="b">
        <v>1</v>
      </c>
      <c r="P125" s="97"/>
      <c r="Q125" s="98"/>
      <c r="R125" s="97"/>
      <c r="S125" s="97"/>
      <c r="T125" s="97"/>
      <c r="U125" s="98"/>
      <c r="V125" s="99"/>
      <c r="W125" s="96" t="b">
        <v>0</v>
      </c>
      <c r="X125" s="97"/>
      <c r="Y125" s="98"/>
      <c r="Z125" s="97"/>
      <c r="AA125" s="97"/>
      <c r="AB125" s="97"/>
      <c r="AC125" s="98"/>
      <c r="AD125" s="99"/>
      <c r="AE125" s="96" t="b">
        <v>0</v>
      </c>
      <c r="AF125" s="97"/>
      <c r="AG125" s="98"/>
      <c r="AH125" s="97"/>
      <c r="AI125" s="97"/>
      <c r="AJ125" s="97"/>
      <c r="AK125" s="98"/>
      <c r="AL125" s="99"/>
      <c r="AM125" s="96" t="b">
        <v>0</v>
      </c>
      <c r="AN125" s="80">
        <f t="array" ref="AN125">INDEX(A125:AM125, MATCH(RIGHT('Roadmap setting'!$B$9, 3), $A$2:$AM$2, 0) - 1)
</f>
        <v>13.8</v>
      </c>
      <c r="AO125" s="100">
        <f t="array" ref="AO125">IFNA(LOOKUP(2,1/(ISNUMBER(AO127:AO134)),AO127:AO134)+(E125/(Resources!$P$55/7)),TODAY()+(E125/(Resources!$P$55/7)))</f>
        <v>45782.09739</v>
      </c>
      <c r="AP125" s="100">
        <f t="array" ref="AP125">IFNA(LOOKUP(2,1/(ISNUMBER(AP127:AP134)),AP127:AP134)+(F125/(Resources!$P$56/7)),TODAY()+(F125/(Resources!$P$56/7)))</f>
        <v>45781.93484</v>
      </c>
      <c r="AQ125" s="100">
        <f t="array" ref="AQ125">IF(ISNUMBER($AV125),IFNA(LOOKUP(2,1/(ISNUMBER(AQ127:AQ134)),AQ127:AQ134),TODAY()),IFNA(LOOKUP(2,1/(ISNUMBER(AQ127:AQ134)),AQ127:AQ134)+(E125/(Resources!$E$55/7)),TODAY()+(E125/(Resources!$E$55/7))))</f>
        <v>45787.45081</v>
      </c>
      <c r="AR125" s="100">
        <f t="array" ref="AR125">IF(ISNUMBER($AV125),IFNA(LOOKUP(2,1/(ISNUMBER(AR127:AR134)),AR127:AR134),TODAY()),IFNA(LOOKUP(2,1/(ISNUMBER(AR127:AR134)),AR127:AR134)+(F125/(Resources!$E$56/7)),TODAY()+(F125/(Resources!$E$56/7))))</f>
        <v>45785.28049</v>
      </c>
      <c r="AS125" s="100">
        <f t="shared" si="21"/>
        <v>45787.45081</v>
      </c>
      <c r="AT125" s="82"/>
      <c r="AU125" s="82"/>
      <c r="AV125" s="83"/>
    </row>
    <row r="126" ht="15.0" customHeight="1">
      <c r="A126" s="83" t="s">
        <v>97</v>
      </c>
      <c r="B126" s="92" t="s">
        <v>92</v>
      </c>
      <c r="C126" s="116" t="s">
        <v>204</v>
      </c>
      <c r="D126" s="93">
        <f>IF($A126="Feature",SUM(E126:F126)*'Roadmap setting'!$B$13,0)</f>
        <v>0.4</v>
      </c>
      <c r="F126" s="94">
        <v>2.0</v>
      </c>
      <c r="G126" s="95">
        <f>IF($A126="Feature",IF('Roadmap setting'!$E$14,$F126*('Roadmap setting'!$B$14+'Roadmap setting'!$D$14),$F126*'Roadmap setting'!$B$14),0)</f>
        <v>0.3</v>
      </c>
      <c r="H126" s="93">
        <f>IF($A126="Feature",$E126*'Roadmap setting'!$B$15,0)</f>
        <v>0</v>
      </c>
      <c r="I126" s="95">
        <f>IF($A126="Feature",$F126*'Roadmap setting'!$B$16,0)</f>
        <v>0</v>
      </c>
      <c r="J126" s="93">
        <f>SUM($E126:$F126)*'Roadmap setting'!$B$17</f>
        <v>0.24</v>
      </c>
      <c r="K126" s="93">
        <f>SUM($E126:$F126)*'Roadmap setting'!$B$18</f>
        <v>0.02</v>
      </c>
      <c r="L126" s="93">
        <f>SUM($E126:$F126)*'Roadmap setting'!$B$19</f>
        <v>0</v>
      </c>
      <c r="M126" s="95">
        <f>SUM($E126:$F126)*'Roadmap setting'!$B$20</f>
        <v>0.04</v>
      </c>
      <c r="N126" s="79">
        <f t="shared" si="20"/>
        <v>3</v>
      </c>
      <c r="O126" s="96" t="b">
        <v>1</v>
      </c>
      <c r="P126" s="97"/>
      <c r="Q126" s="98"/>
      <c r="R126" s="97"/>
      <c r="S126" s="97"/>
      <c r="T126" s="97"/>
      <c r="U126" s="98"/>
      <c r="V126" s="99"/>
      <c r="W126" s="96" t="b">
        <v>0</v>
      </c>
      <c r="X126" s="97"/>
      <c r="Y126" s="98"/>
      <c r="Z126" s="97"/>
      <c r="AA126" s="97"/>
      <c r="AB126" s="97"/>
      <c r="AC126" s="98"/>
      <c r="AD126" s="99"/>
      <c r="AE126" s="96" t="b">
        <v>0</v>
      </c>
      <c r="AF126" s="97"/>
      <c r="AG126" s="98"/>
      <c r="AH126" s="97"/>
      <c r="AI126" s="97"/>
      <c r="AJ126" s="97"/>
      <c r="AK126" s="98"/>
      <c r="AL126" s="99"/>
      <c r="AM126" s="96" t="b">
        <v>0</v>
      </c>
      <c r="AN126" s="80">
        <f t="array" ref="AN126">INDEX(A126:AM126, MATCH(RIGHT('Roadmap setting'!$B$9, 3), $A$2:$AM$2, 0) - 1)
</f>
        <v>3</v>
      </c>
      <c r="AO126" s="100">
        <f t="array" ref="AO126">IFNA(LOOKUP(2,1/(ISNUMBER(AO119:AO125)),AO119:AO125)+(E126/(Resources!$P$55/7)),TODAY()+(E126/(Resources!$P$55/7)))</f>
        <v>45782.09739</v>
      </c>
      <c r="AP126" s="100">
        <f t="array" ref="AP126">IFNA(LOOKUP(2,1/(ISNUMBER(AP119:AP125)),AP119:AP125)+(F126/(Resources!$P$56/7)),TODAY()+(F126/(Resources!$P$56/7)))</f>
        <v>45782.34607</v>
      </c>
      <c r="AQ126" s="100">
        <f t="array" ref="AQ126">IF(ISNUMBER($AV126),IFNA(LOOKUP(2,1/(ISNUMBER(AQ119:AQ125)),AQ119:AQ125),TODAY()),IFNA(LOOKUP(2,1/(ISNUMBER(AQ119:AQ125)),AQ119:AQ125)+(E126/(Resources!$E$55/7)),TODAY()+(E126/(Resources!$E$55/7))))</f>
        <v>45787.45081</v>
      </c>
      <c r="AR126" s="100">
        <f t="array" ref="AR126">IF(ISNUMBER($AV126),IFNA(LOOKUP(2,1/(ISNUMBER(AR119:AR125)),AR119:AR125),TODAY()),IFNA(LOOKUP(2,1/(ISNUMBER(AR119:AR125)),AR119:AR125)+(F126/(Resources!$E$56/7)),TODAY()+(F126/(Resources!$E$56/7))))</f>
        <v>45785.97053</v>
      </c>
      <c r="AS126" s="100">
        <f t="shared" si="21"/>
        <v>45787.45081</v>
      </c>
      <c r="AT126" s="82"/>
      <c r="AU126" s="82"/>
      <c r="AV126" s="83"/>
    </row>
    <row r="127" ht="15.0" customHeight="1">
      <c r="A127" s="84" t="s">
        <v>205</v>
      </c>
      <c r="C127" s="108"/>
      <c r="D127" s="84"/>
      <c r="E127" s="84"/>
      <c r="F127" s="84"/>
      <c r="G127" s="84"/>
      <c r="H127" s="84"/>
      <c r="I127" s="84"/>
      <c r="J127" s="84"/>
      <c r="K127" s="84"/>
      <c r="L127" s="84"/>
      <c r="M127" s="84"/>
      <c r="N127" s="84"/>
      <c r="O127" s="84"/>
      <c r="P127" s="84"/>
      <c r="Q127" s="84"/>
      <c r="R127" s="84"/>
      <c r="S127" s="84"/>
      <c r="T127" s="84"/>
      <c r="U127" s="84"/>
      <c r="V127" s="84"/>
      <c r="W127" s="84"/>
      <c r="X127" s="84"/>
      <c r="Y127" s="84"/>
      <c r="Z127" s="84"/>
      <c r="AA127" s="84"/>
      <c r="AB127" s="84"/>
      <c r="AC127" s="84"/>
      <c r="AD127" s="84"/>
      <c r="AE127" s="84"/>
      <c r="AF127" s="84"/>
      <c r="AG127" s="84"/>
      <c r="AH127" s="84"/>
      <c r="AI127" s="84"/>
      <c r="AJ127" s="84"/>
      <c r="AK127" s="84"/>
      <c r="AL127" s="84"/>
      <c r="AM127" s="84"/>
      <c r="AN127" s="84"/>
      <c r="AO127" s="84"/>
      <c r="AP127" s="84"/>
      <c r="AQ127" s="84"/>
      <c r="AR127" s="84"/>
      <c r="AS127" s="84"/>
      <c r="AT127" s="84">
        <f>61+4+6+21+28</f>
        <v>120</v>
      </c>
      <c r="AU127" s="84"/>
      <c r="AV127" s="84"/>
    </row>
    <row r="128" ht="15.0" customHeight="1">
      <c r="A128" s="128" t="s">
        <v>97</v>
      </c>
      <c r="B128" s="119" t="s">
        <v>92</v>
      </c>
      <c r="C128" s="128" t="s">
        <v>139</v>
      </c>
      <c r="D128" s="93">
        <f>IF($A128="Feature",SUM(E128:F128)*'Roadmap setting'!$B$13,0)</f>
        <v>6.4</v>
      </c>
      <c r="E128" s="129">
        <v>16.0</v>
      </c>
      <c r="F128" s="130">
        <v>16.0</v>
      </c>
      <c r="G128" s="95">
        <f>IF($A128="Feature",IF('Roadmap setting'!$E$14,$F128*('Roadmap setting'!$B$14+'Roadmap setting'!$D$14),$F128*'Roadmap setting'!$B$14),0)</f>
        <v>2.4</v>
      </c>
      <c r="H128" s="93">
        <f>IF($A128="Feature",$E128*'Roadmap setting'!$B$15,0)</f>
        <v>0</v>
      </c>
      <c r="I128" s="95">
        <f>IF($A128="Feature",$F128*'Roadmap setting'!$B$16,0)</f>
        <v>0</v>
      </c>
      <c r="J128" s="93">
        <f>SUM($E128:$F128)*'Roadmap setting'!$B$17</f>
        <v>3.84</v>
      </c>
      <c r="K128" s="93">
        <f>SUM($E128:$F128)*'Roadmap setting'!$B$18</f>
        <v>0.32</v>
      </c>
      <c r="L128" s="93">
        <f>SUM($E128:$F128)*'Roadmap setting'!$B$19</f>
        <v>0</v>
      </c>
      <c r="M128" s="95">
        <f>SUM($E128:$F128)*'Roadmap setting'!$B$20</f>
        <v>0.64</v>
      </c>
      <c r="N128" s="79">
        <f>SUM($D128:$G128)+SUM(H128:M128)</f>
        <v>45.6</v>
      </c>
      <c r="O128" s="96" t="b">
        <v>1</v>
      </c>
      <c r="P128" s="131"/>
      <c r="Q128" s="131"/>
      <c r="R128" s="131"/>
      <c r="S128" s="131"/>
      <c r="T128" s="131"/>
      <c r="U128" s="131"/>
      <c r="V128" s="132"/>
      <c r="W128" s="133" t="b">
        <v>0</v>
      </c>
      <c r="X128" s="131"/>
      <c r="Y128" s="131"/>
      <c r="Z128" s="131"/>
      <c r="AA128" s="131"/>
      <c r="AB128" s="131"/>
      <c r="AC128" s="131"/>
      <c r="AD128" s="132"/>
      <c r="AE128" s="133" t="b">
        <v>0</v>
      </c>
      <c r="AF128" s="131"/>
      <c r="AG128" s="131"/>
      <c r="AH128" s="131"/>
      <c r="AI128" s="131"/>
      <c r="AJ128" s="131"/>
      <c r="AK128" s="131"/>
      <c r="AL128" s="132"/>
      <c r="AM128" s="133" t="b">
        <v>0</v>
      </c>
      <c r="AN128" s="80">
        <f t="array" ref="AN128">INDEX(A128:AM128, MATCH(RIGHT('Roadmap setting'!$B$9, 3), $A$2:$AM$2, 0) - 1)
</f>
        <v>45.6</v>
      </c>
      <c r="AO128" s="100">
        <f t="array" ref="AO128">IFNA(LOOKUP(2,1/(ISNUMBER(AO127)),AO127)+(E128/(Resources!$P$55/7)),TODAY()+(E128/(Resources!$P$55/7)))</f>
        <v>45778.98922</v>
      </c>
      <c r="AP128" s="100">
        <f t="array" ref="AP128">IFNA(LOOKUP(2,1/(ISNUMBER(AP127)),AP127)+(F128/(Resources!$P$56/7)),TODAY()+(F128/(Resources!$P$56/7)))</f>
        <v>45780.28989</v>
      </c>
      <c r="AQ128" s="100">
        <f t="array" ref="AQ128">IF(ISNUMBER($AV128),IFNA(LOOKUP(2,1/(ISNUMBER(AQ127)),AQ127),TODAY()),IFNA(LOOKUP(2,1/(ISNUMBER(AQ127)),AQ127)+(E128/(Resources!$E$55/7)),TODAY()+(E128/(Resources!$E$55/7))))</f>
        <v>45781.07836</v>
      </c>
      <c r="AR128" s="100">
        <f t="array" ref="AR128">IF(ISNUMBER($AV128),IFNA(LOOKUP(2,1/(ISNUMBER(AR127)),AR127),TODAY()),IFNA(LOOKUP(2,1/(ISNUMBER(AR127)),AR127)+(F128/(Resources!$E$56/7)),TODAY()+(F128/(Resources!$E$56/7))))</f>
        <v>45782.52033</v>
      </c>
      <c r="AS128" s="100">
        <f>IFERROR(MAX(AQ128,AR128),"")</f>
        <v>45782.52033</v>
      </c>
      <c r="AT128" s="134"/>
      <c r="AU128" s="135"/>
      <c r="AV128" s="136"/>
    </row>
    <row r="129" ht="15.0" customHeight="1">
      <c r="A129" s="71"/>
      <c r="B129" s="71"/>
      <c r="C129" s="117" t="s">
        <v>206</v>
      </c>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c r="AD129" s="72"/>
      <c r="AE129" s="72"/>
      <c r="AF129" s="72"/>
      <c r="AG129" s="72"/>
      <c r="AH129" s="72"/>
      <c r="AI129" s="72"/>
      <c r="AJ129" s="72"/>
      <c r="AK129" s="72"/>
      <c r="AL129" s="72"/>
      <c r="AM129" s="72"/>
      <c r="AN129" s="72"/>
      <c r="AO129" s="72"/>
      <c r="AP129" s="72"/>
      <c r="AQ129" s="72"/>
      <c r="AR129" s="72"/>
      <c r="AS129" s="72"/>
      <c r="AT129" s="72"/>
      <c r="AU129" s="72"/>
      <c r="AV129" s="72"/>
    </row>
    <row r="130" ht="15.0" customHeight="1">
      <c r="A130" s="83" t="s">
        <v>97</v>
      </c>
      <c r="B130" s="92" t="s">
        <v>92</v>
      </c>
      <c r="C130" s="116" t="s">
        <v>207</v>
      </c>
      <c r="D130" s="93">
        <f>IF($A130="Feature",SUM(E130:F130)*'Roadmap setting'!$B$13,0)</f>
        <v>2.6</v>
      </c>
      <c r="E130" s="94">
        <v>5.0</v>
      </c>
      <c r="F130" s="94">
        <v>8.0</v>
      </c>
      <c r="G130" s="95">
        <f>IF($A130="Feature",IF('Roadmap setting'!$E$14,$F130*('Roadmap setting'!$B$14+'Roadmap setting'!$D$14),$F130*'Roadmap setting'!$B$14),0)</f>
        <v>1.2</v>
      </c>
      <c r="H130" s="93">
        <f>IF($A130="Feature",$E130*'Roadmap setting'!$B$15,0)</f>
        <v>0</v>
      </c>
      <c r="I130" s="95">
        <f>IF($A130="Feature",$F130*'Roadmap setting'!$B$16,0)</f>
        <v>0</v>
      </c>
      <c r="J130" s="93">
        <f>SUM($E130:$F130)*'Roadmap setting'!$B$17</f>
        <v>1.56</v>
      </c>
      <c r="K130" s="93">
        <f>SUM($E130:$F130)*'Roadmap setting'!$B$18</f>
        <v>0.13</v>
      </c>
      <c r="L130" s="93">
        <f>SUM($E130:$F130)*'Roadmap setting'!$B$19</f>
        <v>0</v>
      </c>
      <c r="M130" s="95">
        <f>SUM($E130:$F130)*'Roadmap setting'!$B$20</f>
        <v>0.26</v>
      </c>
      <c r="N130" s="79">
        <f t="shared" ref="N130:N134" si="22">SUM($D130:$G130)+SUM(H130:M130)</f>
        <v>18.75</v>
      </c>
      <c r="O130" s="96" t="b">
        <v>1</v>
      </c>
      <c r="P130" s="97"/>
      <c r="Q130" s="98"/>
      <c r="R130" s="97"/>
      <c r="S130" s="97"/>
      <c r="T130" s="97"/>
      <c r="U130" s="97"/>
      <c r="V130" s="99"/>
      <c r="W130" s="96" t="b">
        <v>0</v>
      </c>
      <c r="X130" s="97"/>
      <c r="Y130" s="98"/>
      <c r="Z130" s="97"/>
      <c r="AA130" s="97"/>
      <c r="AB130" s="97"/>
      <c r="AC130" s="97"/>
      <c r="AD130" s="99"/>
      <c r="AE130" s="96" t="b">
        <v>0</v>
      </c>
      <c r="AF130" s="97"/>
      <c r="AG130" s="98"/>
      <c r="AH130" s="97"/>
      <c r="AI130" s="97"/>
      <c r="AJ130" s="97"/>
      <c r="AK130" s="97"/>
      <c r="AL130" s="99"/>
      <c r="AM130" s="96" t="b">
        <v>0</v>
      </c>
      <c r="AN130" s="80">
        <f t="array" ref="AN130">INDEX(A130:AM130, MATCH(RIGHT('Roadmap setting'!$B$9, 3), $A$2:$AM$2, 0) - 1)
</f>
        <v>18.75</v>
      </c>
      <c r="AO130" s="100">
        <f t="array" ref="AO130">IFNA(LOOKUP(2,1/(ISNUMBER(AO127:AO135)),AO127:AO135)+(E130/(Resources!$P$55/7)),TODAY()+(E130/(Resources!$P$55/7)))</f>
        <v>45781.72441</v>
      </c>
      <c r="AP130" s="100">
        <f t="array" ref="AP130">IFNA(LOOKUP(2,1/(ISNUMBER(AP127:AP135)),AP127:AP135)+(F130/(Resources!$P$56/7)),TODAY()+(F130/(Resources!$P$56/7)))</f>
        <v>45783.16855</v>
      </c>
      <c r="AQ130" s="100">
        <f t="array" ref="AQ130">IF(ISNUMBER($AV130),IFNA(LOOKUP(2,1/(ISNUMBER(AQ127:AQ135)),AQ127:AQ135),TODAY()),IFNA(LOOKUP(2,1/(ISNUMBER(AQ127:AQ135)),AQ127:AQ135)+(E130/(Resources!$E$55/7)),TODAY()+(E130/(Resources!$E$55/7))))</f>
        <v>45786.68611</v>
      </c>
      <c r="AR130" s="100">
        <f t="array" ref="AR130">IF(ISNUMBER($AV130),IFNA(LOOKUP(2,1/(ISNUMBER(AR127:AR135)),AR127:AR135),TODAY()),IFNA(LOOKUP(2,1/(ISNUMBER(AR127:AR135)),AR127:AR135)+(F130/(Resources!$E$56/7)),TODAY()+(F130/(Resources!$E$56/7))))</f>
        <v>45787.35061</v>
      </c>
      <c r="AS130" s="100">
        <f t="shared" ref="AS130:AS134" si="23">IFERROR(MAX(AQ130,AR130),"")</f>
        <v>45787.35061</v>
      </c>
      <c r="AT130" s="101"/>
      <c r="AU130" s="102"/>
      <c r="AV130" s="83"/>
    </row>
    <row r="131" ht="15.0" customHeight="1">
      <c r="A131" s="83" t="s">
        <v>97</v>
      </c>
      <c r="B131" s="92" t="s">
        <v>112</v>
      </c>
      <c r="C131" s="116" t="s">
        <v>208</v>
      </c>
      <c r="D131" s="93">
        <f>IF($A131="Feature",SUM(E131:F131)*'Roadmap setting'!$B$13,0)</f>
        <v>0.9</v>
      </c>
      <c r="E131" s="94">
        <v>3.0</v>
      </c>
      <c r="F131" s="94">
        <v>1.5</v>
      </c>
      <c r="G131" s="95">
        <f>IF($A131="Feature",IF('Roadmap setting'!$E$14,$F131*('Roadmap setting'!$B$14+'Roadmap setting'!$D$14),$F131*'Roadmap setting'!$B$14),0)</f>
        <v>0.225</v>
      </c>
      <c r="H131" s="93">
        <f>IF($A131="Feature",$E131*'Roadmap setting'!$B$15,0)</f>
        <v>0</v>
      </c>
      <c r="I131" s="95">
        <f>IF($A131="Feature",$F131*'Roadmap setting'!$B$16,0)</f>
        <v>0</v>
      </c>
      <c r="J131" s="93">
        <f>SUM($E131:$F131)*'Roadmap setting'!$B$17</f>
        <v>0.54</v>
      </c>
      <c r="K131" s="93">
        <f>SUM($E131:$F131)*'Roadmap setting'!$B$18</f>
        <v>0.045</v>
      </c>
      <c r="L131" s="93">
        <f>SUM($E131:$F131)*'Roadmap setting'!$B$19</f>
        <v>0</v>
      </c>
      <c r="M131" s="95">
        <f>SUM($E131:$F131)*'Roadmap setting'!$B$20</f>
        <v>0.09</v>
      </c>
      <c r="N131" s="79">
        <f t="shared" si="22"/>
        <v>6.3</v>
      </c>
      <c r="O131" s="96" t="b">
        <v>1</v>
      </c>
      <c r="P131" s="97"/>
      <c r="Q131" s="98"/>
      <c r="R131" s="97"/>
      <c r="S131" s="97"/>
      <c r="T131" s="97"/>
      <c r="U131" s="98"/>
      <c r="V131" s="99"/>
      <c r="W131" s="96" t="b">
        <v>0</v>
      </c>
      <c r="X131" s="97"/>
      <c r="Y131" s="98"/>
      <c r="Z131" s="97"/>
      <c r="AA131" s="97"/>
      <c r="AB131" s="97"/>
      <c r="AC131" s="98"/>
      <c r="AD131" s="99"/>
      <c r="AE131" s="96" t="b">
        <v>0</v>
      </c>
      <c r="AF131" s="97"/>
      <c r="AG131" s="98"/>
      <c r="AH131" s="97"/>
      <c r="AI131" s="97"/>
      <c r="AJ131" s="97"/>
      <c r="AK131" s="98"/>
      <c r="AL131" s="99"/>
      <c r="AM131" s="96" t="b">
        <v>0</v>
      </c>
      <c r="AN131" s="80">
        <f t="array" ref="AN131">INDEX(A131:AM131, MATCH(RIGHT('Roadmap setting'!$B$9, 3), $A$2:$AM$2, 0) - 1)
</f>
        <v>6.3</v>
      </c>
      <c r="AO131" s="100">
        <f t="array" ref="AO131">IFNA(LOOKUP(2,1/(ISNUMBER(AO112:AO118)),AO112:AO118)+(E131/(Resources!$P$55/7)),TODAY()+(E131/(Resources!$P$55/7)))</f>
        <v>45784.45959</v>
      </c>
      <c r="AP131" s="100">
        <f t="array" ref="AP131">IFNA(LOOKUP(2,1/(ISNUMBER(AP112:AP118)),AP112:AP118)+(F131/(Resources!$P$56/7)),TODAY()+(F131/(Resources!$P$56/7)))</f>
        <v>45786.25282</v>
      </c>
      <c r="AQ131" s="100">
        <f t="array" ref="AQ131">IF(ISNUMBER($AV131),IFNA(LOOKUP(2,1/(ISNUMBER(AQ112:AQ118)),AQ112:AQ118),TODAY()),IFNA(LOOKUP(2,1/(ISNUMBER(AQ112:AQ118)),AQ112:AQ118)+(E131/(Resources!$E$55/7)),TODAY()+(E131/(Resources!$E$55/7))))</f>
        <v>45792.29386</v>
      </c>
      <c r="AR131" s="100">
        <f t="array" ref="AR131">IF(ISNUMBER($AV131),IFNA(LOOKUP(2,1/(ISNUMBER(AR112:AR118)),AR112:AR118),TODAY()),IFNA(LOOKUP(2,1/(ISNUMBER(AR112:AR118)),AR112:AR118)+(F131/(Resources!$E$56/7)),TODAY()+(F131/(Resources!$E$56/7))))</f>
        <v>45792.52592</v>
      </c>
      <c r="AS131" s="100">
        <f t="shared" si="23"/>
        <v>45792.52592</v>
      </c>
      <c r="AT131" s="82"/>
      <c r="AU131" s="82"/>
      <c r="AV131" s="83"/>
    </row>
    <row r="132" ht="15.0" customHeight="1">
      <c r="A132" s="83" t="s">
        <v>97</v>
      </c>
      <c r="B132" s="92" t="s">
        <v>92</v>
      </c>
      <c r="C132" s="116" t="s">
        <v>209</v>
      </c>
      <c r="D132" s="93">
        <f>IF($A132="Feature",SUM(E132:F132)*'Roadmap setting'!$B$13,0)</f>
        <v>3.2</v>
      </c>
      <c r="E132" s="94">
        <v>12.0</v>
      </c>
      <c r="F132" s="94">
        <v>4.0</v>
      </c>
      <c r="G132" s="95">
        <f>IF($A132="Feature",IF('Roadmap setting'!$E$14,$F132*('Roadmap setting'!$B$14+'Roadmap setting'!$D$14),$F132*'Roadmap setting'!$B$14),0)</f>
        <v>0.6</v>
      </c>
      <c r="H132" s="93">
        <f>IF($A132="Feature",$E132*'Roadmap setting'!$B$15,0)</f>
        <v>0</v>
      </c>
      <c r="I132" s="95">
        <f>IF($A132="Feature",$F132*'Roadmap setting'!$B$16,0)</f>
        <v>0</v>
      </c>
      <c r="J132" s="93">
        <f>SUM($E132:$F132)*'Roadmap setting'!$B$17</f>
        <v>1.92</v>
      </c>
      <c r="K132" s="93">
        <f>SUM($E132:$F132)*'Roadmap setting'!$B$18</f>
        <v>0.16</v>
      </c>
      <c r="L132" s="93">
        <f>SUM($E132:$F132)*'Roadmap setting'!$B$19</f>
        <v>0</v>
      </c>
      <c r="M132" s="95">
        <f>SUM($E132:$F132)*'Roadmap setting'!$B$20</f>
        <v>0.32</v>
      </c>
      <c r="N132" s="79">
        <f t="shared" si="22"/>
        <v>22.2</v>
      </c>
      <c r="O132" s="96" t="b">
        <v>1</v>
      </c>
      <c r="P132" s="97"/>
      <c r="Q132" s="98"/>
      <c r="R132" s="97"/>
      <c r="S132" s="97"/>
      <c r="T132" s="97"/>
      <c r="U132" s="97"/>
      <c r="V132" s="99"/>
      <c r="W132" s="96" t="b">
        <v>0</v>
      </c>
      <c r="X132" s="97"/>
      <c r="Y132" s="98"/>
      <c r="Z132" s="97"/>
      <c r="AA132" s="97"/>
      <c r="AB132" s="97"/>
      <c r="AC132" s="97"/>
      <c r="AD132" s="99"/>
      <c r="AE132" s="96" t="b">
        <v>0</v>
      </c>
      <c r="AF132" s="97"/>
      <c r="AG132" s="98"/>
      <c r="AH132" s="97"/>
      <c r="AI132" s="97"/>
      <c r="AJ132" s="97"/>
      <c r="AK132" s="97"/>
      <c r="AL132" s="99"/>
      <c r="AM132" s="96" t="b">
        <v>0</v>
      </c>
      <c r="AN132" s="80">
        <f t="array" ref="AN132">INDEX(A132:AM132, MATCH(RIGHT('Roadmap setting'!$B$9, 3), $A$2:$AM$2, 0) - 1)
</f>
        <v>22.2</v>
      </c>
      <c r="AO132" s="100">
        <f t="array" ref="AO132">IFNA(LOOKUP(2,1/(ISNUMBER(AO109:AO129)),AO109:AO129)+(E132/(Resources!$P$55/7)),TODAY()+(E132/(Resources!$P$55/7)))</f>
        <v>45780.48114</v>
      </c>
      <c r="AP132" s="100">
        <f t="array" ref="AP132">IFNA(LOOKUP(2,1/(ISNUMBER(AP109:AP129)),AP109:AP129)+(F132/(Resources!$P$56/7)),TODAY()+(F132/(Resources!$P$56/7)))</f>
        <v>45781.11237</v>
      </c>
      <c r="AQ132" s="100">
        <f t="array" ref="AQ132">IF(ISNUMBER($AV132),IFNA(LOOKUP(2,1/(ISNUMBER(AQ109:AQ129)),AQ109:AQ129),TODAY()),IFNA(LOOKUP(2,1/(ISNUMBER(AQ109:AQ129)),AQ109:AQ129)+(E132/(Resources!$E$55/7)),TODAY()+(E132/(Resources!$E$55/7))))</f>
        <v>45784.13714</v>
      </c>
      <c r="AR132" s="100">
        <f t="array" ref="AR132">IF(ISNUMBER($AV132),IFNA(LOOKUP(2,1/(ISNUMBER(AR109:AR129)),AR109:AR129),TODAY()),IFNA(LOOKUP(2,1/(ISNUMBER(AR109:AR129)),AR109:AR129)+(F132/(Resources!$E$56/7)),TODAY()+(F132/(Resources!$E$56/7))))</f>
        <v>45783.90041</v>
      </c>
      <c r="AS132" s="100">
        <f t="shared" si="23"/>
        <v>45784.13714</v>
      </c>
      <c r="AT132" s="101"/>
      <c r="AU132" s="102"/>
      <c r="AV132" s="83"/>
    </row>
    <row r="133" ht="15.0" customHeight="1">
      <c r="A133" s="83" t="s">
        <v>97</v>
      </c>
      <c r="B133" s="92" t="s">
        <v>100</v>
      </c>
      <c r="C133" s="116" t="s">
        <v>210</v>
      </c>
      <c r="D133" s="93">
        <f>IF($A133="Feature",SUM(E133:F133)*'Roadmap setting'!$B$13,0)</f>
        <v>0.4</v>
      </c>
      <c r="F133" s="94">
        <v>2.0</v>
      </c>
      <c r="G133" s="95">
        <f>IF($A133="Feature",IF('Roadmap setting'!$E$14,$F133*('Roadmap setting'!$B$14+'Roadmap setting'!$D$14),$F133*'Roadmap setting'!$B$14),0)</f>
        <v>0.3</v>
      </c>
      <c r="H133" s="93">
        <f>IF($A133="Feature",$E133*'Roadmap setting'!$B$15,0)</f>
        <v>0</v>
      </c>
      <c r="I133" s="95">
        <f>IF($A133="Feature",$F133*'Roadmap setting'!$B$16,0)</f>
        <v>0</v>
      </c>
      <c r="J133" s="93">
        <f>SUM($E133:$F133)*'Roadmap setting'!$B$17</f>
        <v>0.24</v>
      </c>
      <c r="K133" s="93">
        <f>SUM($E133:$F133)*'Roadmap setting'!$B$18</f>
        <v>0.02</v>
      </c>
      <c r="L133" s="93">
        <f>SUM($E133:$F133)*'Roadmap setting'!$B$19</f>
        <v>0</v>
      </c>
      <c r="M133" s="95">
        <f>SUM($E133:$F133)*'Roadmap setting'!$B$20</f>
        <v>0.04</v>
      </c>
      <c r="N133" s="79">
        <f t="shared" si="22"/>
        <v>3</v>
      </c>
      <c r="O133" s="96" t="b">
        <v>1</v>
      </c>
      <c r="P133" s="97"/>
      <c r="Q133" s="98"/>
      <c r="R133" s="97"/>
      <c r="S133" s="97"/>
      <c r="T133" s="97"/>
      <c r="U133" s="97"/>
      <c r="V133" s="99"/>
      <c r="W133" s="96" t="b">
        <v>0</v>
      </c>
      <c r="X133" s="97"/>
      <c r="Y133" s="98"/>
      <c r="Z133" s="97"/>
      <c r="AA133" s="97"/>
      <c r="AB133" s="97"/>
      <c r="AC133" s="97"/>
      <c r="AD133" s="99"/>
      <c r="AE133" s="96" t="b">
        <v>0</v>
      </c>
      <c r="AF133" s="97"/>
      <c r="AG133" s="98"/>
      <c r="AH133" s="97"/>
      <c r="AI133" s="97"/>
      <c r="AJ133" s="97"/>
      <c r="AK133" s="97"/>
      <c r="AL133" s="99"/>
      <c r="AM133" s="96" t="b">
        <v>0</v>
      </c>
      <c r="AN133" s="80">
        <f t="array" ref="AN133">INDEX(A133:AM133, MATCH(RIGHT('Roadmap setting'!$B$9, 3), $A$2:$AM$2, 0) - 1)
</f>
        <v>3</v>
      </c>
      <c r="AO133" s="100">
        <f t="array" ref="AO133">IFNA(LOOKUP(2,1/(ISNUMBER(AO110:AO132)),AO110:AO132)+(E133/(Resources!$P$55/7)),TODAY()+(E133/(Resources!$P$55/7)))</f>
        <v>45780.48114</v>
      </c>
      <c r="AP133" s="100">
        <f t="array" ref="AP133">IFNA(LOOKUP(2,1/(ISNUMBER(AP110:AP132)),AP110:AP132)+(F133/(Resources!$P$56/7)),TODAY()+(F133/(Resources!$P$56/7)))</f>
        <v>45781.5236</v>
      </c>
      <c r="AQ133" s="100">
        <f t="array" ref="AQ133">IF(ISNUMBER($AV133),IFNA(LOOKUP(2,1/(ISNUMBER(AQ110:AQ132)),AQ110:AQ132),TODAY()),IFNA(LOOKUP(2,1/(ISNUMBER(AQ110:AQ132)),AQ110:AQ132)+(E133/(Resources!$E$55/7)),TODAY()+(E133/(Resources!$E$55/7))))</f>
        <v>45784.13714</v>
      </c>
      <c r="AR133" s="100">
        <f t="array" ref="AR133">IF(ISNUMBER($AV133),IFNA(LOOKUP(2,1/(ISNUMBER(AR110:AR132)),AR110:AR132),TODAY()),IFNA(LOOKUP(2,1/(ISNUMBER(AR110:AR132)),AR110:AR132)+(F133/(Resources!$E$56/7)),TODAY()+(F133/(Resources!$E$56/7))))</f>
        <v>45784.59045</v>
      </c>
      <c r="AS133" s="100">
        <f t="shared" si="23"/>
        <v>45784.59045</v>
      </c>
      <c r="AT133" s="101"/>
      <c r="AU133" s="102"/>
      <c r="AV133" s="83"/>
    </row>
    <row r="134" ht="15.0" customHeight="1">
      <c r="A134" s="83" t="s">
        <v>97</v>
      </c>
      <c r="B134" s="92" t="s">
        <v>92</v>
      </c>
      <c r="C134" s="116" t="s">
        <v>211</v>
      </c>
      <c r="D134" s="93">
        <f>IF($A134="Feature",SUM(E134:F134)*'Roadmap setting'!$B$13,0)</f>
        <v>1</v>
      </c>
      <c r="E134" s="94">
        <v>5.0</v>
      </c>
      <c r="F134" s="94">
        <v>0.0</v>
      </c>
      <c r="G134" s="95">
        <f>IF($A134="Feature",IF('Roadmap setting'!$E$14,$F134*('Roadmap setting'!$B$14+'Roadmap setting'!$D$14),$F134*'Roadmap setting'!$B$14),0)</f>
        <v>0</v>
      </c>
      <c r="H134" s="93">
        <f>IF($A134="Feature",$E134*'Roadmap setting'!$B$15,0)</f>
        <v>0</v>
      </c>
      <c r="I134" s="95">
        <f>IF($A134="Feature",$F134*'Roadmap setting'!$B$16,0)</f>
        <v>0</v>
      </c>
      <c r="J134" s="93">
        <f>SUM($E134:$F134)*'Roadmap setting'!$B$17</f>
        <v>0.6</v>
      </c>
      <c r="K134" s="93">
        <f>SUM($E134:$F134)*'Roadmap setting'!$B$18</f>
        <v>0.05</v>
      </c>
      <c r="L134" s="93">
        <f>SUM($E134:$F134)*'Roadmap setting'!$B$19</f>
        <v>0</v>
      </c>
      <c r="M134" s="95">
        <f>SUM($E134:$F134)*'Roadmap setting'!$B$20</f>
        <v>0.1</v>
      </c>
      <c r="N134" s="79">
        <f t="shared" si="22"/>
        <v>6.75</v>
      </c>
      <c r="O134" s="96" t="b">
        <v>1</v>
      </c>
      <c r="P134" s="97"/>
      <c r="Q134" s="98"/>
      <c r="R134" s="97"/>
      <c r="S134" s="97"/>
      <c r="T134" s="97"/>
      <c r="U134" s="97"/>
      <c r="V134" s="99"/>
      <c r="W134" s="96" t="b">
        <v>0</v>
      </c>
      <c r="X134" s="97"/>
      <c r="Y134" s="98"/>
      <c r="Z134" s="97"/>
      <c r="AA134" s="97"/>
      <c r="AB134" s="97"/>
      <c r="AC134" s="97"/>
      <c r="AD134" s="99"/>
      <c r="AE134" s="96" t="b">
        <v>0</v>
      </c>
      <c r="AF134" s="97"/>
      <c r="AG134" s="98"/>
      <c r="AH134" s="97"/>
      <c r="AI134" s="97"/>
      <c r="AJ134" s="97"/>
      <c r="AK134" s="97"/>
      <c r="AL134" s="99"/>
      <c r="AM134" s="96" t="b">
        <v>0</v>
      </c>
      <c r="AN134" s="80">
        <f t="array" ref="AN134">INDEX(A134:AM134, MATCH(RIGHT('Roadmap setting'!$B$9, 3), $A$2:$AM$2, 0) - 1)
</f>
        <v>6.75</v>
      </c>
      <c r="AO134" s="100">
        <f t="array" ref="AO134">IFNA(LOOKUP(2,1/(ISNUMBER(AO110:AO133)),AO110:AO133)+(E134/(Resources!$P$55/7)),TODAY()+(E134/(Resources!$P$55/7)))</f>
        <v>45781.10277</v>
      </c>
      <c r="AP134" s="100">
        <f t="array" ref="AP134">IFNA(LOOKUP(2,1/(ISNUMBER(AP110:AP133)),AP110:AP133)+(F134/(Resources!$P$56/7)),TODAY()+(F134/(Resources!$P$56/7)))</f>
        <v>45781.5236</v>
      </c>
      <c r="AQ134" s="100">
        <f t="array" ref="AQ134">IF(ISNUMBER($AV134),IFNA(LOOKUP(2,1/(ISNUMBER(AQ110:AQ133)),AQ110:AQ133),TODAY()),IFNA(LOOKUP(2,1/(ISNUMBER(AQ110:AQ133)),AQ110:AQ133)+(E134/(Resources!$E$55/7)),TODAY()+(E134/(Resources!$E$55/7))))</f>
        <v>45785.41163</v>
      </c>
      <c r="AR134" s="100">
        <f t="array" ref="AR134">IF(ISNUMBER($AV134),IFNA(LOOKUP(2,1/(ISNUMBER(AR110:AR133)),AR110:AR133),TODAY()),IFNA(LOOKUP(2,1/(ISNUMBER(AR110:AR133)),AR110:AR133)+(F134/(Resources!$E$56/7)),TODAY()+(F134/(Resources!$E$56/7))))</f>
        <v>45784.59045</v>
      </c>
      <c r="AS134" s="100">
        <f t="shared" si="23"/>
        <v>45785.41163</v>
      </c>
      <c r="AT134" s="101"/>
      <c r="AU134" s="102"/>
      <c r="AV134" s="83"/>
    </row>
    <row r="135" ht="15.0" customHeight="1">
      <c r="A135" s="71"/>
      <c r="B135" s="71"/>
      <c r="C135" s="117" t="s">
        <v>212</v>
      </c>
      <c r="D135" s="72"/>
      <c r="E135" s="72"/>
      <c r="F135" s="72"/>
      <c r="G135" s="72"/>
      <c r="H135" s="72"/>
      <c r="I135" s="72"/>
      <c r="J135" s="72"/>
      <c r="K135" s="72"/>
      <c r="L135" s="72"/>
      <c r="M135" s="72"/>
      <c r="N135" s="72"/>
      <c r="O135" s="72"/>
      <c r="P135" s="72"/>
      <c r="Q135" s="72"/>
      <c r="R135" s="72"/>
      <c r="S135" s="72"/>
      <c r="T135" s="72"/>
      <c r="U135" s="72"/>
      <c r="V135" s="72"/>
      <c r="W135" s="72"/>
      <c r="X135" s="72"/>
      <c r="Y135" s="72"/>
      <c r="Z135" s="72"/>
      <c r="AA135" s="72"/>
      <c r="AB135" s="72"/>
      <c r="AC135" s="72"/>
      <c r="AD135" s="72"/>
      <c r="AE135" s="72"/>
      <c r="AF135" s="72"/>
      <c r="AG135" s="72"/>
      <c r="AH135" s="72"/>
      <c r="AI135" s="72"/>
      <c r="AJ135" s="72"/>
      <c r="AK135" s="72"/>
      <c r="AL135" s="72"/>
      <c r="AM135" s="72"/>
      <c r="AN135" s="72"/>
      <c r="AO135" s="72"/>
      <c r="AP135" s="72"/>
      <c r="AQ135" s="72"/>
      <c r="AR135" s="72"/>
      <c r="AS135" s="72"/>
      <c r="AT135" s="72"/>
      <c r="AU135" s="72"/>
      <c r="AV135" s="72"/>
    </row>
    <row r="136" ht="15.0" customHeight="1">
      <c r="A136" s="83" t="s">
        <v>97</v>
      </c>
      <c r="B136" s="92" t="s">
        <v>112</v>
      </c>
      <c r="C136" s="116" t="s">
        <v>213</v>
      </c>
      <c r="D136" s="93">
        <f>IF($A136="Feature",SUM(E136:F136)*'Roadmap setting'!$B$13,0)</f>
        <v>0.6</v>
      </c>
      <c r="E136" s="94">
        <v>1.0</v>
      </c>
      <c r="F136" s="94">
        <v>2.0</v>
      </c>
      <c r="G136" s="95">
        <f>IF($A136="Feature",IF('Roadmap setting'!$E$14,$F136*('Roadmap setting'!$B$14+'Roadmap setting'!$D$14),$F136*'Roadmap setting'!$B$14),0)</f>
        <v>0.3</v>
      </c>
      <c r="H136" s="93">
        <f>IF($A136="Feature",$E136*'Roadmap setting'!$B$15,0)</f>
        <v>0</v>
      </c>
      <c r="I136" s="95">
        <f>IF($A136="Feature",$F136*'Roadmap setting'!$B$16,0)</f>
        <v>0</v>
      </c>
      <c r="J136" s="93">
        <f>SUM($E136:$F136)*'Roadmap setting'!$B$17</f>
        <v>0.36</v>
      </c>
      <c r="K136" s="93">
        <f>SUM($E136:$F136)*'Roadmap setting'!$B$18</f>
        <v>0.03</v>
      </c>
      <c r="L136" s="93">
        <f>SUM($E136:$F136)*'Roadmap setting'!$B$19</f>
        <v>0</v>
      </c>
      <c r="M136" s="95">
        <f>SUM($E136:$F136)*'Roadmap setting'!$B$20</f>
        <v>0.06</v>
      </c>
      <c r="N136" s="79">
        <f t="shared" ref="N136:N137" si="24">SUM($D136:$G136)+SUM(H136:M136)</f>
        <v>4.35</v>
      </c>
      <c r="O136" s="96" t="b">
        <v>1</v>
      </c>
      <c r="P136" s="97"/>
      <c r="Q136" s="98"/>
      <c r="R136" s="97"/>
      <c r="S136" s="97"/>
      <c r="T136" s="97"/>
      <c r="U136" s="97"/>
      <c r="V136" s="99"/>
      <c r="W136" s="96" t="b">
        <v>0</v>
      </c>
      <c r="X136" s="97"/>
      <c r="Y136" s="98"/>
      <c r="Z136" s="97"/>
      <c r="AA136" s="97"/>
      <c r="AB136" s="97"/>
      <c r="AC136" s="97"/>
      <c r="AD136" s="99"/>
      <c r="AE136" s="96" t="b">
        <v>0</v>
      </c>
      <c r="AF136" s="97"/>
      <c r="AG136" s="98"/>
      <c r="AH136" s="97"/>
      <c r="AI136" s="97"/>
      <c r="AJ136" s="97"/>
      <c r="AK136" s="97"/>
      <c r="AL136" s="99"/>
      <c r="AM136" s="96" t="b">
        <v>0</v>
      </c>
      <c r="AN136" s="80">
        <f t="array" ref="AN136">INDEX(A136:AM136, MATCH(RIGHT('Roadmap setting'!$B$9, 3), $A$2:$AM$2, 0) - 1)
</f>
        <v>4.35</v>
      </c>
      <c r="AO136" s="100">
        <f t="array" ref="AO136">IFNA(LOOKUP(2,1/(ISNUMBER(AO127:AO135)),AO127:AO135)+(E136/(Resources!$P$55/7)),TODAY()+(E136/(Resources!$P$55/7)))</f>
        <v>45781.2271</v>
      </c>
      <c r="AP136" s="100">
        <f t="array" ref="AP136">IFNA(LOOKUP(2,1/(ISNUMBER(AP127:AP135)),AP127:AP135)+(F136/(Resources!$P$56/7)),TODAY()+(F136/(Resources!$P$56/7)))</f>
        <v>45781.93484</v>
      </c>
      <c r="AQ136" s="100">
        <f t="array" ref="AQ136">IF(ISNUMBER($AV136),IFNA(LOOKUP(2,1/(ISNUMBER(AQ127:AQ135)),AQ127:AQ135),TODAY()),IFNA(LOOKUP(2,1/(ISNUMBER(AQ127:AQ135)),AQ127:AQ135)+(E136/(Resources!$E$55/7)),TODAY()+(E136/(Resources!$E$55/7))))</f>
        <v>45785.66652</v>
      </c>
      <c r="AR136" s="100">
        <f t="array" ref="AR136">IF(ISNUMBER($AV136),IFNA(LOOKUP(2,1/(ISNUMBER(AR127:AR135)),AR127:AR135),TODAY()),IFNA(LOOKUP(2,1/(ISNUMBER(AR127:AR135)),AR127:AR135)+(F136/(Resources!$E$56/7)),TODAY()+(F136/(Resources!$E$56/7))))</f>
        <v>45785.28049</v>
      </c>
      <c r="AS136" s="100">
        <f t="shared" ref="AS136:AS137" si="25">IFERROR(MAX(AQ136,AR136),"")</f>
        <v>45785.66652</v>
      </c>
      <c r="AT136" s="101"/>
      <c r="AU136" s="102"/>
      <c r="AV136" s="83"/>
    </row>
    <row r="137" ht="15.0" customHeight="1">
      <c r="A137" s="83" t="s">
        <v>97</v>
      </c>
      <c r="B137" s="92" t="s">
        <v>112</v>
      </c>
      <c r="C137" s="116" t="s">
        <v>214</v>
      </c>
      <c r="D137" s="93">
        <f>IF($A137="Feature",SUM(E137:F137)*'Roadmap setting'!$B$13,0)</f>
        <v>0.6</v>
      </c>
      <c r="E137" s="94">
        <v>1.0</v>
      </c>
      <c r="F137" s="94">
        <v>2.0</v>
      </c>
      <c r="G137" s="95">
        <f>IF($A137="Feature",IF('Roadmap setting'!$E$14,$F137*('Roadmap setting'!$B$14+'Roadmap setting'!$D$14),$F137*'Roadmap setting'!$B$14),0)</f>
        <v>0.3</v>
      </c>
      <c r="H137" s="93">
        <f>IF($A137="Feature",$E137*'Roadmap setting'!$B$15,0)</f>
        <v>0</v>
      </c>
      <c r="I137" s="95">
        <f>IF($A137="Feature",$F137*'Roadmap setting'!$B$16,0)</f>
        <v>0</v>
      </c>
      <c r="J137" s="93">
        <f>SUM($E137:$F137)*'Roadmap setting'!$B$17</f>
        <v>0.36</v>
      </c>
      <c r="K137" s="93">
        <f>SUM($E137:$F137)*'Roadmap setting'!$B$18</f>
        <v>0.03</v>
      </c>
      <c r="L137" s="93">
        <f>SUM($E137:$F137)*'Roadmap setting'!$B$19</f>
        <v>0</v>
      </c>
      <c r="M137" s="95">
        <f>SUM($E137:$F137)*'Roadmap setting'!$B$20</f>
        <v>0.06</v>
      </c>
      <c r="N137" s="79">
        <f t="shared" si="24"/>
        <v>4.35</v>
      </c>
      <c r="O137" s="96" t="b">
        <v>1</v>
      </c>
      <c r="P137" s="97"/>
      <c r="Q137" s="98"/>
      <c r="R137" s="97"/>
      <c r="S137" s="97"/>
      <c r="T137" s="97"/>
      <c r="U137" s="97"/>
      <c r="V137" s="99"/>
      <c r="W137" s="96" t="b">
        <v>0</v>
      </c>
      <c r="X137" s="97"/>
      <c r="Y137" s="98"/>
      <c r="Z137" s="97"/>
      <c r="AA137" s="97"/>
      <c r="AB137" s="97"/>
      <c r="AC137" s="97"/>
      <c r="AD137" s="99"/>
      <c r="AE137" s="96" t="b">
        <v>1</v>
      </c>
      <c r="AF137" s="97"/>
      <c r="AG137" s="98"/>
      <c r="AH137" s="97"/>
      <c r="AI137" s="97"/>
      <c r="AJ137" s="97"/>
      <c r="AK137" s="97"/>
      <c r="AL137" s="99"/>
      <c r="AM137" s="96" t="b">
        <v>0</v>
      </c>
      <c r="AN137" s="80">
        <f t="array" ref="AN137">INDEX(A137:AM137, MATCH(RIGHT('Roadmap setting'!$B$9, 3), $A$2:$AM$2, 0) - 1)
</f>
        <v>4.35</v>
      </c>
      <c r="AO137" s="100">
        <f t="array" ref="AO137">IFNA(LOOKUP(2,1/(ISNUMBER(AO127:AO136)),AO127:AO136)+(E137/(Resources!$P$55/7)),TODAY()+(E137/(Resources!$P$55/7)))</f>
        <v>45781.35143</v>
      </c>
      <c r="AP137" s="100">
        <f t="array" ref="AP137">IFNA(LOOKUP(2,1/(ISNUMBER(AP127:AP136)),AP127:AP136)+(F137/(Resources!$P$56/7)),TODAY()+(F137/(Resources!$P$56/7)))</f>
        <v>45782.34607</v>
      </c>
      <c r="AQ137" s="100">
        <f t="array" ref="AQ137">IF(ISNUMBER($AV137),IFNA(LOOKUP(2,1/(ISNUMBER(AQ127:AQ136)),AQ127:AQ136),TODAY()),IFNA(LOOKUP(2,1/(ISNUMBER(AQ127:AQ136)),AQ127:AQ136)+(E137/(Resources!$E$55/7)),TODAY()+(E137/(Resources!$E$55/7))))</f>
        <v>45785.92142</v>
      </c>
      <c r="AR137" s="100">
        <f t="array" ref="AR137">IF(ISNUMBER($AV137),IFNA(LOOKUP(2,1/(ISNUMBER(AR127:AR136)),AR127:AR136),TODAY()),IFNA(LOOKUP(2,1/(ISNUMBER(AR127:AR136)),AR127:AR136)+(F137/(Resources!$E$56/7)),TODAY()+(F137/(Resources!$E$56/7))))</f>
        <v>45785.97053</v>
      </c>
      <c r="AS137" s="100">
        <f t="shared" si="25"/>
        <v>45785.97053</v>
      </c>
      <c r="AT137" s="101"/>
      <c r="AU137" s="102"/>
      <c r="AV137" s="83"/>
    </row>
    <row r="138" ht="15.0" customHeight="1">
      <c r="A138" s="71"/>
      <c r="B138" s="71"/>
      <c r="C138" s="117" t="s">
        <v>215</v>
      </c>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c r="AV138" s="72"/>
    </row>
    <row r="139" ht="15.0" customHeight="1">
      <c r="A139" s="83" t="s">
        <v>97</v>
      </c>
      <c r="B139" s="92" t="s">
        <v>92</v>
      </c>
      <c r="C139" s="116" t="s">
        <v>216</v>
      </c>
      <c r="D139" s="93">
        <f>IF($A139="Feature",SUM(E139:F139)*'Roadmap setting'!$B$13,0)</f>
        <v>1.5</v>
      </c>
      <c r="E139" s="94">
        <v>6.0</v>
      </c>
      <c r="F139" s="94">
        <v>1.5</v>
      </c>
      <c r="G139" s="95">
        <f>IF($A139="Feature",IF('Roadmap setting'!$E$14,$F139*('Roadmap setting'!$B$14+'Roadmap setting'!$D$14),$F139*'Roadmap setting'!$B$14),0)</f>
        <v>0.225</v>
      </c>
      <c r="H139" s="93">
        <f>IF($A139="Feature",$E139*'Roadmap setting'!$B$15,0)</f>
        <v>0</v>
      </c>
      <c r="I139" s="95">
        <f>IF($A139="Feature",$F139*'Roadmap setting'!$B$16,0)</f>
        <v>0</v>
      </c>
      <c r="J139" s="93">
        <f>SUM($E139:$F139)*'Roadmap setting'!$B$17</f>
        <v>0.9</v>
      </c>
      <c r="K139" s="93">
        <f>SUM($E139:$F139)*'Roadmap setting'!$B$18</f>
        <v>0.075</v>
      </c>
      <c r="L139" s="93">
        <f>SUM($E139:$F139)*'Roadmap setting'!$B$19</f>
        <v>0</v>
      </c>
      <c r="M139" s="95">
        <f>SUM($E139:$F139)*'Roadmap setting'!$B$20</f>
        <v>0.15</v>
      </c>
      <c r="N139" s="79">
        <f t="shared" ref="N139:N142" si="26">SUM($D139:$G139)+SUM(H139:M139)</f>
        <v>10.35</v>
      </c>
      <c r="O139" s="96" t="b">
        <v>1</v>
      </c>
      <c r="P139" s="97"/>
      <c r="Q139" s="98"/>
      <c r="R139" s="97"/>
      <c r="S139" s="97"/>
      <c r="T139" s="97"/>
      <c r="U139" s="98"/>
      <c r="V139" s="99"/>
      <c r="W139" s="96" t="b">
        <v>0</v>
      </c>
      <c r="X139" s="97"/>
      <c r="Y139" s="98"/>
      <c r="Z139" s="97"/>
      <c r="AA139" s="97"/>
      <c r="AB139" s="97"/>
      <c r="AC139" s="98"/>
      <c r="AD139" s="99"/>
      <c r="AE139" s="96" t="b">
        <v>0</v>
      </c>
      <c r="AF139" s="97"/>
      <c r="AG139" s="98"/>
      <c r="AH139" s="97"/>
      <c r="AI139" s="97"/>
      <c r="AJ139" s="97"/>
      <c r="AK139" s="98"/>
      <c r="AL139" s="99"/>
      <c r="AM139" s="96" t="b">
        <v>0</v>
      </c>
      <c r="AN139" s="80">
        <f t="array" ref="AN139">INDEX(A139:AM139, MATCH(RIGHT('Roadmap setting'!$B$9, 3), $A$2:$AM$2, 0) - 1)
</f>
        <v>10.35</v>
      </c>
      <c r="AO139" s="100">
        <f t="array" ref="AO139">IFNA(LOOKUP(2,1/(ISNUMBER(AO106:AO109)),AO106:AO109)+(E139/(Resources!$P$55/7)),TODAY()+(E139/(Resources!$P$55/7)))</f>
        <v>45782.22171</v>
      </c>
      <c r="AP139" s="100">
        <f t="array" ref="AP139">IFNA(LOOKUP(2,1/(ISNUMBER(AP106:AP109)),AP106:AP109)+(F139/(Resources!$P$56/7)),TODAY()+(F139/(Resources!$P$56/7)))</f>
        <v>45783.47698</v>
      </c>
      <c r="AQ139" s="100">
        <f t="array" ref="AQ139">IF(ISNUMBER($AV139),IFNA(LOOKUP(2,1/(ISNUMBER(AQ106:AQ109)),AQ106:AQ109),TODAY()),IFNA(LOOKUP(2,1/(ISNUMBER(AQ106:AQ109)),AQ106:AQ109)+(E139/(Resources!$E$55/7)),TODAY()+(E139/(Resources!$E$55/7))))</f>
        <v>45787.7057</v>
      </c>
      <c r="AR139" s="100">
        <f t="array" ref="AR139">IF(ISNUMBER($AV139),IFNA(LOOKUP(2,1/(ISNUMBER(AR106:AR109)),AR106:AR109),TODAY()),IFNA(LOOKUP(2,1/(ISNUMBER(AR106:AR109)),AR106:AR109)+(F139/(Resources!$E$56/7)),TODAY()+(F139/(Resources!$E$56/7))))</f>
        <v>45787.86814</v>
      </c>
      <c r="AS139" s="100">
        <f t="shared" ref="AS139:AS142" si="27">IFERROR(MAX(AQ139,AR139),"")</f>
        <v>45787.86814</v>
      </c>
      <c r="AT139" s="82"/>
      <c r="AU139" s="82"/>
      <c r="AV139" s="83"/>
    </row>
    <row r="140" ht="15.0" customHeight="1">
      <c r="A140" s="83" t="s">
        <v>97</v>
      </c>
      <c r="B140" s="92" t="s">
        <v>100</v>
      </c>
      <c r="C140" s="116" t="s">
        <v>217</v>
      </c>
      <c r="D140" s="93">
        <f>IF($A140="Feature",SUM(E140:F140)*'Roadmap setting'!$B$13,0)</f>
        <v>1.9</v>
      </c>
      <c r="E140" s="94">
        <v>8.0</v>
      </c>
      <c r="F140" s="94">
        <v>1.5</v>
      </c>
      <c r="G140" s="95">
        <f>IF($A140="Feature",IF('Roadmap setting'!$E$14,$F140*('Roadmap setting'!$B$14+'Roadmap setting'!$D$14),$F140*'Roadmap setting'!$B$14),0)</f>
        <v>0.225</v>
      </c>
      <c r="H140" s="93">
        <f>IF($A140="Feature",$E140*'Roadmap setting'!$B$15,0)</f>
        <v>0</v>
      </c>
      <c r="I140" s="95">
        <f>IF($A140="Feature",$F140*'Roadmap setting'!$B$16,0)</f>
        <v>0</v>
      </c>
      <c r="J140" s="93">
        <f>SUM($E140:$F140)*'Roadmap setting'!$B$17</f>
        <v>1.14</v>
      </c>
      <c r="K140" s="93">
        <f>SUM($E140:$F140)*'Roadmap setting'!$B$18</f>
        <v>0.095</v>
      </c>
      <c r="L140" s="93">
        <f>SUM($E140:$F140)*'Roadmap setting'!$B$19</f>
        <v>0</v>
      </c>
      <c r="M140" s="95">
        <f>SUM($E140:$F140)*'Roadmap setting'!$B$20</f>
        <v>0.19</v>
      </c>
      <c r="N140" s="79">
        <f t="shared" si="26"/>
        <v>13.05</v>
      </c>
      <c r="O140" s="96" t="b">
        <v>1</v>
      </c>
      <c r="P140" s="97"/>
      <c r="Q140" s="98"/>
      <c r="R140" s="97"/>
      <c r="S140" s="97"/>
      <c r="T140" s="97"/>
      <c r="U140" s="98"/>
      <c r="V140" s="99"/>
      <c r="W140" s="96" t="b">
        <v>0</v>
      </c>
      <c r="X140" s="97"/>
      <c r="Y140" s="98"/>
      <c r="Z140" s="97"/>
      <c r="AA140" s="97"/>
      <c r="AB140" s="97"/>
      <c r="AC140" s="98"/>
      <c r="AD140" s="99"/>
      <c r="AE140" s="96" t="b">
        <v>0</v>
      </c>
      <c r="AF140" s="97"/>
      <c r="AG140" s="98"/>
      <c r="AH140" s="97"/>
      <c r="AI140" s="97"/>
      <c r="AJ140" s="97"/>
      <c r="AK140" s="98"/>
      <c r="AL140" s="99"/>
      <c r="AM140" s="96" t="b">
        <v>0</v>
      </c>
      <c r="AN140" s="80">
        <f t="array" ref="AN140">INDEX(A140:AM140, MATCH(RIGHT('Roadmap setting'!$B$9, 3), $A$2:$AM$2, 0) - 1)
</f>
        <v>13.05</v>
      </c>
      <c r="AO140" s="100">
        <f t="array" ref="AO140">IFNA(LOOKUP(2,1/(ISNUMBER(AO106:AO139)),AO106:AO139)+(E140/(Resources!$P$55/7)),TODAY()+(E140/(Resources!$P$55/7)))</f>
        <v>45783.21633</v>
      </c>
      <c r="AP140" s="100">
        <f t="array" ref="AP140">IFNA(LOOKUP(2,1/(ISNUMBER(AP106:AP139)),AP106:AP139)+(F140/(Resources!$P$56/7)),TODAY()+(F140/(Resources!$P$56/7)))</f>
        <v>45783.7854</v>
      </c>
      <c r="AQ140" s="100">
        <f t="array" ref="AQ140">IF(ISNUMBER($AV140),IFNA(LOOKUP(2,1/(ISNUMBER(AQ106:AQ139)),AQ106:AQ139),TODAY()),IFNA(LOOKUP(2,1/(ISNUMBER(AQ106:AQ139)),AQ106:AQ139)+(E140/(Resources!$E$55/7)),TODAY()+(E140/(Resources!$E$55/7))))</f>
        <v>45789.74489</v>
      </c>
      <c r="AR140" s="100">
        <f t="array" ref="AR140">IF(ISNUMBER($AV140),IFNA(LOOKUP(2,1/(ISNUMBER(AR106:AR139)),AR106:AR139),TODAY()),IFNA(LOOKUP(2,1/(ISNUMBER(AR106:AR139)),AR106:AR139)+(F140/(Resources!$E$56/7)),TODAY()+(F140/(Resources!$E$56/7))))</f>
        <v>45788.38568</v>
      </c>
      <c r="AS140" s="100">
        <f t="shared" si="27"/>
        <v>45789.74489</v>
      </c>
      <c r="AT140" s="82"/>
      <c r="AU140" s="82"/>
      <c r="AV140" s="83"/>
    </row>
    <row r="141" ht="15.0" customHeight="1">
      <c r="A141" s="83" t="s">
        <v>97</v>
      </c>
      <c r="B141" s="92" t="s">
        <v>92</v>
      </c>
      <c r="C141" s="116" t="s">
        <v>218</v>
      </c>
      <c r="D141" s="93">
        <f>IF($A141="Feature",SUM(E141:F141)*'Roadmap setting'!$B$13,0)</f>
        <v>0.9</v>
      </c>
      <c r="E141" s="94">
        <v>3.0</v>
      </c>
      <c r="F141" s="94">
        <v>1.5</v>
      </c>
      <c r="G141" s="95">
        <f>IF($A141="Feature",IF('Roadmap setting'!$E$14,$F141*('Roadmap setting'!$B$14+'Roadmap setting'!$D$14),$F141*'Roadmap setting'!$B$14),0)</f>
        <v>0.225</v>
      </c>
      <c r="H141" s="93">
        <f>IF($A141="Feature",$E141*'Roadmap setting'!$B$15,0)</f>
        <v>0</v>
      </c>
      <c r="I141" s="95">
        <f>IF($A141="Feature",$F141*'Roadmap setting'!$B$16,0)</f>
        <v>0</v>
      </c>
      <c r="J141" s="93">
        <f>SUM($E141:$F141)*'Roadmap setting'!$B$17</f>
        <v>0.54</v>
      </c>
      <c r="K141" s="93">
        <f>SUM($E141:$F141)*'Roadmap setting'!$B$18</f>
        <v>0.045</v>
      </c>
      <c r="L141" s="93">
        <f>SUM($E141:$F141)*'Roadmap setting'!$B$19</f>
        <v>0</v>
      </c>
      <c r="M141" s="95">
        <f>SUM($E141:$F141)*'Roadmap setting'!$B$20</f>
        <v>0.09</v>
      </c>
      <c r="N141" s="79">
        <f t="shared" si="26"/>
        <v>6.3</v>
      </c>
      <c r="O141" s="96" t="b">
        <v>1</v>
      </c>
      <c r="P141" s="97"/>
      <c r="Q141" s="98"/>
      <c r="R141" s="97"/>
      <c r="S141" s="97"/>
      <c r="T141" s="97"/>
      <c r="U141" s="98"/>
      <c r="V141" s="99"/>
      <c r="W141" s="96" t="b">
        <v>0</v>
      </c>
      <c r="X141" s="97"/>
      <c r="Y141" s="98"/>
      <c r="Z141" s="97"/>
      <c r="AA141" s="97"/>
      <c r="AB141" s="97"/>
      <c r="AC141" s="98"/>
      <c r="AD141" s="99"/>
      <c r="AE141" s="96" t="b">
        <v>0</v>
      </c>
      <c r="AF141" s="97"/>
      <c r="AG141" s="98"/>
      <c r="AH141" s="97"/>
      <c r="AI141" s="97"/>
      <c r="AJ141" s="97"/>
      <c r="AK141" s="98"/>
      <c r="AL141" s="99"/>
      <c r="AM141" s="96" t="b">
        <v>0</v>
      </c>
      <c r="AN141" s="80">
        <f t="array" ref="AN141">INDEX(A141:AM141, MATCH(RIGHT('Roadmap setting'!$B$9, 3), $A$2:$AM$2, 0) - 1)
</f>
        <v>6.3</v>
      </c>
      <c r="AO141" s="100">
        <f t="array" ref="AO141">IFNA(LOOKUP(2,1/(ISNUMBER(AO107:AO140)),AO107:AO140)+(E141/(Resources!$P$55/7)),TODAY()+(E141/(Resources!$P$55/7)))</f>
        <v>45783.58931</v>
      </c>
      <c r="AP141" s="100">
        <f t="array" ref="AP141">IFNA(LOOKUP(2,1/(ISNUMBER(AP107:AP140)),AP107:AP140)+(F141/(Resources!$P$56/7)),TODAY()+(F141/(Resources!$P$56/7)))</f>
        <v>45784.09383</v>
      </c>
      <c r="AQ141" s="100">
        <f t="array" ref="AQ141">IF(ISNUMBER($AV141),IFNA(LOOKUP(2,1/(ISNUMBER(AQ107:AQ140)),AQ107:AQ140),TODAY()),IFNA(LOOKUP(2,1/(ISNUMBER(AQ107:AQ140)),AQ107:AQ140)+(E141/(Resources!$E$55/7)),TODAY()+(E141/(Resources!$E$55/7))))</f>
        <v>45790.50958</v>
      </c>
      <c r="AR141" s="100">
        <f t="array" ref="AR141">IF(ISNUMBER($AV141),IFNA(LOOKUP(2,1/(ISNUMBER(AR107:AR140)),AR107:AR140),TODAY()),IFNA(LOOKUP(2,1/(ISNUMBER(AR107:AR140)),AR107:AR140)+(F141/(Resources!$E$56/7)),TODAY()+(F141/(Resources!$E$56/7))))</f>
        <v>45788.90321</v>
      </c>
      <c r="AS141" s="100">
        <f t="shared" si="27"/>
        <v>45790.50958</v>
      </c>
      <c r="AT141" s="82"/>
      <c r="AU141" s="82"/>
      <c r="AV141" s="83"/>
    </row>
    <row r="142" ht="15.0" customHeight="1">
      <c r="A142" s="83" t="s">
        <v>97</v>
      </c>
      <c r="B142" s="92" t="s">
        <v>100</v>
      </c>
      <c r="C142" s="116" t="s">
        <v>219</v>
      </c>
      <c r="D142" s="93">
        <f>IF($A142="Feature",SUM(E142:F142)*'Roadmap setting'!$B$13,0)</f>
        <v>1.1</v>
      </c>
      <c r="E142" s="94">
        <v>4.0</v>
      </c>
      <c r="F142" s="94">
        <v>1.5</v>
      </c>
      <c r="G142" s="95">
        <f>IF($A142="Feature",IF('Roadmap setting'!$E$14,$F142*('Roadmap setting'!$B$14+'Roadmap setting'!$D$14),$F142*'Roadmap setting'!$B$14),0)</f>
        <v>0.225</v>
      </c>
      <c r="H142" s="93">
        <f>IF($A142="Feature",$E142*'Roadmap setting'!$B$15,0)</f>
        <v>0</v>
      </c>
      <c r="I142" s="95">
        <f>IF($A142="Feature",$F142*'Roadmap setting'!$B$16,0)</f>
        <v>0</v>
      </c>
      <c r="J142" s="93">
        <f>SUM($E142:$F142)*'Roadmap setting'!$B$17</f>
        <v>0.66</v>
      </c>
      <c r="K142" s="93">
        <f>SUM($E142:$F142)*'Roadmap setting'!$B$18</f>
        <v>0.055</v>
      </c>
      <c r="L142" s="93">
        <f>SUM($E142:$F142)*'Roadmap setting'!$B$19</f>
        <v>0</v>
      </c>
      <c r="M142" s="95">
        <f>SUM($E142:$F142)*'Roadmap setting'!$B$20</f>
        <v>0.11</v>
      </c>
      <c r="N142" s="79">
        <f t="shared" si="26"/>
        <v>7.65</v>
      </c>
      <c r="O142" s="96" t="b">
        <v>1</v>
      </c>
      <c r="P142" s="97"/>
      <c r="Q142" s="98"/>
      <c r="R142" s="97"/>
      <c r="S142" s="97"/>
      <c r="T142" s="97"/>
      <c r="U142" s="98"/>
      <c r="V142" s="99"/>
      <c r="W142" s="96" t="b">
        <v>0</v>
      </c>
      <c r="X142" s="97"/>
      <c r="Y142" s="98"/>
      <c r="Z142" s="97"/>
      <c r="AA142" s="97"/>
      <c r="AB142" s="97"/>
      <c r="AC142" s="98"/>
      <c r="AD142" s="99"/>
      <c r="AE142" s="96" t="b">
        <v>0</v>
      </c>
      <c r="AF142" s="97"/>
      <c r="AG142" s="98"/>
      <c r="AH142" s="97"/>
      <c r="AI142" s="97"/>
      <c r="AJ142" s="97"/>
      <c r="AK142" s="98"/>
      <c r="AL142" s="99"/>
      <c r="AM142" s="96" t="b">
        <v>0</v>
      </c>
      <c r="AN142" s="80">
        <f t="array" ref="AN142">INDEX(A142:AM142, MATCH(RIGHT('Roadmap setting'!$B$9, 3), $A$2:$AM$2, 0) - 1)
</f>
        <v>7.65</v>
      </c>
      <c r="AO142" s="100">
        <f t="array" ref="AO142">IFNA(LOOKUP(2,1/(ISNUMBER(AO107:AO141)),AO107:AO141)+(E142/(Resources!$P$55/7)),TODAY()+(E142/(Resources!$P$55/7)))</f>
        <v>45784.08661</v>
      </c>
      <c r="AP142" s="100">
        <f t="array" ref="AP142">IFNA(LOOKUP(2,1/(ISNUMBER(AP107:AP141)),AP107:AP141)+(F142/(Resources!$P$56/7)),TODAY()+(F142/(Resources!$P$56/7)))</f>
        <v>45784.40226</v>
      </c>
      <c r="AQ142" s="100">
        <f t="array" ref="AQ142">IF(ISNUMBER($AV142),IFNA(LOOKUP(2,1/(ISNUMBER(AQ107:AQ141)),AQ107:AQ141),TODAY()),IFNA(LOOKUP(2,1/(ISNUMBER(AQ107:AQ141)),AQ107:AQ141)+(E142/(Resources!$E$55/7)),TODAY()+(E142/(Resources!$E$55/7))))</f>
        <v>45791.52917</v>
      </c>
      <c r="AR142" s="100">
        <f t="array" ref="AR142">IF(ISNUMBER($AV142),IFNA(LOOKUP(2,1/(ISNUMBER(AR107:AR141)),AR107:AR141),TODAY()),IFNA(LOOKUP(2,1/(ISNUMBER(AR107:AR141)),AR107:AR141)+(F142/(Resources!$E$56/7)),TODAY()+(F142/(Resources!$E$56/7))))</f>
        <v>45789.42074</v>
      </c>
      <c r="AS142" s="100">
        <f t="shared" si="27"/>
        <v>45791.52917</v>
      </c>
      <c r="AT142" s="82"/>
      <c r="AU142" s="82"/>
      <c r="AV142" s="83"/>
    </row>
    <row r="143" ht="24.75" customHeight="1">
      <c r="A143" s="84" t="s">
        <v>220</v>
      </c>
      <c r="C143" s="108" t="s">
        <v>221</v>
      </c>
      <c r="D143" s="84"/>
      <c r="E143" s="84"/>
      <c r="F143" s="84"/>
      <c r="G143" s="84"/>
      <c r="H143" s="84"/>
      <c r="I143" s="84"/>
      <c r="J143" s="84"/>
      <c r="K143" s="84"/>
      <c r="L143" s="84"/>
      <c r="M143" s="84"/>
      <c r="N143" s="84"/>
      <c r="O143" s="84"/>
      <c r="P143" s="84"/>
      <c r="Q143" s="84"/>
      <c r="R143" s="84"/>
      <c r="S143" s="84"/>
      <c r="T143" s="84"/>
      <c r="U143" s="84"/>
      <c r="V143" s="84"/>
      <c r="W143" s="84"/>
      <c r="X143" s="84"/>
      <c r="Y143" s="84"/>
      <c r="Z143" s="84"/>
      <c r="AA143" s="84"/>
      <c r="AB143" s="84"/>
      <c r="AC143" s="84"/>
      <c r="AD143" s="84"/>
      <c r="AE143" s="84"/>
      <c r="AF143" s="84"/>
      <c r="AG143" s="84"/>
      <c r="AH143" s="84"/>
      <c r="AI143" s="84"/>
      <c r="AJ143" s="84"/>
      <c r="AK143" s="84"/>
      <c r="AL143" s="84"/>
      <c r="AM143" s="84"/>
      <c r="AN143" s="84"/>
      <c r="AO143" s="84"/>
      <c r="AP143" s="84"/>
      <c r="AQ143" s="84"/>
      <c r="AR143" s="84"/>
      <c r="AS143" s="84"/>
      <c r="AT143" s="84"/>
      <c r="AU143" s="84"/>
      <c r="AV143" s="84"/>
    </row>
    <row r="144" ht="15.0" customHeight="1">
      <c r="A144" s="84" t="s">
        <v>222</v>
      </c>
      <c r="C144" s="108"/>
      <c r="D144" s="84"/>
      <c r="E144" s="84"/>
      <c r="F144" s="84"/>
      <c r="G144" s="84"/>
      <c r="H144" s="84"/>
      <c r="I144" s="84"/>
      <c r="J144" s="84"/>
      <c r="K144" s="84"/>
      <c r="L144" s="84"/>
      <c r="M144" s="84"/>
      <c r="N144" s="84"/>
      <c r="O144" s="84"/>
      <c r="P144" s="84"/>
      <c r="Q144" s="84"/>
      <c r="R144" s="84"/>
      <c r="S144" s="84"/>
      <c r="T144" s="84"/>
      <c r="U144" s="84"/>
      <c r="V144" s="84"/>
      <c r="W144" s="84"/>
      <c r="X144" s="84"/>
      <c r="Y144" s="84"/>
      <c r="Z144" s="84"/>
      <c r="AA144" s="84"/>
      <c r="AB144" s="84"/>
      <c r="AC144" s="84"/>
      <c r="AD144" s="84"/>
      <c r="AE144" s="84"/>
      <c r="AF144" s="84"/>
      <c r="AG144" s="84"/>
      <c r="AH144" s="84"/>
      <c r="AI144" s="84"/>
      <c r="AJ144" s="84"/>
      <c r="AK144" s="84"/>
      <c r="AL144" s="84"/>
      <c r="AM144" s="84"/>
      <c r="AN144" s="84"/>
      <c r="AO144" s="84"/>
      <c r="AP144" s="84"/>
      <c r="AQ144" s="84"/>
      <c r="AR144" s="84"/>
      <c r="AS144" s="84"/>
      <c r="AT144" s="84">
        <f>42.25+25.9+0.66+8.48+26</f>
        <v>103.29</v>
      </c>
      <c r="AU144" s="84"/>
      <c r="AV144" s="84"/>
    </row>
    <row r="145" ht="15.0" customHeight="1">
      <c r="A145" s="71"/>
      <c r="B145" s="71"/>
      <c r="C145" s="117" t="s">
        <v>223</v>
      </c>
      <c r="D145" s="75"/>
      <c r="E145" s="75"/>
      <c r="F145" s="75"/>
      <c r="G145" s="75"/>
      <c r="H145" s="75"/>
      <c r="I145" s="75"/>
      <c r="J145" s="75"/>
      <c r="K145" s="75"/>
      <c r="L145" s="75"/>
      <c r="M145" s="75"/>
      <c r="N145" s="75"/>
      <c r="O145" s="75"/>
      <c r="P145" s="75"/>
      <c r="Q145" s="75"/>
      <c r="R145" s="75"/>
      <c r="S145" s="75"/>
      <c r="T145" s="75"/>
      <c r="U145" s="75"/>
      <c r="V145" s="75"/>
      <c r="W145" s="75"/>
      <c r="X145" s="75"/>
      <c r="Y145" s="75"/>
      <c r="Z145" s="75"/>
      <c r="AA145" s="75"/>
      <c r="AB145" s="75"/>
      <c r="AC145" s="75"/>
      <c r="AD145" s="75"/>
      <c r="AE145" s="75"/>
      <c r="AF145" s="75"/>
      <c r="AG145" s="75"/>
      <c r="AH145" s="75"/>
      <c r="AI145" s="75"/>
      <c r="AJ145" s="75"/>
      <c r="AK145" s="75"/>
      <c r="AL145" s="75"/>
      <c r="AM145" s="75"/>
      <c r="AN145" s="75"/>
      <c r="AO145" s="75"/>
      <c r="AP145" s="75"/>
      <c r="AQ145" s="75"/>
      <c r="AR145" s="75"/>
      <c r="AS145" s="75"/>
      <c r="AT145" s="75"/>
      <c r="AU145" s="75"/>
      <c r="AV145" s="75"/>
    </row>
    <row r="146" ht="15.0" customHeight="1">
      <c r="A146" s="83" t="s">
        <v>224</v>
      </c>
      <c r="B146" s="92" t="s">
        <v>92</v>
      </c>
      <c r="C146" s="116" t="s">
        <v>225</v>
      </c>
      <c r="D146" s="93">
        <f>IF($A146="Feature",SUM(E146:F146)*'Roadmap setting'!$B$13,0)</f>
        <v>0</v>
      </c>
      <c r="E146" s="94">
        <v>24.0</v>
      </c>
      <c r="F146" s="94">
        <v>0.0</v>
      </c>
      <c r="G146" s="95">
        <f>IF($A146="Feature",IF('Roadmap setting'!$E$14,$F146*('Roadmap setting'!$B$14+'Roadmap setting'!$D$14),$F146*'Roadmap setting'!$B$14),0)</f>
        <v>0</v>
      </c>
      <c r="H146" s="93">
        <f>IF($A146="Feature",$E146*'Roadmap setting'!$B$15,0)</f>
        <v>0</v>
      </c>
      <c r="I146" s="95">
        <f>IF($A146="Feature",$F146*'Roadmap setting'!$B$16,0)</f>
        <v>0</v>
      </c>
      <c r="J146" s="93">
        <f>SUM($E146:$F146)*'Roadmap setting'!$B$17</f>
        <v>2.88</v>
      </c>
      <c r="K146" s="93">
        <f>SUM($E146:$F146)*'Roadmap setting'!$B$18</f>
        <v>0.24</v>
      </c>
      <c r="L146" s="93">
        <f>SUM($E146:$F146)*'Roadmap setting'!$B$19</f>
        <v>0</v>
      </c>
      <c r="M146" s="95">
        <f>SUM($E146:$F146)*'Roadmap setting'!$B$20</f>
        <v>0.48</v>
      </c>
      <c r="N146" s="79">
        <f t="shared" ref="N146:N150" si="28">SUM($D146:$G146)+SUM(H146:M146)</f>
        <v>27.6</v>
      </c>
      <c r="O146" s="96" t="b">
        <v>1</v>
      </c>
      <c r="P146" s="97"/>
      <c r="Q146" s="98"/>
      <c r="R146" s="97"/>
      <c r="S146" s="97"/>
      <c r="T146" s="97"/>
      <c r="U146" s="97"/>
      <c r="V146" s="99"/>
      <c r="W146" s="96" t="b">
        <v>0</v>
      </c>
      <c r="X146" s="97"/>
      <c r="Y146" s="98"/>
      <c r="Z146" s="97"/>
      <c r="AA146" s="97"/>
      <c r="AB146" s="97"/>
      <c r="AC146" s="97"/>
      <c r="AD146" s="99"/>
      <c r="AE146" s="96" t="b">
        <v>0</v>
      </c>
      <c r="AF146" s="97"/>
      <c r="AG146" s="98"/>
      <c r="AH146" s="97"/>
      <c r="AI146" s="97"/>
      <c r="AJ146" s="97"/>
      <c r="AK146" s="97"/>
      <c r="AL146" s="99"/>
      <c r="AM146" s="96" t="b">
        <v>0</v>
      </c>
      <c r="AN146" s="80">
        <f t="array" ref="AN146">INDEX(A146:AM146, MATCH(RIGHT('Roadmap setting'!$B$9, 3), $A$2:$AM$2, 0) - 1)
</f>
        <v>27.6</v>
      </c>
      <c r="AO146" s="100"/>
      <c r="AP146" s="100"/>
      <c r="AQ146" s="100"/>
      <c r="AR146" s="100"/>
      <c r="AS146" s="100">
        <f t="shared" ref="AS146:AS150" si="29">IFERROR(MAX(AQ146,AR146),"")</f>
        <v>0</v>
      </c>
      <c r="AT146" s="101"/>
      <c r="AU146" s="100"/>
      <c r="AV146" s="83"/>
    </row>
    <row r="147" ht="15.0" customHeight="1">
      <c r="A147" s="83" t="s">
        <v>224</v>
      </c>
      <c r="B147" s="92" t="s">
        <v>92</v>
      </c>
      <c r="C147" s="116" t="s">
        <v>226</v>
      </c>
      <c r="D147" s="93">
        <f>IF($A147="Feature",SUM(E147:F147)*'Roadmap setting'!$B$13,0)</f>
        <v>0</v>
      </c>
      <c r="E147" s="94">
        <v>6.0</v>
      </c>
      <c r="F147" s="94">
        <v>0.0</v>
      </c>
      <c r="G147" s="95">
        <f>IF($A147="Feature",IF('Roadmap setting'!$E$14,$F147*('Roadmap setting'!$B$14+'Roadmap setting'!$D$14),$F147*'Roadmap setting'!$B$14),0)</f>
        <v>0</v>
      </c>
      <c r="H147" s="93">
        <f>IF($A147="Feature",$E147*'Roadmap setting'!$B$15,0)</f>
        <v>0</v>
      </c>
      <c r="I147" s="95">
        <f>IF($A147="Feature",$F147*'Roadmap setting'!$B$16,0)</f>
        <v>0</v>
      </c>
      <c r="J147" s="93">
        <f>SUM($E147:$F147)*'Roadmap setting'!$B$17</f>
        <v>0.72</v>
      </c>
      <c r="K147" s="93">
        <f>SUM($E147:$F147)*'Roadmap setting'!$B$18</f>
        <v>0.06</v>
      </c>
      <c r="L147" s="93">
        <f>SUM($E147:$F147)*'Roadmap setting'!$B$19</f>
        <v>0</v>
      </c>
      <c r="M147" s="95">
        <f>SUM($E147:$F147)*'Roadmap setting'!$B$20</f>
        <v>0.12</v>
      </c>
      <c r="N147" s="79">
        <f t="shared" si="28"/>
        <v>6.9</v>
      </c>
      <c r="O147" s="96" t="b">
        <v>1</v>
      </c>
      <c r="P147" s="97"/>
      <c r="Q147" s="98"/>
      <c r="R147" s="97"/>
      <c r="S147" s="97"/>
      <c r="T147" s="97"/>
      <c r="U147" s="97"/>
      <c r="V147" s="99"/>
      <c r="W147" s="96" t="b">
        <v>0</v>
      </c>
      <c r="X147" s="97"/>
      <c r="Y147" s="98"/>
      <c r="Z147" s="97"/>
      <c r="AA147" s="97"/>
      <c r="AB147" s="97"/>
      <c r="AC147" s="97"/>
      <c r="AD147" s="99"/>
      <c r="AE147" s="96" t="b">
        <v>0</v>
      </c>
      <c r="AF147" s="97"/>
      <c r="AG147" s="98"/>
      <c r="AH147" s="97"/>
      <c r="AI147" s="97"/>
      <c r="AJ147" s="97"/>
      <c r="AK147" s="97"/>
      <c r="AL147" s="99"/>
      <c r="AM147" s="96" t="b">
        <v>0</v>
      </c>
      <c r="AN147" s="80">
        <f t="array" ref="AN147">INDEX(A147:AM147, MATCH(RIGHT('Roadmap setting'!$B$9, 3), $A$2:$AM$2, 0) - 1)
</f>
        <v>6.9</v>
      </c>
      <c r="AO147" s="100"/>
      <c r="AP147" s="100"/>
      <c r="AQ147" s="100"/>
      <c r="AR147" s="100"/>
      <c r="AS147" s="100">
        <f t="shared" si="29"/>
        <v>0</v>
      </c>
      <c r="AT147" s="101"/>
      <c r="AU147" s="102"/>
      <c r="AV147" s="83"/>
    </row>
    <row r="148" ht="15.0" customHeight="1">
      <c r="A148" s="83" t="s">
        <v>224</v>
      </c>
      <c r="B148" s="92" t="s">
        <v>92</v>
      </c>
      <c r="C148" s="116" t="s">
        <v>227</v>
      </c>
      <c r="D148" s="93">
        <f>IF($A148="Feature",SUM(E148:F148)*'Roadmap setting'!$B$13,0)</f>
        <v>0</v>
      </c>
      <c r="E148" s="94">
        <v>8.0</v>
      </c>
      <c r="F148" s="94">
        <v>0.0</v>
      </c>
      <c r="G148" s="95">
        <f>IF($A148="Feature",IF('Roadmap setting'!$E$14,$F148*('Roadmap setting'!$B$14+'Roadmap setting'!$D$14),$F148*'Roadmap setting'!$B$14),0)</f>
        <v>0</v>
      </c>
      <c r="H148" s="93">
        <f>IF($A148="Feature",$E148*'Roadmap setting'!$B$15,0)</f>
        <v>0</v>
      </c>
      <c r="I148" s="95">
        <f>IF($A148="Feature",$F148*'Roadmap setting'!$B$16,0)</f>
        <v>0</v>
      </c>
      <c r="J148" s="93">
        <f>SUM($E148:$F148)*'Roadmap setting'!$B$17</f>
        <v>0.96</v>
      </c>
      <c r="K148" s="93">
        <f>SUM($E148:$F148)*'Roadmap setting'!$B$18</f>
        <v>0.08</v>
      </c>
      <c r="L148" s="93">
        <f>SUM($E148:$F148)*'Roadmap setting'!$B$19</f>
        <v>0</v>
      </c>
      <c r="M148" s="95">
        <f>SUM($E148:$F148)*'Roadmap setting'!$B$20</f>
        <v>0.16</v>
      </c>
      <c r="N148" s="79">
        <f t="shared" si="28"/>
        <v>9.2</v>
      </c>
      <c r="O148" s="96" t="b">
        <v>1</v>
      </c>
      <c r="P148" s="97"/>
      <c r="Q148" s="98"/>
      <c r="R148" s="97"/>
      <c r="S148" s="97"/>
      <c r="T148" s="97"/>
      <c r="U148" s="97"/>
      <c r="V148" s="99"/>
      <c r="W148" s="96" t="b">
        <v>0</v>
      </c>
      <c r="X148" s="97"/>
      <c r="Y148" s="98"/>
      <c r="Z148" s="97"/>
      <c r="AA148" s="97"/>
      <c r="AB148" s="97"/>
      <c r="AC148" s="97"/>
      <c r="AD148" s="99"/>
      <c r="AE148" s="96" t="b">
        <v>0</v>
      </c>
      <c r="AF148" s="97"/>
      <c r="AG148" s="98"/>
      <c r="AH148" s="97"/>
      <c r="AI148" s="97"/>
      <c r="AJ148" s="97"/>
      <c r="AK148" s="97"/>
      <c r="AL148" s="99"/>
      <c r="AM148" s="96" t="b">
        <v>0</v>
      </c>
      <c r="AN148" s="80">
        <f t="array" ref="AN148">INDEX(A148:AM148, MATCH(RIGHT('Roadmap setting'!$B$9, 3), $A$2:$AM$2, 0) - 1)
</f>
        <v>9.2</v>
      </c>
      <c r="AO148" s="100"/>
      <c r="AP148" s="100"/>
      <c r="AQ148" s="100"/>
      <c r="AR148" s="100"/>
      <c r="AS148" s="100">
        <f t="shared" si="29"/>
        <v>0</v>
      </c>
      <c r="AT148" s="101"/>
      <c r="AU148" s="102"/>
      <c r="AV148" s="83"/>
    </row>
    <row r="149" ht="15.0" customHeight="1">
      <c r="A149" s="83" t="s">
        <v>224</v>
      </c>
      <c r="B149" s="92" t="s">
        <v>92</v>
      </c>
      <c r="C149" s="116" t="s">
        <v>228</v>
      </c>
      <c r="D149" s="93">
        <f>IF($A149="Feature",SUM(E149:F149)*'Roadmap setting'!$B$13,0)</f>
        <v>0</v>
      </c>
      <c r="E149" s="94">
        <v>20.0</v>
      </c>
      <c r="F149" s="94">
        <v>0.0</v>
      </c>
      <c r="G149" s="95">
        <f>IF($A149="Feature",IF('Roadmap setting'!$E$14,$F149*('Roadmap setting'!$B$14+'Roadmap setting'!$D$14),$F149*'Roadmap setting'!$B$14),0)</f>
        <v>0</v>
      </c>
      <c r="H149" s="93">
        <f>IF($A149="Feature",$E149*'Roadmap setting'!$B$15,0)</f>
        <v>0</v>
      </c>
      <c r="I149" s="95">
        <f>IF($A149="Feature",$F149*'Roadmap setting'!$B$16,0)</f>
        <v>0</v>
      </c>
      <c r="J149" s="93">
        <f>SUM($E149:$F149)*'Roadmap setting'!$B$17</f>
        <v>2.4</v>
      </c>
      <c r="K149" s="93">
        <f>SUM($E149:$F149)*'Roadmap setting'!$B$18</f>
        <v>0.2</v>
      </c>
      <c r="L149" s="93">
        <f>SUM($E149:$F149)*'Roadmap setting'!$B$19</f>
        <v>0</v>
      </c>
      <c r="M149" s="95">
        <f>SUM($E149:$F149)*'Roadmap setting'!$B$20</f>
        <v>0.4</v>
      </c>
      <c r="N149" s="79">
        <f t="shared" si="28"/>
        <v>23</v>
      </c>
      <c r="O149" s="96" t="b">
        <v>1</v>
      </c>
      <c r="P149" s="97"/>
      <c r="Q149" s="98"/>
      <c r="R149" s="97"/>
      <c r="S149" s="97"/>
      <c r="T149" s="97"/>
      <c r="U149" s="97"/>
      <c r="V149" s="99"/>
      <c r="W149" s="96" t="b">
        <v>0</v>
      </c>
      <c r="X149" s="97"/>
      <c r="Y149" s="98"/>
      <c r="Z149" s="97"/>
      <c r="AA149" s="97"/>
      <c r="AB149" s="97"/>
      <c r="AC149" s="97"/>
      <c r="AD149" s="99"/>
      <c r="AE149" s="96" t="b">
        <v>0</v>
      </c>
      <c r="AF149" s="97"/>
      <c r="AG149" s="98"/>
      <c r="AH149" s="97"/>
      <c r="AI149" s="97"/>
      <c r="AJ149" s="97"/>
      <c r="AK149" s="97"/>
      <c r="AL149" s="99"/>
      <c r="AM149" s="96" t="b">
        <v>0</v>
      </c>
      <c r="AN149" s="80">
        <f t="array" ref="AN149">INDEX(A149:AM149, MATCH(RIGHT('Roadmap setting'!$B$9, 3), $A$2:$AM$2, 0) - 1)
</f>
        <v>23</v>
      </c>
      <c r="AO149" s="100"/>
      <c r="AP149" s="100"/>
      <c r="AQ149" s="100"/>
      <c r="AR149" s="100"/>
      <c r="AS149" s="100">
        <f t="shared" si="29"/>
        <v>0</v>
      </c>
      <c r="AT149" s="101"/>
      <c r="AU149" s="102"/>
      <c r="AV149" s="83"/>
    </row>
    <row r="150" ht="15.0" customHeight="1">
      <c r="A150" s="83" t="s">
        <v>224</v>
      </c>
      <c r="B150" s="92" t="s">
        <v>92</v>
      </c>
      <c r="C150" s="116" t="s">
        <v>229</v>
      </c>
      <c r="D150" s="93">
        <f>IF($A150="Feature",SUM(E150:F150)*'Roadmap setting'!$B$13,0)</f>
        <v>0</v>
      </c>
      <c r="E150" s="94">
        <v>4.0</v>
      </c>
      <c r="F150" s="94">
        <v>0.0</v>
      </c>
      <c r="G150" s="95">
        <f>IF($A150="Feature",IF('Roadmap setting'!$E$14,$F150*('Roadmap setting'!$B$14+'Roadmap setting'!$D$14),$F150*'Roadmap setting'!$B$14),0)</f>
        <v>0</v>
      </c>
      <c r="H150" s="93">
        <f>IF($A150="Feature",$E150*'Roadmap setting'!$B$15,0)</f>
        <v>0</v>
      </c>
      <c r="I150" s="95">
        <f>IF($A150="Feature",$F150*'Roadmap setting'!$B$16,0)</f>
        <v>0</v>
      </c>
      <c r="J150" s="93">
        <f>SUM($E150:$F150)*'Roadmap setting'!$B$17</f>
        <v>0.48</v>
      </c>
      <c r="K150" s="93">
        <f>SUM($E150:$F150)*'Roadmap setting'!$B$18</f>
        <v>0.04</v>
      </c>
      <c r="L150" s="93">
        <f>SUM($E150:$F150)*'Roadmap setting'!$B$19</f>
        <v>0</v>
      </c>
      <c r="M150" s="95">
        <f>SUM($E150:$F150)*'Roadmap setting'!$B$20</f>
        <v>0.08</v>
      </c>
      <c r="N150" s="79">
        <f t="shared" si="28"/>
        <v>4.6</v>
      </c>
      <c r="O150" s="96" t="b">
        <v>1</v>
      </c>
      <c r="P150" s="97"/>
      <c r="Q150" s="98"/>
      <c r="R150" s="97"/>
      <c r="S150" s="97"/>
      <c r="T150" s="97"/>
      <c r="U150" s="97"/>
      <c r="V150" s="99"/>
      <c r="W150" s="96" t="b">
        <v>0</v>
      </c>
      <c r="X150" s="97"/>
      <c r="Y150" s="98"/>
      <c r="Z150" s="97"/>
      <c r="AA150" s="97"/>
      <c r="AB150" s="97"/>
      <c r="AC150" s="97"/>
      <c r="AD150" s="99"/>
      <c r="AE150" s="96" t="b">
        <v>0</v>
      </c>
      <c r="AF150" s="97"/>
      <c r="AG150" s="98"/>
      <c r="AH150" s="97"/>
      <c r="AI150" s="97"/>
      <c r="AJ150" s="97"/>
      <c r="AK150" s="97"/>
      <c r="AL150" s="99"/>
      <c r="AM150" s="96" t="b">
        <v>0</v>
      </c>
      <c r="AN150" s="80">
        <f t="array" ref="AN150">INDEX(A150:AM150, MATCH(RIGHT('Roadmap setting'!$B$9, 3), $A$2:$AM$2, 0) - 1)
</f>
        <v>4.6</v>
      </c>
      <c r="AO150" s="100"/>
      <c r="AP150" s="100"/>
      <c r="AQ150" s="100"/>
      <c r="AR150" s="100"/>
      <c r="AS150" s="100">
        <f t="shared" si="29"/>
        <v>0</v>
      </c>
      <c r="AT150" s="101"/>
      <c r="AU150" s="102"/>
      <c r="AV150" s="83"/>
    </row>
    <row r="151" ht="15.0" customHeight="1">
      <c r="A151" s="84" t="s">
        <v>230</v>
      </c>
      <c r="C151" s="108"/>
      <c r="D151" s="84"/>
      <c r="E151" s="84"/>
      <c r="F151" s="84"/>
      <c r="G151" s="84"/>
      <c r="H151" s="84"/>
      <c r="I151" s="84"/>
      <c r="J151" s="84"/>
      <c r="K151" s="84"/>
      <c r="L151" s="84"/>
      <c r="M151" s="84"/>
      <c r="N151" s="84"/>
      <c r="O151" s="84"/>
      <c r="P151" s="84"/>
      <c r="Q151" s="84"/>
      <c r="R151" s="84"/>
      <c r="S151" s="84"/>
      <c r="T151" s="84"/>
      <c r="U151" s="84"/>
      <c r="V151" s="84"/>
      <c r="W151" s="84"/>
      <c r="X151" s="84"/>
      <c r="Y151" s="84"/>
      <c r="Z151" s="84"/>
      <c r="AA151" s="84"/>
      <c r="AB151" s="84"/>
      <c r="AC151" s="84"/>
      <c r="AD151" s="84"/>
      <c r="AE151" s="84"/>
      <c r="AF151" s="84"/>
      <c r="AG151" s="84"/>
      <c r="AH151" s="84"/>
      <c r="AI151" s="84"/>
      <c r="AJ151" s="84"/>
      <c r="AK151" s="84"/>
      <c r="AL151" s="84"/>
      <c r="AM151" s="84"/>
      <c r="AN151" s="84"/>
      <c r="AO151" s="84"/>
      <c r="AP151" s="84"/>
      <c r="AQ151" s="84"/>
      <c r="AR151" s="84"/>
      <c r="AS151" s="84"/>
      <c r="AT151" s="84">
        <f>34.25+7.75+3</f>
        <v>45</v>
      </c>
      <c r="AU151" s="84"/>
      <c r="AV151" s="84"/>
    </row>
    <row r="152" ht="15.0" customHeight="1">
      <c r="A152" s="83" t="s">
        <v>77</v>
      </c>
      <c r="B152" s="92" t="s">
        <v>92</v>
      </c>
      <c r="C152" s="116" t="s">
        <v>231</v>
      </c>
      <c r="D152" s="93">
        <f>IF($A152="Feature",SUM(E152:F152)*'Roadmap setting'!$B$13,0)</f>
        <v>0</v>
      </c>
      <c r="E152" s="94">
        <v>0.0</v>
      </c>
      <c r="F152" s="94">
        <v>1.0</v>
      </c>
      <c r="G152" s="95">
        <f>IF($A152="Feature",IF('Roadmap setting'!$E$14,$F152*('Roadmap setting'!$B$14+'Roadmap setting'!$D$14),$F152*'Roadmap setting'!$B$14),0)</f>
        <v>0</v>
      </c>
      <c r="H152" s="93">
        <f>IF($A152="Feature",$E152*'Roadmap setting'!$B$15,0)</f>
        <v>0</v>
      </c>
      <c r="I152" s="95">
        <f>IF($A152="Feature",$F152*'Roadmap setting'!$B$16,0)</f>
        <v>0</v>
      </c>
      <c r="J152" s="93">
        <f>SUM($E152:$F152)*'Roadmap setting'!$B$17</f>
        <v>0.12</v>
      </c>
      <c r="K152" s="93">
        <f>SUM($E152:$F152)*'Roadmap setting'!$B$18</f>
        <v>0.01</v>
      </c>
      <c r="L152" s="93">
        <f>SUM($E152:$F152)*'Roadmap setting'!$B$19</f>
        <v>0</v>
      </c>
      <c r="M152" s="95">
        <f>SUM($E152:$F152)*'Roadmap setting'!$B$20</f>
        <v>0.02</v>
      </c>
      <c r="N152" s="79">
        <f t="shared" ref="N152:N167" si="30">SUM($D152:$G152)+SUM(H152:M152)</f>
        <v>1.15</v>
      </c>
      <c r="O152" s="96" t="b">
        <v>1</v>
      </c>
      <c r="P152" s="97"/>
      <c r="Q152" s="98"/>
      <c r="R152" s="97"/>
      <c r="S152" s="97"/>
      <c r="T152" s="97"/>
      <c r="U152" s="97"/>
      <c r="V152" s="99"/>
      <c r="W152" s="96" t="b">
        <v>0</v>
      </c>
      <c r="X152" s="97"/>
      <c r="Y152" s="98"/>
      <c r="Z152" s="97"/>
      <c r="AA152" s="97"/>
      <c r="AB152" s="97"/>
      <c r="AC152" s="97"/>
      <c r="AD152" s="99"/>
      <c r="AE152" s="96" t="b">
        <v>0</v>
      </c>
      <c r="AF152" s="97"/>
      <c r="AG152" s="98"/>
      <c r="AH152" s="97"/>
      <c r="AI152" s="97"/>
      <c r="AJ152" s="97"/>
      <c r="AK152" s="97"/>
      <c r="AL152" s="99"/>
      <c r="AM152" s="96" t="b">
        <v>0</v>
      </c>
      <c r="AN152" s="80">
        <f t="array" ref="AN152">INDEX(A152:AM152, MATCH(RIGHT('Roadmap setting'!$B$9, 3), $A$2:$AM$2, 0) - 1)
</f>
        <v>1.15</v>
      </c>
      <c r="AO152" s="100">
        <f t="array" ref="AO152">IFNA(LOOKUP(2,1/(ISNUMBER(AO127:AO137)),AO127:AO137)+(E152/(Resources!$P$55/7)),TODAY()+(E152/(Resources!$P$55/7)))</f>
        <v>45781.35143</v>
      </c>
      <c r="AP152" s="100">
        <f t="array" ref="AP152">IFNA(LOOKUP(2,1/(ISNUMBER(AP127:AP137)),AP127:AP137)+(F152/(Resources!$P$56/7)),TODAY()+(F152/(Resources!$P$56/7)))</f>
        <v>45782.55169</v>
      </c>
      <c r="AQ152" s="100">
        <f t="array" ref="AQ152">IF(ISNUMBER($AV152),IFNA(LOOKUP(2,1/(ISNUMBER(AQ127:AQ137)),AQ127:AQ137),TODAY()),IFNA(LOOKUP(2,1/(ISNUMBER(AQ127:AQ137)),AQ127:AQ137)+(E152/(Resources!$E$55/7)),TODAY()+(E152/(Resources!$E$55/7))))</f>
        <v>45785.92142</v>
      </c>
      <c r="AR152" s="100">
        <f t="array" ref="AR152">IF(ISNUMBER($AV152),IFNA(LOOKUP(2,1/(ISNUMBER(AR127:AR137)),AR127:AR137),TODAY()),IFNA(LOOKUP(2,1/(ISNUMBER(AR127:AR137)),AR127:AR137)+(F152/(Resources!$E$56/7)),TODAY()+(F152/(Resources!$E$56/7))))</f>
        <v>45786.31555</v>
      </c>
      <c r="AS152" s="100">
        <f t="shared" ref="AS152:AS167" si="31">IFERROR(MAX(AQ152,AR152),"")</f>
        <v>45786.31555</v>
      </c>
      <c r="AT152" s="101"/>
      <c r="AU152" s="102"/>
      <c r="AV152" s="83"/>
    </row>
    <row r="153" ht="15.0" customHeight="1">
      <c r="A153" s="83" t="s">
        <v>77</v>
      </c>
      <c r="B153" s="92" t="s">
        <v>92</v>
      </c>
      <c r="C153" s="116" t="s">
        <v>232</v>
      </c>
      <c r="D153" s="93">
        <f>IF($A153="Feature",SUM(E153:F153)*'Roadmap setting'!$B$13,0)</f>
        <v>0</v>
      </c>
      <c r="E153" s="94">
        <v>0.0</v>
      </c>
      <c r="F153" s="94">
        <v>1.0</v>
      </c>
      <c r="G153" s="95">
        <f>IF($A153="Feature",IF('Roadmap setting'!$E$14,$F153*('Roadmap setting'!$B$14+'Roadmap setting'!$D$14),$F153*'Roadmap setting'!$B$14),0)</f>
        <v>0</v>
      </c>
      <c r="H153" s="93">
        <f>IF($A153="Feature",$E153*'Roadmap setting'!$B$15,0)</f>
        <v>0</v>
      </c>
      <c r="I153" s="95">
        <f>IF($A153="Feature",$F153*'Roadmap setting'!$B$16,0)</f>
        <v>0</v>
      </c>
      <c r="J153" s="93">
        <f>SUM($E153:$F153)*'Roadmap setting'!$B$17</f>
        <v>0.12</v>
      </c>
      <c r="K153" s="93">
        <f>SUM($E153:$F153)*'Roadmap setting'!$B$18</f>
        <v>0.01</v>
      </c>
      <c r="L153" s="93">
        <f>SUM($E153:$F153)*'Roadmap setting'!$B$19</f>
        <v>0</v>
      </c>
      <c r="M153" s="95">
        <f>SUM($E153:$F153)*'Roadmap setting'!$B$20</f>
        <v>0.02</v>
      </c>
      <c r="N153" s="79">
        <f t="shared" si="30"/>
        <v>1.15</v>
      </c>
      <c r="O153" s="96" t="b">
        <v>1</v>
      </c>
      <c r="P153" s="97"/>
      <c r="Q153" s="98"/>
      <c r="R153" s="97"/>
      <c r="S153" s="97"/>
      <c r="T153" s="97"/>
      <c r="U153" s="97"/>
      <c r="V153" s="99"/>
      <c r="W153" s="96" t="b">
        <v>0</v>
      </c>
      <c r="X153" s="97"/>
      <c r="Y153" s="98"/>
      <c r="Z153" s="97"/>
      <c r="AA153" s="97"/>
      <c r="AB153" s="97"/>
      <c r="AC153" s="97"/>
      <c r="AD153" s="99"/>
      <c r="AE153" s="96" t="b">
        <v>0</v>
      </c>
      <c r="AF153" s="97"/>
      <c r="AG153" s="98"/>
      <c r="AH153" s="97"/>
      <c r="AI153" s="97"/>
      <c r="AJ153" s="97"/>
      <c r="AK153" s="97"/>
      <c r="AL153" s="99"/>
      <c r="AM153" s="96" t="b">
        <v>0</v>
      </c>
      <c r="AN153" s="80">
        <f t="array" ref="AN153">INDEX(A153:AM153, MATCH(RIGHT('Roadmap setting'!$B$9, 3), $A$2:$AM$2, 0) - 1)
</f>
        <v>1.15</v>
      </c>
      <c r="AO153" s="100">
        <f t="array" ref="AO153">IFNA(LOOKUP(2,1/(ISNUMBER(AO135:AO152)),AO135:AO152)+(E153/(Resources!$P$55/7)),TODAY()+(E153/(Resources!$P$55/7)))</f>
        <v>45781.35143</v>
      </c>
      <c r="AP153" s="100">
        <f t="array" ref="AP153">IFNA(LOOKUP(2,1/(ISNUMBER(AP135:AP152)),AP135:AP152)+(F153/(Resources!$P$56/7)),TODAY()+(F153/(Resources!$P$56/7)))</f>
        <v>45782.75731</v>
      </c>
      <c r="AQ153" s="100">
        <f t="array" ref="AQ153">IF(ISNUMBER($AV153),IFNA(LOOKUP(2,1/(ISNUMBER(AQ135:AQ152)),AQ135:AQ152),TODAY()),IFNA(LOOKUP(2,1/(ISNUMBER(AQ135:AQ152)),AQ135:AQ152)+(E153/(Resources!$E$55/7)),TODAY()+(E153/(Resources!$E$55/7))))</f>
        <v>45785.92142</v>
      </c>
      <c r="AR153" s="100">
        <f t="array" ref="AR153">IF(ISNUMBER($AV153),IFNA(LOOKUP(2,1/(ISNUMBER(AR135:AR152)),AR135:AR152),TODAY()),IFNA(LOOKUP(2,1/(ISNUMBER(AR135:AR152)),AR135:AR152)+(F153/(Resources!$E$56/7)),TODAY()+(F153/(Resources!$E$56/7))))</f>
        <v>45786.66057</v>
      </c>
      <c r="AS153" s="100">
        <f t="shared" si="31"/>
        <v>45786.66057</v>
      </c>
      <c r="AT153" s="101"/>
      <c r="AU153" s="102"/>
      <c r="AV153" s="83"/>
    </row>
    <row r="154" ht="15.0" customHeight="1">
      <c r="A154" s="83" t="s">
        <v>77</v>
      </c>
      <c r="B154" s="92" t="s">
        <v>92</v>
      </c>
      <c r="C154" s="116" t="s">
        <v>233</v>
      </c>
      <c r="D154" s="93">
        <f>IF($A154="Feature",SUM(E154:F154)*'Roadmap setting'!$B$13,0)</f>
        <v>0</v>
      </c>
      <c r="E154" s="94">
        <v>0.0</v>
      </c>
      <c r="F154" s="94">
        <v>1.0</v>
      </c>
      <c r="G154" s="95">
        <f>IF($A154="Feature",IF('Roadmap setting'!$E$14,$F154*('Roadmap setting'!$B$14+'Roadmap setting'!$D$14),$F154*'Roadmap setting'!$B$14),0)</f>
        <v>0</v>
      </c>
      <c r="H154" s="93">
        <f>IF($A154="Feature",$E154*'Roadmap setting'!$B$15,0)</f>
        <v>0</v>
      </c>
      <c r="I154" s="95">
        <f>IF($A154="Feature",$F154*'Roadmap setting'!$B$16,0)</f>
        <v>0</v>
      </c>
      <c r="J154" s="93">
        <f>SUM($E154:$F154)*'Roadmap setting'!$B$17</f>
        <v>0.12</v>
      </c>
      <c r="K154" s="93">
        <f>SUM($E154:$F154)*'Roadmap setting'!$B$18</f>
        <v>0.01</v>
      </c>
      <c r="L154" s="93">
        <f>SUM($E154:$F154)*'Roadmap setting'!$B$19</f>
        <v>0</v>
      </c>
      <c r="M154" s="95">
        <f>SUM($E154:$F154)*'Roadmap setting'!$B$20</f>
        <v>0.02</v>
      </c>
      <c r="N154" s="79">
        <f t="shared" si="30"/>
        <v>1.15</v>
      </c>
      <c r="O154" s="96" t="b">
        <v>1</v>
      </c>
      <c r="P154" s="97"/>
      <c r="Q154" s="98"/>
      <c r="R154" s="97"/>
      <c r="S154" s="97"/>
      <c r="T154" s="97"/>
      <c r="U154" s="97"/>
      <c r="V154" s="99"/>
      <c r="W154" s="96" t="b">
        <v>0</v>
      </c>
      <c r="X154" s="97"/>
      <c r="Y154" s="98"/>
      <c r="Z154" s="97"/>
      <c r="AA154" s="97"/>
      <c r="AB154" s="97"/>
      <c r="AC154" s="97"/>
      <c r="AD154" s="99"/>
      <c r="AE154" s="96" t="b">
        <v>0</v>
      </c>
      <c r="AF154" s="97"/>
      <c r="AG154" s="98"/>
      <c r="AH154" s="97"/>
      <c r="AI154" s="97"/>
      <c r="AJ154" s="97"/>
      <c r="AK154" s="97"/>
      <c r="AL154" s="99"/>
      <c r="AM154" s="96" t="b">
        <v>0</v>
      </c>
      <c r="AN154" s="80">
        <f t="array" ref="AN154">INDEX(A154:AM154, MATCH(RIGHT('Roadmap setting'!$B$9, 3), $A$2:$AM$2, 0) - 1)
</f>
        <v>1.15</v>
      </c>
      <c r="AO154" s="100">
        <f t="array" ref="AO154">IFNA(LOOKUP(2,1/(ISNUMBER(AO127:AO153)),AO127:AO153)+(E154/(Resources!$P$55/7)),TODAY()+(E154/(Resources!$P$55/7)))</f>
        <v>45781.35143</v>
      </c>
      <c r="AP154" s="100">
        <f t="array" ref="AP154">IFNA(LOOKUP(2,1/(ISNUMBER(AP127:AP153)),AP127:AP153)+(F154/(Resources!$P$56/7)),TODAY()+(F154/(Resources!$P$56/7)))</f>
        <v>45782.96293</v>
      </c>
      <c r="AQ154" s="100">
        <f t="array" ref="AQ154">IF(ISNUMBER($AV154),IFNA(LOOKUP(2,1/(ISNUMBER(AQ127:AQ153)),AQ127:AQ153),TODAY()),IFNA(LOOKUP(2,1/(ISNUMBER(AQ127:AQ153)),AQ127:AQ153)+(E154/(Resources!$E$55/7)),TODAY()+(E154/(Resources!$E$55/7))))</f>
        <v>45785.92142</v>
      </c>
      <c r="AR154" s="100">
        <f t="array" ref="AR154">IF(ISNUMBER($AV154),IFNA(LOOKUP(2,1/(ISNUMBER(AR127:AR153)),AR127:AR153),TODAY()),IFNA(LOOKUP(2,1/(ISNUMBER(AR127:AR153)),AR127:AR153)+(F154/(Resources!$E$56/7)),TODAY()+(F154/(Resources!$E$56/7))))</f>
        <v>45787.00559</v>
      </c>
      <c r="AS154" s="100">
        <f t="shared" si="31"/>
        <v>45787.00559</v>
      </c>
      <c r="AT154" s="101"/>
      <c r="AU154" s="102"/>
      <c r="AV154" s="83"/>
    </row>
    <row r="155" ht="15.0" customHeight="1">
      <c r="A155" s="83" t="s">
        <v>97</v>
      </c>
      <c r="B155" s="92" t="s">
        <v>92</v>
      </c>
      <c r="C155" s="122" t="s">
        <v>234</v>
      </c>
      <c r="D155" s="93">
        <f>IF($A155="Feature",SUM(E155:F155)*'Roadmap setting'!$B$13,0)</f>
        <v>5.8</v>
      </c>
      <c r="E155" s="94">
        <v>24.0</v>
      </c>
      <c r="F155" s="94">
        <v>5.0</v>
      </c>
      <c r="G155" s="95">
        <f>IF($A155="Feature",IF('Roadmap setting'!$E$14,$F155*('Roadmap setting'!$B$14+'Roadmap setting'!$D$14),$F155*'Roadmap setting'!$B$14),0)</f>
        <v>0.75</v>
      </c>
      <c r="H155" s="93">
        <f>IF($A155="Feature",$E155*'Roadmap setting'!$B$15,0)</f>
        <v>0</v>
      </c>
      <c r="I155" s="95">
        <f>IF($A155="Feature",$F155*'Roadmap setting'!$B$16,0)</f>
        <v>0</v>
      </c>
      <c r="J155" s="93">
        <f>SUM($E155:$F155)*'Roadmap setting'!$B$17</f>
        <v>3.48</v>
      </c>
      <c r="K155" s="93">
        <f>SUM($E155:$F155)*'Roadmap setting'!$B$18</f>
        <v>0.29</v>
      </c>
      <c r="L155" s="93">
        <f>SUM($E155:$F155)*'Roadmap setting'!$B$19</f>
        <v>0</v>
      </c>
      <c r="M155" s="95">
        <f>SUM($E155:$F155)*'Roadmap setting'!$B$20</f>
        <v>0.58</v>
      </c>
      <c r="N155" s="79">
        <f t="shared" si="30"/>
        <v>39.9</v>
      </c>
      <c r="O155" s="96" t="b">
        <v>1</v>
      </c>
      <c r="P155" s="97"/>
      <c r="Q155" s="98"/>
      <c r="R155" s="97"/>
      <c r="S155" s="97"/>
      <c r="T155" s="97"/>
      <c r="U155" s="98"/>
      <c r="V155" s="99"/>
      <c r="W155" s="96" t="b">
        <v>0</v>
      </c>
      <c r="X155" s="97"/>
      <c r="Y155" s="98"/>
      <c r="Z155" s="97"/>
      <c r="AA155" s="97"/>
      <c r="AB155" s="97"/>
      <c r="AC155" s="98"/>
      <c r="AD155" s="99"/>
      <c r="AE155" s="96" t="b">
        <v>0</v>
      </c>
      <c r="AF155" s="97"/>
      <c r="AG155" s="98"/>
      <c r="AH155" s="97"/>
      <c r="AI155" s="97"/>
      <c r="AJ155" s="97"/>
      <c r="AK155" s="98"/>
      <c r="AL155" s="99"/>
      <c r="AM155" s="96" t="b">
        <v>0</v>
      </c>
      <c r="AN155" s="80">
        <f t="array" ref="AN155">INDEX(A155:AM155, MATCH(RIGHT('Roadmap setting'!$B$9, 3), $A$2:$AM$2, 0) - 1)
</f>
        <v>39.9</v>
      </c>
      <c r="AO155" s="100"/>
      <c r="AP155" s="100"/>
      <c r="AQ155" s="100"/>
      <c r="AR155" s="100"/>
      <c r="AS155" s="100">
        <f t="shared" si="31"/>
        <v>0</v>
      </c>
      <c r="AT155" s="101"/>
      <c r="AU155" s="82"/>
      <c r="AV155" s="83"/>
    </row>
    <row r="156" ht="15.0" customHeight="1">
      <c r="A156" s="83" t="s">
        <v>97</v>
      </c>
      <c r="B156" s="92" t="s">
        <v>92</v>
      </c>
      <c r="C156" s="116" t="s">
        <v>235</v>
      </c>
      <c r="D156" s="93">
        <f>IF($A156="Feature",SUM(E156:F156)*'Roadmap setting'!$B$13,0)</f>
        <v>0.8</v>
      </c>
      <c r="E156" s="94">
        <v>1.0</v>
      </c>
      <c r="F156" s="94">
        <v>3.0</v>
      </c>
      <c r="G156" s="95">
        <f>IF($A156="Feature",IF('Roadmap setting'!$E$14,$F156*('Roadmap setting'!$B$14+'Roadmap setting'!$D$14),$F156*'Roadmap setting'!$B$14),0)</f>
        <v>0.45</v>
      </c>
      <c r="H156" s="93">
        <f>IF($A156="Feature",$E156*'Roadmap setting'!$B$15,0)</f>
        <v>0</v>
      </c>
      <c r="I156" s="95">
        <f>IF($A156="Feature",$F156*'Roadmap setting'!$B$16,0)</f>
        <v>0</v>
      </c>
      <c r="J156" s="93">
        <f>SUM($E156:$F156)*'Roadmap setting'!$B$17</f>
        <v>0.48</v>
      </c>
      <c r="K156" s="93">
        <f>SUM($E156:$F156)*'Roadmap setting'!$B$18</f>
        <v>0.04</v>
      </c>
      <c r="L156" s="93">
        <f>SUM($E156:$F156)*'Roadmap setting'!$B$19</f>
        <v>0</v>
      </c>
      <c r="M156" s="95">
        <f>SUM($E156:$F156)*'Roadmap setting'!$B$20</f>
        <v>0.08</v>
      </c>
      <c r="N156" s="79">
        <f t="shared" si="30"/>
        <v>5.85</v>
      </c>
      <c r="O156" s="96" t="b">
        <v>1</v>
      </c>
      <c r="P156" s="97"/>
      <c r="Q156" s="98"/>
      <c r="R156" s="97"/>
      <c r="S156" s="97"/>
      <c r="T156" s="97"/>
      <c r="U156" s="97"/>
      <c r="V156" s="99"/>
      <c r="W156" s="96" t="b">
        <v>0</v>
      </c>
      <c r="X156" s="97"/>
      <c r="Y156" s="98"/>
      <c r="Z156" s="97"/>
      <c r="AA156" s="97"/>
      <c r="AB156" s="97"/>
      <c r="AC156" s="97"/>
      <c r="AD156" s="99"/>
      <c r="AE156" s="96" t="b">
        <v>0</v>
      </c>
      <c r="AF156" s="97"/>
      <c r="AG156" s="98"/>
      <c r="AH156" s="97"/>
      <c r="AI156" s="97"/>
      <c r="AJ156" s="97"/>
      <c r="AK156" s="97"/>
      <c r="AL156" s="99"/>
      <c r="AM156" s="96" t="b">
        <v>0</v>
      </c>
      <c r="AN156" s="80">
        <f t="array" ref="AN156">INDEX(A156:AM156, MATCH(RIGHT('Roadmap setting'!$B$9, 3), $A$2:$AM$2, 0) - 1)
</f>
        <v>5.85</v>
      </c>
      <c r="AO156" s="100"/>
      <c r="AP156" s="100"/>
      <c r="AQ156" s="100"/>
      <c r="AR156" s="100"/>
      <c r="AS156" s="100">
        <f t="shared" si="31"/>
        <v>0</v>
      </c>
      <c r="AT156" s="101"/>
      <c r="AU156" s="102"/>
      <c r="AV156" s="83"/>
    </row>
    <row r="157" ht="15.0" customHeight="1">
      <c r="A157" s="83" t="s">
        <v>97</v>
      </c>
      <c r="B157" s="92" t="s">
        <v>92</v>
      </c>
      <c r="C157" s="116" t="s">
        <v>236</v>
      </c>
      <c r="D157" s="93">
        <f>IF($A157="Feature",SUM(E157:F157)*'Roadmap setting'!$B$13,0)</f>
        <v>3.6</v>
      </c>
      <c r="E157" s="94">
        <v>16.0</v>
      </c>
      <c r="F157" s="94">
        <v>2.0</v>
      </c>
      <c r="G157" s="95">
        <f>IF($A157="Feature",IF('Roadmap setting'!$E$14,$F157*('Roadmap setting'!$B$14+'Roadmap setting'!$D$14),$F157*'Roadmap setting'!$B$14),0)</f>
        <v>0.3</v>
      </c>
      <c r="H157" s="93">
        <f>IF($A157="Feature",$E157*'Roadmap setting'!$B$15,0)</f>
        <v>0</v>
      </c>
      <c r="I157" s="95">
        <f>IF($A157="Feature",$F157*'Roadmap setting'!$B$16,0)</f>
        <v>0</v>
      </c>
      <c r="J157" s="93">
        <f>SUM($E157:$F157)*'Roadmap setting'!$B$17</f>
        <v>2.16</v>
      </c>
      <c r="K157" s="93">
        <f>SUM($E157:$F157)*'Roadmap setting'!$B$18</f>
        <v>0.18</v>
      </c>
      <c r="L157" s="93">
        <f>SUM($E157:$F157)*'Roadmap setting'!$B$19</f>
        <v>0</v>
      </c>
      <c r="M157" s="95">
        <f>SUM($E157:$F157)*'Roadmap setting'!$B$20</f>
        <v>0.36</v>
      </c>
      <c r="N157" s="79">
        <f t="shared" si="30"/>
        <v>24.6</v>
      </c>
      <c r="O157" s="96" t="b">
        <v>1</v>
      </c>
      <c r="P157" s="97"/>
      <c r="Q157" s="98"/>
      <c r="R157" s="97"/>
      <c r="S157" s="97"/>
      <c r="T157" s="97"/>
      <c r="U157" s="97"/>
      <c r="V157" s="99"/>
      <c r="W157" s="96" t="b">
        <v>0</v>
      </c>
      <c r="X157" s="97"/>
      <c r="Y157" s="98"/>
      <c r="Z157" s="97"/>
      <c r="AA157" s="97"/>
      <c r="AB157" s="97"/>
      <c r="AC157" s="97"/>
      <c r="AD157" s="99"/>
      <c r="AE157" s="96" t="b">
        <v>0</v>
      </c>
      <c r="AF157" s="97"/>
      <c r="AG157" s="98"/>
      <c r="AH157" s="97"/>
      <c r="AI157" s="97"/>
      <c r="AJ157" s="97"/>
      <c r="AK157" s="97"/>
      <c r="AL157" s="99"/>
      <c r="AM157" s="96" t="b">
        <v>0</v>
      </c>
      <c r="AN157" s="80">
        <f t="array" ref="AN157">INDEX(A157:AM157, MATCH(RIGHT('Roadmap setting'!$B$9, 3), $A$2:$AM$2, 0) - 1)
</f>
        <v>24.6</v>
      </c>
      <c r="AO157" s="100"/>
      <c r="AP157" s="100"/>
      <c r="AQ157" s="100"/>
      <c r="AR157" s="100"/>
      <c r="AS157" s="100">
        <f t="shared" si="31"/>
        <v>0</v>
      </c>
      <c r="AT157" s="101"/>
      <c r="AU157" s="102"/>
      <c r="AV157" s="83"/>
    </row>
    <row r="158" ht="15.0" customHeight="1">
      <c r="A158" s="83" t="s">
        <v>97</v>
      </c>
      <c r="B158" s="92" t="s">
        <v>92</v>
      </c>
      <c r="C158" s="116" t="s">
        <v>237</v>
      </c>
      <c r="D158" s="93">
        <f>IF($A158="Feature",SUM(E158:F158)*'Roadmap setting'!$B$13,0)</f>
        <v>1</v>
      </c>
      <c r="E158" s="94">
        <v>3.0</v>
      </c>
      <c r="F158" s="94">
        <v>2.0</v>
      </c>
      <c r="G158" s="95">
        <f>IF($A158="Feature",IF('Roadmap setting'!$E$14,$F158*('Roadmap setting'!$B$14+'Roadmap setting'!$D$14),$F158*'Roadmap setting'!$B$14),0)</f>
        <v>0.3</v>
      </c>
      <c r="H158" s="93">
        <f>IF($A158="Feature",$E158*'Roadmap setting'!$B$15,0)</f>
        <v>0</v>
      </c>
      <c r="I158" s="95">
        <f>IF($A158="Feature",$F158*'Roadmap setting'!$B$16,0)</f>
        <v>0</v>
      </c>
      <c r="J158" s="93">
        <f>SUM($E158:$F158)*'Roadmap setting'!$B$17</f>
        <v>0.6</v>
      </c>
      <c r="K158" s="93">
        <f>SUM($E158:$F158)*'Roadmap setting'!$B$18</f>
        <v>0.05</v>
      </c>
      <c r="L158" s="93">
        <f>SUM($E158:$F158)*'Roadmap setting'!$B$19</f>
        <v>0</v>
      </c>
      <c r="M158" s="95">
        <f>SUM($E158:$F158)*'Roadmap setting'!$B$20</f>
        <v>0.1</v>
      </c>
      <c r="N158" s="79">
        <f t="shared" si="30"/>
        <v>7.05</v>
      </c>
      <c r="O158" s="96" t="b">
        <v>1</v>
      </c>
      <c r="P158" s="97"/>
      <c r="Q158" s="98"/>
      <c r="R158" s="97"/>
      <c r="S158" s="97"/>
      <c r="T158" s="97"/>
      <c r="U158" s="97"/>
      <c r="V158" s="99"/>
      <c r="W158" s="96" t="b">
        <v>0</v>
      </c>
      <c r="X158" s="97"/>
      <c r="Y158" s="98"/>
      <c r="Z158" s="97"/>
      <c r="AA158" s="97"/>
      <c r="AB158" s="97"/>
      <c r="AC158" s="97"/>
      <c r="AD158" s="99"/>
      <c r="AE158" s="96" t="b">
        <v>0</v>
      </c>
      <c r="AF158" s="97"/>
      <c r="AG158" s="98"/>
      <c r="AH158" s="97"/>
      <c r="AI158" s="97"/>
      <c r="AJ158" s="97"/>
      <c r="AK158" s="97"/>
      <c r="AL158" s="99"/>
      <c r="AM158" s="96" t="b">
        <v>0</v>
      </c>
      <c r="AN158" s="80">
        <f t="array" ref="AN158">INDEX(A158:AM158, MATCH(RIGHT('Roadmap setting'!$B$9, 3), $A$2:$AM$2, 0) - 1)
</f>
        <v>7.05</v>
      </c>
      <c r="AO158" s="100"/>
      <c r="AP158" s="100"/>
      <c r="AQ158" s="100"/>
      <c r="AR158" s="100"/>
      <c r="AS158" s="100">
        <f t="shared" si="31"/>
        <v>0</v>
      </c>
      <c r="AT158" s="101"/>
      <c r="AU158" s="102"/>
      <c r="AV158" s="83"/>
    </row>
    <row r="159" ht="15.0" customHeight="1">
      <c r="A159" s="83" t="s">
        <v>97</v>
      </c>
      <c r="B159" s="92" t="s">
        <v>92</v>
      </c>
      <c r="C159" s="116" t="s">
        <v>238</v>
      </c>
      <c r="D159" s="93">
        <f>IF($A159="Feature",SUM(E159:F159)*'Roadmap setting'!$B$13,0)</f>
        <v>1.6</v>
      </c>
      <c r="E159" s="94">
        <v>6.0</v>
      </c>
      <c r="F159" s="94">
        <v>2.0</v>
      </c>
      <c r="G159" s="95">
        <f>IF($A159="Feature",IF('Roadmap setting'!$E$14,$F159*('Roadmap setting'!$B$14+'Roadmap setting'!$D$14),$F159*'Roadmap setting'!$B$14),0)</f>
        <v>0.3</v>
      </c>
      <c r="H159" s="93">
        <f>IF($A159="Feature",$E159*'Roadmap setting'!$B$15,0)</f>
        <v>0</v>
      </c>
      <c r="I159" s="95">
        <f>IF($A159="Feature",$F159*'Roadmap setting'!$B$16,0)</f>
        <v>0</v>
      </c>
      <c r="J159" s="93">
        <f>SUM($E159:$F159)*'Roadmap setting'!$B$17</f>
        <v>0.96</v>
      </c>
      <c r="K159" s="93">
        <f>SUM($E159:$F159)*'Roadmap setting'!$B$18</f>
        <v>0.08</v>
      </c>
      <c r="L159" s="93">
        <f>SUM($E159:$F159)*'Roadmap setting'!$B$19</f>
        <v>0</v>
      </c>
      <c r="M159" s="95">
        <f>SUM($E159:$F159)*'Roadmap setting'!$B$20</f>
        <v>0.16</v>
      </c>
      <c r="N159" s="79">
        <f t="shared" si="30"/>
        <v>11.1</v>
      </c>
      <c r="O159" s="96" t="b">
        <v>1</v>
      </c>
      <c r="P159" s="97"/>
      <c r="Q159" s="98"/>
      <c r="R159" s="97"/>
      <c r="S159" s="97"/>
      <c r="T159" s="97"/>
      <c r="U159" s="97"/>
      <c r="V159" s="99"/>
      <c r="W159" s="96" t="b">
        <v>0</v>
      </c>
      <c r="X159" s="97"/>
      <c r="Y159" s="98"/>
      <c r="Z159" s="97"/>
      <c r="AA159" s="97"/>
      <c r="AB159" s="97"/>
      <c r="AC159" s="97"/>
      <c r="AD159" s="99"/>
      <c r="AE159" s="96" t="b">
        <v>0</v>
      </c>
      <c r="AF159" s="97"/>
      <c r="AG159" s="98"/>
      <c r="AH159" s="97"/>
      <c r="AI159" s="97"/>
      <c r="AJ159" s="97"/>
      <c r="AK159" s="97"/>
      <c r="AL159" s="99"/>
      <c r="AM159" s="96" t="b">
        <v>0</v>
      </c>
      <c r="AN159" s="80">
        <f t="array" ref="AN159">INDEX(A159:AM159, MATCH(RIGHT('Roadmap setting'!$B$9, 3), $A$2:$AM$2, 0) - 1)
</f>
        <v>11.1</v>
      </c>
      <c r="AO159" s="100"/>
      <c r="AP159" s="100"/>
      <c r="AQ159" s="100"/>
      <c r="AR159" s="100"/>
      <c r="AS159" s="100">
        <f t="shared" si="31"/>
        <v>0</v>
      </c>
      <c r="AT159" s="101"/>
      <c r="AU159" s="102"/>
      <c r="AV159" s="83"/>
    </row>
    <row r="160" ht="15.0" customHeight="1">
      <c r="A160" s="83" t="s">
        <v>97</v>
      </c>
      <c r="B160" s="92" t="s">
        <v>92</v>
      </c>
      <c r="C160" s="116" t="s">
        <v>239</v>
      </c>
      <c r="D160" s="93">
        <f>IF($A160="Feature",SUM(E160:F160)*'Roadmap setting'!$B$13,0)</f>
        <v>2.2</v>
      </c>
      <c r="E160" s="94">
        <v>8.0</v>
      </c>
      <c r="F160" s="94">
        <v>3.0</v>
      </c>
      <c r="G160" s="95">
        <f>IF($A160="Feature",IF('Roadmap setting'!$E$14,$F160*('Roadmap setting'!$B$14+'Roadmap setting'!$D$14),$F160*'Roadmap setting'!$B$14),0)</f>
        <v>0.45</v>
      </c>
      <c r="H160" s="93">
        <f>IF($A160="Feature",$E160*'Roadmap setting'!$B$15,0)</f>
        <v>0</v>
      </c>
      <c r="I160" s="95">
        <f>IF($A160="Feature",$F160*'Roadmap setting'!$B$16,0)</f>
        <v>0</v>
      </c>
      <c r="J160" s="93">
        <f>SUM($E160:$F160)*'Roadmap setting'!$B$17</f>
        <v>1.32</v>
      </c>
      <c r="K160" s="93">
        <f>SUM($E160:$F160)*'Roadmap setting'!$B$18</f>
        <v>0.11</v>
      </c>
      <c r="L160" s="93">
        <f>SUM($E160:$F160)*'Roadmap setting'!$B$19</f>
        <v>0</v>
      </c>
      <c r="M160" s="95">
        <f>SUM($E160:$F160)*'Roadmap setting'!$B$20</f>
        <v>0.22</v>
      </c>
      <c r="N160" s="79">
        <f t="shared" si="30"/>
        <v>15.3</v>
      </c>
      <c r="O160" s="96" t="b">
        <v>1</v>
      </c>
      <c r="P160" s="97"/>
      <c r="Q160" s="98"/>
      <c r="R160" s="97"/>
      <c r="S160" s="97"/>
      <c r="T160" s="97"/>
      <c r="U160" s="97"/>
      <c r="V160" s="99"/>
      <c r="W160" s="96" t="b">
        <v>0</v>
      </c>
      <c r="X160" s="97"/>
      <c r="Y160" s="98"/>
      <c r="Z160" s="97"/>
      <c r="AA160" s="97"/>
      <c r="AB160" s="97"/>
      <c r="AC160" s="97"/>
      <c r="AD160" s="99"/>
      <c r="AE160" s="96" t="b">
        <v>0</v>
      </c>
      <c r="AF160" s="97"/>
      <c r="AG160" s="98"/>
      <c r="AH160" s="97"/>
      <c r="AI160" s="97"/>
      <c r="AJ160" s="97"/>
      <c r="AK160" s="97"/>
      <c r="AL160" s="99"/>
      <c r="AM160" s="96" t="b">
        <v>0</v>
      </c>
      <c r="AN160" s="80">
        <f t="array" ref="AN160">INDEX(A160:AM160, MATCH(RIGHT('Roadmap setting'!$B$9, 3), $A$2:$AM$2, 0) - 1)
</f>
        <v>15.3</v>
      </c>
      <c r="AO160" s="100"/>
      <c r="AP160" s="100"/>
      <c r="AQ160" s="100"/>
      <c r="AR160" s="100"/>
      <c r="AS160" s="100">
        <f t="shared" si="31"/>
        <v>0</v>
      </c>
      <c r="AT160" s="101"/>
      <c r="AU160" s="102"/>
      <c r="AV160" s="83"/>
    </row>
    <row r="161" ht="15.0" customHeight="1">
      <c r="A161" s="83" t="s">
        <v>97</v>
      </c>
      <c r="B161" s="92" t="s">
        <v>92</v>
      </c>
      <c r="C161" s="116" t="s">
        <v>240</v>
      </c>
      <c r="D161" s="93">
        <f>IF($A161="Feature",SUM(E161:F161)*'Roadmap setting'!$B$13,0)</f>
        <v>3.4</v>
      </c>
      <c r="E161" s="94">
        <v>3.0</v>
      </c>
      <c r="F161" s="94">
        <v>14.0</v>
      </c>
      <c r="G161" s="95">
        <f>IF($A161="Feature",IF('Roadmap setting'!$E$14,$F161*('Roadmap setting'!$B$14+'Roadmap setting'!$D$14),$F161*'Roadmap setting'!$B$14),0)</f>
        <v>2.1</v>
      </c>
      <c r="H161" s="93">
        <f>IF($A161="Feature",$E161*'Roadmap setting'!$B$15,0)</f>
        <v>0</v>
      </c>
      <c r="I161" s="95">
        <f>IF($A161="Feature",$F161*'Roadmap setting'!$B$16,0)</f>
        <v>0</v>
      </c>
      <c r="J161" s="93">
        <f>SUM($E161:$F161)*'Roadmap setting'!$B$17</f>
        <v>2.04</v>
      </c>
      <c r="K161" s="93">
        <f>SUM($E161:$F161)*'Roadmap setting'!$B$18</f>
        <v>0.17</v>
      </c>
      <c r="L161" s="93">
        <f>SUM($E161:$F161)*'Roadmap setting'!$B$19</f>
        <v>0</v>
      </c>
      <c r="M161" s="95">
        <f>SUM($E161:$F161)*'Roadmap setting'!$B$20</f>
        <v>0.34</v>
      </c>
      <c r="N161" s="79">
        <f t="shared" si="30"/>
        <v>25.05</v>
      </c>
      <c r="O161" s="96" t="b">
        <v>1</v>
      </c>
      <c r="P161" s="97"/>
      <c r="Q161" s="98"/>
      <c r="R161" s="97"/>
      <c r="S161" s="97"/>
      <c r="T161" s="97"/>
      <c r="U161" s="97"/>
      <c r="V161" s="99"/>
      <c r="W161" s="96" t="b">
        <v>0</v>
      </c>
      <c r="X161" s="97"/>
      <c r="Y161" s="98"/>
      <c r="Z161" s="97"/>
      <c r="AA161" s="97"/>
      <c r="AB161" s="97"/>
      <c r="AC161" s="97"/>
      <c r="AD161" s="99"/>
      <c r="AE161" s="96" t="b">
        <v>0</v>
      </c>
      <c r="AF161" s="97"/>
      <c r="AG161" s="98"/>
      <c r="AH161" s="97"/>
      <c r="AI161" s="97"/>
      <c r="AJ161" s="97"/>
      <c r="AK161" s="97"/>
      <c r="AL161" s="99"/>
      <c r="AM161" s="96" t="b">
        <v>0</v>
      </c>
      <c r="AN161" s="80">
        <f t="array" ref="AN161">INDEX(A161:AM161, MATCH(RIGHT('Roadmap setting'!$B$9, 3), $A$2:$AM$2, 0) - 1)
</f>
        <v>25.05</v>
      </c>
      <c r="AO161" s="100"/>
      <c r="AP161" s="100"/>
      <c r="AQ161" s="100"/>
      <c r="AR161" s="100"/>
      <c r="AS161" s="100">
        <f t="shared" si="31"/>
        <v>0</v>
      </c>
      <c r="AT161" s="101"/>
      <c r="AU161" s="102"/>
      <c r="AV161" s="83"/>
    </row>
    <row r="162" ht="15.0" customHeight="1">
      <c r="A162" s="83" t="s">
        <v>97</v>
      </c>
      <c r="B162" s="92" t="s">
        <v>92</v>
      </c>
      <c r="C162" s="116" t="s">
        <v>241</v>
      </c>
      <c r="D162" s="93">
        <f>IF($A162="Feature",SUM(E162:F162)*'Roadmap setting'!$B$13,0)</f>
        <v>0.4</v>
      </c>
      <c r="E162" s="94">
        <v>2.0</v>
      </c>
      <c r="F162" s="94">
        <v>0.0</v>
      </c>
      <c r="G162" s="95">
        <f>IF($A162="Feature",IF('Roadmap setting'!$E$14,$F162*('Roadmap setting'!$B$14+'Roadmap setting'!$D$14),$F162*'Roadmap setting'!$B$14),0)</f>
        <v>0</v>
      </c>
      <c r="H162" s="93">
        <f>IF($A162="Feature",$E162*'Roadmap setting'!$B$15,0)</f>
        <v>0</v>
      </c>
      <c r="I162" s="95">
        <f>IF($A162="Feature",$F162*'Roadmap setting'!$B$16,0)</f>
        <v>0</v>
      </c>
      <c r="J162" s="93">
        <f>SUM($E162:$F162)*'Roadmap setting'!$B$17</f>
        <v>0.24</v>
      </c>
      <c r="K162" s="93">
        <f>SUM($E162:$F162)*'Roadmap setting'!$B$18</f>
        <v>0.02</v>
      </c>
      <c r="L162" s="93">
        <f>SUM($E162:$F162)*'Roadmap setting'!$B$19</f>
        <v>0</v>
      </c>
      <c r="M162" s="95">
        <f>SUM($E162:$F162)*'Roadmap setting'!$B$20</f>
        <v>0.04</v>
      </c>
      <c r="N162" s="79">
        <f t="shared" si="30"/>
        <v>2.7</v>
      </c>
      <c r="O162" s="96" t="b">
        <v>1</v>
      </c>
      <c r="P162" s="97"/>
      <c r="Q162" s="98"/>
      <c r="R162" s="97"/>
      <c r="S162" s="97"/>
      <c r="T162" s="97"/>
      <c r="U162" s="97"/>
      <c r="V162" s="99"/>
      <c r="W162" s="96" t="b">
        <v>0</v>
      </c>
      <c r="X162" s="97"/>
      <c r="Y162" s="98"/>
      <c r="Z162" s="97"/>
      <c r="AA162" s="97"/>
      <c r="AB162" s="97"/>
      <c r="AC162" s="97"/>
      <c r="AD162" s="99"/>
      <c r="AE162" s="96" t="b">
        <v>0</v>
      </c>
      <c r="AF162" s="97"/>
      <c r="AG162" s="98"/>
      <c r="AH162" s="97"/>
      <c r="AI162" s="97"/>
      <c r="AJ162" s="97"/>
      <c r="AK162" s="97"/>
      <c r="AL162" s="99"/>
      <c r="AM162" s="96" t="b">
        <v>0</v>
      </c>
      <c r="AN162" s="80">
        <f t="array" ref="AN162">INDEX(A162:AM162, MATCH(RIGHT('Roadmap setting'!$B$9, 3), $A$2:$AM$2, 0) - 1)
</f>
        <v>2.7</v>
      </c>
      <c r="AO162" s="100"/>
      <c r="AP162" s="100"/>
      <c r="AQ162" s="100"/>
      <c r="AR162" s="100"/>
      <c r="AS162" s="100">
        <f t="shared" si="31"/>
        <v>0</v>
      </c>
      <c r="AT162" s="101"/>
      <c r="AU162" s="102"/>
      <c r="AV162" s="83"/>
    </row>
    <row r="163" ht="15.0" customHeight="1">
      <c r="A163" s="83" t="s">
        <v>97</v>
      </c>
      <c r="B163" s="92" t="s">
        <v>92</v>
      </c>
      <c r="C163" s="116" t="s">
        <v>242</v>
      </c>
      <c r="D163" s="93">
        <f>IF($A163="Feature",SUM(E163:F163)*'Roadmap setting'!$B$13,0)</f>
        <v>2.8</v>
      </c>
      <c r="E163" s="94">
        <v>6.0</v>
      </c>
      <c r="F163" s="94">
        <v>8.0</v>
      </c>
      <c r="G163" s="95">
        <f>IF($A163="Feature",IF('Roadmap setting'!$E$14,$F163*('Roadmap setting'!$B$14+'Roadmap setting'!$D$14),$F163*'Roadmap setting'!$B$14),0)</f>
        <v>1.2</v>
      </c>
      <c r="H163" s="93">
        <f>IF($A163="Feature",$E163*'Roadmap setting'!$B$15,0)</f>
        <v>0</v>
      </c>
      <c r="I163" s="95">
        <f>IF($A163="Feature",$F163*'Roadmap setting'!$B$16,0)</f>
        <v>0</v>
      </c>
      <c r="J163" s="93">
        <f>SUM($E163:$F163)*'Roadmap setting'!$B$17</f>
        <v>1.68</v>
      </c>
      <c r="K163" s="93">
        <f>SUM($E163:$F163)*'Roadmap setting'!$B$18</f>
        <v>0.14</v>
      </c>
      <c r="L163" s="93">
        <f>SUM($E163:$F163)*'Roadmap setting'!$B$19</f>
        <v>0</v>
      </c>
      <c r="M163" s="95">
        <f>SUM($E163:$F163)*'Roadmap setting'!$B$20</f>
        <v>0.28</v>
      </c>
      <c r="N163" s="79">
        <f t="shared" si="30"/>
        <v>20.1</v>
      </c>
      <c r="O163" s="96" t="b">
        <v>1</v>
      </c>
      <c r="P163" s="97"/>
      <c r="Q163" s="98"/>
      <c r="R163" s="97"/>
      <c r="S163" s="97"/>
      <c r="T163" s="97"/>
      <c r="U163" s="97"/>
      <c r="V163" s="99"/>
      <c r="W163" s="96" t="b">
        <v>0</v>
      </c>
      <c r="X163" s="97"/>
      <c r="Y163" s="98"/>
      <c r="Z163" s="97"/>
      <c r="AA163" s="97"/>
      <c r="AB163" s="97"/>
      <c r="AC163" s="97"/>
      <c r="AD163" s="99"/>
      <c r="AE163" s="96" t="b">
        <v>0</v>
      </c>
      <c r="AF163" s="97"/>
      <c r="AG163" s="98"/>
      <c r="AH163" s="97"/>
      <c r="AI163" s="97"/>
      <c r="AJ163" s="97"/>
      <c r="AK163" s="97"/>
      <c r="AL163" s="99"/>
      <c r="AM163" s="96" t="b">
        <v>0</v>
      </c>
      <c r="AN163" s="80">
        <f t="array" ref="AN163">INDEX(A163:AM163, MATCH(RIGHT('Roadmap setting'!$B$9, 3), $A$2:$AM$2, 0) - 1)
</f>
        <v>20.1</v>
      </c>
      <c r="AO163" s="100"/>
      <c r="AP163" s="100"/>
      <c r="AQ163" s="100"/>
      <c r="AR163" s="100"/>
      <c r="AS163" s="100">
        <f t="shared" si="31"/>
        <v>0</v>
      </c>
      <c r="AT163" s="101"/>
      <c r="AU163" s="102"/>
      <c r="AV163" s="83"/>
    </row>
    <row r="164" ht="15.0" customHeight="1">
      <c r="A164" s="83" t="s">
        <v>97</v>
      </c>
      <c r="B164" s="92" t="s">
        <v>100</v>
      </c>
      <c r="C164" s="116" t="s">
        <v>243</v>
      </c>
      <c r="D164" s="93">
        <f>IF($A164="Feature",SUM(E164:F164)*'Roadmap setting'!$B$13,0)</f>
        <v>1.6</v>
      </c>
      <c r="E164" s="94">
        <v>3.0</v>
      </c>
      <c r="F164" s="94">
        <v>5.0</v>
      </c>
      <c r="G164" s="95">
        <f>IF($A164="Feature",IF('Roadmap setting'!$E$14,$F164*('Roadmap setting'!$B$14+'Roadmap setting'!$D$14),$F164*'Roadmap setting'!$B$14),0)</f>
        <v>0.75</v>
      </c>
      <c r="H164" s="93">
        <f>IF($A164="Feature",$E164*'Roadmap setting'!$B$15,0)</f>
        <v>0</v>
      </c>
      <c r="I164" s="95">
        <f>IF($A164="Feature",$F164*'Roadmap setting'!$B$16,0)</f>
        <v>0</v>
      </c>
      <c r="J164" s="93">
        <f>SUM($E164:$F164)*'Roadmap setting'!$B$17</f>
        <v>0.96</v>
      </c>
      <c r="K164" s="93">
        <f>SUM($E164:$F164)*'Roadmap setting'!$B$18</f>
        <v>0.08</v>
      </c>
      <c r="L164" s="93">
        <f>SUM($E164:$F164)*'Roadmap setting'!$B$19</f>
        <v>0</v>
      </c>
      <c r="M164" s="95">
        <f>SUM($E164:$F164)*'Roadmap setting'!$B$20</f>
        <v>0.16</v>
      </c>
      <c r="N164" s="79">
        <f t="shared" si="30"/>
        <v>11.55</v>
      </c>
      <c r="O164" s="96" t="b">
        <v>1</v>
      </c>
      <c r="P164" s="97"/>
      <c r="Q164" s="98"/>
      <c r="R164" s="97"/>
      <c r="S164" s="97"/>
      <c r="T164" s="97"/>
      <c r="U164" s="97"/>
      <c r="V164" s="99"/>
      <c r="W164" s="96" t="b">
        <v>0</v>
      </c>
      <c r="X164" s="97"/>
      <c r="Y164" s="98"/>
      <c r="Z164" s="97"/>
      <c r="AA164" s="97"/>
      <c r="AB164" s="97"/>
      <c r="AC164" s="97"/>
      <c r="AD164" s="99"/>
      <c r="AE164" s="96" t="b">
        <v>0</v>
      </c>
      <c r="AF164" s="97"/>
      <c r="AG164" s="98"/>
      <c r="AH164" s="97"/>
      <c r="AI164" s="97"/>
      <c r="AJ164" s="97"/>
      <c r="AK164" s="97"/>
      <c r="AL164" s="99"/>
      <c r="AM164" s="96" t="b">
        <v>0</v>
      </c>
      <c r="AN164" s="80">
        <f t="array" ref="AN164">INDEX(A164:AM164, MATCH(RIGHT('Roadmap setting'!$B$9, 3), $A$2:$AM$2, 0) - 1)
</f>
        <v>11.55</v>
      </c>
      <c r="AO164" s="100"/>
      <c r="AP164" s="100"/>
      <c r="AQ164" s="100"/>
      <c r="AR164" s="100"/>
      <c r="AS164" s="100">
        <f t="shared" si="31"/>
        <v>0</v>
      </c>
      <c r="AT164" s="101"/>
      <c r="AU164" s="102"/>
      <c r="AV164" s="83"/>
    </row>
    <row r="165" ht="15.0" customHeight="1">
      <c r="A165" s="83" t="s">
        <v>97</v>
      </c>
      <c r="B165" s="92" t="s">
        <v>112</v>
      </c>
      <c r="C165" s="116" t="s">
        <v>244</v>
      </c>
      <c r="D165" s="93">
        <f>IF($A165="Feature",SUM(E165:F165)*'Roadmap setting'!$B$13,0)</f>
        <v>2</v>
      </c>
      <c r="E165" s="94">
        <v>6.0</v>
      </c>
      <c r="F165" s="94">
        <v>4.0</v>
      </c>
      <c r="G165" s="95">
        <f>IF($A165="Feature",IF('Roadmap setting'!$E$14,$F165*('Roadmap setting'!$B$14+'Roadmap setting'!$D$14),$F165*'Roadmap setting'!$B$14),0)</f>
        <v>0.6</v>
      </c>
      <c r="H165" s="93">
        <f>IF($A165="Feature",$E165*'Roadmap setting'!$B$15,0)</f>
        <v>0</v>
      </c>
      <c r="I165" s="95">
        <f>IF($A165="Feature",$F165*'Roadmap setting'!$B$16,0)</f>
        <v>0</v>
      </c>
      <c r="J165" s="93">
        <f>SUM($E165:$F165)*'Roadmap setting'!$B$17</f>
        <v>1.2</v>
      </c>
      <c r="K165" s="93">
        <f>SUM($E165:$F165)*'Roadmap setting'!$B$18</f>
        <v>0.1</v>
      </c>
      <c r="L165" s="93">
        <f>SUM($E165:$F165)*'Roadmap setting'!$B$19</f>
        <v>0</v>
      </c>
      <c r="M165" s="95">
        <f>SUM($E165:$F165)*'Roadmap setting'!$B$20</f>
        <v>0.2</v>
      </c>
      <c r="N165" s="79">
        <f t="shared" si="30"/>
        <v>14.1</v>
      </c>
      <c r="O165" s="96" t="b">
        <v>1</v>
      </c>
      <c r="P165" s="97"/>
      <c r="Q165" s="98"/>
      <c r="R165" s="97"/>
      <c r="S165" s="97"/>
      <c r="T165" s="97"/>
      <c r="U165" s="97"/>
      <c r="V165" s="99"/>
      <c r="W165" s="96" t="b">
        <v>0</v>
      </c>
      <c r="X165" s="97"/>
      <c r="Y165" s="98"/>
      <c r="Z165" s="97"/>
      <c r="AA165" s="97"/>
      <c r="AB165" s="97"/>
      <c r="AC165" s="97"/>
      <c r="AD165" s="99"/>
      <c r="AE165" s="96" t="b">
        <v>0</v>
      </c>
      <c r="AF165" s="97"/>
      <c r="AG165" s="98"/>
      <c r="AH165" s="97"/>
      <c r="AI165" s="97"/>
      <c r="AJ165" s="97"/>
      <c r="AK165" s="97"/>
      <c r="AL165" s="99"/>
      <c r="AM165" s="96" t="b">
        <v>0</v>
      </c>
      <c r="AN165" s="80">
        <f t="array" ref="AN165">INDEX(A165:AM165, MATCH(RIGHT('Roadmap setting'!$B$9, 3), $A$2:$AM$2, 0) - 1)
</f>
        <v>14.1</v>
      </c>
      <c r="AO165" s="100"/>
      <c r="AP165" s="100"/>
      <c r="AQ165" s="100"/>
      <c r="AR165" s="100"/>
      <c r="AS165" s="100">
        <f t="shared" si="31"/>
        <v>0</v>
      </c>
      <c r="AT165" s="101"/>
      <c r="AU165" s="102"/>
      <c r="AV165" s="83"/>
    </row>
    <row r="166" ht="15.0" customHeight="1">
      <c r="A166" s="83" t="s">
        <v>97</v>
      </c>
      <c r="B166" s="92" t="s">
        <v>112</v>
      </c>
      <c r="C166" s="115" t="s">
        <v>245</v>
      </c>
      <c r="D166" s="93">
        <f>IF($A166="Feature",SUM(E166:F166)*'Roadmap setting'!$B$13,0)</f>
        <v>1</v>
      </c>
      <c r="E166" s="94">
        <v>5.0</v>
      </c>
      <c r="F166" s="94">
        <v>0.0</v>
      </c>
      <c r="G166" s="95">
        <f>IF($A166="Feature",IF('Roadmap setting'!$E$14,$F166*('Roadmap setting'!$B$14+'Roadmap setting'!$D$14),$F166*'Roadmap setting'!$B$14),0)</f>
        <v>0</v>
      </c>
      <c r="H166" s="93">
        <f>IF($A166="Feature",$E166*'Roadmap setting'!$B$15,0)</f>
        <v>0</v>
      </c>
      <c r="I166" s="95">
        <f>IF($A166="Feature",$F166*'Roadmap setting'!$B$16,0)</f>
        <v>0</v>
      </c>
      <c r="J166" s="93">
        <f>SUM($E166:$F166)*'Roadmap setting'!$B$17</f>
        <v>0.6</v>
      </c>
      <c r="K166" s="93">
        <f>SUM($E166:$F166)*'Roadmap setting'!$B$18</f>
        <v>0.05</v>
      </c>
      <c r="L166" s="93">
        <f>SUM($E166:$F166)*'Roadmap setting'!$B$19</f>
        <v>0</v>
      </c>
      <c r="M166" s="95">
        <f>SUM($E166:$F166)*'Roadmap setting'!$B$20</f>
        <v>0.1</v>
      </c>
      <c r="N166" s="79">
        <f t="shared" si="30"/>
        <v>6.75</v>
      </c>
      <c r="O166" s="96" t="b">
        <v>0</v>
      </c>
      <c r="P166" s="97"/>
      <c r="Q166" s="98"/>
      <c r="R166" s="97"/>
      <c r="S166" s="97"/>
      <c r="T166" s="97"/>
      <c r="U166" s="97"/>
      <c r="V166" s="99"/>
      <c r="W166" s="96" t="b">
        <v>0</v>
      </c>
      <c r="X166" s="97"/>
      <c r="Y166" s="98"/>
      <c r="Z166" s="97"/>
      <c r="AA166" s="97"/>
      <c r="AB166" s="97"/>
      <c r="AC166" s="97"/>
      <c r="AD166" s="99"/>
      <c r="AE166" s="96" t="b">
        <v>0</v>
      </c>
      <c r="AF166" s="97"/>
      <c r="AG166" s="98"/>
      <c r="AH166" s="97"/>
      <c r="AI166" s="97"/>
      <c r="AJ166" s="97"/>
      <c r="AK166" s="97"/>
      <c r="AL166" s="99"/>
      <c r="AM166" s="96" t="b">
        <v>0</v>
      </c>
      <c r="AN166" s="80">
        <f t="array" ref="AN166">INDEX(A166:AM166, MATCH(RIGHT('Roadmap setting'!$B$9, 3), $A$2:$AM$2, 0) - 1)
</f>
        <v>6.75</v>
      </c>
      <c r="AO166" s="100"/>
      <c r="AP166" s="100"/>
      <c r="AQ166" s="100"/>
      <c r="AR166" s="100"/>
      <c r="AS166" s="100">
        <f t="shared" si="31"/>
        <v>0</v>
      </c>
      <c r="AT166" s="101"/>
      <c r="AU166" s="102"/>
      <c r="AV166" s="83"/>
    </row>
    <row r="167" ht="15.0" customHeight="1">
      <c r="A167" s="83" t="s">
        <v>97</v>
      </c>
      <c r="B167" s="92" t="s">
        <v>112</v>
      </c>
      <c r="C167" s="115" t="s">
        <v>246</v>
      </c>
      <c r="D167" s="93">
        <f>IF($A167="Feature",SUM(E167:F167)*'Roadmap setting'!$B$13,0)</f>
        <v>0.6</v>
      </c>
      <c r="E167" s="94">
        <v>0.0</v>
      </c>
      <c r="F167" s="94">
        <v>3.0</v>
      </c>
      <c r="G167" s="95">
        <f>IF($A167="Feature",IF('Roadmap setting'!$E$14,$F167*('Roadmap setting'!$B$14+'Roadmap setting'!$D$14),$F167*'Roadmap setting'!$B$14),0)</f>
        <v>0.45</v>
      </c>
      <c r="H167" s="93">
        <f>IF($A167="Feature",$E167*'Roadmap setting'!$B$15,0)</f>
        <v>0</v>
      </c>
      <c r="I167" s="95">
        <f>IF($A167="Feature",$F167*'Roadmap setting'!$B$16,0)</f>
        <v>0</v>
      </c>
      <c r="J167" s="93">
        <f>SUM($E167:$F167)*'Roadmap setting'!$B$17</f>
        <v>0.36</v>
      </c>
      <c r="K167" s="93">
        <f>SUM($E167:$F167)*'Roadmap setting'!$B$18</f>
        <v>0.03</v>
      </c>
      <c r="L167" s="93">
        <f>SUM($E167:$F167)*'Roadmap setting'!$B$19</f>
        <v>0</v>
      </c>
      <c r="M167" s="95">
        <f>SUM($E167:$F167)*'Roadmap setting'!$B$20</f>
        <v>0.06</v>
      </c>
      <c r="N167" s="79">
        <f t="shared" si="30"/>
        <v>4.5</v>
      </c>
      <c r="O167" s="96" t="b">
        <v>0</v>
      </c>
      <c r="P167" s="97"/>
      <c r="Q167" s="98"/>
      <c r="R167" s="97"/>
      <c r="S167" s="97"/>
      <c r="T167" s="97"/>
      <c r="U167" s="97"/>
      <c r="V167" s="99"/>
      <c r="W167" s="96" t="b">
        <v>0</v>
      </c>
      <c r="X167" s="97"/>
      <c r="Y167" s="98"/>
      <c r="Z167" s="97"/>
      <c r="AA167" s="97"/>
      <c r="AB167" s="97"/>
      <c r="AC167" s="97"/>
      <c r="AD167" s="99"/>
      <c r="AE167" s="96" t="b">
        <v>0</v>
      </c>
      <c r="AF167" s="97"/>
      <c r="AG167" s="98"/>
      <c r="AH167" s="97"/>
      <c r="AI167" s="97"/>
      <c r="AJ167" s="97"/>
      <c r="AK167" s="97"/>
      <c r="AL167" s="99"/>
      <c r="AM167" s="96" t="b">
        <v>0</v>
      </c>
      <c r="AN167" s="80">
        <f t="array" ref="AN167">INDEX(A167:AM167, MATCH(RIGHT('Roadmap setting'!$B$9, 3), $A$2:$AM$2, 0) - 1)
</f>
        <v>4.5</v>
      </c>
      <c r="AO167" s="100"/>
      <c r="AP167" s="100"/>
      <c r="AQ167" s="100"/>
      <c r="AR167" s="100"/>
      <c r="AS167" s="100">
        <f t="shared" si="31"/>
        <v>0</v>
      </c>
      <c r="AT167" s="101"/>
      <c r="AU167" s="102"/>
      <c r="AV167" s="83"/>
    </row>
    <row r="168" ht="15.0" customHeight="1">
      <c r="A168" s="71"/>
      <c r="B168" s="71"/>
      <c r="C168" s="117" t="s">
        <v>247</v>
      </c>
      <c r="D168" s="72"/>
      <c r="E168" s="72"/>
      <c r="F168" s="72"/>
      <c r="G168" s="72"/>
      <c r="H168" s="72"/>
      <c r="I168" s="72"/>
      <c r="J168" s="72"/>
      <c r="K168" s="72"/>
      <c r="L168" s="72"/>
      <c r="M168" s="72"/>
      <c r="N168" s="72"/>
      <c r="O168" s="72"/>
      <c r="P168" s="72"/>
      <c r="Q168" s="72"/>
      <c r="R168" s="72"/>
      <c r="S168" s="72"/>
      <c r="T168" s="72"/>
      <c r="U168" s="72"/>
      <c r="V168" s="72"/>
      <c r="W168" s="72"/>
      <c r="X168" s="72"/>
      <c r="Y168" s="72"/>
      <c r="Z168" s="72"/>
      <c r="AA168" s="72"/>
      <c r="AB168" s="72"/>
      <c r="AC168" s="72"/>
      <c r="AD168" s="72"/>
      <c r="AE168" s="72"/>
      <c r="AF168" s="72"/>
      <c r="AG168" s="72"/>
      <c r="AH168" s="72"/>
      <c r="AI168" s="72"/>
      <c r="AJ168" s="72"/>
      <c r="AK168" s="72"/>
      <c r="AL168" s="72"/>
      <c r="AM168" s="72"/>
      <c r="AN168" s="72"/>
      <c r="AO168" s="72"/>
      <c r="AP168" s="72"/>
      <c r="AQ168" s="72"/>
      <c r="AR168" s="72"/>
      <c r="AS168" s="72"/>
      <c r="AT168" s="72"/>
      <c r="AU168" s="72"/>
      <c r="AV168" s="72"/>
    </row>
    <row r="169" ht="15.0" hidden="1" customHeight="1" outlineLevel="1">
      <c r="A169" s="83" t="s">
        <v>97</v>
      </c>
      <c r="B169" s="118" t="s">
        <v>100</v>
      </c>
      <c r="C169" s="116" t="s">
        <v>248</v>
      </c>
      <c r="D169" s="93">
        <f>IF($A169="Feature",SUM(E169:F169)*'Roadmap setting'!$B$13,0)</f>
        <v>0.6</v>
      </c>
      <c r="E169" s="94"/>
      <c r="F169" s="94">
        <v>3.0</v>
      </c>
      <c r="G169" s="95">
        <f>IF($A169="Feature",IF('Roadmap setting'!$E$14,$F169*('Roadmap setting'!$B$14+'Roadmap setting'!$D$14),$F169*'Roadmap setting'!$B$14),0)</f>
        <v>0.45</v>
      </c>
      <c r="H169" s="93">
        <f>IF($A169="Feature",$E169*'Roadmap setting'!$B$15,0)</f>
        <v>0</v>
      </c>
      <c r="I169" s="95">
        <f>IF($A169="Feature",$F169*'Roadmap setting'!$B$16,0)</f>
        <v>0</v>
      </c>
      <c r="J169" s="93">
        <f>SUM($E169:$F169)*'Roadmap setting'!$B$17</f>
        <v>0.36</v>
      </c>
      <c r="K169" s="93">
        <f>SUM($E169:$F169)*'Roadmap setting'!$B$18</f>
        <v>0.03</v>
      </c>
      <c r="L169" s="93">
        <f>SUM($E169:$F169)*'Roadmap setting'!$B$19</f>
        <v>0</v>
      </c>
      <c r="M169" s="95">
        <f>SUM($E169:$F169)*'Roadmap setting'!$B$20</f>
        <v>0.06</v>
      </c>
      <c r="N169" s="79">
        <f t="shared" ref="N169:N184" si="32">SUM($D169:$G169)+SUM(H169:M169)</f>
        <v>4.5</v>
      </c>
      <c r="O169" s="96" t="b">
        <v>1</v>
      </c>
      <c r="P169" s="97"/>
      <c r="Q169" s="98"/>
      <c r="R169" s="97"/>
      <c r="S169" s="97"/>
      <c r="T169" s="97"/>
      <c r="U169" s="97"/>
      <c r="V169" s="99"/>
      <c r="W169" s="96" t="b">
        <v>0</v>
      </c>
      <c r="X169" s="97"/>
      <c r="Y169" s="98"/>
      <c r="Z169" s="97"/>
      <c r="AA169" s="97"/>
      <c r="AB169" s="97"/>
      <c r="AC169" s="97"/>
      <c r="AD169" s="99"/>
      <c r="AE169" s="96" t="b">
        <v>0</v>
      </c>
      <c r="AF169" s="97"/>
      <c r="AG169" s="98"/>
      <c r="AH169" s="97"/>
      <c r="AI169" s="97"/>
      <c r="AJ169" s="97"/>
      <c r="AK169" s="97"/>
      <c r="AL169" s="99"/>
      <c r="AM169" s="96" t="b">
        <v>0</v>
      </c>
      <c r="AN169" s="80">
        <f t="array" ref="AN169">INDEX(A169:AM169, MATCH(RIGHT('Roadmap setting'!$B$9, 3), $A$2:$AM$2, 0) - 1)
</f>
        <v>4.5</v>
      </c>
      <c r="AO169" s="100">
        <f t="array" ref="AO169">IFNA(LOOKUP(2,1/(ISNUMBER(AO97:AO103)),AO97:AO103)+(E169/(Resources!$P$55/7)),TODAY()+(E169/(Resources!$P$55/7)))</f>
        <v>45783.46498</v>
      </c>
      <c r="AP169" s="100">
        <f t="array" ref="AP169">IFNA(LOOKUP(2,1/(ISNUMBER(AP97:AP103)),AP97:AP103)+(F169/(Resources!$P$56/7)),TODAY()+(F169/(Resources!$P$56/7)))</f>
        <v>45783.88821</v>
      </c>
      <c r="AQ169" s="100">
        <f t="array" ref="AQ169">IF(ISNUMBER($AV169),IFNA(LOOKUP(2,1/(ISNUMBER(AQ97:AQ103)),AQ97:AQ103),TODAY()),IFNA(LOOKUP(2,1/(ISNUMBER(AQ97:AQ103)),AQ97:AQ103)+(E169/(Resources!$E$55/7)),TODAY()+(E169/(Resources!$E$55/7))))</f>
        <v>45790.25468</v>
      </c>
      <c r="AR169" s="100">
        <f t="array" ref="AR169">IF(ISNUMBER($AV169),IFNA(LOOKUP(2,1/(ISNUMBER(AR97:AR103)),AR97:AR103),TODAY()),IFNA(LOOKUP(2,1/(ISNUMBER(AR97:AR103)),AR97:AR103)+(F169/(Resources!$E$56/7)),TODAY()+(F169/(Resources!$E$56/7))))</f>
        <v>45788.55819</v>
      </c>
      <c r="AS169" s="100">
        <f t="shared" ref="AS169:AS184" si="33">IFERROR(MAX(AQ169,AR169),"")</f>
        <v>45790.25468</v>
      </c>
      <c r="AT169" s="101"/>
      <c r="AU169" s="102"/>
      <c r="AV169" s="83"/>
    </row>
    <row r="170" ht="15.0" hidden="1" customHeight="1" outlineLevel="1">
      <c r="A170" s="83" t="s">
        <v>97</v>
      </c>
      <c r="B170" s="118" t="s">
        <v>100</v>
      </c>
      <c r="C170" s="115" t="s">
        <v>249</v>
      </c>
      <c r="D170" s="93">
        <f>IF($A170="Feature",SUM(E170:F170)*'Roadmap setting'!$B$13,0)</f>
        <v>0</v>
      </c>
      <c r="E170" s="94"/>
      <c r="F170" s="94"/>
      <c r="G170" s="95">
        <f>IF($A170="Feature",IF('Roadmap setting'!$E$14,$F170*('Roadmap setting'!$B$14+'Roadmap setting'!$D$14),$F170*'Roadmap setting'!$B$14),0)</f>
        <v>0</v>
      </c>
      <c r="H170" s="93">
        <f>IF($A170="Feature",$E170*'Roadmap setting'!$B$15,0)</f>
        <v>0</v>
      </c>
      <c r="I170" s="95">
        <f>IF($A170="Feature",$F170*'Roadmap setting'!$B$16,0)</f>
        <v>0</v>
      </c>
      <c r="J170" s="93">
        <f>SUM($E170:$F170)*'Roadmap setting'!$B$17</f>
        <v>0</v>
      </c>
      <c r="K170" s="93">
        <f>SUM($E170:$F170)*'Roadmap setting'!$B$18</f>
        <v>0</v>
      </c>
      <c r="L170" s="93">
        <f>SUM($E170:$F170)*'Roadmap setting'!$B$19</f>
        <v>0</v>
      </c>
      <c r="M170" s="95">
        <f>SUM($E170:$F170)*'Roadmap setting'!$B$20</f>
        <v>0</v>
      </c>
      <c r="N170" s="79">
        <f t="shared" si="32"/>
        <v>0</v>
      </c>
      <c r="O170" s="96" t="b">
        <v>1</v>
      </c>
      <c r="P170" s="97"/>
      <c r="Q170" s="98"/>
      <c r="R170" s="97"/>
      <c r="S170" s="97"/>
      <c r="T170" s="97"/>
      <c r="U170" s="97"/>
      <c r="V170" s="99"/>
      <c r="W170" s="96" t="b">
        <v>0</v>
      </c>
      <c r="X170" s="97"/>
      <c r="Y170" s="98"/>
      <c r="Z170" s="97"/>
      <c r="AA170" s="97"/>
      <c r="AB170" s="97"/>
      <c r="AC170" s="97"/>
      <c r="AD170" s="99"/>
      <c r="AE170" s="96" t="b">
        <v>0</v>
      </c>
      <c r="AF170" s="97"/>
      <c r="AG170" s="98"/>
      <c r="AH170" s="97"/>
      <c r="AI170" s="97"/>
      <c r="AJ170" s="97"/>
      <c r="AK170" s="97"/>
      <c r="AL170" s="99"/>
      <c r="AM170" s="96" t="b">
        <v>0</v>
      </c>
      <c r="AN170" s="80">
        <f t="array" ref="AN170">INDEX(A170:AM170, MATCH(RIGHT('Roadmap setting'!$B$9, 3), $A$2:$AM$2, 0) - 1)
</f>
        <v>0</v>
      </c>
      <c r="AO170" s="100">
        <f t="array" ref="AO170">IFNA(LOOKUP(2,1/(ISNUMBER(AO128:AO169)),AO128:AO169)+(E170/(Resources!$P$55/7)),TODAY()+(E170/(Resources!$P$55/7)))</f>
        <v>45783.46498</v>
      </c>
      <c r="AP170" s="100">
        <f t="array" ref="AP170">IFNA(LOOKUP(2,1/(ISNUMBER(AP128:AP169)),AP128:AP169)+(F170/(Resources!$P$56/7)),TODAY()+(F170/(Resources!$P$56/7)))</f>
        <v>45783.88821</v>
      </c>
      <c r="AQ170" s="100">
        <f t="array" ref="AQ170">IF(ISNUMBER($AV170),IFNA(LOOKUP(2,1/(ISNUMBER(AQ128:AQ169)),AQ128:AQ169),TODAY()),IFNA(LOOKUP(2,1/(ISNUMBER(AQ128:AQ169)),AQ128:AQ169)+(E170/(Resources!$E$55/7)),TODAY()+(E170/(Resources!$E$55/7))))</f>
        <v>45790.25468</v>
      </c>
      <c r="AR170" s="100">
        <f t="array" ref="AR170">IF(ISNUMBER($AV170),IFNA(LOOKUP(2,1/(ISNUMBER(AR128:AR169)),AR128:AR169),TODAY()),IFNA(LOOKUP(2,1/(ISNUMBER(AR128:AR169)),AR128:AR169)+(F170/(Resources!$E$56/7)),TODAY()+(F170/(Resources!$E$56/7))))</f>
        <v>45788.55819</v>
      </c>
      <c r="AS170" s="100">
        <f t="shared" si="33"/>
        <v>45790.25468</v>
      </c>
      <c r="AT170" s="101"/>
      <c r="AU170" s="102"/>
      <c r="AV170" s="83"/>
    </row>
    <row r="171" ht="15.0" hidden="1" customHeight="1" outlineLevel="1">
      <c r="A171" s="83" t="s">
        <v>77</v>
      </c>
      <c r="B171" s="118" t="s">
        <v>92</v>
      </c>
      <c r="C171" s="115" t="s">
        <v>235</v>
      </c>
      <c r="D171" s="93">
        <f>IF($A171="Feature",SUM(E171:F171)*'Roadmap setting'!$B$13,0)</f>
        <v>0</v>
      </c>
      <c r="E171" s="94"/>
      <c r="F171" s="94"/>
      <c r="G171" s="95">
        <f>IF($A171="Feature",IF('Roadmap setting'!$E$14,$F171*('Roadmap setting'!$B$14+'Roadmap setting'!$D$14),$F171*'Roadmap setting'!$B$14),0)</f>
        <v>0</v>
      </c>
      <c r="H171" s="93">
        <f>IF($A171="Feature",$E171*'Roadmap setting'!$B$15,0)</f>
        <v>0</v>
      </c>
      <c r="I171" s="95">
        <f>IF($A171="Feature",$F171*'Roadmap setting'!$B$16,0)</f>
        <v>0</v>
      </c>
      <c r="J171" s="93">
        <f>SUM($E171:$F171)*'Roadmap setting'!$B$17</f>
        <v>0</v>
      </c>
      <c r="K171" s="93">
        <f>SUM($E171:$F171)*'Roadmap setting'!$B$18</f>
        <v>0</v>
      </c>
      <c r="L171" s="93">
        <f>SUM($E171:$F171)*'Roadmap setting'!$B$19</f>
        <v>0</v>
      </c>
      <c r="M171" s="95">
        <f>SUM($E171:$F171)*'Roadmap setting'!$B$20</f>
        <v>0</v>
      </c>
      <c r="N171" s="79">
        <f t="shared" si="32"/>
        <v>0</v>
      </c>
      <c r="O171" s="96" t="b">
        <v>1</v>
      </c>
      <c r="P171" s="97"/>
      <c r="Q171" s="98"/>
      <c r="R171" s="97"/>
      <c r="S171" s="97"/>
      <c r="T171" s="97"/>
      <c r="U171" s="97"/>
      <c r="V171" s="99"/>
      <c r="W171" s="96" t="b">
        <v>0</v>
      </c>
      <c r="X171" s="97"/>
      <c r="Y171" s="98"/>
      <c r="Z171" s="97"/>
      <c r="AA171" s="97"/>
      <c r="AB171" s="97"/>
      <c r="AC171" s="97"/>
      <c r="AD171" s="99"/>
      <c r="AE171" s="96" t="b">
        <v>0</v>
      </c>
      <c r="AF171" s="97"/>
      <c r="AG171" s="98"/>
      <c r="AH171" s="97"/>
      <c r="AI171" s="97"/>
      <c r="AJ171" s="97"/>
      <c r="AK171" s="97"/>
      <c r="AL171" s="99"/>
      <c r="AM171" s="96" t="b">
        <v>0</v>
      </c>
      <c r="AN171" s="80">
        <f t="array" ref="AN171">INDEX(A171:AM171, MATCH(RIGHT('Roadmap setting'!$B$9, 3), $A$2:$AM$2, 0) - 1)
</f>
        <v>0</v>
      </c>
      <c r="AO171" s="100">
        <f t="array" ref="AO171">IFNA(LOOKUP(2,1/(ISNUMBER(AO129:AO170)),AO129:AO170)+(E171/(Resources!$P$55/7)),TODAY()+(E171/(Resources!$P$55/7)))</f>
        <v>45783.46498</v>
      </c>
      <c r="AP171" s="100">
        <f t="array" ref="AP171">IFNA(LOOKUP(2,1/(ISNUMBER(AP129:AP170)),AP129:AP170)+(F171/(Resources!$P$56/7)),TODAY()+(F171/(Resources!$P$56/7)))</f>
        <v>45783.88821</v>
      </c>
      <c r="AQ171" s="100">
        <f t="array" ref="AQ171">IF(ISNUMBER($AV171),IFNA(LOOKUP(2,1/(ISNUMBER(AQ129:AQ170)),AQ129:AQ170),TODAY()),IFNA(LOOKUP(2,1/(ISNUMBER(AQ129:AQ170)),AQ129:AQ170)+(E171/(Resources!$E$55/7)),TODAY()+(E171/(Resources!$E$55/7))))</f>
        <v>45790.25468</v>
      </c>
      <c r="AR171" s="100">
        <f t="array" ref="AR171">IF(ISNUMBER($AV171),IFNA(LOOKUP(2,1/(ISNUMBER(AR129:AR170)),AR129:AR170),TODAY()),IFNA(LOOKUP(2,1/(ISNUMBER(AR129:AR170)),AR129:AR170)+(F171/(Resources!$E$56/7)),TODAY()+(F171/(Resources!$E$56/7))))</f>
        <v>45788.55819</v>
      </c>
      <c r="AS171" s="100">
        <f t="shared" si="33"/>
        <v>45790.25468</v>
      </c>
      <c r="AT171" s="101"/>
      <c r="AU171" s="102"/>
      <c r="AV171" s="83"/>
    </row>
    <row r="172" ht="15.0" hidden="1" customHeight="1" outlineLevel="1">
      <c r="A172" s="83" t="s">
        <v>97</v>
      </c>
      <c r="B172" s="92" t="s">
        <v>92</v>
      </c>
      <c r="C172" s="115" t="s">
        <v>250</v>
      </c>
      <c r="D172" s="93">
        <f>IF($A172="Feature",SUM(E172:F172)*'Roadmap setting'!$B$13,0)</f>
        <v>0</v>
      </c>
      <c r="E172" s="94"/>
      <c r="F172" s="94"/>
      <c r="G172" s="95">
        <f>IF($A172="Feature",IF('Roadmap setting'!$E$14,$F172*('Roadmap setting'!$B$14+'Roadmap setting'!$D$14),$F172*'Roadmap setting'!$B$14),0)</f>
        <v>0</v>
      </c>
      <c r="H172" s="93">
        <f>IF($A172="Feature",$E172*'Roadmap setting'!$B$15,0)</f>
        <v>0</v>
      </c>
      <c r="I172" s="95">
        <f>IF($A172="Feature",$F172*'Roadmap setting'!$B$16,0)</f>
        <v>0</v>
      </c>
      <c r="J172" s="93">
        <f>SUM($E172:$F172)*'Roadmap setting'!$B$17</f>
        <v>0</v>
      </c>
      <c r="K172" s="93">
        <f>SUM($E172:$F172)*'Roadmap setting'!$B$18</f>
        <v>0</v>
      </c>
      <c r="L172" s="93">
        <f>SUM($E172:$F172)*'Roadmap setting'!$B$19</f>
        <v>0</v>
      </c>
      <c r="M172" s="95">
        <f>SUM($E172:$F172)*'Roadmap setting'!$B$20</f>
        <v>0</v>
      </c>
      <c r="N172" s="79">
        <f t="shared" si="32"/>
        <v>0</v>
      </c>
      <c r="O172" s="96" t="b">
        <v>1</v>
      </c>
      <c r="P172" s="97"/>
      <c r="Q172" s="98"/>
      <c r="R172" s="97"/>
      <c r="S172" s="97"/>
      <c r="T172" s="97"/>
      <c r="U172" s="97"/>
      <c r="V172" s="99"/>
      <c r="W172" s="96" t="b">
        <v>0</v>
      </c>
      <c r="X172" s="97"/>
      <c r="Y172" s="98"/>
      <c r="Z172" s="97"/>
      <c r="AA172" s="97"/>
      <c r="AB172" s="97"/>
      <c r="AC172" s="97"/>
      <c r="AD172" s="99"/>
      <c r="AE172" s="96" t="b">
        <v>0</v>
      </c>
      <c r="AF172" s="97"/>
      <c r="AG172" s="98"/>
      <c r="AH172" s="97"/>
      <c r="AI172" s="97"/>
      <c r="AJ172" s="97"/>
      <c r="AK172" s="97"/>
      <c r="AL172" s="99"/>
      <c r="AM172" s="96" t="b">
        <v>0</v>
      </c>
      <c r="AN172" s="80">
        <f t="array" ref="AN172">INDEX(A172:AM172, MATCH(RIGHT('Roadmap setting'!$B$9, 3), $A$2:$AM$2, 0) - 1)
</f>
        <v>0</v>
      </c>
      <c r="AO172" s="100">
        <f t="array" ref="AO172">IFNA(LOOKUP(2,1/(ISNUMBER(AO130:AO171)),AO130:AO171)+(E172/(Resources!$P$55/7)),TODAY()+(E172/(Resources!$P$55/7)))</f>
        <v>45783.46498</v>
      </c>
      <c r="AP172" s="100">
        <f t="array" ref="AP172">IFNA(LOOKUP(2,1/(ISNUMBER(AP130:AP171)),AP130:AP171)+(F172/(Resources!$P$56/7)),TODAY()+(F172/(Resources!$P$56/7)))</f>
        <v>45783.88821</v>
      </c>
      <c r="AQ172" s="100">
        <f t="array" ref="AQ172">IF(ISNUMBER($AV172),IFNA(LOOKUP(2,1/(ISNUMBER(AQ130:AQ171)),AQ130:AQ171),TODAY()),IFNA(LOOKUP(2,1/(ISNUMBER(AQ130:AQ171)),AQ130:AQ171)+(E172/(Resources!$E$55/7)),TODAY()+(E172/(Resources!$E$55/7))))</f>
        <v>45790.25468</v>
      </c>
      <c r="AR172" s="100">
        <f t="array" ref="AR172">IF(ISNUMBER($AV172),IFNA(LOOKUP(2,1/(ISNUMBER(AR130:AR171)),AR130:AR171),TODAY()),IFNA(LOOKUP(2,1/(ISNUMBER(AR130:AR171)),AR130:AR171)+(F172/(Resources!$E$56/7)),TODAY()+(F172/(Resources!$E$56/7))))</f>
        <v>45788.55819</v>
      </c>
      <c r="AS172" s="100">
        <f t="shared" si="33"/>
        <v>45790.25468</v>
      </c>
      <c r="AT172" s="101"/>
      <c r="AU172" s="102"/>
      <c r="AV172" s="83"/>
    </row>
    <row r="173" ht="15.0" hidden="1" customHeight="1" outlineLevel="1">
      <c r="A173" s="83" t="s">
        <v>97</v>
      </c>
      <c r="B173" s="92" t="s">
        <v>100</v>
      </c>
      <c r="C173" s="115" t="s">
        <v>251</v>
      </c>
      <c r="D173" s="93">
        <f>IF($A173="Feature",SUM(E173:F173)*'Roadmap setting'!$B$13,0)</f>
        <v>0</v>
      </c>
      <c r="E173" s="94"/>
      <c r="F173" s="94"/>
      <c r="G173" s="95">
        <f>IF($A173="Feature",IF('Roadmap setting'!$E$14,$F173*('Roadmap setting'!$B$14+'Roadmap setting'!$D$14),$F173*'Roadmap setting'!$B$14),0)</f>
        <v>0</v>
      </c>
      <c r="H173" s="93">
        <f>IF($A173="Feature",$E173*'Roadmap setting'!$B$15,0)</f>
        <v>0</v>
      </c>
      <c r="I173" s="95">
        <f>IF($A173="Feature",$F173*'Roadmap setting'!$B$16,0)</f>
        <v>0</v>
      </c>
      <c r="J173" s="93">
        <f>SUM($E173:$F173)*'Roadmap setting'!$B$17</f>
        <v>0</v>
      </c>
      <c r="K173" s="93">
        <f>SUM($E173:$F173)*'Roadmap setting'!$B$18</f>
        <v>0</v>
      </c>
      <c r="L173" s="93">
        <f>SUM($E173:$F173)*'Roadmap setting'!$B$19</f>
        <v>0</v>
      </c>
      <c r="M173" s="95">
        <f>SUM($E173:$F173)*'Roadmap setting'!$B$20</f>
        <v>0</v>
      </c>
      <c r="N173" s="79">
        <f t="shared" si="32"/>
        <v>0</v>
      </c>
      <c r="O173" s="96" t="b">
        <v>1</v>
      </c>
      <c r="P173" s="97"/>
      <c r="Q173" s="98"/>
      <c r="R173" s="97"/>
      <c r="S173" s="97"/>
      <c r="T173" s="97"/>
      <c r="U173" s="97"/>
      <c r="V173" s="99"/>
      <c r="W173" s="96" t="b">
        <v>0</v>
      </c>
      <c r="X173" s="97"/>
      <c r="Y173" s="98"/>
      <c r="Z173" s="97"/>
      <c r="AA173" s="97"/>
      <c r="AB173" s="97"/>
      <c r="AC173" s="97"/>
      <c r="AD173" s="99"/>
      <c r="AE173" s="96" t="b">
        <v>0</v>
      </c>
      <c r="AF173" s="97"/>
      <c r="AG173" s="98"/>
      <c r="AH173" s="97"/>
      <c r="AI173" s="97"/>
      <c r="AJ173" s="97"/>
      <c r="AK173" s="97"/>
      <c r="AL173" s="99"/>
      <c r="AM173" s="96" t="b">
        <v>0</v>
      </c>
      <c r="AN173" s="80">
        <f t="array" ref="AN173">INDEX(A173:AM173, MATCH(RIGHT('Roadmap setting'!$B$9, 3), $A$2:$AM$2, 0) - 1)
</f>
        <v>0</v>
      </c>
      <c r="AO173" s="100">
        <f t="array" ref="AO173">IFNA(LOOKUP(2,1/(ISNUMBER(AO131:AO172)),AO131:AO172)+(E173/(Resources!$P$55/7)),TODAY()+(E173/(Resources!$P$55/7)))</f>
        <v>45783.46498</v>
      </c>
      <c r="AP173" s="100">
        <f t="array" ref="AP173">IFNA(LOOKUP(2,1/(ISNUMBER(AP131:AP172)),AP131:AP172)+(F173/(Resources!$P$56/7)),TODAY()+(F173/(Resources!$P$56/7)))</f>
        <v>45783.88821</v>
      </c>
      <c r="AQ173" s="100">
        <f t="array" ref="AQ173">IF(ISNUMBER($AV173),IFNA(LOOKUP(2,1/(ISNUMBER(AQ131:AQ172)),AQ131:AQ172),TODAY()),IFNA(LOOKUP(2,1/(ISNUMBER(AQ131:AQ172)),AQ131:AQ172)+(E173/(Resources!$E$55/7)),TODAY()+(E173/(Resources!$E$55/7))))</f>
        <v>45790.25468</v>
      </c>
      <c r="AR173" s="100">
        <f t="array" ref="AR173">IF(ISNUMBER($AV173),IFNA(LOOKUP(2,1/(ISNUMBER(AR131:AR172)),AR131:AR172),TODAY()),IFNA(LOOKUP(2,1/(ISNUMBER(AR131:AR172)),AR131:AR172)+(F173/(Resources!$E$56/7)),TODAY()+(F173/(Resources!$E$56/7))))</f>
        <v>45788.55819</v>
      </c>
      <c r="AS173" s="100">
        <f t="shared" si="33"/>
        <v>45790.25468</v>
      </c>
      <c r="AT173" s="101"/>
      <c r="AU173" s="102"/>
      <c r="AV173" s="83"/>
    </row>
    <row r="174" ht="15.0" hidden="1" customHeight="1" outlineLevel="1">
      <c r="A174" s="83" t="s">
        <v>97</v>
      </c>
      <c r="B174" s="92" t="s">
        <v>92</v>
      </c>
      <c r="C174" s="115" t="s">
        <v>252</v>
      </c>
      <c r="D174" s="93">
        <f>IF($A174="Feature",SUM(E174:F174)*'Roadmap setting'!$B$13,0)</f>
        <v>0</v>
      </c>
      <c r="E174" s="94"/>
      <c r="F174" s="94"/>
      <c r="G174" s="95">
        <f>IF($A174="Feature",IF('Roadmap setting'!$E$14,$F174*('Roadmap setting'!$B$14+'Roadmap setting'!$D$14),$F174*'Roadmap setting'!$B$14),0)</f>
        <v>0</v>
      </c>
      <c r="H174" s="93">
        <f>IF($A174="Feature",$E174*'Roadmap setting'!$B$15,0)</f>
        <v>0</v>
      </c>
      <c r="I174" s="95">
        <f>IF($A174="Feature",$F174*'Roadmap setting'!$B$16,0)</f>
        <v>0</v>
      </c>
      <c r="J174" s="93">
        <f>SUM($E174:$F174)*'Roadmap setting'!$B$17</f>
        <v>0</v>
      </c>
      <c r="K174" s="93">
        <f>SUM($E174:$F174)*'Roadmap setting'!$B$18</f>
        <v>0</v>
      </c>
      <c r="L174" s="93">
        <f>SUM($E174:$F174)*'Roadmap setting'!$B$19</f>
        <v>0</v>
      </c>
      <c r="M174" s="95">
        <f>SUM($E174:$F174)*'Roadmap setting'!$B$20</f>
        <v>0</v>
      </c>
      <c r="N174" s="79">
        <f t="shared" si="32"/>
        <v>0</v>
      </c>
      <c r="O174" s="96" t="b">
        <v>1</v>
      </c>
      <c r="P174" s="97"/>
      <c r="Q174" s="98"/>
      <c r="R174" s="97"/>
      <c r="S174" s="97"/>
      <c r="T174" s="97"/>
      <c r="U174" s="97"/>
      <c r="V174" s="99"/>
      <c r="W174" s="96" t="b">
        <v>0</v>
      </c>
      <c r="X174" s="97"/>
      <c r="Y174" s="98"/>
      <c r="Z174" s="97"/>
      <c r="AA174" s="97"/>
      <c r="AB174" s="97"/>
      <c r="AC174" s="97"/>
      <c r="AD174" s="99"/>
      <c r="AE174" s="96" t="b">
        <v>0</v>
      </c>
      <c r="AF174" s="97"/>
      <c r="AG174" s="98"/>
      <c r="AH174" s="97"/>
      <c r="AI174" s="97"/>
      <c r="AJ174" s="97"/>
      <c r="AK174" s="97"/>
      <c r="AL174" s="99"/>
      <c r="AM174" s="96" t="b">
        <v>0</v>
      </c>
      <c r="AN174" s="80">
        <f t="array" ref="AN174">INDEX(A174:AM174, MATCH(RIGHT('Roadmap setting'!$B$9, 3), $A$2:$AM$2, 0) - 1)
</f>
        <v>0</v>
      </c>
      <c r="AO174" s="100">
        <f t="array" ref="AO174">IFNA(LOOKUP(2,1/(ISNUMBER(AO132:AO173)),AO132:AO173)+(E174/(Resources!$P$55/7)),TODAY()+(E174/(Resources!$P$55/7)))</f>
        <v>45783.46498</v>
      </c>
      <c r="AP174" s="100">
        <f t="array" ref="AP174">IFNA(LOOKUP(2,1/(ISNUMBER(AP132:AP173)),AP132:AP173)+(F174/(Resources!$P$56/7)),TODAY()+(F174/(Resources!$P$56/7)))</f>
        <v>45783.88821</v>
      </c>
      <c r="AQ174" s="100">
        <f t="array" ref="AQ174">IF(ISNUMBER($AV174),IFNA(LOOKUP(2,1/(ISNUMBER(AQ132:AQ173)),AQ132:AQ173),TODAY()),IFNA(LOOKUP(2,1/(ISNUMBER(AQ132:AQ173)),AQ132:AQ173)+(E174/(Resources!$E$55/7)),TODAY()+(E174/(Resources!$E$55/7))))</f>
        <v>45790.25468</v>
      </c>
      <c r="AR174" s="100">
        <f t="array" ref="AR174">IF(ISNUMBER($AV174),IFNA(LOOKUP(2,1/(ISNUMBER(AR132:AR173)),AR132:AR173),TODAY()),IFNA(LOOKUP(2,1/(ISNUMBER(AR132:AR173)),AR132:AR173)+(F174/(Resources!$E$56/7)),TODAY()+(F174/(Resources!$E$56/7))))</f>
        <v>45788.55819</v>
      </c>
      <c r="AS174" s="100">
        <f t="shared" si="33"/>
        <v>45790.25468</v>
      </c>
      <c r="AT174" s="101"/>
      <c r="AU174" s="102"/>
      <c r="AV174" s="83"/>
    </row>
    <row r="175" ht="15.0" hidden="1" customHeight="1" outlineLevel="1">
      <c r="A175" s="83" t="s">
        <v>97</v>
      </c>
      <c r="B175" s="92" t="s">
        <v>100</v>
      </c>
      <c r="C175" s="115" t="s">
        <v>253</v>
      </c>
      <c r="D175" s="93">
        <f>IF($A175="Feature",SUM(E175:F175)*'Roadmap setting'!$B$13,0)</f>
        <v>0</v>
      </c>
      <c r="E175" s="94"/>
      <c r="F175" s="94"/>
      <c r="G175" s="95">
        <f>IF($A175="Feature",IF('Roadmap setting'!$E$14,$F175*('Roadmap setting'!$B$14+'Roadmap setting'!$D$14),$F175*'Roadmap setting'!$B$14),0)</f>
        <v>0</v>
      </c>
      <c r="H175" s="93">
        <f>IF($A175="Feature",$E175*'Roadmap setting'!$B$15,0)</f>
        <v>0</v>
      </c>
      <c r="I175" s="95">
        <f>IF($A175="Feature",$F175*'Roadmap setting'!$B$16,0)</f>
        <v>0</v>
      </c>
      <c r="J175" s="93">
        <f>SUM($E175:$F175)*'Roadmap setting'!$B$17</f>
        <v>0</v>
      </c>
      <c r="K175" s="93">
        <f>SUM($E175:$F175)*'Roadmap setting'!$B$18</f>
        <v>0</v>
      </c>
      <c r="L175" s="93">
        <f>SUM($E175:$F175)*'Roadmap setting'!$B$19</f>
        <v>0</v>
      </c>
      <c r="M175" s="95">
        <f>SUM($E175:$F175)*'Roadmap setting'!$B$20</f>
        <v>0</v>
      </c>
      <c r="N175" s="79">
        <f t="shared" si="32"/>
        <v>0</v>
      </c>
      <c r="O175" s="96" t="b">
        <v>1</v>
      </c>
      <c r="P175" s="97"/>
      <c r="Q175" s="98"/>
      <c r="R175" s="97"/>
      <c r="S175" s="97"/>
      <c r="T175" s="97"/>
      <c r="U175" s="97"/>
      <c r="V175" s="99"/>
      <c r="W175" s="96" t="b">
        <v>0</v>
      </c>
      <c r="X175" s="97"/>
      <c r="Y175" s="98"/>
      <c r="Z175" s="97"/>
      <c r="AA175" s="97"/>
      <c r="AB175" s="97"/>
      <c r="AC175" s="97"/>
      <c r="AD175" s="99"/>
      <c r="AE175" s="96" t="b">
        <v>0</v>
      </c>
      <c r="AF175" s="97"/>
      <c r="AG175" s="98"/>
      <c r="AH175" s="97"/>
      <c r="AI175" s="97"/>
      <c r="AJ175" s="97"/>
      <c r="AK175" s="97"/>
      <c r="AL175" s="99"/>
      <c r="AM175" s="96" t="b">
        <v>0</v>
      </c>
      <c r="AN175" s="80">
        <f t="array" ref="AN175">INDEX(A175:AM175, MATCH(RIGHT('Roadmap setting'!$B$9, 3), $A$2:$AM$2, 0) - 1)
</f>
        <v>0</v>
      </c>
      <c r="AO175" s="100">
        <f t="array" ref="AO175">IFNA(LOOKUP(2,1/(ISNUMBER(AO133:AO174)),AO133:AO174)+(E175/(Resources!$P$55/7)),TODAY()+(E175/(Resources!$P$55/7)))</f>
        <v>45783.46498</v>
      </c>
      <c r="AP175" s="100">
        <f t="array" ref="AP175">IFNA(LOOKUP(2,1/(ISNUMBER(AP133:AP174)),AP133:AP174)+(F175/(Resources!$P$56/7)),TODAY()+(F175/(Resources!$P$56/7)))</f>
        <v>45783.88821</v>
      </c>
      <c r="AQ175" s="100">
        <f t="array" ref="AQ175">IF(ISNUMBER($AV175),IFNA(LOOKUP(2,1/(ISNUMBER(AQ133:AQ174)),AQ133:AQ174),TODAY()),IFNA(LOOKUP(2,1/(ISNUMBER(AQ133:AQ174)),AQ133:AQ174)+(E175/(Resources!$E$55/7)),TODAY()+(E175/(Resources!$E$55/7))))</f>
        <v>45790.25468</v>
      </c>
      <c r="AR175" s="100">
        <f t="array" ref="AR175">IF(ISNUMBER($AV175),IFNA(LOOKUP(2,1/(ISNUMBER(AR133:AR174)),AR133:AR174),TODAY()),IFNA(LOOKUP(2,1/(ISNUMBER(AR133:AR174)),AR133:AR174)+(F175/(Resources!$E$56/7)),TODAY()+(F175/(Resources!$E$56/7))))</f>
        <v>45788.55819</v>
      </c>
      <c r="AS175" s="100">
        <f t="shared" si="33"/>
        <v>45790.25468</v>
      </c>
      <c r="AT175" s="101"/>
      <c r="AU175" s="102"/>
      <c r="AV175" s="83"/>
    </row>
    <row r="176" ht="15.0" hidden="1" customHeight="1" outlineLevel="1">
      <c r="A176" s="83" t="s">
        <v>97</v>
      </c>
      <c r="B176" s="92" t="s">
        <v>92</v>
      </c>
      <c r="C176" s="115" t="s">
        <v>254</v>
      </c>
      <c r="D176" s="93">
        <f>IF($A176="Feature",SUM(E176:F176)*'Roadmap setting'!$B$13,0)</f>
        <v>0</v>
      </c>
      <c r="E176" s="94"/>
      <c r="F176" s="94"/>
      <c r="G176" s="95">
        <f>IF($A176="Feature",IF('Roadmap setting'!$E$14,$F176*('Roadmap setting'!$B$14+'Roadmap setting'!$D$14),$F176*'Roadmap setting'!$B$14),0)</f>
        <v>0</v>
      </c>
      <c r="H176" s="93">
        <f>IF($A176="Feature",$E176*'Roadmap setting'!$B$15,0)</f>
        <v>0</v>
      </c>
      <c r="I176" s="95">
        <f>IF($A176="Feature",$F176*'Roadmap setting'!$B$16,0)</f>
        <v>0</v>
      </c>
      <c r="J176" s="93">
        <f>SUM($E176:$F176)*'Roadmap setting'!$B$17</f>
        <v>0</v>
      </c>
      <c r="K176" s="93">
        <f>SUM($E176:$F176)*'Roadmap setting'!$B$18</f>
        <v>0</v>
      </c>
      <c r="L176" s="93">
        <f>SUM($E176:$F176)*'Roadmap setting'!$B$19</f>
        <v>0</v>
      </c>
      <c r="M176" s="95">
        <f>SUM($E176:$F176)*'Roadmap setting'!$B$20</f>
        <v>0</v>
      </c>
      <c r="N176" s="79">
        <f t="shared" si="32"/>
        <v>0</v>
      </c>
      <c r="O176" s="96" t="b">
        <v>1</v>
      </c>
      <c r="P176" s="97"/>
      <c r="Q176" s="98"/>
      <c r="R176" s="97"/>
      <c r="S176" s="97"/>
      <c r="T176" s="97"/>
      <c r="U176" s="97"/>
      <c r="V176" s="99"/>
      <c r="W176" s="96" t="b">
        <v>0</v>
      </c>
      <c r="X176" s="97"/>
      <c r="Y176" s="98"/>
      <c r="Z176" s="97"/>
      <c r="AA176" s="97"/>
      <c r="AB176" s="97"/>
      <c r="AC176" s="97"/>
      <c r="AD176" s="99"/>
      <c r="AE176" s="96" t="b">
        <v>0</v>
      </c>
      <c r="AF176" s="97"/>
      <c r="AG176" s="98"/>
      <c r="AH176" s="97"/>
      <c r="AI176" s="97"/>
      <c r="AJ176" s="97"/>
      <c r="AK176" s="97"/>
      <c r="AL176" s="99"/>
      <c r="AM176" s="96" t="b">
        <v>0</v>
      </c>
      <c r="AN176" s="80">
        <f t="array" ref="AN176">INDEX(A176:AM176, MATCH(RIGHT('Roadmap setting'!$B$9, 3), $A$2:$AM$2, 0) - 1)
</f>
        <v>0</v>
      </c>
      <c r="AO176" s="100">
        <f t="array" ref="AO176">IFNA(LOOKUP(2,1/(ISNUMBER(AO134:AO175)),AO134:AO175)+(E176/(Resources!$P$55/7)),TODAY()+(E176/(Resources!$P$55/7)))</f>
        <v>45783.46498</v>
      </c>
      <c r="AP176" s="100">
        <f t="array" ref="AP176">IFNA(LOOKUP(2,1/(ISNUMBER(AP134:AP175)),AP134:AP175)+(F176/(Resources!$P$56/7)),TODAY()+(F176/(Resources!$P$56/7)))</f>
        <v>45783.88821</v>
      </c>
      <c r="AQ176" s="100">
        <f t="array" ref="AQ176">IF(ISNUMBER($AV176),IFNA(LOOKUP(2,1/(ISNUMBER(AQ134:AQ175)),AQ134:AQ175),TODAY()),IFNA(LOOKUP(2,1/(ISNUMBER(AQ134:AQ175)),AQ134:AQ175)+(E176/(Resources!$E$55/7)),TODAY()+(E176/(Resources!$E$55/7))))</f>
        <v>45790.25468</v>
      </c>
      <c r="AR176" s="100">
        <f t="array" ref="AR176">IF(ISNUMBER($AV176),IFNA(LOOKUP(2,1/(ISNUMBER(AR134:AR175)),AR134:AR175),TODAY()),IFNA(LOOKUP(2,1/(ISNUMBER(AR134:AR175)),AR134:AR175)+(F176/(Resources!$E$56/7)),TODAY()+(F176/(Resources!$E$56/7))))</f>
        <v>45788.55819</v>
      </c>
      <c r="AS176" s="100">
        <f t="shared" si="33"/>
        <v>45790.25468</v>
      </c>
      <c r="AT176" s="101"/>
      <c r="AU176" s="102"/>
      <c r="AV176" s="83"/>
    </row>
    <row r="177" ht="15.0" hidden="1" customHeight="1" outlineLevel="1">
      <c r="A177" s="83" t="s">
        <v>97</v>
      </c>
      <c r="B177" s="92" t="s">
        <v>92</v>
      </c>
      <c r="C177" s="115" t="s">
        <v>255</v>
      </c>
      <c r="D177" s="93">
        <f>IF($A177="Feature",SUM(E177:F177)*'Roadmap setting'!$B$13,0)</f>
        <v>0</v>
      </c>
      <c r="E177" s="94"/>
      <c r="F177" s="94"/>
      <c r="G177" s="95">
        <f>IF($A177="Feature",IF('Roadmap setting'!$E$14,$F177*('Roadmap setting'!$B$14+'Roadmap setting'!$D$14),$F177*'Roadmap setting'!$B$14),0)</f>
        <v>0</v>
      </c>
      <c r="H177" s="93">
        <f>IF($A177="Feature",$E177*'Roadmap setting'!$B$15,0)</f>
        <v>0</v>
      </c>
      <c r="I177" s="95">
        <f>IF($A177="Feature",$F177*'Roadmap setting'!$B$16,0)</f>
        <v>0</v>
      </c>
      <c r="J177" s="93">
        <f>SUM($E177:$F177)*'Roadmap setting'!$B$17</f>
        <v>0</v>
      </c>
      <c r="K177" s="93">
        <f>SUM($E177:$F177)*'Roadmap setting'!$B$18</f>
        <v>0</v>
      </c>
      <c r="L177" s="93">
        <f>SUM($E177:$F177)*'Roadmap setting'!$B$19</f>
        <v>0</v>
      </c>
      <c r="M177" s="95">
        <f>SUM($E177:$F177)*'Roadmap setting'!$B$20</f>
        <v>0</v>
      </c>
      <c r="N177" s="79">
        <f t="shared" si="32"/>
        <v>0</v>
      </c>
      <c r="O177" s="96" t="b">
        <v>1</v>
      </c>
      <c r="P177" s="97"/>
      <c r="Q177" s="98"/>
      <c r="R177" s="97"/>
      <c r="S177" s="97"/>
      <c r="T177" s="97"/>
      <c r="U177" s="97"/>
      <c r="V177" s="99"/>
      <c r="W177" s="96" t="b">
        <v>0</v>
      </c>
      <c r="X177" s="97"/>
      <c r="Y177" s="98"/>
      <c r="Z177" s="97"/>
      <c r="AA177" s="97"/>
      <c r="AB177" s="97"/>
      <c r="AC177" s="97"/>
      <c r="AD177" s="99"/>
      <c r="AE177" s="96" t="b">
        <v>0</v>
      </c>
      <c r="AF177" s="97"/>
      <c r="AG177" s="98"/>
      <c r="AH177" s="97"/>
      <c r="AI177" s="97"/>
      <c r="AJ177" s="97"/>
      <c r="AK177" s="97"/>
      <c r="AL177" s="99"/>
      <c r="AM177" s="96" t="b">
        <v>0</v>
      </c>
      <c r="AN177" s="80">
        <f t="array" ref="AN177">INDEX(A177:AM177, MATCH(RIGHT('Roadmap setting'!$B$9, 3), $A$2:$AM$2, 0) - 1)
</f>
        <v>0</v>
      </c>
      <c r="AO177" s="100">
        <f t="array" ref="AO177">IFNA(LOOKUP(2,1/(ISNUMBER(AO135:AO176)),AO135:AO176)+(E177/(Resources!$P$55/7)),TODAY()+(E177/(Resources!$P$55/7)))</f>
        <v>45783.46498</v>
      </c>
      <c r="AP177" s="100">
        <f t="array" ref="AP177">IFNA(LOOKUP(2,1/(ISNUMBER(AP135:AP176)),AP135:AP176)+(F177/(Resources!$P$56/7)),TODAY()+(F177/(Resources!$P$56/7)))</f>
        <v>45783.88821</v>
      </c>
      <c r="AQ177" s="100">
        <f t="array" ref="AQ177">IF(ISNUMBER($AV177),IFNA(LOOKUP(2,1/(ISNUMBER(AQ135:AQ176)),AQ135:AQ176),TODAY()),IFNA(LOOKUP(2,1/(ISNUMBER(AQ135:AQ176)),AQ135:AQ176)+(E177/(Resources!$E$55/7)),TODAY()+(E177/(Resources!$E$55/7))))</f>
        <v>45790.25468</v>
      </c>
      <c r="AR177" s="100">
        <f t="array" ref="AR177">IF(ISNUMBER($AV177),IFNA(LOOKUP(2,1/(ISNUMBER(AR135:AR176)),AR135:AR176),TODAY()),IFNA(LOOKUP(2,1/(ISNUMBER(AR135:AR176)),AR135:AR176)+(F177/(Resources!$E$56/7)),TODAY()+(F177/(Resources!$E$56/7))))</f>
        <v>45788.55819</v>
      </c>
      <c r="AS177" s="100">
        <f t="shared" si="33"/>
        <v>45790.25468</v>
      </c>
      <c r="AT177" s="101"/>
      <c r="AU177" s="102"/>
      <c r="AV177" s="83"/>
    </row>
    <row r="178" ht="15.0" hidden="1" customHeight="1" outlineLevel="1">
      <c r="A178" s="83" t="s">
        <v>97</v>
      </c>
      <c r="B178" s="92" t="s">
        <v>100</v>
      </c>
      <c r="C178" s="115" t="s">
        <v>256</v>
      </c>
      <c r="D178" s="93">
        <f>IF($A178="Feature",SUM(E178:F178)*'Roadmap setting'!$B$13,0)</f>
        <v>0</v>
      </c>
      <c r="E178" s="94"/>
      <c r="F178" s="94"/>
      <c r="G178" s="95">
        <f>IF($A178="Feature",IF('Roadmap setting'!$E$14,$F178*('Roadmap setting'!$B$14+'Roadmap setting'!$D$14),$F178*'Roadmap setting'!$B$14),0)</f>
        <v>0</v>
      </c>
      <c r="H178" s="93">
        <f>IF($A178="Feature",$E178*'Roadmap setting'!$B$15,0)</f>
        <v>0</v>
      </c>
      <c r="I178" s="95">
        <f>IF($A178="Feature",$F178*'Roadmap setting'!$B$16,0)</f>
        <v>0</v>
      </c>
      <c r="J178" s="93">
        <f>SUM($E178:$F178)*'Roadmap setting'!$B$17</f>
        <v>0</v>
      </c>
      <c r="K178" s="93">
        <f>SUM($E178:$F178)*'Roadmap setting'!$B$18</f>
        <v>0</v>
      </c>
      <c r="L178" s="93">
        <f>SUM($E178:$F178)*'Roadmap setting'!$B$19</f>
        <v>0</v>
      </c>
      <c r="M178" s="95">
        <f>SUM($E178:$F178)*'Roadmap setting'!$B$20</f>
        <v>0</v>
      </c>
      <c r="N178" s="79">
        <f t="shared" si="32"/>
        <v>0</v>
      </c>
      <c r="O178" s="96" t="b">
        <v>1</v>
      </c>
      <c r="P178" s="97"/>
      <c r="Q178" s="98"/>
      <c r="R178" s="97"/>
      <c r="S178" s="97"/>
      <c r="T178" s="97"/>
      <c r="U178" s="97"/>
      <c r="V178" s="99"/>
      <c r="W178" s="96" t="b">
        <v>0</v>
      </c>
      <c r="X178" s="97"/>
      <c r="Y178" s="98"/>
      <c r="Z178" s="97"/>
      <c r="AA178" s="97"/>
      <c r="AB178" s="97"/>
      <c r="AC178" s="97"/>
      <c r="AD178" s="99"/>
      <c r="AE178" s="96" t="b">
        <v>0</v>
      </c>
      <c r="AF178" s="97"/>
      <c r="AG178" s="98"/>
      <c r="AH178" s="97"/>
      <c r="AI178" s="97"/>
      <c r="AJ178" s="97"/>
      <c r="AK178" s="97"/>
      <c r="AL178" s="99"/>
      <c r="AM178" s="96" t="b">
        <v>0</v>
      </c>
      <c r="AN178" s="80">
        <f t="array" ref="AN178">INDEX(A178:AM178, MATCH(RIGHT('Roadmap setting'!$B$9, 3), $A$2:$AM$2, 0) - 1)
</f>
        <v>0</v>
      </c>
      <c r="AO178" s="100">
        <f t="array" ref="AO178">IFNA(LOOKUP(2,1/(ISNUMBER(AO136:AO177)),AO136:AO177)+(E178/(Resources!$P$55/7)),TODAY()+(E178/(Resources!$P$55/7)))</f>
        <v>45783.46498</v>
      </c>
      <c r="AP178" s="100">
        <f t="array" ref="AP178">IFNA(LOOKUP(2,1/(ISNUMBER(AP136:AP177)),AP136:AP177)+(F178/(Resources!$P$56/7)),TODAY()+(F178/(Resources!$P$56/7)))</f>
        <v>45783.88821</v>
      </c>
      <c r="AQ178" s="100">
        <f t="array" ref="AQ178">IF(ISNUMBER($AV178),IFNA(LOOKUP(2,1/(ISNUMBER(AQ136:AQ177)),AQ136:AQ177),TODAY()),IFNA(LOOKUP(2,1/(ISNUMBER(AQ136:AQ177)),AQ136:AQ177)+(E178/(Resources!$E$55/7)),TODAY()+(E178/(Resources!$E$55/7))))</f>
        <v>45790.25468</v>
      </c>
      <c r="AR178" s="100">
        <f t="array" ref="AR178">IF(ISNUMBER($AV178),IFNA(LOOKUP(2,1/(ISNUMBER(AR136:AR177)),AR136:AR177),TODAY()),IFNA(LOOKUP(2,1/(ISNUMBER(AR136:AR177)),AR136:AR177)+(F178/(Resources!$E$56/7)),TODAY()+(F178/(Resources!$E$56/7))))</f>
        <v>45788.55819</v>
      </c>
      <c r="AS178" s="100">
        <f t="shared" si="33"/>
        <v>45790.25468</v>
      </c>
      <c r="AT178" s="101"/>
      <c r="AU178" s="102"/>
      <c r="AV178" s="83"/>
    </row>
    <row r="179" ht="15.0" hidden="1" customHeight="1" outlineLevel="1">
      <c r="A179" s="83" t="s">
        <v>97</v>
      </c>
      <c r="B179" s="92" t="s">
        <v>100</v>
      </c>
      <c r="C179" s="115" t="s">
        <v>257</v>
      </c>
      <c r="D179" s="93">
        <f>IF($A179="Feature",SUM(E179:F179)*'Roadmap setting'!$B$13,0)</f>
        <v>0</v>
      </c>
      <c r="E179" s="94"/>
      <c r="F179" s="94"/>
      <c r="G179" s="95">
        <f>IF($A179="Feature",IF('Roadmap setting'!$E$14,$F179*('Roadmap setting'!$B$14+'Roadmap setting'!$D$14),$F179*'Roadmap setting'!$B$14),0)</f>
        <v>0</v>
      </c>
      <c r="H179" s="93">
        <f>IF($A179="Feature",$E179*'Roadmap setting'!$B$15,0)</f>
        <v>0</v>
      </c>
      <c r="I179" s="95">
        <f>IF($A179="Feature",$F179*'Roadmap setting'!$B$16,0)</f>
        <v>0</v>
      </c>
      <c r="J179" s="93">
        <f>SUM($E179:$F179)*'Roadmap setting'!$B$17</f>
        <v>0</v>
      </c>
      <c r="K179" s="93">
        <f>SUM($E179:$F179)*'Roadmap setting'!$B$18</f>
        <v>0</v>
      </c>
      <c r="L179" s="93">
        <f>SUM($E179:$F179)*'Roadmap setting'!$B$19</f>
        <v>0</v>
      </c>
      <c r="M179" s="95">
        <f>SUM($E179:$F179)*'Roadmap setting'!$B$20</f>
        <v>0</v>
      </c>
      <c r="N179" s="79">
        <f t="shared" si="32"/>
        <v>0</v>
      </c>
      <c r="O179" s="96" t="b">
        <v>1</v>
      </c>
      <c r="P179" s="97"/>
      <c r="Q179" s="98"/>
      <c r="R179" s="97"/>
      <c r="S179" s="97"/>
      <c r="T179" s="97"/>
      <c r="U179" s="97"/>
      <c r="V179" s="99"/>
      <c r="W179" s="96" t="b">
        <v>0</v>
      </c>
      <c r="X179" s="97"/>
      <c r="Y179" s="98"/>
      <c r="Z179" s="97"/>
      <c r="AA179" s="97"/>
      <c r="AB179" s="97"/>
      <c r="AC179" s="97"/>
      <c r="AD179" s="99"/>
      <c r="AE179" s="96" t="b">
        <v>0</v>
      </c>
      <c r="AF179" s="97"/>
      <c r="AG179" s="98"/>
      <c r="AH179" s="97"/>
      <c r="AI179" s="97"/>
      <c r="AJ179" s="97"/>
      <c r="AK179" s="97"/>
      <c r="AL179" s="99"/>
      <c r="AM179" s="96" t="b">
        <v>0</v>
      </c>
      <c r="AN179" s="80">
        <f t="array" ref="AN179">INDEX(A179:AM179, MATCH(RIGHT('Roadmap setting'!$B$9, 3), $A$2:$AM$2, 0) - 1)
</f>
        <v>0</v>
      </c>
      <c r="AO179" s="100">
        <f t="array" ref="AO179">IFNA(LOOKUP(2,1/(ISNUMBER(AO137:AO178)),AO137:AO178)+(E179/(Resources!$P$55/7)),TODAY()+(E179/(Resources!$P$55/7)))</f>
        <v>45783.46498</v>
      </c>
      <c r="AP179" s="100">
        <f t="array" ref="AP179">IFNA(LOOKUP(2,1/(ISNUMBER(AP137:AP178)),AP137:AP178)+(F179/(Resources!$P$56/7)),TODAY()+(F179/(Resources!$P$56/7)))</f>
        <v>45783.88821</v>
      </c>
      <c r="AQ179" s="100">
        <f t="array" ref="AQ179">IF(ISNUMBER($AV179),IFNA(LOOKUP(2,1/(ISNUMBER(AQ137:AQ178)),AQ137:AQ178),TODAY()),IFNA(LOOKUP(2,1/(ISNUMBER(AQ137:AQ178)),AQ137:AQ178)+(E179/(Resources!$E$55/7)),TODAY()+(E179/(Resources!$E$55/7))))</f>
        <v>45790.25468</v>
      </c>
      <c r="AR179" s="100">
        <f t="array" ref="AR179">IF(ISNUMBER($AV179),IFNA(LOOKUP(2,1/(ISNUMBER(AR137:AR178)),AR137:AR178),TODAY()),IFNA(LOOKUP(2,1/(ISNUMBER(AR137:AR178)),AR137:AR178)+(F179/(Resources!$E$56/7)),TODAY()+(F179/(Resources!$E$56/7))))</f>
        <v>45788.55819</v>
      </c>
      <c r="AS179" s="100">
        <f t="shared" si="33"/>
        <v>45790.25468</v>
      </c>
      <c r="AT179" s="101"/>
      <c r="AU179" s="102"/>
      <c r="AV179" s="83"/>
    </row>
    <row r="180" ht="15.0" hidden="1" customHeight="1" outlineLevel="1">
      <c r="A180" s="83" t="s">
        <v>97</v>
      </c>
      <c r="B180" s="92" t="s">
        <v>92</v>
      </c>
      <c r="C180" s="115" t="s">
        <v>258</v>
      </c>
      <c r="D180" s="93">
        <f>IF($A180="Feature",SUM(E180:F180)*'Roadmap setting'!$B$13,0)</f>
        <v>0</v>
      </c>
      <c r="E180" s="94"/>
      <c r="F180" s="94"/>
      <c r="G180" s="95">
        <f>IF($A180="Feature",IF('Roadmap setting'!$E$14,$F180*('Roadmap setting'!$B$14+'Roadmap setting'!$D$14),$F180*'Roadmap setting'!$B$14),0)</f>
        <v>0</v>
      </c>
      <c r="H180" s="93">
        <f>IF($A180="Feature",$E180*'Roadmap setting'!$B$15,0)</f>
        <v>0</v>
      </c>
      <c r="I180" s="95">
        <f>IF($A180="Feature",$F180*'Roadmap setting'!$B$16,0)</f>
        <v>0</v>
      </c>
      <c r="J180" s="93">
        <f>SUM($E180:$F180)*'Roadmap setting'!$B$17</f>
        <v>0</v>
      </c>
      <c r="K180" s="93">
        <f>SUM($E180:$F180)*'Roadmap setting'!$B$18</f>
        <v>0</v>
      </c>
      <c r="L180" s="93">
        <f>SUM($E180:$F180)*'Roadmap setting'!$B$19</f>
        <v>0</v>
      </c>
      <c r="M180" s="95">
        <f>SUM($E180:$F180)*'Roadmap setting'!$B$20</f>
        <v>0</v>
      </c>
      <c r="N180" s="79">
        <f t="shared" si="32"/>
        <v>0</v>
      </c>
      <c r="O180" s="96" t="b">
        <v>1</v>
      </c>
      <c r="P180" s="97"/>
      <c r="Q180" s="98"/>
      <c r="R180" s="97"/>
      <c r="S180" s="97"/>
      <c r="T180" s="97"/>
      <c r="U180" s="97"/>
      <c r="V180" s="99"/>
      <c r="W180" s="96" t="b">
        <v>0</v>
      </c>
      <c r="X180" s="97"/>
      <c r="Y180" s="98"/>
      <c r="Z180" s="97"/>
      <c r="AA180" s="97"/>
      <c r="AB180" s="97"/>
      <c r="AC180" s="97"/>
      <c r="AD180" s="99"/>
      <c r="AE180" s="96" t="b">
        <v>0</v>
      </c>
      <c r="AF180" s="97"/>
      <c r="AG180" s="98"/>
      <c r="AH180" s="97"/>
      <c r="AI180" s="97"/>
      <c r="AJ180" s="97"/>
      <c r="AK180" s="97"/>
      <c r="AL180" s="99"/>
      <c r="AM180" s="96" t="b">
        <v>0</v>
      </c>
      <c r="AN180" s="80">
        <f t="array" ref="AN180">INDEX(A180:AM180, MATCH(RIGHT('Roadmap setting'!$B$9, 3), $A$2:$AM$2, 0) - 1)
</f>
        <v>0</v>
      </c>
      <c r="AO180" s="100">
        <f t="array" ref="AO180">IFNA(LOOKUP(2,1/(ISNUMBER(AO138:AO179)),AO138:AO179)+(E180/(Resources!$P$55/7)),TODAY()+(E180/(Resources!$P$55/7)))</f>
        <v>45783.46498</v>
      </c>
      <c r="AP180" s="100">
        <f t="array" ref="AP180">IFNA(LOOKUP(2,1/(ISNUMBER(AP138:AP179)),AP138:AP179)+(F180/(Resources!$P$56/7)),TODAY()+(F180/(Resources!$P$56/7)))</f>
        <v>45783.88821</v>
      </c>
      <c r="AQ180" s="100">
        <f t="array" ref="AQ180">IF(ISNUMBER($AV180),IFNA(LOOKUP(2,1/(ISNUMBER(AQ138:AQ179)),AQ138:AQ179),TODAY()),IFNA(LOOKUP(2,1/(ISNUMBER(AQ138:AQ179)),AQ138:AQ179)+(E180/(Resources!$E$55/7)),TODAY()+(E180/(Resources!$E$55/7))))</f>
        <v>45790.25468</v>
      </c>
      <c r="AR180" s="100">
        <f t="array" ref="AR180">IF(ISNUMBER($AV180),IFNA(LOOKUP(2,1/(ISNUMBER(AR138:AR179)),AR138:AR179),TODAY()),IFNA(LOOKUP(2,1/(ISNUMBER(AR138:AR179)),AR138:AR179)+(F180/(Resources!$E$56/7)),TODAY()+(F180/(Resources!$E$56/7))))</f>
        <v>45788.55819</v>
      </c>
      <c r="AS180" s="100">
        <f t="shared" si="33"/>
        <v>45790.25468</v>
      </c>
      <c r="AT180" s="101"/>
      <c r="AU180" s="102"/>
      <c r="AV180" s="83"/>
    </row>
    <row r="181" ht="15.0" hidden="1" customHeight="1" outlineLevel="1">
      <c r="A181" s="83" t="s">
        <v>97</v>
      </c>
      <c r="B181" s="92" t="s">
        <v>100</v>
      </c>
      <c r="C181" s="115" t="s">
        <v>259</v>
      </c>
      <c r="D181" s="93">
        <f>IF($A181="Feature",SUM(E181:F181)*'Roadmap setting'!$B$13,0)</f>
        <v>0</v>
      </c>
      <c r="E181" s="94"/>
      <c r="F181" s="94"/>
      <c r="G181" s="95">
        <f>IF($A181="Feature",IF('Roadmap setting'!$E$14,$F181*('Roadmap setting'!$B$14+'Roadmap setting'!$D$14),$F181*'Roadmap setting'!$B$14),0)</f>
        <v>0</v>
      </c>
      <c r="H181" s="93">
        <f>IF($A181="Feature",$E181*'Roadmap setting'!$B$15,0)</f>
        <v>0</v>
      </c>
      <c r="I181" s="95">
        <f>IF($A181="Feature",$F181*'Roadmap setting'!$B$16,0)</f>
        <v>0</v>
      </c>
      <c r="J181" s="93">
        <f>SUM($E181:$F181)*'Roadmap setting'!$B$17</f>
        <v>0</v>
      </c>
      <c r="K181" s="93">
        <f>SUM($E181:$F181)*'Roadmap setting'!$B$18</f>
        <v>0</v>
      </c>
      <c r="L181" s="93">
        <f>SUM($E181:$F181)*'Roadmap setting'!$B$19</f>
        <v>0</v>
      </c>
      <c r="M181" s="95">
        <f>SUM($E181:$F181)*'Roadmap setting'!$B$20</f>
        <v>0</v>
      </c>
      <c r="N181" s="79">
        <f t="shared" si="32"/>
        <v>0</v>
      </c>
      <c r="O181" s="96" t="b">
        <v>1</v>
      </c>
      <c r="P181" s="97"/>
      <c r="Q181" s="98"/>
      <c r="R181" s="97"/>
      <c r="S181" s="97"/>
      <c r="T181" s="97"/>
      <c r="U181" s="97"/>
      <c r="V181" s="99"/>
      <c r="W181" s="96" t="b">
        <v>0</v>
      </c>
      <c r="X181" s="97"/>
      <c r="Y181" s="98"/>
      <c r="Z181" s="97"/>
      <c r="AA181" s="97"/>
      <c r="AB181" s="97"/>
      <c r="AC181" s="97"/>
      <c r="AD181" s="99"/>
      <c r="AE181" s="96" t="b">
        <v>0</v>
      </c>
      <c r="AF181" s="97"/>
      <c r="AG181" s="98"/>
      <c r="AH181" s="97"/>
      <c r="AI181" s="97"/>
      <c r="AJ181" s="97"/>
      <c r="AK181" s="97"/>
      <c r="AL181" s="99"/>
      <c r="AM181" s="96" t="b">
        <v>0</v>
      </c>
      <c r="AN181" s="80">
        <f t="array" ref="AN181">INDEX(A181:AM181, MATCH(RIGHT('Roadmap setting'!$B$9, 3), $A$2:$AM$2, 0) - 1)
</f>
        <v>0</v>
      </c>
      <c r="AO181" s="100">
        <f t="array" ref="AO181">IFNA(LOOKUP(2,1/(ISNUMBER(AO153:AO180)),AO153:AO180)+(E181/(Resources!$P$55/7)),TODAY()+(E181/(Resources!$P$55/7)))</f>
        <v>45783.46498</v>
      </c>
      <c r="AP181" s="100">
        <f t="array" ref="AP181">IFNA(LOOKUP(2,1/(ISNUMBER(AP153:AP180)),AP153:AP180)+(F181/(Resources!$P$56/7)),TODAY()+(F181/(Resources!$P$56/7)))</f>
        <v>45783.88821</v>
      </c>
      <c r="AQ181" s="100">
        <f t="array" ref="AQ181">IF(ISNUMBER($AV181),IFNA(LOOKUP(2,1/(ISNUMBER(AQ153:AQ180)),AQ153:AQ180),TODAY()),IFNA(LOOKUP(2,1/(ISNUMBER(AQ153:AQ180)),AQ153:AQ180)+(E181/(Resources!$E$55/7)),TODAY()+(E181/(Resources!$E$55/7))))</f>
        <v>45790.25468</v>
      </c>
      <c r="AR181" s="100">
        <f t="array" ref="AR181">IF(ISNUMBER($AV181),IFNA(LOOKUP(2,1/(ISNUMBER(AR153:AR180)),AR153:AR180),TODAY()),IFNA(LOOKUP(2,1/(ISNUMBER(AR153:AR180)),AR153:AR180)+(F181/(Resources!$E$56/7)),TODAY()+(F181/(Resources!$E$56/7))))</f>
        <v>45788.55819</v>
      </c>
      <c r="AS181" s="100">
        <f t="shared" si="33"/>
        <v>45790.25468</v>
      </c>
      <c r="AT181" s="101"/>
      <c r="AU181" s="102"/>
      <c r="AV181" s="83"/>
    </row>
    <row r="182" ht="15.0" hidden="1" customHeight="1" outlineLevel="1">
      <c r="A182" s="83" t="s">
        <v>97</v>
      </c>
      <c r="B182" s="92" t="s">
        <v>112</v>
      </c>
      <c r="C182" s="115" t="s">
        <v>260</v>
      </c>
      <c r="D182" s="93">
        <f>IF($A182="Feature",SUM(E182:F182)*'Roadmap setting'!$B$13,0)</f>
        <v>0</v>
      </c>
      <c r="E182" s="94"/>
      <c r="F182" s="94"/>
      <c r="G182" s="95">
        <f>IF($A182="Feature",IF('Roadmap setting'!$E$14,$F182*('Roadmap setting'!$B$14+'Roadmap setting'!$D$14),$F182*'Roadmap setting'!$B$14),0)</f>
        <v>0</v>
      </c>
      <c r="H182" s="93">
        <f>IF($A182="Feature",$E182*'Roadmap setting'!$B$15,0)</f>
        <v>0</v>
      </c>
      <c r="I182" s="95">
        <f>IF($A182="Feature",$F182*'Roadmap setting'!$B$16,0)</f>
        <v>0</v>
      </c>
      <c r="J182" s="93">
        <f>SUM($E182:$F182)*'Roadmap setting'!$B$17</f>
        <v>0</v>
      </c>
      <c r="K182" s="93">
        <f>SUM($E182:$F182)*'Roadmap setting'!$B$18</f>
        <v>0</v>
      </c>
      <c r="L182" s="93">
        <f>SUM($E182:$F182)*'Roadmap setting'!$B$19</f>
        <v>0</v>
      </c>
      <c r="M182" s="95">
        <f>SUM($E182:$F182)*'Roadmap setting'!$B$20</f>
        <v>0</v>
      </c>
      <c r="N182" s="79">
        <f t="shared" si="32"/>
        <v>0</v>
      </c>
      <c r="O182" s="96" t="b">
        <v>1</v>
      </c>
      <c r="P182" s="97"/>
      <c r="Q182" s="98"/>
      <c r="R182" s="97"/>
      <c r="S182" s="97"/>
      <c r="T182" s="97"/>
      <c r="U182" s="97"/>
      <c r="V182" s="99"/>
      <c r="W182" s="96" t="b">
        <v>0</v>
      </c>
      <c r="X182" s="97"/>
      <c r="Y182" s="98"/>
      <c r="Z182" s="97"/>
      <c r="AA182" s="97"/>
      <c r="AB182" s="97"/>
      <c r="AC182" s="97"/>
      <c r="AD182" s="99"/>
      <c r="AE182" s="96" t="b">
        <v>0</v>
      </c>
      <c r="AF182" s="97"/>
      <c r="AG182" s="98"/>
      <c r="AH182" s="97"/>
      <c r="AI182" s="97"/>
      <c r="AJ182" s="97"/>
      <c r="AK182" s="97"/>
      <c r="AL182" s="99"/>
      <c r="AM182" s="96" t="b">
        <v>0</v>
      </c>
      <c r="AN182" s="80">
        <f t="array" ref="AN182">INDEX(A182:AM182, MATCH(RIGHT('Roadmap setting'!$B$9, 3), $A$2:$AM$2, 0) - 1)
</f>
        <v>0</v>
      </c>
      <c r="AO182" s="100">
        <f t="array" ref="AO182">IFNA(LOOKUP(2,1/(ISNUMBER(AO154:AO181)),AO154:AO181)+(E182/(Resources!$P$55/7)),TODAY()+(E182/(Resources!$P$55/7)))</f>
        <v>45783.46498</v>
      </c>
      <c r="AP182" s="100">
        <f t="array" ref="AP182">IFNA(LOOKUP(2,1/(ISNUMBER(AP154:AP181)),AP154:AP181)+(F182/(Resources!$P$56/7)),TODAY()+(F182/(Resources!$P$56/7)))</f>
        <v>45783.88821</v>
      </c>
      <c r="AQ182" s="100">
        <f t="array" ref="AQ182">IF(ISNUMBER($AV182),IFNA(LOOKUP(2,1/(ISNUMBER(AQ154:AQ181)),AQ154:AQ181),TODAY()),IFNA(LOOKUP(2,1/(ISNUMBER(AQ154:AQ181)),AQ154:AQ181)+(E182/(Resources!$E$55/7)),TODAY()+(E182/(Resources!$E$55/7))))</f>
        <v>45790.25468</v>
      </c>
      <c r="AR182" s="100">
        <f t="array" ref="AR182">IF(ISNUMBER($AV182),IFNA(LOOKUP(2,1/(ISNUMBER(AR154:AR181)),AR154:AR181),TODAY()),IFNA(LOOKUP(2,1/(ISNUMBER(AR154:AR181)),AR154:AR181)+(F182/(Resources!$E$56/7)),TODAY()+(F182/(Resources!$E$56/7))))</f>
        <v>45788.55819</v>
      </c>
      <c r="AS182" s="100">
        <f t="shared" si="33"/>
        <v>45790.25468</v>
      </c>
      <c r="AT182" s="101"/>
      <c r="AU182" s="102"/>
      <c r="AV182" s="83"/>
    </row>
    <row r="183" ht="15.0" hidden="1" customHeight="1" outlineLevel="1">
      <c r="A183" s="83" t="s">
        <v>224</v>
      </c>
      <c r="B183" s="92" t="s">
        <v>92</v>
      </c>
      <c r="C183" s="115" t="s">
        <v>261</v>
      </c>
      <c r="D183" s="93">
        <f>IF($A183="Feature",SUM(E183:F183)*'Roadmap setting'!$B$13,0)</f>
        <v>0</v>
      </c>
      <c r="E183" s="94"/>
      <c r="F183" s="94"/>
      <c r="G183" s="95">
        <f>IF($A183="Feature",IF('Roadmap setting'!$E$14,$F183*('Roadmap setting'!$B$14+'Roadmap setting'!$D$14),$F183*'Roadmap setting'!$B$14),0)</f>
        <v>0</v>
      </c>
      <c r="H183" s="93">
        <f>IF($A183="Feature",$E183*'Roadmap setting'!$B$15,0)</f>
        <v>0</v>
      </c>
      <c r="I183" s="95">
        <f>IF($A183="Feature",$F183*'Roadmap setting'!$B$16,0)</f>
        <v>0</v>
      </c>
      <c r="J183" s="93">
        <f>SUM($E183:$F183)*'Roadmap setting'!$B$17</f>
        <v>0</v>
      </c>
      <c r="K183" s="93">
        <f>SUM($E183:$F183)*'Roadmap setting'!$B$18</f>
        <v>0</v>
      </c>
      <c r="L183" s="93">
        <f>SUM($E183:$F183)*'Roadmap setting'!$B$19</f>
        <v>0</v>
      </c>
      <c r="M183" s="95">
        <f>SUM($E183:$F183)*'Roadmap setting'!$B$20</f>
        <v>0</v>
      </c>
      <c r="N183" s="79">
        <f t="shared" si="32"/>
        <v>0</v>
      </c>
      <c r="O183" s="96" t="b">
        <v>1</v>
      </c>
      <c r="P183" s="97"/>
      <c r="Q183" s="98"/>
      <c r="R183" s="97"/>
      <c r="S183" s="97"/>
      <c r="T183" s="97"/>
      <c r="U183" s="97"/>
      <c r="V183" s="99"/>
      <c r="W183" s="96" t="b">
        <v>0</v>
      </c>
      <c r="X183" s="97"/>
      <c r="Y183" s="98"/>
      <c r="Z183" s="97"/>
      <c r="AA183" s="97"/>
      <c r="AB183" s="97"/>
      <c r="AC183" s="97"/>
      <c r="AD183" s="99"/>
      <c r="AE183" s="96" t="b">
        <v>0</v>
      </c>
      <c r="AF183" s="97"/>
      <c r="AG183" s="98"/>
      <c r="AH183" s="97"/>
      <c r="AI183" s="97"/>
      <c r="AJ183" s="97"/>
      <c r="AK183" s="97"/>
      <c r="AL183" s="99"/>
      <c r="AM183" s="96" t="b">
        <v>0</v>
      </c>
      <c r="AN183" s="80">
        <f t="array" ref="AN183">INDEX(A183:AM183, MATCH(RIGHT('Roadmap setting'!$B$9, 3), $A$2:$AM$2, 0) - 1)
</f>
        <v>0</v>
      </c>
      <c r="AO183" s="100">
        <f t="array" ref="AO183">IFNA(LOOKUP(2,1/(ISNUMBER(AO139:AO145)),AO139:AO145)+(E183/(Resources!$P$55/7)),TODAY()+(E183/(Resources!$P$55/7)))</f>
        <v>45784.08661</v>
      </c>
      <c r="AP183" s="100">
        <f t="array" ref="AP183">IFNA(LOOKUP(2,1/(ISNUMBER(AP139:AP145)),AP139:AP145)+(F183/(Resources!$P$56/7)),TODAY()+(F183/(Resources!$P$56/7)))</f>
        <v>45784.40226</v>
      </c>
      <c r="AQ183" s="100">
        <f t="array" ref="AQ183">IF(ISNUMBER($AV183),IFNA(LOOKUP(2,1/(ISNUMBER(AQ139:AQ145)),AQ139:AQ145),TODAY()),IFNA(LOOKUP(2,1/(ISNUMBER(AQ139:AQ145)),AQ139:AQ145)+(E183/(Resources!$E$55/7)),TODAY()+(E183/(Resources!$E$55/7))))</f>
        <v>45791.52917</v>
      </c>
      <c r="AR183" s="100">
        <f t="array" ref="AR183">IF(ISNUMBER($AV183),IFNA(LOOKUP(2,1/(ISNUMBER(AR139:AR145)),AR139:AR145),TODAY()),IFNA(LOOKUP(2,1/(ISNUMBER(AR139:AR145)),AR139:AR145)+(F183/(Resources!$E$56/7)),TODAY()+(F183/(Resources!$E$56/7))))</f>
        <v>45789.42074</v>
      </c>
      <c r="AS183" s="100">
        <f t="shared" si="33"/>
        <v>45791.52917</v>
      </c>
      <c r="AT183" s="101"/>
      <c r="AU183" s="102"/>
      <c r="AV183" s="83"/>
    </row>
    <row r="184" ht="15.0" hidden="1" customHeight="1" outlineLevel="1">
      <c r="A184" s="83" t="s">
        <v>224</v>
      </c>
      <c r="B184" s="92" t="s">
        <v>92</v>
      </c>
      <c r="C184" s="115" t="s">
        <v>262</v>
      </c>
      <c r="D184" s="93">
        <f>IF($A184="Feature",SUM(E184:F184)*'Roadmap setting'!$B$13,0)</f>
        <v>0</v>
      </c>
      <c r="E184" s="94"/>
      <c r="F184" s="94"/>
      <c r="G184" s="95">
        <f>IF($A184="Feature",IF('Roadmap setting'!$E$14,$F184*('Roadmap setting'!$B$14+'Roadmap setting'!$D$14),$F184*'Roadmap setting'!$B$14),0)</f>
        <v>0</v>
      </c>
      <c r="H184" s="93">
        <f>IF($A184="Feature",$E184*'Roadmap setting'!$B$15,0)</f>
        <v>0</v>
      </c>
      <c r="I184" s="95">
        <f>IF($A184="Feature",$F184*'Roadmap setting'!$B$16,0)</f>
        <v>0</v>
      </c>
      <c r="J184" s="93">
        <f>SUM($E184:$F184)*'Roadmap setting'!$B$17</f>
        <v>0</v>
      </c>
      <c r="K184" s="93">
        <f>SUM($E184:$F184)*'Roadmap setting'!$B$18</f>
        <v>0</v>
      </c>
      <c r="L184" s="93">
        <f>SUM($E184:$F184)*'Roadmap setting'!$B$19</f>
        <v>0</v>
      </c>
      <c r="M184" s="95">
        <f>SUM($E184:$F184)*'Roadmap setting'!$B$20</f>
        <v>0</v>
      </c>
      <c r="N184" s="79">
        <f t="shared" si="32"/>
        <v>0</v>
      </c>
      <c r="O184" s="96" t="b">
        <v>1</v>
      </c>
      <c r="P184" s="97"/>
      <c r="Q184" s="98"/>
      <c r="R184" s="97"/>
      <c r="S184" s="97"/>
      <c r="T184" s="97"/>
      <c r="U184" s="97"/>
      <c r="V184" s="99"/>
      <c r="W184" s="96" t="b">
        <v>0</v>
      </c>
      <c r="X184" s="97"/>
      <c r="Y184" s="98"/>
      <c r="Z184" s="97"/>
      <c r="AA184" s="97"/>
      <c r="AB184" s="97"/>
      <c r="AC184" s="97"/>
      <c r="AD184" s="99"/>
      <c r="AE184" s="96" t="b">
        <v>0</v>
      </c>
      <c r="AF184" s="97"/>
      <c r="AG184" s="98"/>
      <c r="AH184" s="97"/>
      <c r="AI184" s="97"/>
      <c r="AJ184" s="97"/>
      <c r="AK184" s="97"/>
      <c r="AL184" s="99"/>
      <c r="AM184" s="96" t="b">
        <v>0</v>
      </c>
      <c r="AN184" s="80">
        <f t="array" ref="AN184">INDEX(A184:AM184, MATCH(RIGHT('Roadmap setting'!$B$9, 3), $A$2:$AM$2, 0) - 1)
</f>
        <v>0</v>
      </c>
      <c r="AO184" s="100">
        <f t="array" ref="AO184">IFNA(LOOKUP(2,1/(ISNUMBER(AO144:AO183)),AO144:AO183)+(E184/(Resources!$P$55/7)),TODAY()+(E184/(Resources!$P$55/7)))</f>
        <v>45784.08661</v>
      </c>
      <c r="AP184" s="100">
        <f t="array" ref="AP184">IFNA(LOOKUP(2,1/(ISNUMBER(AP144:AP183)),AP144:AP183)+(F184/(Resources!$P$56/7)),TODAY()+(F184/(Resources!$P$56/7)))</f>
        <v>45784.40226</v>
      </c>
      <c r="AQ184" s="100">
        <f t="array" ref="AQ184">IF(ISNUMBER($AV184),IFNA(LOOKUP(2,1/(ISNUMBER(AQ144:AQ183)),AQ144:AQ183),TODAY()),IFNA(LOOKUP(2,1/(ISNUMBER(AQ144:AQ183)),AQ144:AQ183)+(E184/(Resources!$E$55/7)),TODAY()+(E184/(Resources!$E$55/7))))</f>
        <v>45791.52917</v>
      </c>
      <c r="AR184" s="100">
        <f t="array" ref="AR184">IF(ISNUMBER($AV184),IFNA(LOOKUP(2,1/(ISNUMBER(AR144:AR183)),AR144:AR183),TODAY()),IFNA(LOOKUP(2,1/(ISNUMBER(AR144:AR183)),AR144:AR183)+(F184/(Resources!$E$56/7)),TODAY()+(F184/(Resources!$E$56/7))))</f>
        <v>45789.42074</v>
      </c>
      <c r="AS184" s="100">
        <f t="shared" si="33"/>
        <v>45791.52917</v>
      </c>
      <c r="AT184" s="101"/>
      <c r="AU184" s="102"/>
      <c r="AV184" s="83"/>
    </row>
    <row r="185" ht="15.0" customHeight="1" collapsed="1">
      <c r="A185" s="120"/>
      <c r="B185" s="120"/>
      <c r="C185" s="137" t="s">
        <v>263</v>
      </c>
      <c r="D185" s="72"/>
      <c r="E185" s="72"/>
      <c r="F185" s="72"/>
      <c r="G185" s="72"/>
      <c r="H185" s="72"/>
      <c r="I185" s="72"/>
      <c r="J185" s="72"/>
      <c r="K185" s="72"/>
      <c r="L185" s="72"/>
      <c r="M185" s="72"/>
      <c r="N185" s="74"/>
      <c r="O185" s="73"/>
      <c r="P185" s="72"/>
      <c r="Q185" s="72"/>
      <c r="R185" s="72"/>
      <c r="S185" s="72"/>
      <c r="T185" s="72"/>
      <c r="U185" s="72"/>
      <c r="V185" s="74"/>
      <c r="W185" s="73"/>
      <c r="X185" s="72"/>
      <c r="Y185" s="72"/>
      <c r="Z185" s="72"/>
      <c r="AA185" s="72"/>
      <c r="AB185" s="72"/>
      <c r="AC185" s="72"/>
      <c r="AD185" s="74"/>
      <c r="AE185" s="73"/>
      <c r="AF185" s="72"/>
      <c r="AG185" s="72"/>
      <c r="AH185" s="72"/>
      <c r="AI185" s="72"/>
      <c r="AJ185" s="72"/>
      <c r="AK185" s="72"/>
      <c r="AL185" s="74"/>
      <c r="AM185" s="73"/>
      <c r="AN185" s="75"/>
      <c r="AO185" s="75"/>
      <c r="AP185" s="75"/>
      <c r="AQ185" s="75"/>
      <c r="AR185" s="75"/>
      <c r="AS185" s="75"/>
      <c r="AT185" s="75"/>
      <c r="AU185" s="75"/>
      <c r="AV185" s="75"/>
    </row>
    <row r="186" ht="15.0" customHeight="1">
      <c r="A186" s="83" t="s">
        <v>77</v>
      </c>
      <c r="B186" s="92"/>
      <c r="C186" s="103" t="s">
        <v>264</v>
      </c>
      <c r="D186" s="93">
        <f>IF($A186="Feature",SUM(E186:F186)*'Roadmap setting'!$B$13,0)</f>
        <v>0</v>
      </c>
      <c r="E186" s="94">
        <v>12.0</v>
      </c>
      <c r="F186" s="94">
        <v>12.0</v>
      </c>
      <c r="G186" s="95">
        <f>IF($A186="Feature",IF('Roadmap setting'!$E$14,$F186*('Roadmap setting'!$B$14+'Roadmap setting'!$D$14),$F186*'Roadmap setting'!$B$14),0)</f>
        <v>0</v>
      </c>
      <c r="H186" s="93">
        <f>IF($A186="Feature",$E186*'Roadmap setting'!$B$15,0)</f>
        <v>0</v>
      </c>
      <c r="I186" s="95">
        <f>IF($A186="Feature",$F186*'Roadmap setting'!$B$16,0)</f>
        <v>0</v>
      </c>
      <c r="J186" s="93">
        <f>SUM($E186:$F186)*'Roadmap setting'!$B$17</f>
        <v>2.88</v>
      </c>
      <c r="K186" s="93">
        <f>SUM($E186:$F186)*'Roadmap setting'!$B$18</f>
        <v>0.24</v>
      </c>
      <c r="L186" s="93">
        <f>SUM($E186:$F186)*'Roadmap setting'!$B$19</f>
        <v>0</v>
      </c>
      <c r="M186" s="95">
        <f>SUM($E186:$F186)*'Roadmap setting'!$B$20</f>
        <v>0.48</v>
      </c>
      <c r="N186" s="79">
        <f t="shared" ref="N186:N189" si="34">SUM($D186:$G186)+SUM(H186:M186)</f>
        <v>27.6</v>
      </c>
      <c r="O186" s="96" t="b">
        <v>1</v>
      </c>
      <c r="P186" s="97"/>
      <c r="Q186" s="98"/>
      <c r="R186" s="97">
        <v>0.72</v>
      </c>
      <c r="S186" s="97">
        <v>0.48</v>
      </c>
      <c r="T186" s="97">
        <v>0.24</v>
      </c>
      <c r="U186" s="98"/>
      <c r="V186" s="99">
        <v>27.84</v>
      </c>
      <c r="W186" s="96" t="b">
        <v>1</v>
      </c>
      <c r="X186" s="97"/>
      <c r="Y186" s="98"/>
      <c r="Z186" s="97">
        <v>0.96</v>
      </c>
      <c r="AA186" s="97">
        <v>0.72</v>
      </c>
      <c r="AB186" s="97">
        <v>0.48</v>
      </c>
      <c r="AC186" s="98"/>
      <c r="AD186" s="99">
        <v>28.56</v>
      </c>
      <c r="AE186" s="96" t="b">
        <v>1</v>
      </c>
      <c r="AF186" s="97"/>
      <c r="AG186" s="98"/>
      <c r="AH186" s="97">
        <v>1.2</v>
      </c>
      <c r="AI186" s="97">
        <v>0.96</v>
      </c>
      <c r="AJ186" s="97">
        <v>0.72</v>
      </c>
      <c r="AK186" s="98"/>
      <c r="AL186" s="99">
        <v>29.28</v>
      </c>
      <c r="AM186" s="96" t="b">
        <v>1</v>
      </c>
      <c r="AN186" s="80">
        <f t="array" ref="AN186">INDEX(A186:AM186, MATCH(RIGHT('Roadmap setting'!$B$9, 3), $A$2:$AM$2, 0) - 1)
</f>
        <v>27.6</v>
      </c>
      <c r="AO186" s="100">
        <f t="array" ref="AO186">IFNA(LOOKUP(2,1/(ISNUMBER(AO135:AO185)),AO135:AO185)+(E186/(Resources!$P$55/7)),TODAY()+(E186/(Resources!$P$55/7)))</f>
        <v>45785.57853</v>
      </c>
      <c r="AP186" s="100">
        <f t="array" ref="AP186">IFNA(LOOKUP(2,1/(ISNUMBER(AP135:AP185)),AP135:AP185)+(F186/(Resources!$P$56/7)),TODAY()+(F186/(Resources!$P$56/7)))</f>
        <v>45786.86968</v>
      </c>
      <c r="AQ186" s="100">
        <f t="array" ref="AQ186">IF(ISNUMBER($AV186),IFNA(LOOKUP(2,1/(ISNUMBER(AQ135:AQ185)),AQ135:AQ185),TODAY()),IFNA(LOOKUP(2,1/(ISNUMBER(AQ135:AQ185)),AQ135:AQ185)+(E186/(Resources!$E$55/7)),TODAY()+(E186/(Resources!$E$55/7))))</f>
        <v>45794.58794</v>
      </c>
      <c r="AR186" s="100">
        <f t="array" ref="AR186">IF(ISNUMBER($AV186),IFNA(LOOKUP(2,1/(ISNUMBER(AR135:AR185)),AR135:AR185),TODAY()),IFNA(LOOKUP(2,1/(ISNUMBER(AR135:AR185)),AR135:AR185)+(F186/(Resources!$E$56/7)),TODAY()+(F186/(Resources!$E$56/7))))</f>
        <v>45793.56098</v>
      </c>
      <c r="AS186" s="100">
        <f t="shared" ref="AS186:AS189" si="35">IFERROR(MAX(AQ186,AR186),"")</f>
        <v>45794.58794</v>
      </c>
      <c r="AT186" s="101">
        <v>0.0</v>
      </c>
      <c r="AU186" s="82"/>
      <c r="AV186" s="83"/>
    </row>
    <row r="187" ht="15.0" customHeight="1">
      <c r="A187" s="83" t="s">
        <v>77</v>
      </c>
      <c r="B187" s="92"/>
      <c r="C187" s="103" t="s">
        <v>265</v>
      </c>
      <c r="D187" s="93">
        <f>IF($A187="Feature",SUM(E187:F187)*'Roadmap setting'!$B$13,0)</f>
        <v>0</v>
      </c>
      <c r="E187" s="94">
        <v>32.0</v>
      </c>
      <c r="F187" s="94">
        <v>0.0</v>
      </c>
      <c r="G187" s="95">
        <f>IF($A187="Feature",IF('Roadmap setting'!$E$14,$F187*('Roadmap setting'!$B$14+'Roadmap setting'!$D$14),$F187*'Roadmap setting'!$B$14),0)</f>
        <v>0</v>
      </c>
      <c r="H187" s="93">
        <f>IF($A187="Feature",$E187*'Roadmap setting'!$B$15,0)</f>
        <v>0</v>
      </c>
      <c r="I187" s="95">
        <f>IF($A187="Feature",$F187*'Roadmap setting'!$B$16,0)</f>
        <v>0</v>
      </c>
      <c r="J187" s="93">
        <f>SUM($E187:$F187)*'Roadmap setting'!$B$17</f>
        <v>3.84</v>
      </c>
      <c r="K187" s="93">
        <f>SUM($E187:$F187)*'Roadmap setting'!$B$18</f>
        <v>0.32</v>
      </c>
      <c r="L187" s="93">
        <f>SUM($E187:$F187)*'Roadmap setting'!$B$19</f>
        <v>0</v>
      </c>
      <c r="M187" s="95">
        <f>SUM($E187:$F187)*'Roadmap setting'!$B$20</f>
        <v>0.64</v>
      </c>
      <c r="N187" s="79">
        <f t="shared" si="34"/>
        <v>36.8</v>
      </c>
      <c r="O187" s="96" t="b">
        <v>1</v>
      </c>
      <c r="P187" s="97"/>
      <c r="Q187" s="98"/>
      <c r="R187" s="97">
        <v>0.96</v>
      </c>
      <c r="S187" s="97">
        <v>0.64</v>
      </c>
      <c r="T187" s="97">
        <v>0.32</v>
      </c>
      <c r="U187" s="98"/>
      <c r="V187" s="99">
        <v>37.12</v>
      </c>
      <c r="W187" s="96" t="b">
        <v>1</v>
      </c>
      <c r="X187" s="97"/>
      <c r="Y187" s="98"/>
      <c r="Z187" s="97">
        <v>1.28</v>
      </c>
      <c r="AA187" s="97">
        <v>0.96</v>
      </c>
      <c r="AB187" s="97">
        <v>0.64</v>
      </c>
      <c r="AC187" s="98"/>
      <c r="AD187" s="99">
        <v>38.08</v>
      </c>
      <c r="AE187" s="96" t="b">
        <v>1</v>
      </c>
      <c r="AF187" s="97"/>
      <c r="AG187" s="98"/>
      <c r="AH187" s="97">
        <v>1.6</v>
      </c>
      <c r="AI187" s="97">
        <v>1.28</v>
      </c>
      <c r="AJ187" s="97">
        <v>0.96</v>
      </c>
      <c r="AK187" s="98"/>
      <c r="AL187" s="99">
        <v>39.04</v>
      </c>
      <c r="AM187" s="96" t="b">
        <v>1</v>
      </c>
      <c r="AN187" s="80">
        <f t="array" ref="AN187">INDEX(A187:AM187, MATCH(RIGHT('Roadmap setting'!$B$9, 3), $A$2:$AM$2, 0) - 1)
</f>
        <v>36.8</v>
      </c>
      <c r="AO187" s="100">
        <f t="array" ref="AO187">IFNA(LOOKUP(2,1/(ISNUMBER(AO170:AO186)),AO170:AO186)+(E187/(Resources!$P$55/7)),TODAY()+(E187/(Resources!$P$55/7)))</f>
        <v>45789.55698</v>
      </c>
      <c r="AP187" s="100">
        <f t="array" ref="AP187">IFNA(LOOKUP(2,1/(ISNUMBER(AP170:AP186)),AP170:AP186)+(F187/(Resources!$P$56/7)),TODAY()+(F187/(Resources!$P$56/7)))</f>
        <v>45786.86968</v>
      </c>
      <c r="AQ187" s="100">
        <f t="array" ref="AQ187">IF(ISNUMBER($AV187),IFNA(LOOKUP(2,1/(ISNUMBER(AQ170:AQ186)),AQ170:AQ186),TODAY()),IFNA(LOOKUP(2,1/(ISNUMBER(AQ170:AQ186)),AQ170:AQ186)+(E187/(Resources!$E$55/7)),TODAY()+(E187/(Resources!$E$55/7))))</f>
        <v>45802.74467</v>
      </c>
      <c r="AR187" s="100">
        <f t="array" ref="AR187">IF(ISNUMBER($AV187),IFNA(LOOKUP(2,1/(ISNUMBER(AR170:AR186)),AR170:AR186),TODAY()),IFNA(LOOKUP(2,1/(ISNUMBER(AR170:AR186)),AR170:AR186)+(F187/(Resources!$E$56/7)),TODAY()+(F187/(Resources!$E$56/7))))</f>
        <v>45793.56098</v>
      </c>
      <c r="AS187" s="100">
        <f t="shared" si="35"/>
        <v>45802.74467</v>
      </c>
      <c r="AT187" s="101">
        <v>0.0</v>
      </c>
      <c r="AU187" s="82"/>
      <c r="AV187" s="83"/>
    </row>
    <row r="188" ht="15.0" customHeight="1">
      <c r="A188" s="83" t="s">
        <v>77</v>
      </c>
      <c r="B188" s="92"/>
      <c r="C188" s="103" t="s">
        <v>266</v>
      </c>
      <c r="D188" s="93">
        <f>IF($A188="Feature",SUM(E188:F188)*'Roadmap setting'!$B$13,0)</f>
        <v>0</v>
      </c>
      <c r="E188" s="94">
        <v>12.0</v>
      </c>
      <c r="F188" s="94">
        <v>0.0</v>
      </c>
      <c r="G188" s="95">
        <f>IF($A188="Feature",IF('Roadmap setting'!$E$14,$F188*('Roadmap setting'!$B$14+'Roadmap setting'!$D$14),$F188*'Roadmap setting'!$B$14),0)</f>
        <v>0</v>
      </c>
      <c r="H188" s="93">
        <f>IF($A188="Feature",$E188*'Roadmap setting'!$B$15,0)</f>
        <v>0</v>
      </c>
      <c r="I188" s="95">
        <f>IF($A188="Feature",$F188*'Roadmap setting'!$B$16,0)</f>
        <v>0</v>
      </c>
      <c r="J188" s="93">
        <f>SUM($E188:$F188)*'Roadmap setting'!$B$17</f>
        <v>1.44</v>
      </c>
      <c r="K188" s="93">
        <f>SUM($E188:$F188)*'Roadmap setting'!$B$18</f>
        <v>0.12</v>
      </c>
      <c r="L188" s="93">
        <f>SUM($E188:$F188)*'Roadmap setting'!$B$19</f>
        <v>0</v>
      </c>
      <c r="M188" s="95">
        <f>SUM($E188:$F188)*'Roadmap setting'!$B$20</f>
        <v>0.24</v>
      </c>
      <c r="N188" s="79">
        <f t="shared" si="34"/>
        <v>13.8</v>
      </c>
      <c r="O188" s="96" t="b">
        <v>1</v>
      </c>
      <c r="P188" s="97"/>
      <c r="Q188" s="98"/>
      <c r="R188" s="97">
        <v>0.36</v>
      </c>
      <c r="S188" s="97">
        <v>0.24</v>
      </c>
      <c r="T188" s="97">
        <v>0.12</v>
      </c>
      <c r="U188" s="98"/>
      <c r="V188" s="99">
        <v>13.92</v>
      </c>
      <c r="W188" s="96" t="b">
        <v>1</v>
      </c>
      <c r="X188" s="97"/>
      <c r="Y188" s="98"/>
      <c r="Z188" s="97">
        <v>0.48</v>
      </c>
      <c r="AA188" s="97">
        <v>0.36</v>
      </c>
      <c r="AB188" s="97">
        <v>0.24</v>
      </c>
      <c r="AC188" s="98"/>
      <c r="AD188" s="99">
        <v>14.28</v>
      </c>
      <c r="AE188" s="96" t="b">
        <v>1</v>
      </c>
      <c r="AF188" s="97"/>
      <c r="AG188" s="98"/>
      <c r="AH188" s="97">
        <v>0.6</v>
      </c>
      <c r="AI188" s="97">
        <v>0.48</v>
      </c>
      <c r="AJ188" s="97">
        <v>0.36</v>
      </c>
      <c r="AK188" s="98"/>
      <c r="AL188" s="99">
        <v>14.64</v>
      </c>
      <c r="AM188" s="96" t="b">
        <v>1</v>
      </c>
      <c r="AN188" s="80">
        <f t="array" ref="AN188">INDEX(A188:AM188, MATCH(RIGHT('Roadmap setting'!$B$9, 3), $A$2:$AM$2, 0) - 1)
</f>
        <v>13.8</v>
      </c>
      <c r="AO188" s="100">
        <f t="array" ref="AO188">IFNA(LOOKUP(2,1/(ISNUMBER(AO170:AO187)),AO170:AO187)+(E188/(Resources!$P$55/7)),TODAY()+(E188/(Resources!$P$55/7)))</f>
        <v>45791.0489</v>
      </c>
      <c r="AP188" s="100">
        <f t="array" ref="AP188">IFNA(LOOKUP(2,1/(ISNUMBER(AP170:AP187)),AP170:AP187)+(F188/(Resources!$P$56/7)),TODAY()+(F188/(Resources!$P$56/7)))</f>
        <v>45786.86968</v>
      </c>
      <c r="AQ188" s="100">
        <f t="array" ref="AQ188">IF(ISNUMBER($AV188),IFNA(LOOKUP(2,1/(ISNUMBER(AQ170:AQ187)),AQ170:AQ187),TODAY()),IFNA(LOOKUP(2,1/(ISNUMBER(AQ170:AQ187)),AQ170:AQ187)+(E188/(Resources!$E$55/7)),TODAY()+(E188/(Resources!$E$55/7))))</f>
        <v>45805.80344</v>
      </c>
      <c r="AR188" s="100">
        <f t="array" ref="AR188">IF(ISNUMBER($AV188),IFNA(LOOKUP(2,1/(ISNUMBER(AR170:AR187)),AR170:AR187),TODAY()),IFNA(LOOKUP(2,1/(ISNUMBER(AR170:AR187)),AR170:AR187)+(F188/(Resources!$E$56/7)),TODAY()+(F188/(Resources!$E$56/7))))</f>
        <v>45793.56098</v>
      </c>
      <c r="AS188" s="100">
        <f t="shared" si="35"/>
        <v>45805.80344</v>
      </c>
      <c r="AT188" s="101">
        <v>0.0</v>
      </c>
      <c r="AU188" s="82"/>
      <c r="AV188" s="83"/>
    </row>
    <row r="189" ht="15.0" customHeight="1">
      <c r="A189" s="83" t="s">
        <v>77</v>
      </c>
      <c r="B189" s="92"/>
      <c r="C189" s="103" t="s">
        <v>267</v>
      </c>
      <c r="D189" s="93">
        <f>IF($A189="Feature",SUM(E189:F189)*'Roadmap setting'!$B$13,0)</f>
        <v>0</v>
      </c>
      <c r="E189" s="94">
        <v>12.0</v>
      </c>
      <c r="F189" s="94">
        <v>0.0</v>
      </c>
      <c r="G189" s="95">
        <f>IF($A189="Feature",IF('Roadmap setting'!$E$14,$F189*('Roadmap setting'!$B$14+'Roadmap setting'!$D$14),$F189*'Roadmap setting'!$B$14),0)</f>
        <v>0</v>
      </c>
      <c r="H189" s="93">
        <f>IF($A189="Feature",$E189*'Roadmap setting'!$B$15,0)</f>
        <v>0</v>
      </c>
      <c r="I189" s="95">
        <f>IF($A189="Feature",$F189*'Roadmap setting'!$B$16,0)</f>
        <v>0</v>
      </c>
      <c r="J189" s="93">
        <f>SUM($E189:$F189)*'Roadmap setting'!$B$17</f>
        <v>1.44</v>
      </c>
      <c r="K189" s="93">
        <f>SUM($E189:$F189)*'Roadmap setting'!$B$18</f>
        <v>0.12</v>
      </c>
      <c r="L189" s="93">
        <f>SUM($E189:$F189)*'Roadmap setting'!$B$19</f>
        <v>0</v>
      </c>
      <c r="M189" s="95">
        <f>SUM($E189:$F189)*'Roadmap setting'!$B$20</f>
        <v>0.24</v>
      </c>
      <c r="N189" s="79">
        <f t="shared" si="34"/>
        <v>13.8</v>
      </c>
      <c r="O189" s="96" t="b">
        <v>1</v>
      </c>
      <c r="P189" s="97"/>
      <c r="Q189" s="98"/>
      <c r="R189" s="97">
        <v>0.36</v>
      </c>
      <c r="S189" s="97">
        <v>0.24</v>
      </c>
      <c r="T189" s="97">
        <v>0.12</v>
      </c>
      <c r="U189" s="98"/>
      <c r="V189" s="99">
        <v>13.92</v>
      </c>
      <c r="W189" s="96" t="b">
        <v>1</v>
      </c>
      <c r="X189" s="97"/>
      <c r="Y189" s="98"/>
      <c r="Z189" s="97">
        <v>0.48</v>
      </c>
      <c r="AA189" s="97">
        <v>0.36</v>
      </c>
      <c r="AB189" s="97">
        <v>0.24</v>
      </c>
      <c r="AC189" s="98"/>
      <c r="AD189" s="99">
        <v>14.28</v>
      </c>
      <c r="AE189" s="96" t="b">
        <v>1</v>
      </c>
      <c r="AF189" s="97"/>
      <c r="AG189" s="98"/>
      <c r="AH189" s="97">
        <v>0.6</v>
      </c>
      <c r="AI189" s="97">
        <v>0.48</v>
      </c>
      <c r="AJ189" s="97">
        <v>0.36</v>
      </c>
      <c r="AK189" s="98"/>
      <c r="AL189" s="99">
        <v>14.64</v>
      </c>
      <c r="AM189" s="96" t="b">
        <v>1</v>
      </c>
      <c r="AN189" s="80">
        <f t="array" ref="AN189">INDEX(A189:AM189, MATCH(RIGHT('Roadmap setting'!$B$9, 3), $A$2:$AM$2, 0) - 1)
</f>
        <v>13.8</v>
      </c>
      <c r="AO189" s="100">
        <f t="array" ref="AO189">IFNA(LOOKUP(2,1/(ISNUMBER(AO171:AO188)),AO171:AO188)+(E189/(Resources!$P$55/7)),TODAY()+(E189/(Resources!$P$55/7)))</f>
        <v>45792.54081</v>
      </c>
      <c r="AP189" s="100">
        <f t="array" ref="AP189">IFNA(LOOKUP(2,1/(ISNUMBER(AP171:AP188)),AP171:AP188)+(F189/(Resources!$P$56/7)),TODAY()+(F189/(Resources!$P$56/7)))</f>
        <v>45786.86968</v>
      </c>
      <c r="AQ189" s="100">
        <f t="array" ref="AQ189">IF(ISNUMBER($AV189),IFNA(LOOKUP(2,1/(ISNUMBER(AQ171:AQ188)),AQ171:AQ188),TODAY()),IFNA(LOOKUP(2,1/(ISNUMBER(AQ171:AQ188)),AQ171:AQ188)+(E189/(Resources!$E$55/7)),TODAY()+(E189/(Resources!$E$55/7))))</f>
        <v>45808.86222</v>
      </c>
      <c r="AR189" s="100">
        <f t="array" ref="AR189">IF(ISNUMBER($AV189),IFNA(LOOKUP(2,1/(ISNUMBER(AR171:AR188)),AR171:AR188),TODAY()),IFNA(LOOKUP(2,1/(ISNUMBER(AR171:AR188)),AR171:AR188)+(F189/(Resources!$E$56/7)),TODAY()+(F189/(Resources!$E$56/7))))</f>
        <v>45793.56098</v>
      </c>
      <c r="AS189" s="100">
        <f t="shared" si="35"/>
        <v>45808.86222</v>
      </c>
      <c r="AT189" s="101">
        <v>0.0</v>
      </c>
      <c r="AU189" s="82"/>
      <c r="AV189" s="83"/>
    </row>
    <row r="190" ht="27.0" customHeight="1">
      <c r="A190" s="138"/>
      <c r="B190" s="139" t="str">
        <f>"Must " &amp; TEXT(COUNTIF(B1:B189, "Must") / (COUNTA(B1:B189) - COUNTIF(B1:B189, "Won't")), "0%") &amp; 
CHAR(10) &amp; "Should " &amp; TEXT(COUNTIF(B1:B189, "Should") / (COUNTA(B1:B189) - COUNTIF(B1:B189, "Won't")), "0%") &amp; 
CHAR(10) &amp; "Could " &amp; TEXT(COUNTIF(B1:B189, "Could") / (COUNTA(B1:B189) - COUNTIF(B1:B189, "Won't")), "0%")</f>
        <v>Must 58%
Should 26%
Could 16%</v>
      </c>
      <c r="C190" s="140" t="str">
        <f>IFERROR(__xludf.DUMMYFUNCTION("CONCAT(""Total estimated time + risk margin of "",IF(LEN('Roadmap setting'!$E$11),TO_TEXT('Roadmap setting'!$E$11)))"),"Total estimated time + risk margin of 15%")</f>
        <v>Total estimated time + risk margin of 15%</v>
      </c>
      <c r="D190" s="141">
        <f>SUM(D5:D189)*(1+'Roadmap setting'!$E$11)</f>
        <v>140.76</v>
      </c>
      <c r="E190" s="141">
        <f>SUM(E5:E189)*(1+'Roadmap setting'!$E$11)</f>
        <v>774.525</v>
      </c>
      <c r="F190" s="141">
        <f>SUM(F5:F189)*(1+'Roadmap setting'!$E$11)</f>
        <v>284.625</v>
      </c>
      <c r="G190" s="141">
        <f>SUM(G5:G189)*(1+'Roadmap setting'!$E$11)</f>
        <v>40.68125</v>
      </c>
      <c r="H190" s="141">
        <f>SUM(H5:H189)*(1+'Roadmap setting'!$E$11)</f>
        <v>0</v>
      </c>
      <c r="I190" s="141">
        <f>SUM(I5:I189)*(1+'Roadmap setting'!$E$11)</f>
        <v>0</v>
      </c>
      <c r="J190" s="141">
        <f>SUM(J5:J189)*(1+'Roadmap setting'!$E$11)</f>
        <v>126.96</v>
      </c>
      <c r="K190" s="141">
        <f>SUM(K5:K189)*(1+'Roadmap setting'!$E$11)</f>
        <v>10.58</v>
      </c>
      <c r="L190" s="141">
        <f>SUM(L5:L189)*(1+'Roadmap setting'!$E$11)</f>
        <v>0</v>
      </c>
      <c r="M190" s="141">
        <f>SUM(M5:M189)*(1+'Roadmap setting'!$E$11)</f>
        <v>21.16</v>
      </c>
      <c r="N190" s="141">
        <f>SUM(N5:N189)*(1+'Roadmap setting'!$E$11)</f>
        <v>1398.65875</v>
      </c>
      <c r="O190" s="141">
        <f>SUM(O5:O189)*(1+'Roadmap setting'!$E$11)</f>
        <v>0</v>
      </c>
      <c r="P190" s="141">
        <f>SUM(P5:P189)*(1+'Roadmap setting'!$E$11)</f>
        <v>0.46</v>
      </c>
      <c r="Q190" s="141">
        <f>SUM(Q5:Q189)*(1+'Roadmap setting'!$E$11)</f>
        <v>0.92</v>
      </c>
      <c r="R190" s="141">
        <f>SUM(R5:R189)*(1+'Roadmap setting'!$E$11)</f>
        <v>7.1415</v>
      </c>
      <c r="S190" s="141">
        <f>SUM(S5:S189)*(1+'Roadmap setting'!$E$11)</f>
        <v>2.116</v>
      </c>
      <c r="T190" s="141">
        <f>SUM(T5:T189)*(1+'Roadmap setting'!$E$11)</f>
        <v>1.058</v>
      </c>
      <c r="U190" s="141">
        <f>SUM(U5:U189)*(1+'Roadmap setting'!$E$11)</f>
        <v>5.842</v>
      </c>
      <c r="V190" s="141">
        <f>SUM(V5:V189)*(1+'Roadmap setting'!$E$11)</f>
        <v>279.3925</v>
      </c>
      <c r="W190" s="141">
        <f>SUM(W5:W189)*(1+'Roadmap setting'!$E$11)</f>
        <v>0</v>
      </c>
      <c r="X190" s="141">
        <f>SUM(X5:X189)*(1+'Roadmap setting'!$E$11)</f>
        <v>0</v>
      </c>
      <c r="Y190" s="141">
        <f>SUM(Y5:Y189)*(1+'Roadmap setting'!$E$11)</f>
        <v>0</v>
      </c>
      <c r="Z190" s="141">
        <f>SUM(Z5:Z189)*(1+'Roadmap setting'!$E$11)</f>
        <v>10.258</v>
      </c>
      <c r="AA190" s="141">
        <f>SUM(AA5:AA189)*(1+'Roadmap setting'!$E$11)</f>
        <v>2.76</v>
      </c>
      <c r="AB190" s="141">
        <f>SUM(AB5:AB189)*(1+'Roadmap setting'!$E$11)</f>
        <v>1.84</v>
      </c>
      <c r="AC190" s="141">
        <f>SUM(AC5:AC189)*(1+'Roadmap setting'!$E$11)</f>
        <v>9.867</v>
      </c>
      <c r="AD190" s="141">
        <f>SUM(AD5:AD189)*(1+'Roadmap setting'!$E$11)</f>
        <v>306.82</v>
      </c>
      <c r="AE190" s="141">
        <f>SUM(AE5:AE189)*(1+'Roadmap setting'!$E$11)</f>
        <v>0</v>
      </c>
      <c r="AF190" s="141">
        <f>SUM(AF5:AF189)*(1+'Roadmap setting'!$E$11)</f>
        <v>0</v>
      </c>
      <c r="AG190" s="141">
        <f>SUM(AG5:AG189)*(1+'Roadmap setting'!$E$11)</f>
        <v>0</v>
      </c>
      <c r="AH190" s="141">
        <f>SUM(AH5:AH189)*(1+'Roadmap setting'!$E$11)</f>
        <v>12.8225</v>
      </c>
      <c r="AI190" s="141">
        <f>SUM(AI5:AI189)*(1+'Roadmap setting'!$E$11)</f>
        <v>3.68</v>
      </c>
      <c r="AJ190" s="141">
        <f>SUM(AJ5:AJ189)*(1+'Roadmap setting'!$E$11)</f>
        <v>2.76</v>
      </c>
      <c r="AK190" s="141">
        <f>SUM(AK5:AK189)*(1+'Roadmap setting'!$E$11)</f>
        <v>13.156</v>
      </c>
      <c r="AL190" s="141">
        <f>SUM(AL5:AL189)*(1+'Roadmap setting'!$E$11)</f>
        <v>314.5135</v>
      </c>
      <c r="AM190" s="141">
        <f>SUM(AM5:AM189)*(1+'Roadmap setting'!$E$11)</f>
        <v>0</v>
      </c>
      <c r="AN190" s="141">
        <f t="array" ref="AN190">INDEX(A190:AM190, MATCH(RIGHT('Roadmap setting'!$B$9, 3), $A$2:$AM$2, 0) - 1)
</f>
        <v>1398.65875</v>
      </c>
      <c r="AO190" s="142">
        <f>MAX(AO3:AO189)+((MAX(AO3:AO189)-Min(AO3:AO17))*('Roadmap setting'!$E$11))</f>
        <v>194314.4244</v>
      </c>
      <c r="AP190" s="142">
        <f>MAX(AP3:AP189)+((MAX(AP3:AP189)-Min(AP3:AP17))*('Roadmap setting'!$E$11))</f>
        <v>51761.77253</v>
      </c>
      <c r="AQ190" s="142">
        <f>MAX(AQ3:AQ189)+((MAX(AQ3:AQ189)-Min(AQ3:AQ17))*('Roadmap setting'!$E$11))</f>
        <v>380218.8115</v>
      </c>
      <c r="AR190" s="142">
        <f>MAX(AR3:AR189)+((MAX(AR3:AR189)-Min(AR3:AR17))*('Roadmap setting'!$E$11))</f>
        <v>49981.49297</v>
      </c>
      <c r="AS190" s="143">
        <f>IFERROR(MAX($AQ$5:$AR$189),"")</f>
        <v>336596.6315</v>
      </c>
      <c r="AT190" s="144">
        <f>IF(SUM(AT3:AT189)&gt;0,SUM(AT3:AT189),"")</f>
        <v>1333.97</v>
      </c>
      <c r="AU190" s="145"/>
      <c r="AV190" s="138"/>
    </row>
    <row r="191" ht="15.0" customHeight="1">
      <c r="C191" s="146" t="s">
        <v>268</v>
      </c>
      <c r="D191" s="141">
        <f>SUMIF($AU5:$AU189,"",D5:D189)*(1+'Roadmap setting'!$E$11)</f>
        <v>72.68</v>
      </c>
      <c r="E191" s="141">
        <f>SUMIF($AU5:$AU189,"",E5:E189)*(1+'Roadmap setting'!$E$11)</f>
        <v>377.775</v>
      </c>
      <c r="F191" s="141">
        <f>SUMIF($AU5:$AU189,"",F5:F189)*(1+'Roadmap setting'!$E$11)</f>
        <v>169.625</v>
      </c>
      <c r="G191" s="141">
        <f>SUMIF($AU5:$AU189,"",G5:G189)*(1+'Roadmap setting'!$E$11)</f>
        <v>30.67625</v>
      </c>
      <c r="H191" s="141">
        <f>SUMIF($AU5:$AU189,"",H5:H189)*(1+'Roadmap setting'!$E$11)</f>
        <v>0</v>
      </c>
      <c r="I191" s="141">
        <f>SUMIF($AU5:$AU189,"",I5:I189)*(1+'Roadmap setting'!$E$11)</f>
        <v>0</v>
      </c>
      <c r="J191" s="141">
        <f>SUMIF($AU5:$AU189,"",J5:J189)*(1+'Roadmap setting'!$E$11)</f>
        <v>65.55</v>
      </c>
      <c r="K191" s="141">
        <f>SUMIF($AU5:$AU189,"",K5:K189)*(1+'Roadmap setting'!$E$11)</f>
        <v>5.4625</v>
      </c>
      <c r="L191" s="141">
        <f>SUMIF($AU5:$AU189,"",L5:L189)*(1+'Roadmap setting'!$E$11)</f>
        <v>0</v>
      </c>
      <c r="M191" s="141">
        <f>SUMIF($AU5:$AU189,"",M5:M189)*(1+'Roadmap setting'!$E$11)</f>
        <v>10.925</v>
      </c>
      <c r="N191" s="141">
        <f>SUMIF($AU5:$AU189,"",N5:N189)*(1+'Roadmap setting'!$E$11)</f>
        <v>732.23375</v>
      </c>
      <c r="O191" s="141">
        <f>SUMIF($AU5:$AU189,"",O5:O189)*(1+'Roadmap setting'!$E$11)</f>
        <v>0</v>
      </c>
      <c r="P191" s="141">
        <f>SUMIF($AU5:$AU189,"",P5:P189)*(1+'Roadmap setting'!$E$11)</f>
        <v>0.46</v>
      </c>
      <c r="Q191" s="141">
        <f>SUMIF($AU5:$AU189,"",Q5:Q189)*(1+'Roadmap setting'!$E$11)</f>
        <v>0.92</v>
      </c>
      <c r="R191" s="141">
        <f>SUMIF($AU5:$AU189,"",R5:R189)*(1+'Roadmap setting'!$E$11)</f>
        <v>3.243</v>
      </c>
      <c r="S191" s="141">
        <f>SUMIF($AU5:$AU189,"",S5:S189)*(1+'Roadmap setting'!$E$11)</f>
        <v>2.116</v>
      </c>
      <c r="T191" s="141">
        <f>SUMIF($AU5:$AU189,"",T5:T189)*(1+'Roadmap setting'!$E$11)</f>
        <v>1.058</v>
      </c>
      <c r="U191" s="141">
        <f>SUMIF($AU5:$AU189,"",U5:U189)*(1+'Roadmap setting'!$E$11)</f>
        <v>0.644</v>
      </c>
      <c r="V191" s="141">
        <f>SUMIF($AU5:$AU189,"",V5:V189)*(1+'Roadmap setting'!$E$11)</f>
        <v>127.351</v>
      </c>
      <c r="W191" s="141">
        <f>SUMIF($AU5:$AU189,"",W5:W189)*(1+'Roadmap setting'!$E$11)</f>
        <v>0</v>
      </c>
      <c r="X191" s="141">
        <f>SUMIF($AU5:$AU189,"",X5:X189)*(1+'Roadmap setting'!$E$11)</f>
        <v>0</v>
      </c>
      <c r="Y191" s="141">
        <f>SUMIF($AU5:$AU189,"",Y5:Y189)*(1+'Roadmap setting'!$E$11)</f>
        <v>0</v>
      </c>
      <c r="Z191" s="141">
        <f>SUMIF($AU5:$AU189,"",Z5:Z189)*(1+'Roadmap setting'!$E$11)</f>
        <v>5.474</v>
      </c>
      <c r="AA191" s="141">
        <f>SUMIF($AU5:$AU189,"",AA5:AA189)*(1+'Roadmap setting'!$E$11)</f>
        <v>2.76</v>
      </c>
      <c r="AB191" s="141">
        <f>SUMIF($AU5:$AU189,"",AB5:AB189)*(1+'Roadmap setting'!$E$11)</f>
        <v>1.84</v>
      </c>
      <c r="AC191" s="141">
        <f>SUMIF($AU5:$AU189,"",AC5:AC189)*(1+'Roadmap setting'!$E$11)</f>
        <v>2.691</v>
      </c>
      <c r="AD191" s="141">
        <f>SUMIF($AU5:$AU189,"",AD5:AD189)*(1+'Roadmap setting'!$E$11)</f>
        <v>163.3</v>
      </c>
      <c r="AE191" s="141">
        <f>SUMIF($AU5:$AU189,"",AE5:AE189)*(1+'Roadmap setting'!$E$11)</f>
        <v>0</v>
      </c>
      <c r="AF191" s="141">
        <f>SUMIF($AU5:$AU189,"",AF5:AF189)*(1+'Roadmap setting'!$E$11)</f>
        <v>0</v>
      </c>
      <c r="AG191" s="141">
        <f>SUMIF($AU5:$AU189,"",AG5:AG189)*(1+'Roadmap setting'!$E$11)</f>
        <v>0</v>
      </c>
      <c r="AH191" s="141">
        <f>SUMIF($AU5:$AU189,"",AH5:AH189)*(1+'Roadmap setting'!$E$11)</f>
        <v>6.8425</v>
      </c>
      <c r="AI191" s="141">
        <f>SUMIF($AU5:$AU189,"",AI5:AI189)*(1+'Roadmap setting'!$E$11)</f>
        <v>3.68</v>
      </c>
      <c r="AJ191" s="141">
        <f>SUMIF($AU5:$AU189,"",AJ5:AJ189)*(1+'Roadmap setting'!$E$11)</f>
        <v>2.76</v>
      </c>
      <c r="AK191" s="141">
        <f>SUMIF($AU5:$AU189,"",AK5:AK189)*(1+'Roadmap setting'!$E$11)</f>
        <v>3.588</v>
      </c>
      <c r="AL191" s="141">
        <f>SUMIF($AU5:$AU189,"",AL5:AL189)*(1+'Roadmap setting'!$E$11)</f>
        <v>167.4055</v>
      </c>
      <c r="AM191" s="141">
        <f>SUMIF($AU5:$AU189,"",AM5:AM189)*(1+'Roadmap setting'!$E$11)</f>
        <v>0</v>
      </c>
      <c r="AN191" s="141">
        <f>SUMIF($AU5:$AU189,"",AN5:AN189)*(1+'Roadmap setting'!$E$11)</f>
        <v>732.23375</v>
      </c>
      <c r="AO191" s="145"/>
      <c r="AP191" s="145"/>
      <c r="AQ191" s="145"/>
      <c r="AR191" s="145"/>
      <c r="AS191" s="147">
        <f>IFERROR(ROUND(MAX(AQ190,AR190)-TODAY(),0),"")</f>
        <v>334442</v>
      </c>
      <c r="AT191" s="148"/>
      <c r="AU191" s="148"/>
      <c r="AV191" s="138"/>
    </row>
    <row r="192" ht="15.0" customHeight="1">
      <c r="A192" s="83"/>
      <c r="B192" s="92"/>
      <c r="C192" s="115"/>
      <c r="D192" s="93"/>
      <c r="E192" s="94"/>
      <c r="F192" s="94"/>
      <c r="G192" s="95"/>
      <c r="H192" s="93"/>
      <c r="I192" s="95"/>
      <c r="J192" s="93"/>
      <c r="K192" s="93"/>
      <c r="L192" s="93"/>
      <c r="M192" s="95"/>
      <c r="N192" s="79"/>
      <c r="O192" s="96" t="b">
        <v>0</v>
      </c>
      <c r="P192" s="97"/>
      <c r="Q192" s="98"/>
      <c r="R192" s="97"/>
      <c r="S192" s="97"/>
      <c r="T192" s="97"/>
      <c r="U192" s="97"/>
      <c r="V192" s="99"/>
      <c r="W192" s="96" t="b">
        <v>0</v>
      </c>
      <c r="X192" s="97"/>
      <c r="Y192" s="98"/>
      <c r="Z192" s="97"/>
      <c r="AA192" s="97"/>
      <c r="AB192" s="97"/>
      <c r="AC192" s="97"/>
      <c r="AD192" s="99"/>
      <c r="AE192" s="96" t="b">
        <v>0</v>
      </c>
      <c r="AF192" s="97"/>
      <c r="AG192" s="98"/>
      <c r="AH192" s="97"/>
      <c r="AI192" s="97"/>
      <c r="AJ192" s="97"/>
      <c r="AK192" s="97"/>
      <c r="AL192" s="99"/>
      <c r="AM192" s="96" t="b">
        <v>0</v>
      </c>
      <c r="AN192" s="114"/>
      <c r="AO192" s="100"/>
      <c r="AP192" s="100"/>
      <c r="AQ192" s="100"/>
      <c r="AR192" s="100"/>
      <c r="AS192" s="100"/>
      <c r="AT192" s="101"/>
      <c r="AU192" s="102"/>
      <c r="AV192" s="83"/>
    </row>
    <row r="193" ht="15.0" customHeight="1">
      <c r="A193" s="83"/>
      <c r="B193" s="92"/>
      <c r="C193" s="115"/>
      <c r="D193" s="93"/>
      <c r="E193" s="94"/>
      <c r="F193" s="94"/>
      <c r="G193" s="95"/>
      <c r="H193" s="93"/>
      <c r="I193" s="95"/>
      <c r="J193" s="93"/>
      <c r="K193" s="93"/>
      <c r="L193" s="93"/>
      <c r="M193" s="95"/>
      <c r="N193" s="79"/>
      <c r="O193" s="96" t="b">
        <v>0</v>
      </c>
      <c r="P193" s="97"/>
      <c r="Q193" s="98"/>
      <c r="R193" s="97"/>
      <c r="S193" s="97"/>
      <c r="T193" s="97"/>
      <c r="U193" s="97"/>
      <c r="V193" s="99"/>
      <c r="W193" s="96" t="b">
        <v>0</v>
      </c>
      <c r="X193" s="97"/>
      <c r="Y193" s="98"/>
      <c r="Z193" s="97"/>
      <c r="AA193" s="97"/>
      <c r="AB193" s="97"/>
      <c r="AC193" s="97"/>
      <c r="AD193" s="99"/>
      <c r="AE193" s="96" t="b">
        <v>0</v>
      </c>
      <c r="AF193" s="97"/>
      <c r="AG193" s="98"/>
      <c r="AH193" s="97"/>
      <c r="AI193" s="97"/>
      <c r="AJ193" s="97"/>
      <c r="AK193" s="97"/>
      <c r="AL193" s="99"/>
      <c r="AM193" s="96" t="b">
        <v>0</v>
      </c>
      <c r="AN193" s="114"/>
      <c r="AO193" s="100"/>
      <c r="AP193" s="100"/>
      <c r="AQ193" s="100"/>
      <c r="AR193" s="100"/>
      <c r="AS193" s="100"/>
      <c r="AT193" s="101"/>
      <c r="AU193" s="102"/>
      <c r="AV193" s="83"/>
    </row>
    <row r="194" ht="15.0" customHeight="1">
      <c r="A194" s="83"/>
      <c r="B194" s="92"/>
      <c r="C194" s="115"/>
      <c r="D194" s="93"/>
      <c r="E194" s="94"/>
      <c r="F194" s="94"/>
      <c r="G194" s="95"/>
      <c r="H194" s="93"/>
      <c r="I194" s="95"/>
      <c r="J194" s="93"/>
      <c r="K194" s="93"/>
      <c r="L194" s="93"/>
      <c r="M194" s="95"/>
      <c r="N194" s="79"/>
      <c r="O194" s="96" t="b">
        <v>0</v>
      </c>
      <c r="P194" s="97"/>
      <c r="Q194" s="98"/>
      <c r="R194" s="97"/>
      <c r="S194" s="97"/>
      <c r="T194" s="97"/>
      <c r="U194" s="97"/>
      <c r="V194" s="99"/>
      <c r="W194" s="96" t="b">
        <v>0</v>
      </c>
      <c r="X194" s="97"/>
      <c r="Y194" s="98"/>
      <c r="Z194" s="97"/>
      <c r="AA194" s="97"/>
      <c r="AB194" s="97"/>
      <c r="AC194" s="97"/>
      <c r="AD194" s="99"/>
      <c r="AE194" s="96" t="b">
        <v>0</v>
      </c>
      <c r="AF194" s="97"/>
      <c r="AG194" s="98"/>
      <c r="AH194" s="97"/>
      <c r="AI194" s="97"/>
      <c r="AJ194" s="97"/>
      <c r="AK194" s="97"/>
      <c r="AL194" s="99"/>
      <c r="AM194" s="96" t="b">
        <v>0</v>
      </c>
      <c r="AN194" s="114"/>
      <c r="AO194" s="100"/>
      <c r="AP194" s="100"/>
      <c r="AQ194" s="100"/>
      <c r="AR194" s="100"/>
      <c r="AS194" s="100"/>
      <c r="AT194" s="101"/>
      <c r="AU194" s="102"/>
      <c r="AV194" s="83"/>
    </row>
    <row r="195" ht="15.0" customHeight="1">
      <c r="A195" s="83"/>
      <c r="B195" s="92"/>
      <c r="C195" s="115"/>
      <c r="D195" s="93"/>
      <c r="E195" s="94"/>
      <c r="F195" s="94"/>
      <c r="G195" s="95"/>
      <c r="H195" s="93"/>
      <c r="I195" s="95"/>
      <c r="J195" s="93"/>
      <c r="K195" s="93"/>
      <c r="L195" s="93"/>
      <c r="M195" s="95"/>
      <c r="N195" s="79"/>
      <c r="O195" s="96" t="b">
        <v>0</v>
      </c>
      <c r="P195" s="97"/>
      <c r="Q195" s="98"/>
      <c r="R195" s="97"/>
      <c r="S195" s="97"/>
      <c r="T195" s="97"/>
      <c r="U195" s="97"/>
      <c r="V195" s="99"/>
      <c r="W195" s="96" t="b">
        <v>0</v>
      </c>
      <c r="X195" s="97"/>
      <c r="Y195" s="98"/>
      <c r="Z195" s="97"/>
      <c r="AA195" s="97"/>
      <c r="AB195" s="97"/>
      <c r="AC195" s="97"/>
      <c r="AD195" s="99"/>
      <c r="AE195" s="96" t="b">
        <v>0</v>
      </c>
      <c r="AF195" s="97"/>
      <c r="AG195" s="98"/>
      <c r="AH195" s="97"/>
      <c r="AI195" s="97"/>
      <c r="AJ195" s="97"/>
      <c r="AK195" s="97"/>
      <c r="AL195" s="99"/>
      <c r="AM195" s="96" t="b">
        <v>0</v>
      </c>
      <c r="AN195" s="114"/>
      <c r="AO195" s="100"/>
      <c r="AP195" s="100"/>
      <c r="AQ195" s="100"/>
      <c r="AR195" s="100"/>
      <c r="AS195" s="100"/>
      <c r="AT195" s="101"/>
      <c r="AU195" s="102"/>
      <c r="AV195" s="83"/>
    </row>
    <row r="196" ht="15.0" customHeight="1">
      <c r="A196" s="83"/>
      <c r="B196" s="92"/>
      <c r="C196" s="115"/>
      <c r="D196" s="93"/>
      <c r="E196" s="94"/>
      <c r="F196" s="94"/>
      <c r="G196" s="95"/>
      <c r="H196" s="93"/>
      <c r="I196" s="95"/>
      <c r="J196" s="93"/>
      <c r="K196" s="93"/>
      <c r="L196" s="93"/>
      <c r="M196" s="95"/>
      <c r="N196" s="79"/>
      <c r="O196" s="96" t="b">
        <v>0</v>
      </c>
      <c r="P196" s="97"/>
      <c r="Q196" s="98"/>
      <c r="R196" s="97"/>
      <c r="S196" s="97"/>
      <c r="T196" s="97"/>
      <c r="U196" s="97"/>
      <c r="V196" s="99"/>
      <c r="W196" s="96" t="b">
        <v>0</v>
      </c>
      <c r="X196" s="97"/>
      <c r="Y196" s="98"/>
      <c r="Z196" s="97"/>
      <c r="AA196" s="97"/>
      <c r="AB196" s="97"/>
      <c r="AC196" s="97"/>
      <c r="AD196" s="99"/>
      <c r="AE196" s="96" t="b">
        <v>0</v>
      </c>
      <c r="AF196" s="97"/>
      <c r="AG196" s="98"/>
      <c r="AH196" s="97"/>
      <c r="AI196" s="97"/>
      <c r="AJ196" s="97"/>
      <c r="AK196" s="97"/>
      <c r="AL196" s="99"/>
      <c r="AM196" s="96" t="b">
        <v>0</v>
      </c>
      <c r="AN196" s="114"/>
      <c r="AO196" s="100"/>
      <c r="AP196" s="100"/>
      <c r="AQ196" s="100"/>
      <c r="AR196" s="100"/>
      <c r="AS196" s="100"/>
      <c r="AT196" s="101"/>
      <c r="AU196" s="102"/>
      <c r="AV196" s="83"/>
    </row>
    <row r="197" ht="15.0" customHeight="1">
      <c r="A197" s="83"/>
      <c r="B197" s="92"/>
      <c r="C197" s="115"/>
      <c r="D197" s="93"/>
      <c r="E197" s="94"/>
      <c r="F197" s="94"/>
      <c r="G197" s="95"/>
      <c r="H197" s="93"/>
      <c r="I197" s="95"/>
      <c r="J197" s="93"/>
      <c r="K197" s="93"/>
      <c r="L197" s="93"/>
      <c r="M197" s="95"/>
      <c r="N197" s="79"/>
      <c r="O197" s="96" t="b">
        <v>0</v>
      </c>
      <c r="P197" s="97"/>
      <c r="Q197" s="98"/>
      <c r="R197" s="97"/>
      <c r="S197" s="97"/>
      <c r="T197" s="97"/>
      <c r="U197" s="97"/>
      <c r="V197" s="99"/>
      <c r="W197" s="96" t="b">
        <v>0</v>
      </c>
      <c r="X197" s="97"/>
      <c r="Y197" s="98"/>
      <c r="Z197" s="97"/>
      <c r="AA197" s="97"/>
      <c r="AB197" s="97"/>
      <c r="AC197" s="97"/>
      <c r="AD197" s="99"/>
      <c r="AE197" s="96" t="b">
        <v>0</v>
      </c>
      <c r="AF197" s="97"/>
      <c r="AG197" s="98"/>
      <c r="AH197" s="97"/>
      <c r="AI197" s="97"/>
      <c r="AJ197" s="97"/>
      <c r="AK197" s="97"/>
      <c r="AL197" s="99"/>
      <c r="AM197" s="96" t="b">
        <v>0</v>
      </c>
      <c r="AN197" s="114"/>
      <c r="AO197" s="100"/>
      <c r="AP197" s="100"/>
      <c r="AQ197" s="100"/>
      <c r="AR197" s="100"/>
      <c r="AS197" s="100"/>
      <c r="AT197" s="101"/>
      <c r="AU197" s="102"/>
      <c r="AV197" s="83"/>
    </row>
    <row r="198" ht="15.0" customHeight="1">
      <c r="A198" s="83"/>
      <c r="B198" s="92"/>
      <c r="C198" s="115"/>
      <c r="D198" s="93"/>
      <c r="E198" s="94"/>
      <c r="F198" s="94"/>
      <c r="G198" s="95"/>
      <c r="H198" s="93"/>
      <c r="I198" s="95"/>
      <c r="J198" s="93"/>
      <c r="K198" s="93"/>
      <c r="L198" s="93"/>
      <c r="M198" s="95"/>
      <c r="N198" s="79"/>
      <c r="O198" s="96" t="b">
        <v>0</v>
      </c>
      <c r="P198" s="97"/>
      <c r="Q198" s="98"/>
      <c r="R198" s="97"/>
      <c r="S198" s="97"/>
      <c r="T198" s="97"/>
      <c r="U198" s="97"/>
      <c r="V198" s="99"/>
      <c r="W198" s="96" t="b">
        <v>0</v>
      </c>
      <c r="X198" s="97"/>
      <c r="Y198" s="98"/>
      <c r="Z198" s="97"/>
      <c r="AA198" s="97"/>
      <c r="AB198" s="97"/>
      <c r="AC198" s="97"/>
      <c r="AD198" s="99"/>
      <c r="AE198" s="96" t="b">
        <v>0</v>
      </c>
      <c r="AF198" s="97"/>
      <c r="AG198" s="98"/>
      <c r="AH198" s="97"/>
      <c r="AI198" s="97"/>
      <c r="AJ198" s="97"/>
      <c r="AK198" s="97"/>
      <c r="AL198" s="99"/>
      <c r="AM198" s="96" t="b">
        <v>0</v>
      </c>
      <c r="AN198" s="114"/>
      <c r="AO198" s="100"/>
      <c r="AP198" s="100"/>
      <c r="AQ198" s="100"/>
      <c r="AR198" s="100"/>
      <c r="AS198" s="100"/>
      <c r="AT198" s="101"/>
      <c r="AU198" s="102"/>
      <c r="AV198" s="83"/>
    </row>
    <row r="199" ht="15.0" customHeight="1">
      <c r="A199" s="83"/>
      <c r="B199" s="92"/>
      <c r="C199" s="115"/>
      <c r="D199" s="93"/>
      <c r="E199" s="94"/>
      <c r="F199" s="94"/>
      <c r="G199" s="95"/>
      <c r="H199" s="93"/>
      <c r="I199" s="95"/>
      <c r="J199" s="93"/>
      <c r="K199" s="93"/>
      <c r="L199" s="93"/>
      <c r="M199" s="95"/>
      <c r="N199" s="79"/>
      <c r="O199" s="96" t="b">
        <v>0</v>
      </c>
      <c r="P199" s="97"/>
      <c r="Q199" s="98"/>
      <c r="R199" s="97"/>
      <c r="S199" s="97"/>
      <c r="T199" s="97"/>
      <c r="U199" s="97"/>
      <c r="V199" s="99"/>
      <c r="W199" s="96" t="b">
        <v>0</v>
      </c>
      <c r="X199" s="97"/>
      <c r="Y199" s="98"/>
      <c r="Z199" s="97"/>
      <c r="AA199" s="97"/>
      <c r="AB199" s="97"/>
      <c r="AC199" s="97"/>
      <c r="AD199" s="99"/>
      <c r="AE199" s="96" t="b">
        <v>0</v>
      </c>
      <c r="AF199" s="97"/>
      <c r="AG199" s="98"/>
      <c r="AH199" s="97"/>
      <c r="AI199" s="97"/>
      <c r="AJ199" s="97"/>
      <c r="AK199" s="97"/>
      <c r="AL199" s="99"/>
      <c r="AM199" s="96" t="b">
        <v>0</v>
      </c>
      <c r="AN199" s="114"/>
      <c r="AO199" s="100"/>
      <c r="AP199" s="100"/>
      <c r="AQ199" s="100"/>
      <c r="AR199" s="100"/>
      <c r="AS199" s="100"/>
      <c r="AT199" s="101"/>
      <c r="AU199" s="102"/>
      <c r="AV199" s="83"/>
    </row>
    <row r="200" ht="15.0" customHeight="1">
      <c r="A200" s="83"/>
      <c r="B200" s="92"/>
      <c r="C200" s="115"/>
      <c r="D200" s="93"/>
      <c r="E200" s="94"/>
      <c r="F200" s="94"/>
      <c r="G200" s="95"/>
      <c r="H200" s="93"/>
      <c r="I200" s="95"/>
      <c r="J200" s="93"/>
      <c r="K200" s="93"/>
      <c r="L200" s="93"/>
      <c r="M200" s="95"/>
      <c r="N200" s="79"/>
      <c r="O200" s="96" t="b">
        <v>0</v>
      </c>
      <c r="P200" s="97"/>
      <c r="Q200" s="98"/>
      <c r="R200" s="97"/>
      <c r="S200" s="97"/>
      <c r="T200" s="97"/>
      <c r="U200" s="97"/>
      <c r="V200" s="99"/>
      <c r="W200" s="96" t="b">
        <v>0</v>
      </c>
      <c r="X200" s="97"/>
      <c r="Y200" s="98"/>
      <c r="Z200" s="97"/>
      <c r="AA200" s="97"/>
      <c r="AB200" s="97"/>
      <c r="AC200" s="97"/>
      <c r="AD200" s="99"/>
      <c r="AE200" s="96" t="b">
        <v>0</v>
      </c>
      <c r="AF200" s="97"/>
      <c r="AG200" s="98"/>
      <c r="AH200" s="97"/>
      <c r="AI200" s="97"/>
      <c r="AJ200" s="97"/>
      <c r="AK200" s="97"/>
      <c r="AL200" s="99"/>
      <c r="AM200" s="96" t="b">
        <v>0</v>
      </c>
      <c r="AN200" s="114"/>
      <c r="AO200" s="100"/>
      <c r="AP200" s="100"/>
      <c r="AQ200" s="100"/>
      <c r="AR200" s="100"/>
      <c r="AS200" s="100"/>
      <c r="AT200" s="101"/>
      <c r="AU200" s="102"/>
      <c r="AV200" s="83"/>
    </row>
    <row r="201" ht="15.0" customHeight="1">
      <c r="A201" s="83"/>
      <c r="B201" s="92"/>
      <c r="C201" s="115"/>
      <c r="D201" s="93"/>
      <c r="E201" s="94"/>
      <c r="F201" s="94"/>
      <c r="G201" s="95"/>
      <c r="H201" s="93"/>
      <c r="I201" s="95"/>
      <c r="J201" s="93"/>
      <c r="K201" s="93"/>
      <c r="L201" s="93"/>
      <c r="M201" s="95"/>
      <c r="N201" s="79"/>
      <c r="O201" s="96" t="b">
        <v>0</v>
      </c>
      <c r="P201" s="97"/>
      <c r="Q201" s="98"/>
      <c r="R201" s="97"/>
      <c r="S201" s="97"/>
      <c r="T201" s="97"/>
      <c r="U201" s="97"/>
      <c r="V201" s="99"/>
      <c r="W201" s="96" t="b">
        <v>0</v>
      </c>
      <c r="X201" s="97"/>
      <c r="Y201" s="98"/>
      <c r="Z201" s="97"/>
      <c r="AA201" s="97"/>
      <c r="AB201" s="97"/>
      <c r="AC201" s="97"/>
      <c r="AD201" s="99"/>
      <c r="AE201" s="96" t="b">
        <v>0</v>
      </c>
      <c r="AF201" s="97"/>
      <c r="AG201" s="98"/>
      <c r="AH201" s="97"/>
      <c r="AI201" s="97"/>
      <c r="AJ201" s="97"/>
      <c r="AK201" s="97"/>
      <c r="AL201" s="99"/>
      <c r="AM201" s="96" t="b">
        <v>0</v>
      </c>
      <c r="AN201" s="114"/>
      <c r="AO201" s="100"/>
      <c r="AP201" s="100"/>
      <c r="AQ201" s="100"/>
      <c r="AR201" s="100"/>
      <c r="AS201" s="100"/>
      <c r="AT201" s="101"/>
      <c r="AU201" s="102"/>
      <c r="AV201" s="83"/>
    </row>
    <row r="202" ht="15.0" customHeight="1">
      <c r="A202" s="83"/>
      <c r="B202" s="92"/>
      <c r="C202" s="115"/>
      <c r="D202" s="93"/>
      <c r="E202" s="94"/>
      <c r="F202" s="94"/>
      <c r="G202" s="95"/>
      <c r="H202" s="93"/>
      <c r="I202" s="95"/>
      <c r="J202" s="93"/>
      <c r="K202" s="93"/>
      <c r="L202" s="93"/>
      <c r="M202" s="95"/>
      <c r="N202" s="79"/>
      <c r="O202" s="96" t="b">
        <v>0</v>
      </c>
      <c r="P202" s="97"/>
      <c r="Q202" s="98"/>
      <c r="R202" s="97"/>
      <c r="S202" s="97"/>
      <c r="T202" s="97"/>
      <c r="U202" s="97"/>
      <c r="V202" s="99"/>
      <c r="W202" s="96" t="b">
        <v>0</v>
      </c>
      <c r="X202" s="97"/>
      <c r="Y202" s="98"/>
      <c r="Z202" s="97"/>
      <c r="AA202" s="97"/>
      <c r="AB202" s="97"/>
      <c r="AC202" s="97"/>
      <c r="AD202" s="99"/>
      <c r="AE202" s="96" t="b">
        <v>0</v>
      </c>
      <c r="AF202" s="97"/>
      <c r="AG202" s="98"/>
      <c r="AH202" s="97"/>
      <c r="AI202" s="97"/>
      <c r="AJ202" s="97"/>
      <c r="AK202" s="97"/>
      <c r="AL202" s="99"/>
      <c r="AM202" s="96" t="b">
        <v>0</v>
      </c>
      <c r="AN202" s="114"/>
      <c r="AO202" s="100"/>
      <c r="AP202" s="100"/>
      <c r="AQ202" s="100"/>
      <c r="AR202" s="100"/>
      <c r="AS202" s="100"/>
      <c r="AT202" s="101"/>
      <c r="AU202" s="102"/>
      <c r="AV202" s="83"/>
    </row>
    <row r="203" ht="15.0" customHeight="1">
      <c r="A203" s="83"/>
      <c r="B203" s="92"/>
      <c r="C203" s="115"/>
      <c r="D203" s="93"/>
      <c r="E203" s="94"/>
      <c r="F203" s="94"/>
      <c r="G203" s="95"/>
      <c r="H203" s="93"/>
      <c r="I203" s="95"/>
      <c r="J203" s="93"/>
      <c r="K203" s="93"/>
      <c r="L203" s="93"/>
      <c r="M203" s="95"/>
      <c r="N203" s="79"/>
      <c r="O203" s="96" t="b">
        <v>0</v>
      </c>
      <c r="P203" s="97"/>
      <c r="Q203" s="98"/>
      <c r="R203" s="97"/>
      <c r="S203" s="97"/>
      <c r="T203" s="97"/>
      <c r="U203" s="97"/>
      <c r="V203" s="99"/>
      <c r="W203" s="96" t="b">
        <v>0</v>
      </c>
      <c r="X203" s="97"/>
      <c r="Y203" s="98"/>
      <c r="Z203" s="97"/>
      <c r="AA203" s="97"/>
      <c r="AB203" s="97"/>
      <c r="AC203" s="97"/>
      <c r="AD203" s="99"/>
      <c r="AE203" s="96" t="b">
        <v>0</v>
      </c>
      <c r="AF203" s="97"/>
      <c r="AG203" s="98"/>
      <c r="AH203" s="97"/>
      <c r="AI203" s="97"/>
      <c r="AJ203" s="97"/>
      <c r="AK203" s="97"/>
      <c r="AL203" s="99"/>
      <c r="AM203" s="96" t="b">
        <v>0</v>
      </c>
      <c r="AN203" s="114"/>
      <c r="AO203" s="100"/>
      <c r="AP203" s="100"/>
      <c r="AQ203" s="100"/>
      <c r="AR203" s="100"/>
      <c r="AS203" s="100"/>
      <c r="AT203" s="101"/>
      <c r="AU203" s="102"/>
      <c r="AV203" s="83"/>
    </row>
    <row r="204" ht="15.0" customHeight="1">
      <c r="A204" s="83"/>
      <c r="B204" s="92"/>
      <c r="C204" s="115"/>
      <c r="D204" s="93"/>
      <c r="E204" s="94"/>
      <c r="F204" s="94"/>
      <c r="G204" s="95"/>
      <c r="H204" s="93"/>
      <c r="I204" s="95"/>
      <c r="J204" s="93"/>
      <c r="K204" s="93"/>
      <c r="L204" s="93"/>
      <c r="M204" s="95"/>
      <c r="N204" s="79"/>
      <c r="O204" s="96" t="b">
        <v>0</v>
      </c>
      <c r="P204" s="97"/>
      <c r="Q204" s="98"/>
      <c r="R204" s="97"/>
      <c r="S204" s="97"/>
      <c r="T204" s="97"/>
      <c r="U204" s="97"/>
      <c r="V204" s="99"/>
      <c r="W204" s="96" t="b">
        <v>0</v>
      </c>
      <c r="X204" s="97"/>
      <c r="Y204" s="98"/>
      <c r="Z204" s="97"/>
      <c r="AA204" s="97"/>
      <c r="AB204" s="97"/>
      <c r="AC204" s="97"/>
      <c r="AD204" s="99"/>
      <c r="AE204" s="96" t="b">
        <v>0</v>
      </c>
      <c r="AF204" s="97"/>
      <c r="AG204" s="98"/>
      <c r="AH204" s="97"/>
      <c r="AI204" s="97"/>
      <c r="AJ204" s="97"/>
      <c r="AK204" s="97"/>
      <c r="AL204" s="99"/>
      <c r="AM204" s="96" t="b">
        <v>0</v>
      </c>
      <c r="AN204" s="114"/>
      <c r="AO204" s="100"/>
      <c r="AP204" s="100"/>
      <c r="AQ204" s="100"/>
      <c r="AR204" s="100"/>
      <c r="AS204" s="100"/>
      <c r="AT204" s="101"/>
      <c r="AU204" s="102"/>
      <c r="AV204" s="83"/>
    </row>
    <row r="205" ht="15.0" customHeight="1">
      <c r="A205" s="83"/>
      <c r="B205" s="92"/>
      <c r="C205" s="115"/>
      <c r="D205" s="93"/>
      <c r="E205" s="94"/>
      <c r="F205" s="94"/>
      <c r="G205" s="95"/>
      <c r="H205" s="93"/>
      <c r="I205" s="95"/>
      <c r="J205" s="93"/>
      <c r="K205" s="93"/>
      <c r="L205" s="93"/>
      <c r="M205" s="95"/>
      <c r="N205" s="79"/>
      <c r="O205" s="96" t="b">
        <v>0</v>
      </c>
      <c r="P205" s="97"/>
      <c r="Q205" s="98"/>
      <c r="R205" s="97"/>
      <c r="S205" s="97"/>
      <c r="T205" s="97"/>
      <c r="U205" s="97"/>
      <c r="V205" s="99"/>
      <c r="W205" s="96" t="b">
        <v>0</v>
      </c>
      <c r="X205" s="97"/>
      <c r="Y205" s="98"/>
      <c r="Z205" s="97"/>
      <c r="AA205" s="97"/>
      <c r="AB205" s="97"/>
      <c r="AC205" s="97"/>
      <c r="AD205" s="99"/>
      <c r="AE205" s="96" t="b">
        <v>0</v>
      </c>
      <c r="AF205" s="97"/>
      <c r="AG205" s="98"/>
      <c r="AH205" s="97"/>
      <c r="AI205" s="97"/>
      <c r="AJ205" s="97"/>
      <c r="AK205" s="97"/>
      <c r="AL205" s="99"/>
      <c r="AM205" s="96" t="b">
        <v>0</v>
      </c>
      <c r="AN205" s="114"/>
      <c r="AO205" s="100"/>
      <c r="AP205" s="100"/>
      <c r="AQ205" s="100"/>
      <c r="AR205" s="100"/>
      <c r="AS205" s="100"/>
      <c r="AT205" s="101"/>
      <c r="AU205" s="102"/>
      <c r="AV205" s="83"/>
    </row>
    <row r="206" ht="15.0" customHeight="1">
      <c r="A206" s="83"/>
      <c r="B206" s="92"/>
      <c r="C206" s="115"/>
      <c r="D206" s="93"/>
      <c r="E206" s="94"/>
      <c r="F206" s="94"/>
      <c r="G206" s="95"/>
      <c r="H206" s="93"/>
      <c r="I206" s="95"/>
      <c r="J206" s="93"/>
      <c r="K206" s="93"/>
      <c r="L206" s="93"/>
      <c r="M206" s="95"/>
      <c r="N206" s="79"/>
      <c r="O206" s="96" t="b">
        <v>0</v>
      </c>
      <c r="P206" s="97"/>
      <c r="Q206" s="98"/>
      <c r="R206" s="97"/>
      <c r="S206" s="97"/>
      <c r="T206" s="97"/>
      <c r="U206" s="97"/>
      <c r="V206" s="99"/>
      <c r="W206" s="96" t="b">
        <v>0</v>
      </c>
      <c r="X206" s="97"/>
      <c r="Y206" s="98"/>
      <c r="Z206" s="97"/>
      <c r="AA206" s="97"/>
      <c r="AB206" s="97"/>
      <c r="AC206" s="97"/>
      <c r="AD206" s="99"/>
      <c r="AE206" s="96" t="b">
        <v>0</v>
      </c>
      <c r="AF206" s="97"/>
      <c r="AG206" s="98"/>
      <c r="AH206" s="97"/>
      <c r="AI206" s="97"/>
      <c r="AJ206" s="97"/>
      <c r="AK206" s="97"/>
      <c r="AL206" s="99"/>
      <c r="AM206" s="96" t="b">
        <v>0</v>
      </c>
      <c r="AN206" s="114"/>
      <c r="AO206" s="100"/>
      <c r="AP206" s="100"/>
      <c r="AQ206" s="100"/>
      <c r="AR206" s="100"/>
      <c r="AS206" s="100"/>
      <c r="AT206" s="101"/>
      <c r="AU206" s="102"/>
      <c r="AV206" s="83"/>
    </row>
    <row r="207" ht="15.0" customHeight="1">
      <c r="A207" s="83"/>
      <c r="B207" s="92"/>
      <c r="C207" s="115"/>
      <c r="D207" s="93"/>
      <c r="E207" s="94"/>
      <c r="F207" s="94"/>
      <c r="G207" s="95"/>
      <c r="H207" s="93"/>
      <c r="I207" s="95"/>
      <c r="J207" s="93"/>
      <c r="K207" s="93"/>
      <c r="L207" s="93"/>
      <c r="M207" s="95"/>
      <c r="N207" s="79"/>
      <c r="O207" s="96" t="b">
        <v>0</v>
      </c>
      <c r="P207" s="97"/>
      <c r="Q207" s="98"/>
      <c r="R207" s="97"/>
      <c r="S207" s="97"/>
      <c r="T207" s="97"/>
      <c r="U207" s="97"/>
      <c r="V207" s="99"/>
      <c r="W207" s="96" t="b">
        <v>0</v>
      </c>
      <c r="X207" s="97"/>
      <c r="Y207" s="98"/>
      <c r="Z207" s="97"/>
      <c r="AA207" s="97"/>
      <c r="AB207" s="97"/>
      <c r="AC207" s="97"/>
      <c r="AD207" s="99"/>
      <c r="AE207" s="96" t="b">
        <v>0</v>
      </c>
      <c r="AF207" s="97"/>
      <c r="AG207" s="98"/>
      <c r="AH207" s="97"/>
      <c r="AI207" s="97"/>
      <c r="AJ207" s="97"/>
      <c r="AK207" s="97"/>
      <c r="AL207" s="99"/>
      <c r="AM207" s="96" t="b">
        <v>0</v>
      </c>
      <c r="AN207" s="114"/>
      <c r="AO207" s="100"/>
      <c r="AP207" s="100"/>
      <c r="AQ207" s="100"/>
      <c r="AR207" s="100"/>
      <c r="AS207" s="100"/>
      <c r="AT207" s="101"/>
      <c r="AU207" s="102"/>
      <c r="AV207" s="83"/>
    </row>
    <row r="208" ht="15.0" customHeight="1">
      <c r="A208" s="83"/>
      <c r="B208" s="92"/>
      <c r="C208" s="115"/>
      <c r="D208" s="93"/>
      <c r="E208" s="94"/>
      <c r="F208" s="94"/>
      <c r="G208" s="95"/>
      <c r="H208" s="93"/>
      <c r="I208" s="95"/>
      <c r="J208" s="93"/>
      <c r="K208" s="93"/>
      <c r="L208" s="93"/>
      <c r="M208" s="95"/>
      <c r="N208" s="79"/>
      <c r="O208" s="96" t="b">
        <v>0</v>
      </c>
      <c r="P208" s="97"/>
      <c r="Q208" s="98"/>
      <c r="R208" s="97"/>
      <c r="S208" s="97"/>
      <c r="T208" s="97"/>
      <c r="U208" s="97"/>
      <c r="V208" s="99"/>
      <c r="W208" s="96" t="b">
        <v>0</v>
      </c>
      <c r="X208" s="97"/>
      <c r="Y208" s="98"/>
      <c r="Z208" s="97"/>
      <c r="AA208" s="97"/>
      <c r="AB208" s="97"/>
      <c r="AC208" s="97"/>
      <c r="AD208" s="99"/>
      <c r="AE208" s="96" t="b">
        <v>0</v>
      </c>
      <c r="AF208" s="97"/>
      <c r="AG208" s="98"/>
      <c r="AH208" s="97"/>
      <c r="AI208" s="97"/>
      <c r="AJ208" s="97"/>
      <c r="AK208" s="97"/>
      <c r="AL208" s="99"/>
      <c r="AM208" s="96" t="b">
        <v>0</v>
      </c>
      <c r="AN208" s="114"/>
      <c r="AO208" s="100"/>
      <c r="AP208" s="100"/>
      <c r="AQ208" s="100"/>
      <c r="AR208" s="100"/>
      <c r="AS208" s="100"/>
      <c r="AT208" s="101"/>
      <c r="AU208" s="102"/>
      <c r="AV208" s="83"/>
    </row>
    <row r="209" ht="15.0" customHeight="1">
      <c r="A209" s="83"/>
      <c r="B209" s="92"/>
      <c r="C209" s="115"/>
      <c r="D209" s="93"/>
      <c r="E209" s="94"/>
      <c r="F209" s="94"/>
      <c r="G209" s="95"/>
      <c r="H209" s="93"/>
      <c r="I209" s="95"/>
      <c r="J209" s="93"/>
      <c r="K209" s="93"/>
      <c r="L209" s="93"/>
      <c r="M209" s="95"/>
      <c r="N209" s="79"/>
      <c r="O209" s="96" t="b">
        <v>0</v>
      </c>
      <c r="P209" s="97"/>
      <c r="Q209" s="98"/>
      <c r="R209" s="97"/>
      <c r="S209" s="97"/>
      <c r="T209" s="97"/>
      <c r="U209" s="97"/>
      <c r="V209" s="99"/>
      <c r="W209" s="96" t="b">
        <v>0</v>
      </c>
      <c r="X209" s="97"/>
      <c r="Y209" s="98"/>
      <c r="Z209" s="97"/>
      <c r="AA209" s="97"/>
      <c r="AB209" s="97"/>
      <c r="AC209" s="97"/>
      <c r="AD209" s="99"/>
      <c r="AE209" s="96" t="b">
        <v>0</v>
      </c>
      <c r="AF209" s="97"/>
      <c r="AG209" s="98"/>
      <c r="AH209" s="97"/>
      <c r="AI209" s="97"/>
      <c r="AJ209" s="97"/>
      <c r="AK209" s="97"/>
      <c r="AL209" s="99"/>
      <c r="AM209" s="96" t="b">
        <v>0</v>
      </c>
      <c r="AN209" s="114"/>
      <c r="AO209" s="100"/>
      <c r="AP209" s="100"/>
      <c r="AQ209" s="100"/>
      <c r="AR209" s="100"/>
      <c r="AS209" s="100"/>
      <c r="AT209" s="101"/>
      <c r="AU209" s="102"/>
      <c r="AV209" s="83"/>
    </row>
    <row r="210" ht="15.0" customHeight="1">
      <c r="A210" s="83"/>
      <c r="B210" s="92"/>
      <c r="C210" s="115"/>
      <c r="D210" s="93"/>
      <c r="E210" s="94"/>
      <c r="F210" s="94"/>
      <c r="G210" s="95"/>
      <c r="H210" s="93"/>
      <c r="I210" s="95"/>
      <c r="J210" s="93"/>
      <c r="K210" s="93"/>
      <c r="L210" s="93"/>
      <c r="M210" s="95"/>
      <c r="N210" s="79"/>
      <c r="O210" s="96" t="b">
        <v>0</v>
      </c>
      <c r="P210" s="97"/>
      <c r="Q210" s="98"/>
      <c r="R210" s="97"/>
      <c r="S210" s="97"/>
      <c r="T210" s="97"/>
      <c r="U210" s="97"/>
      <c r="V210" s="99"/>
      <c r="W210" s="96" t="b">
        <v>0</v>
      </c>
      <c r="X210" s="97"/>
      <c r="Y210" s="98"/>
      <c r="Z210" s="97"/>
      <c r="AA210" s="97"/>
      <c r="AB210" s="97"/>
      <c r="AC210" s="97"/>
      <c r="AD210" s="99"/>
      <c r="AE210" s="96" t="b">
        <v>0</v>
      </c>
      <c r="AF210" s="97"/>
      <c r="AG210" s="98"/>
      <c r="AH210" s="97"/>
      <c r="AI210" s="97"/>
      <c r="AJ210" s="97"/>
      <c r="AK210" s="97"/>
      <c r="AL210" s="99"/>
      <c r="AM210" s="96" t="b">
        <v>0</v>
      </c>
      <c r="AN210" s="114"/>
      <c r="AO210" s="100"/>
      <c r="AP210" s="100"/>
      <c r="AQ210" s="100"/>
      <c r="AR210" s="100"/>
      <c r="AS210" s="100"/>
      <c r="AT210" s="101"/>
      <c r="AU210" s="102"/>
      <c r="AV210" s="83"/>
    </row>
    <row r="211" ht="15.0" customHeight="1">
      <c r="A211" s="83"/>
      <c r="B211" s="92"/>
      <c r="C211" s="115"/>
      <c r="D211" s="93"/>
      <c r="E211" s="94"/>
      <c r="F211" s="94"/>
      <c r="G211" s="95"/>
      <c r="H211" s="93"/>
      <c r="I211" s="95"/>
      <c r="J211" s="93"/>
      <c r="K211" s="93"/>
      <c r="L211" s="93"/>
      <c r="M211" s="95"/>
      <c r="N211" s="79"/>
      <c r="O211" s="96" t="b">
        <v>0</v>
      </c>
      <c r="P211" s="97"/>
      <c r="Q211" s="98"/>
      <c r="R211" s="97"/>
      <c r="S211" s="97"/>
      <c r="T211" s="97"/>
      <c r="U211" s="97"/>
      <c r="V211" s="99"/>
      <c r="W211" s="96" t="b">
        <v>0</v>
      </c>
      <c r="X211" s="97"/>
      <c r="Y211" s="98"/>
      <c r="Z211" s="97"/>
      <c r="AA211" s="97"/>
      <c r="AB211" s="97"/>
      <c r="AC211" s="97"/>
      <c r="AD211" s="99"/>
      <c r="AE211" s="96" t="b">
        <v>0</v>
      </c>
      <c r="AF211" s="97"/>
      <c r="AG211" s="98"/>
      <c r="AH211" s="97"/>
      <c r="AI211" s="97"/>
      <c r="AJ211" s="97"/>
      <c r="AK211" s="97"/>
      <c r="AL211" s="99"/>
      <c r="AM211" s="96" t="b">
        <v>0</v>
      </c>
      <c r="AN211" s="114"/>
      <c r="AO211" s="100"/>
      <c r="AP211" s="100"/>
      <c r="AQ211" s="100"/>
      <c r="AR211" s="100"/>
      <c r="AS211" s="100"/>
      <c r="AT211" s="101"/>
      <c r="AU211" s="102"/>
      <c r="AV211" s="83"/>
    </row>
    <row r="212" ht="15.0" customHeight="1">
      <c r="A212" s="83"/>
      <c r="B212" s="92"/>
      <c r="C212" s="115"/>
      <c r="D212" s="93"/>
      <c r="E212" s="94"/>
      <c r="F212" s="94"/>
      <c r="G212" s="95"/>
      <c r="H212" s="93"/>
      <c r="I212" s="95"/>
      <c r="J212" s="93"/>
      <c r="K212" s="93"/>
      <c r="L212" s="93"/>
      <c r="M212" s="95"/>
      <c r="N212" s="79"/>
      <c r="O212" s="96" t="b">
        <v>0</v>
      </c>
      <c r="P212" s="97"/>
      <c r="Q212" s="98"/>
      <c r="R212" s="97"/>
      <c r="S212" s="97"/>
      <c r="T212" s="97"/>
      <c r="U212" s="97"/>
      <c r="V212" s="99"/>
      <c r="W212" s="96" t="b">
        <v>0</v>
      </c>
      <c r="X212" s="97"/>
      <c r="Y212" s="98"/>
      <c r="Z212" s="97"/>
      <c r="AA212" s="97"/>
      <c r="AB212" s="97"/>
      <c r="AC212" s="97"/>
      <c r="AD212" s="99"/>
      <c r="AE212" s="96" t="b">
        <v>0</v>
      </c>
      <c r="AF212" s="97"/>
      <c r="AG212" s="98"/>
      <c r="AH212" s="97"/>
      <c r="AI212" s="97"/>
      <c r="AJ212" s="97"/>
      <c r="AK212" s="97"/>
      <c r="AL212" s="99"/>
      <c r="AM212" s="96" t="b">
        <v>0</v>
      </c>
      <c r="AN212" s="114"/>
      <c r="AO212" s="100"/>
      <c r="AP212" s="100"/>
      <c r="AQ212" s="100"/>
      <c r="AR212" s="100"/>
      <c r="AS212" s="100"/>
      <c r="AT212" s="101"/>
      <c r="AU212" s="102"/>
      <c r="AV212" s="83"/>
    </row>
    <row r="213" ht="15.0" customHeight="1">
      <c r="A213" s="83"/>
      <c r="B213" s="92"/>
      <c r="C213" s="115"/>
      <c r="D213" s="93"/>
      <c r="E213" s="94"/>
      <c r="F213" s="94"/>
      <c r="G213" s="95"/>
      <c r="H213" s="93"/>
      <c r="I213" s="95"/>
      <c r="J213" s="93"/>
      <c r="K213" s="93"/>
      <c r="L213" s="93"/>
      <c r="M213" s="95"/>
      <c r="N213" s="79"/>
      <c r="O213" s="96" t="b">
        <v>0</v>
      </c>
      <c r="P213" s="97"/>
      <c r="Q213" s="98"/>
      <c r="R213" s="97"/>
      <c r="S213" s="97"/>
      <c r="T213" s="97"/>
      <c r="U213" s="97"/>
      <c r="V213" s="99"/>
      <c r="W213" s="96" t="b">
        <v>0</v>
      </c>
      <c r="X213" s="97"/>
      <c r="Y213" s="98"/>
      <c r="Z213" s="97"/>
      <c r="AA213" s="97"/>
      <c r="AB213" s="97"/>
      <c r="AC213" s="97"/>
      <c r="AD213" s="99"/>
      <c r="AE213" s="96" t="b">
        <v>0</v>
      </c>
      <c r="AF213" s="97"/>
      <c r="AG213" s="98"/>
      <c r="AH213" s="97"/>
      <c r="AI213" s="97"/>
      <c r="AJ213" s="97"/>
      <c r="AK213" s="97"/>
      <c r="AL213" s="99"/>
      <c r="AM213" s="96" t="b">
        <v>0</v>
      </c>
      <c r="AN213" s="114"/>
      <c r="AO213" s="100"/>
      <c r="AP213" s="100"/>
      <c r="AQ213" s="100"/>
      <c r="AR213" s="100"/>
      <c r="AS213" s="100"/>
      <c r="AT213" s="101"/>
      <c r="AU213" s="102"/>
      <c r="AV213" s="83"/>
    </row>
    <row r="214" ht="15.0" customHeight="1">
      <c r="A214" s="83"/>
      <c r="B214" s="92"/>
      <c r="C214" s="115"/>
      <c r="D214" s="93"/>
      <c r="E214" s="94"/>
      <c r="F214" s="94"/>
      <c r="G214" s="95"/>
      <c r="H214" s="93"/>
      <c r="I214" s="95"/>
      <c r="J214" s="93"/>
      <c r="K214" s="93"/>
      <c r="L214" s="93"/>
      <c r="M214" s="95"/>
      <c r="N214" s="79"/>
      <c r="O214" s="96" t="b">
        <v>0</v>
      </c>
      <c r="P214" s="97"/>
      <c r="Q214" s="98"/>
      <c r="R214" s="97"/>
      <c r="S214" s="97"/>
      <c r="T214" s="97"/>
      <c r="U214" s="97"/>
      <c r="V214" s="99"/>
      <c r="W214" s="96" t="b">
        <v>0</v>
      </c>
      <c r="X214" s="97"/>
      <c r="Y214" s="98"/>
      <c r="Z214" s="97"/>
      <c r="AA214" s="97"/>
      <c r="AB214" s="97"/>
      <c r="AC214" s="97"/>
      <c r="AD214" s="99"/>
      <c r="AE214" s="96" t="b">
        <v>0</v>
      </c>
      <c r="AF214" s="97"/>
      <c r="AG214" s="98"/>
      <c r="AH214" s="97"/>
      <c r="AI214" s="97"/>
      <c r="AJ214" s="97"/>
      <c r="AK214" s="97"/>
      <c r="AL214" s="99"/>
      <c r="AM214" s="96" t="b">
        <v>0</v>
      </c>
      <c r="AN214" s="114"/>
      <c r="AO214" s="100"/>
      <c r="AP214" s="100"/>
      <c r="AQ214" s="100"/>
      <c r="AR214" s="100"/>
      <c r="AS214" s="100"/>
      <c r="AT214" s="101"/>
      <c r="AU214" s="102"/>
      <c r="AV214" s="83"/>
    </row>
    <row r="215" ht="15.0" customHeight="1">
      <c r="A215" s="83"/>
      <c r="B215" s="92"/>
      <c r="C215" s="115"/>
      <c r="D215" s="93"/>
      <c r="E215" s="94"/>
      <c r="F215" s="94"/>
      <c r="G215" s="95"/>
      <c r="H215" s="93"/>
      <c r="I215" s="95"/>
      <c r="J215" s="93"/>
      <c r="K215" s="93"/>
      <c r="L215" s="93"/>
      <c r="M215" s="95"/>
      <c r="N215" s="79"/>
      <c r="O215" s="96" t="b">
        <v>0</v>
      </c>
      <c r="P215" s="97"/>
      <c r="Q215" s="98"/>
      <c r="R215" s="97"/>
      <c r="S215" s="97"/>
      <c r="T215" s="97"/>
      <c r="U215" s="97"/>
      <c r="V215" s="99"/>
      <c r="W215" s="96" t="b">
        <v>0</v>
      </c>
      <c r="X215" s="97"/>
      <c r="Y215" s="98"/>
      <c r="Z215" s="97"/>
      <c r="AA215" s="97"/>
      <c r="AB215" s="97"/>
      <c r="AC215" s="97"/>
      <c r="AD215" s="99"/>
      <c r="AE215" s="96" t="b">
        <v>0</v>
      </c>
      <c r="AF215" s="97"/>
      <c r="AG215" s="98"/>
      <c r="AH215" s="97"/>
      <c r="AI215" s="97"/>
      <c r="AJ215" s="97"/>
      <c r="AK215" s="97"/>
      <c r="AL215" s="99"/>
      <c r="AM215" s="96" t="b">
        <v>0</v>
      </c>
      <c r="AN215" s="114"/>
      <c r="AO215" s="100"/>
      <c r="AP215" s="100"/>
      <c r="AQ215" s="100"/>
      <c r="AR215" s="100"/>
      <c r="AS215" s="100"/>
      <c r="AT215" s="101"/>
      <c r="AU215" s="102"/>
      <c r="AV215" s="83"/>
    </row>
    <row r="216" ht="15.0" customHeight="1">
      <c r="A216" s="83"/>
      <c r="B216" s="92"/>
      <c r="C216" s="115"/>
      <c r="D216" s="93"/>
      <c r="E216" s="94"/>
      <c r="F216" s="94"/>
      <c r="G216" s="95"/>
      <c r="H216" s="93"/>
      <c r="I216" s="95"/>
      <c r="J216" s="93"/>
      <c r="K216" s="93"/>
      <c r="L216" s="93"/>
      <c r="M216" s="95"/>
      <c r="N216" s="79"/>
      <c r="O216" s="96" t="b">
        <v>0</v>
      </c>
      <c r="P216" s="97"/>
      <c r="Q216" s="98"/>
      <c r="R216" s="97"/>
      <c r="S216" s="97"/>
      <c r="T216" s="97"/>
      <c r="U216" s="97"/>
      <c r="V216" s="99"/>
      <c r="W216" s="96" t="b">
        <v>0</v>
      </c>
      <c r="X216" s="97"/>
      <c r="Y216" s="98"/>
      <c r="Z216" s="97"/>
      <c r="AA216" s="97"/>
      <c r="AB216" s="97"/>
      <c r="AC216" s="97"/>
      <c r="AD216" s="99"/>
      <c r="AE216" s="96" t="b">
        <v>0</v>
      </c>
      <c r="AF216" s="97"/>
      <c r="AG216" s="98"/>
      <c r="AH216" s="97"/>
      <c r="AI216" s="97"/>
      <c r="AJ216" s="97"/>
      <c r="AK216" s="97"/>
      <c r="AL216" s="99"/>
      <c r="AM216" s="96" t="b">
        <v>0</v>
      </c>
      <c r="AN216" s="114"/>
      <c r="AO216" s="100"/>
      <c r="AP216" s="100"/>
      <c r="AQ216" s="100"/>
      <c r="AR216" s="100"/>
      <c r="AS216" s="100"/>
      <c r="AT216" s="101"/>
      <c r="AU216" s="102"/>
      <c r="AV216" s="83"/>
    </row>
    <row r="217" ht="15.0" customHeight="1">
      <c r="A217" s="83"/>
      <c r="B217" s="92"/>
      <c r="C217" s="115"/>
      <c r="D217" s="93"/>
      <c r="E217" s="94"/>
      <c r="F217" s="94"/>
      <c r="G217" s="95"/>
      <c r="H217" s="93"/>
      <c r="I217" s="95"/>
      <c r="J217" s="93"/>
      <c r="K217" s="93"/>
      <c r="L217" s="93"/>
      <c r="M217" s="95"/>
      <c r="N217" s="79"/>
      <c r="O217" s="96" t="b">
        <v>0</v>
      </c>
      <c r="P217" s="97"/>
      <c r="Q217" s="98"/>
      <c r="R217" s="97"/>
      <c r="S217" s="97"/>
      <c r="T217" s="97"/>
      <c r="U217" s="97"/>
      <c r="V217" s="99"/>
      <c r="W217" s="96" t="b">
        <v>0</v>
      </c>
      <c r="X217" s="97"/>
      <c r="Y217" s="98"/>
      <c r="Z217" s="97"/>
      <c r="AA217" s="97"/>
      <c r="AB217" s="97"/>
      <c r="AC217" s="97"/>
      <c r="AD217" s="99"/>
      <c r="AE217" s="96" t="b">
        <v>0</v>
      </c>
      <c r="AF217" s="97"/>
      <c r="AG217" s="98"/>
      <c r="AH217" s="97"/>
      <c r="AI217" s="97"/>
      <c r="AJ217" s="97"/>
      <c r="AK217" s="97"/>
      <c r="AL217" s="99"/>
      <c r="AM217" s="96" t="b">
        <v>0</v>
      </c>
      <c r="AN217" s="114"/>
      <c r="AO217" s="100"/>
      <c r="AP217" s="100"/>
      <c r="AQ217" s="100"/>
      <c r="AR217" s="100"/>
      <c r="AS217" s="100"/>
      <c r="AT217" s="101"/>
      <c r="AU217" s="102"/>
      <c r="AV217" s="83"/>
    </row>
    <row r="218" ht="15.0" customHeight="1">
      <c r="A218" s="83"/>
      <c r="B218" s="92"/>
      <c r="C218" s="115"/>
      <c r="D218" s="93"/>
      <c r="E218" s="94"/>
      <c r="F218" s="94"/>
      <c r="G218" s="95"/>
      <c r="H218" s="93"/>
      <c r="I218" s="95"/>
      <c r="J218" s="93"/>
      <c r="K218" s="93"/>
      <c r="L218" s="93"/>
      <c r="M218" s="95"/>
      <c r="N218" s="79"/>
      <c r="O218" s="96" t="b">
        <v>0</v>
      </c>
      <c r="P218" s="97"/>
      <c r="Q218" s="98"/>
      <c r="R218" s="97"/>
      <c r="S218" s="97"/>
      <c r="T218" s="97"/>
      <c r="U218" s="97"/>
      <c r="V218" s="99"/>
      <c r="W218" s="96" t="b">
        <v>0</v>
      </c>
      <c r="X218" s="97"/>
      <c r="Y218" s="98"/>
      <c r="Z218" s="97"/>
      <c r="AA218" s="97"/>
      <c r="AB218" s="97"/>
      <c r="AC218" s="97"/>
      <c r="AD218" s="99"/>
      <c r="AE218" s="96" t="b">
        <v>0</v>
      </c>
      <c r="AF218" s="97"/>
      <c r="AG218" s="98"/>
      <c r="AH218" s="97"/>
      <c r="AI218" s="97"/>
      <c r="AJ218" s="97"/>
      <c r="AK218" s="97"/>
      <c r="AL218" s="99"/>
      <c r="AM218" s="96" t="b">
        <v>0</v>
      </c>
      <c r="AN218" s="114"/>
      <c r="AO218" s="100"/>
      <c r="AP218" s="100"/>
      <c r="AQ218" s="100"/>
      <c r="AR218" s="100"/>
      <c r="AS218" s="100"/>
      <c r="AT218" s="101"/>
      <c r="AU218" s="102"/>
      <c r="AV218" s="83"/>
    </row>
    <row r="219" ht="15.0" customHeight="1">
      <c r="A219" s="83"/>
      <c r="B219" s="92"/>
      <c r="C219" s="115"/>
      <c r="D219" s="93"/>
      <c r="E219" s="94"/>
      <c r="F219" s="94"/>
      <c r="G219" s="95"/>
      <c r="H219" s="93"/>
      <c r="I219" s="95"/>
      <c r="J219" s="93"/>
      <c r="K219" s="93"/>
      <c r="L219" s="93"/>
      <c r="M219" s="95"/>
      <c r="N219" s="79"/>
      <c r="O219" s="96" t="b">
        <v>0</v>
      </c>
      <c r="P219" s="97"/>
      <c r="Q219" s="98"/>
      <c r="R219" s="97"/>
      <c r="S219" s="97"/>
      <c r="T219" s="97"/>
      <c r="U219" s="97"/>
      <c r="V219" s="99"/>
      <c r="W219" s="96" t="b">
        <v>0</v>
      </c>
      <c r="X219" s="97"/>
      <c r="Y219" s="98"/>
      <c r="Z219" s="97"/>
      <c r="AA219" s="97"/>
      <c r="AB219" s="97"/>
      <c r="AC219" s="97"/>
      <c r="AD219" s="99"/>
      <c r="AE219" s="96" t="b">
        <v>0</v>
      </c>
      <c r="AF219" s="97"/>
      <c r="AG219" s="98"/>
      <c r="AH219" s="97"/>
      <c r="AI219" s="97"/>
      <c r="AJ219" s="97"/>
      <c r="AK219" s="97"/>
      <c r="AL219" s="99"/>
      <c r="AM219" s="96" t="b">
        <v>0</v>
      </c>
      <c r="AN219" s="114"/>
      <c r="AO219" s="100"/>
      <c r="AP219" s="100"/>
      <c r="AQ219" s="100"/>
      <c r="AR219" s="100"/>
      <c r="AS219" s="100"/>
      <c r="AT219" s="101"/>
      <c r="AU219" s="102"/>
      <c r="AV219" s="83"/>
    </row>
    <row r="220" ht="15.0" customHeight="1">
      <c r="A220" s="83"/>
      <c r="B220" s="92"/>
      <c r="C220" s="115"/>
      <c r="D220" s="93"/>
      <c r="E220" s="94"/>
      <c r="F220" s="94"/>
      <c r="G220" s="95"/>
      <c r="H220" s="93"/>
      <c r="I220" s="95"/>
      <c r="J220" s="93"/>
      <c r="K220" s="93"/>
      <c r="L220" s="93"/>
      <c r="M220" s="95"/>
      <c r="N220" s="79"/>
      <c r="O220" s="96" t="b">
        <v>0</v>
      </c>
      <c r="P220" s="97"/>
      <c r="Q220" s="98"/>
      <c r="R220" s="97"/>
      <c r="S220" s="97"/>
      <c r="T220" s="97"/>
      <c r="U220" s="97"/>
      <c r="V220" s="99"/>
      <c r="W220" s="96" t="b">
        <v>0</v>
      </c>
      <c r="X220" s="97"/>
      <c r="Y220" s="98"/>
      <c r="Z220" s="97"/>
      <c r="AA220" s="97"/>
      <c r="AB220" s="97"/>
      <c r="AC220" s="97"/>
      <c r="AD220" s="99"/>
      <c r="AE220" s="96" t="b">
        <v>0</v>
      </c>
      <c r="AF220" s="97"/>
      <c r="AG220" s="98"/>
      <c r="AH220" s="97"/>
      <c r="AI220" s="97"/>
      <c r="AJ220" s="97"/>
      <c r="AK220" s="97"/>
      <c r="AL220" s="99"/>
      <c r="AM220" s="96" t="b">
        <v>0</v>
      </c>
      <c r="AN220" s="114"/>
      <c r="AO220" s="100"/>
      <c r="AP220" s="100"/>
      <c r="AQ220" s="100"/>
      <c r="AR220" s="100"/>
      <c r="AS220" s="100"/>
      <c r="AT220" s="101"/>
      <c r="AU220" s="102"/>
      <c r="AV220" s="83"/>
    </row>
    <row r="221" ht="15.0" customHeight="1">
      <c r="A221" s="83"/>
      <c r="B221" s="92"/>
      <c r="C221" s="115"/>
      <c r="D221" s="93"/>
      <c r="E221" s="94"/>
      <c r="F221" s="94"/>
      <c r="G221" s="95"/>
      <c r="H221" s="93"/>
      <c r="I221" s="95"/>
      <c r="J221" s="93"/>
      <c r="K221" s="93"/>
      <c r="L221" s="93"/>
      <c r="M221" s="95"/>
      <c r="N221" s="79"/>
      <c r="O221" s="96" t="b">
        <v>0</v>
      </c>
      <c r="P221" s="97"/>
      <c r="Q221" s="98"/>
      <c r="R221" s="97"/>
      <c r="S221" s="97"/>
      <c r="T221" s="97"/>
      <c r="U221" s="97"/>
      <c r="V221" s="99"/>
      <c r="W221" s="96" t="b">
        <v>0</v>
      </c>
      <c r="X221" s="97"/>
      <c r="Y221" s="98"/>
      <c r="Z221" s="97"/>
      <c r="AA221" s="97"/>
      <c r="AB221" s="97"/>
      <c r="AC221" s="97"/>
      <c r="AD221" s="99"/>
      <c r="AE221" s="96" t="b">
        <v>0</v>
      </c>
      <c r="AF221" s="97"/>
      <c r="AG221" s="98"/>
      <c r="AH221" s="97"/>
      <c r="AI221" s="97"/>
      <c r="AJ221" s="97"/>
      <c r="AK221" s="97"/>
      <c r="AL221" s="99"/>
      <c r="AM221" s="96" t="b">
        <v>0</v>
      </c>
      <c r="AN221" s="114"/>
      <c r="AO221" s="100"/>
      <c r="AP221" s="100"/>
      <c r="AQ221" s="100"/>
      <c r="AR221" s="100"/>
      <c r="AS221" s="100"/>
      <c r="AT221" s="101"/>
      <c r="AU221" s="102"/>
      <c r="AV221" s="83"/>
    </row>
    <row r="222" ht="15.0" customHeight="1">
      <c r="A222" s="83"/>
      <c r="B222" s="92"/>
      <c r="C222" s="115"/>
      <c r="D222" s="93"/>
      <c r="E222" s="94"/>
      <c r="F222" s="94"/>
      <c r="G222" s="95"/>
      <c r="H222" s="93"/>
      <c r="I222" s="95"/>
      <c r="J222" s="93"/>
      <c r="K222" s="93"/>
      <c r="L222" s="93"/>
      <c r="M222" s="95"/>
      <c r="N222" s="79"/>
      <c r="O222" s="96" t="b">
        <v>0</v>
      </c>
      <c r="P222" s="97"/>
      <c r="Q222" s="98"/>
      <c r="R222" s="97"/>
      <c r="S222" s="97"/>
      <c r="T222" s="97"/>
      <c r="U222" s="97"/>
      <c r="V222" s="99"/>
      <c r="W222" s="96" t="b">
        <v>0</v>
      </c>
      <c r="X222" s="97"/>
      <c r="Y222" s="98"/>
      <c r="Z222" s="97"/>
      <c r="AA222" s="97"/>
      <c r="AB222" s="97"/>
      <c r="AC222" s="97"/>
      <c r="AD222" s="99"/>
      <c r="AE222" s="96" t="b">
        <v>0</v>
      </c>
      <c r="AF222" s="97"/>
      <c r="AG222" s="98"/>
      <c r="AH222" s="97"/>
      <c r="AI222" s="97"/>
      <c r="AJ222" s="97"/>
      <c r="AK222" s="97"/>
      <c r="AL222" s="99"/>
      <c r="AM222" s="96" t="b">
        <v>0</v>
      </c>
      <c r="AN222" s="114"/>
      <c r="AO222" s="100"/>
      <c r="AP222" s="100"/>
      <c r="AQ222" s="100"/>
      <c r="AR222" s="100"/>
      <c r="AS222" s="100"/>
      <c r="AT222" s="101"/>
      <c r="AU222" s="102"/>
      <c r="AV222" s="83"/>
    </row>
    <row r="223" ht="15.0" customHeight="1">
      <c r="A223" s="83"/>
      <c r="B223" s="92"/>
      <c r="C223" s="115"/>
      <c r="D223" s="93"/>
      <c r="E223" s="94"/>
      <c r="F223" s="94"/>
      <c r="G223" s="95"/>
      <c r="H223" s="93"/>
      <c r="I223" s="95"/>
      <c r="J223" s="93"/>
      <c r="K223" s="93"/>
      <c r="L223" s="93"/>
      <c r="M223" s="95"/>
      <c r="N223" s="79"/>
      <c r="O223" s="96" t="b">
        <v>0</v>
      </c>
      <c r="P223" s="97"/>
      <c r="Q223" s="98"/>
      <c r="R223" s="97"/>
      <c r="S223" s="97"/>
      <c r="T223" s="97"/>
      <c r="U223" s="97"/>
      <c r="V223" s="99"/>
      <c r="W223" s="96" t="b">
        <v>0</v>
      </c>
      <c r="X223" s="97"/>
      <c r="Y223" s="98"/>
      <c r="Z223" s="97"/>
      <c r="AA223" s="97"/>
      <c r="AB223" s="97"/>
      <c r="AC223" s="97"/>
      <c r="AD223" s="99"/>
      <c r="AE223" s="96" t="b">
        <v>0</v>
      </c>
      <c r="AF223" s="97"/>
      <c r="AG223" s="98"/>
      <c r="AH223" s="97"/>
      <c r="AI223" s="97"/>
      <c r="AJ223" s="97"/>
      <c r="AK223" s="97"/>
      <c r="AL223" s="99"/>
      <c r="AM223" s="96" t="b">
        <v>0</v>
      </c>
      <c r="AN223" s="114"/>
      <c r="AO223" s="100"/>
      <c r="AP223" s="100"/>
      <c r="AQ223" s="100"/>
      <c r="AR223" s="100"/>
      <c r="AS223" s="100"/>
      <c r="AT223" s="101"/>
      <c r="AU223" s="102"/>
      <c r="AV223" s="83"/>
    </row>
    <row r="224" ht="15.0" customHeight="1">
      <c r="A224" s="83"/>
      <c r="B224" s="92"/>
      <c r="C224" s="115"/>
      <c r="D224" s="93"/>
      <c r="E224" s="94"/>
      <c r="F224" s="94"/>
      <c r="G224" s="95"/>
      <c r="H224" s="93"/>
      <c r="I224" s="95"/>
      <c r="J224" s="93"/>
      <c r="K224" s="93"/>
      <c r="L224" s="93"/>
      <c r="M224" s="95"/>
      <c r="N224" s="79"/>
      <c r="O224" s="96" t="b">
        <v>0</v>
      </c>
      <c r="P224" s="97"/>
      <c r="Q224" s="98"/>
      <c r="R224" s="97"/>
      <c r="S224" s="97"/>
      <c r="T224" s="97"/>
      <c r="U224" s="97"/>
      <c r="V224" s="99"/>
      <c r="W224" s="96" t="b">
        <v>0</v>
      </c>
      <c r="X224" s="97"/>
      <c r="Y224" s="98"/>
      <c r="Z224" s="97"/>
      <c r="AA224" s="97"/>
      <c r="AB224" s="97"/>
      <c r="AC224" s="97"/>
      <c r="AD224" s="99"/>
      <c r="AE224" s="96" t="b">
        <v>0</v>
      </c>
      <c r="AF224" s="97"/>
      <c r="AG224" s="98"/>
      <c r="AH224" s="97"/>
      <c r="AI224" s="97"/>
      <c r="AJ224" s="97"/>
      <c r="AK224" s="97"/>
      <c r="AL224" s="99"/>
      <c r="AM224" s="96" t="b">
        <v>0</v>
      </c>
      <c r="AN224" s="114"/>
      <c r="AO224" s="100"/>
      <c r="AP224" s="100"/>
      <c r="AQ224" s="100"/>
      <c r="AR224" s="100"/>
      <c r="AS224" s="100"/>
      <c r="AT224" s="101"/>
      <c r="AU224" s="102"/>
      <c r="AV224" s="83"/>
    </row>
    <row r="225" ht="15.0" customHeight="1">
      <c r="A225" s="83"/>
      <c r="B225" s="92"/>
      <c r="C225" s="115"/>
      <c r="D225" s="93"/>
      <c r="E225" s="94"/>
      <c r="F225" s="94"/>
      <c r="G225" s="95"/>
      <c r="H225" s="93"/>
      <c r="I225" s="95"/>
      <c r="J225" s="93"/>
      <c r="K225" s="93"/>
      <c r="L225" s="93"/>
      <c r="M225" s="95"/>
      <c r="N225" s="79"/>
      <c r="O225" s="96" t="b">
        <v>0</v>
      </c>
      <c r="P225" s="97"/>
      <c r="Q225" s="98"/>
      <c r="R225" s="97"/>
      <c r="S225" s="97"/>
      <c r="T225" s="97"/>
      <c r="U225" s="97"/>
      <c r="V225" s="99"/>
      <c r="W225" s="96" t="b">
        <v>0</v>
      </c>
      <c r="X225" s="97"/>
      <c r="Y225" s="98"/>
      <c r="Z225" s="97"/>
      <c r="AA225" s="97"/>
      <c r="AB225" s="97"/>
      <c r="AC225" s="97"/>
      <c r="AD225" s="99"/>
      <c r="AE225" s="96" t="b">
        <v>0</v>
      </c>
      <c r="AF225" s="97"/>
      <c r="AG225" s="98"/>
      <c r="AH225" s="97"/>
      <c r="AI225" s="97"/>
      <c r="AJ225" s="97"/>
      <c r="AK225" s="97"/>
      <c r="AL225" s="99"/>
      <c r="AM225" s="96" t="b">
        <v>0</v>
      </c>
      <c r="AN225" s="114"/>
      <c r="AO225" s="100"/>
      <c r="AP225" s="100"/>
      <c r="AQ225" s="100"/>
      <c r="AR225" s="100"/>
      <c r="AS225" s="100"/>
      <c r="AT225" s="101"/>
      <c r="AU225" s="102"/>
      <c r="AV225" s="83"/>
    </row>
    <row r="226" ht="15.0" customHeight="1">
      <c r="A226" s="83"/>
      <c r="B226" s="92"/>
      <c r="C226" s="115"/>
      <c r="D226" s="93"/>
      <c r="E226" s="94"/>
      <c r="F226" s="94"/>
      <c r="G226" s="95"/>
      <c r="H226" s="93"/>
      <c r="I226" s="95"/>
      <c r="J226" s="93"/>
      <c r="K226" s="93"/>
      <c r="L226" s="93"/>
      <c r="M226" s="95"/>
      <c r="N226" s="79"/>
      <c r="O226" s="96" t="b">
        <v>0</v>
      </c>
      <c r="P226" s="97"/>
      <c r="Q226" s="98"/>
      <c r="R226" s="97"/>
      <c r="S226" s="97"/>
      <c r="T226" s="97"/>
      <c r="U226" s="97"/>
      <c r="V226" s="99"/>
      <c r="W226" s="96" t="b">
        <v>0</v>
      </c>
      <c r="X226" s="97"/>
      <c r="Y226" s="98"/>
      <c r="Z226" s="97"/>
      <c r="AA226" s="97"/>
      <c r="AB226" s="97"/>
      <c r="AC226" s="97"/>
      <c r="AD226" s="99"/>
      <c r="AE226" s="96" t="b">
        <v>0</v>
      </c>
      <c r="AF226" s="97"/>
      <c r="AG226" s="98"/>
      <c r="AH226" s="97"/>
      <c r="AI226" s="97"/>
      <c r="AJ226" s="97"/>
      <c r="AK226" s="97"/>
      <c r="AL226" s="99"/>
      <c r="AM226" s="96" t="b">
        <v>0</v>
      </c>
      <c r="AN226" s="114"/>
      <c r="AO226" s="100"/>
      <c r="AP226" s="100"/>
      <c r="AQ226" s="100"/>
      <c r="AR226" s="100"/>
      <c r="AS226" s="100"/>
      <c r="AT226" s="101"/>
      <c r="AU226" s="102"/>
      <c r="AV226" s="83"/>
    </row>
    <row r="227" ht="15.0" customHeight="1">
      <c r="A227" s="83"/>
      <c r="B227" s="92"/>
      <c r="C227" s="115"/>
      <c r="D227" s="93"/>
      <c r="E227" s="94"/>
      <c r="F227" s="94"/>
      <c r="G227" s="95"/>
      <c r="H227" s="93"/>
      <c r="I227" s="95"/>
      <c r="J227" s="93"/>
      <c r="K227" s="93"/>
      <c r="L227" s="93"/>
      <c r="M227" s="95"/>
      <c r="N227" s="79"/>
      <c r="O227" s="96" t="b">
        <v>0</v>
      </c>
      <c r="P227" s="97"/>
      <c r="Q227" s="98"/>
      <c r="R227" s="97"/>
      <c r="S227" s="97"/>
      <c r="T227" s="97"/>
      <c r="U227" s="97"/>
      <c r="V227" s="99"/>
      <c r="W227" s="96" t="b">
        <v>0</v>
      </c>
      <c r="X227" s="97"/>
      <c r="Y227" s="98"/>
      <c r="Z227" s="97"/>
      <c r="AA227" s="97"/>
      <c r="AB227" s="97"/>
      <c r="AC227" s="97"/>
      <c r="AD227" s="99"/>
      <c r="AE227" s="96" t="b">
        <v>0</v>
      </c>
      <c r="AF227" s="97"/>
      <c r="AG227" s="98"/>
      <c r="AH227" s="97"/>
      <c r="AI227" s="97"/>
      <c r="AJ227" s="97"/>
      <c r="AK227" s="97"/>
      <c r="AL227" s="99"/>
      <c r="AM227" s="96" t="b">
        <v>0</v>
      </c>
      <c r="AN227" s="114"/>
      <c r="AO227" s="100"/>
      <c r="AP227" s="100"/>
      <c r="AQ227" s="100"/>
      <c r="AR227" s="100"/>
      <c r="AS227" s="100"/>
      <c r="AT227" s="101"/>
      <c r="AU227" s="102"/>
      <c r="AV227" s="83"/>
    </row>
    <row r="228" ht="15.0" customHeight="1">
      <c r="A228" s="83"/>
      <c r="B228" s="92"/>
      <c r="C228" s="115"/>
      <c r="D228" s="93"/>
      <c r="E228" s="94"/>
      <c r="F228" s="94"/>
      <c r="G228" s="95"/>
      <c r="H228" s="93"/>
      <c r="I228" s="95"/>
      <c r="J228" s="93"/>
      <c r="K228" s="93"/>
      <c r="L228" s="93"/>
      <c r="M228" s="95"/>
      <c r="N228" s="79"/>
      <c r="O228" s="96" t="b">
        <v>0</v>
      </c>
      <c r="P228" s="97"/>
      <c r="Q228" s="98"/>
      <c r="R228" s="97"/>
      <c r="S228" s="97"/>
      <c r="T228" s="97"/>
      <c r="U228" s="97"/>
      <c r="V228" s="99"/>
      <c r="W228" s="96" t="b">
        <v>0</v>
      </c>
      <c r="X228" s="97"/>
      <c r="Y228" s="98"/>
      <c r="Z228" s="97"/>
      <c r="AA228" s="97"/>
      <c r="AB228" s="97"/>
      <c r="AC228" s="97"/>
      <c r="AD228" s="99"/>
      <c r="AE228" s="96" t="b">
        <v>0</v>
      </c>
      <c r="AF228" s="97"/>
      <c r="AG228" s="98"/>
      <c r="AH228" s="97"/>
      <c r="AI228" s="97"/>
      <c r="AJ228" s="97"/>
      <c r="AK228" s="97"/>
      <c r="AL228" s="99"/>
      <c r="AM228" s="96" t="b">
        <v>0</v>
      </c>
      <c r="AN228" s="114"/>
      <c r="AO228" s="100"/>
      <c r="AP228" s="100"/>
      <c r="AQ228" s="100"/>
      <c r="AR228" s="100"/>
      <c r="AS228" s="100"/>
      <c r="AT228" s="101"/>
      <c r="AU228" s="102"/>
      <c r="AV228" s="83"/>
    </row>
    <row r="229" ht="15.0" customHeight="1">
      <c r="A229" s="83"/>
      <c r="B229" s="92"/>
      <c r="C229" s="115"/>
      <c r="D229" s="93"/>
      <c r="E229" s="94"/>
      <c r="F229" s="94"/>
      <c r="G229" s="95"/>
      <c r="H229" s="93"/>
      <c r="I229" s="95"/>
      <c r="J229" s="93"/>
      <c r="K229" s="93"/>
      <c r="L229" s="93"/>
      <c r="M229" s="95"/>
      <c r="N229" s="79"/>
      <c r="O229" s="96" t="b">
        <v>0</v>
      </c>
      <c r="P229" s="97"/>
      <c r="Q229" s="98"/>
      <c r="R229" s="97"/>
      <c r="S229" s="97"/>
      <c r="T229" s="97"/>
      <c r="U229" s="97"/>
      <c r="V229" s="99"/>
      <c r="W229" s="96" t="b">
        <v>0</v>
      </c>
      <c r="X229" s="97"/>
      <c r="Y229" s="98"/>
      <c r="Z229" s="97"/>
      <c r="AA229" s="97"/>
      <c r="AB229" s="97"/>
      <c r="AC229" s="97"/>
      <c r="AD229" s="99"/>
      <c r="AE229" s="96" t="b">
        <v>0</v>
      </c>
      <c r="AF229" s="97"/>
      <c r="AG229" s="98"/>
      <c r="AH229" s="97"/>
      <c r="AI229" s="97"/>
      <c r="AJ229" s="97"/>
      <c r="AK229" s="97"/>
      <c r="AL229" s="99"/>
      <c r="AM229" s="96" t="b">
        <v>0</v>
      </c>
      <c r="AN229" s="114"/>
      <c r="AO229" s="100"/>
      <c r="AP229" s="100"/>
      <c r="AQ229" s="100"/>
      <c r="AR229" s="100"/>
      <c r="AS229" s="100"/>
      <c r="AT229" s="101"/>
      <c r="AU229" s="102"/>
      <c r="AV229" s="83"/>
    </row>
    <row r="230" ht="15.0" customHeight="1">
      <c r="A230" s="83"/>
      <c r="B230" s="92"/>
      <c r="C230" s="115"/>
      <c r="D230" s="93"/>
      <c r="E230" s="94"/>
      <c r="F230" s="94"/>
      <c r="G230" s="95"/>
      <c r="H230" s="93"/>
      <c r="I230" s="95"/>
      <c r="J230" s="93"/>
      <c r="K230" s="93"/>
      <c r="L230" s="93"/>
      <c r="M230" s="95"/>
      <c r="N230" s="79"/>
      <c r="O230" s="96" t="b">
        <v>0</v>
      </c>
      <c r="P230" s="97"/>
      <c r="Q230" s="98"/>
      <c r="R230" s="97"/>
      <c r="S230" s="97"/>
      <c r="T230" s="97"/>
      <c r="U230" s="97"/>
      <c r="V230" s="99"/>
      <c r="W230" s="96" t="b">
        <v>0</v>
      </c>
      <c r="X230" s="97"/>
      <c r="Y230" s="98"/>
      <c r="Z230" s="97"/>
      <c r="AA230" s="97"/>
      <c r="AB230" s="97"/>
      <c r="AC230" s="97"/>
      <c r="AD230" s="99"/>
      <c r="AE230" s="96" t="b">
        <v>0</v>
      </c>
      <c r="AF230" s="97"/>
      <c r="AG230" s="98"/>
      <c r="AH230" s="97"/>
      <c r="AI230" s="97"/>
      <c r="AJ230" s="97"/>
      <c r="AK230" s="97"/>
      <c r="AL230" s="99"/>
      <c r="AM230" s="96" t="b">
        <v>0</v>
      </c>
      <c r="AN230" s="114"/>
      <c r="AO230" s="100"/>
      <c r="AP230" s="100"/>
      <c r="AQ230" s="100"/>
      <c r="AR230" s="100"/>
      <c r="AS230" s="100"/>
      <c r="AT230" s="101"/>
      <c r="AU230" s="102"/>
      <c r="AV230" s="83"/>
    </row>
    <row r="231" ht="15.0" customHeight="1">
      <c r="A231" s="83"/>
      <c r="B231" s="92"/>
      <c r="C231" s="115"/>
      <c r="D231" s="93"/>
      <c r="E231" s="94"/>
      <c r="F231" s="94"/>
      <c r="G231" s="95"/>
      <c r="H231" s="93"/>
      <c r="I231" s="95"/>
      <c r="J231" s="93"/>
      <c r="K231" s="93"/>
      <c r="L231" s="93"/>
      <c r="M231" s="95"/>
      <c r="N231" s="79"/>
      <c r="O231" s="96" t="b">
        <v>0</v>
      </c>
      <c r="P231" s="97"/>
      <c r="Q231" s="98"/>
      <c r="R231" s="97"/>
      <c r="S231" s="97"/>
      <c r="T231" s="97"/>
      <c r="U231" s="97"/>
      <c r="V231" s="99"/>
      <c r="W231" s="96" t="b">
        <v>0</v>
      </c>
      <c r="X231" s="97"/>
      <c r="Y231" s="98"/>
      <c r="Z231" s="97"/>
      <c r="AA231" s="97"/>
      <c r="AB231" s="97"/>
      <c r="AC231" s="97"/>
      <c r="AD231" s="99"/>
      <c r="AE231" s="96" t="b">
        <v>0</v>
      </c>
      <c r="AF231" s="97"/>
      <c r="AG231" s="98"/>
      <c r="AH231" s="97"/>
      <c r="AI231" s="97"/>
      <c r="AJ231" s="97"/>
      <c r="AK231" s="97"/>
      <c r="AL231" s="99"/>
      <c r="AM231" s="96" t="b">
        <v>0</v>
      </c>
      <c r="AN231" s="114"/>
      <c r="AO231" s="100"/>
      <c r="AP231" s="100"/>
      <c r="AQ231" s="100"/>
      <c r="AR231" s="100"/>
      <c r="AS231" s="100"/>
      <c r="AT231" s="101"/>
      <c r="AU231" s="102"/>
      <c r="AV231" s="83"/>
    </row>
    <row r="232" ht="15.0" customHeight="1">
      <c r="A232" s="83"/>
      <c r="B232" s="92"/>
      <c r="C232" s="115"/>
      <c r="D232" s="93"/>
      <c r="E232" s="94"/>
      <c r="F232" s="94"/>
      <c r="G232" s="95"/>
      <c r="H232" s="93"/>
      <c r="I232" s="95"/>
      <c r="J232" s="93"/>
      <c r="K232" s="93"/>
      <c r="L232" s="93"/>
      <c r="M232" s="95"/>
      <c r="N232" s="79"/>
      <c r="O232" s="96" t="b">
        <v>0</v>
      </c>
      <c r="P232" s="97"/>
      <c r="Q232" s="98"/>
      <c r="R232" s="97"/>
      <c r="S232" s="97"/>
      <c r="T232" s="97"/>
      <c r="U232" s="97"/>
      <c r="V232" s="99"/>
      <c r="W232" s="96" t="b">
        <v>0</v>
      </c>
      <c r="X232" s="97"/>
      <c r="Y232" s="98"/>
      <c r="Z232" s="97"/>
      <c r="AA232" s="97"/>
      <c r="AB232" s="97"/>
      <c r="AC232" s="97"/>
      <c r="AD232" s="99"/>
      <c r="AE232" s="96" t="b">
        <v>0</v>
      </c>
      <c r="AF232" s="97"/>
      <c r="AG232" s="98"/>
      <c r="AH232" s="97"/>
      <c r="AI232" s="97"/>
      <c r="AJ232" s="97"/>
      <c r="AK232" s="97"/>
      <c r="AL232" s="99"/>
      <c r="AM232" s="96" t="b">
        <v>0</v>
      </c>
      <c r="AN232" s="114"/>
      <c r="AO232" s="100"/>
      <c r="AP232" s="100"/>
      <c r="AQ232" s="100"/>
      <c r="AR232" s="100"/>
      <c r="AS232" s="100"/>
      <c r="AT232" s="101"/>
      <c r="AU232" s="102"/>
      <c r="AV232" s="83"/>
    </row>
    <row r="233" ht="15.0" customHeight="1">
      <c r="A233" s="83"/>
      <c r="B233" s="92"/>
      <c r="C233" s="115"/>
      <c r="D233" s="93"/>
      <c r="E233" s="94"/>
      <c r="F233" s="94"/>
      <c r="G233" s="95"/>
      <c r="H233" s="93"/>
      <c r="I233" s="95"/>
      <c r="J233" s="93"/>
      <c r="K233" s="93"/>
      <c r="L233" s="93"/>
      <c r="M233" s="95"/>
      <c r="N233" s="79"/>
      <c r="O233" s="96" t="b">
        <v>0</v>
      </c>
      <c r="P233" s="97"/>
      <c r="Q233" s="98"/>
      <c r="R233" s="97"/>
      <c r="S233" s="97"/>
      <c r="T233" s="97"/>
      <c r="U233" s="97"/>
      <c r="V233" s="99"/>
      <c r="W233" s="96" t="b">
        <v>0</v>
      </c>
      <c r="X233" s="97"/>
      <c r="Y233" s="98"/>
      <c r="Z233" s="97"/>
      <c r="AA233" s="97"/>
      <c r="AB233" s="97"/>
      <c r="AC233" s="97"/>
      <c r="AD233" s="99"/>
      <c r="AE233" s="96" t="b">
        <v>0</v>
      </c>
      <c r="AF233" s="97"/>
      <c r="AG233" s="98"/>
      <c r="AH233" s="97"/>
      <c r="AI233" s="97"/>
      <c r="AJ233" s="97"/>
      <c r="AK233" s="97"/>
      <c r="AL233" s="99"/>
      <c r="AM233" s="96" t="b">
        <v>0</v>
      </c>
      <c r="AN233" s="114"/>
      <c r="AO233" s="100"/>
      <c r="AP233" s="100"/>
      <c r="AQ233" s="100"/>
      <c r="AR233" s="100"/>
      <c r="AS233" s="100"/>
      <c r="AT233" s="101"/>
      <c r="AU233" s="102"/>
      <c r="AV233" s="83"/>
    </row>
    <row r="234" ht="15.0" customHeight="1">
      <c r="A234" s="83"/>
      <c r="B234" s="92"/>
      <c r="C234" s="115"/>
      <c r="D234" s="93"/>
      <c r="E234" s="94"/>
      <c r="F234" s="94"/>
      <c r="G234" s="95"/>
      <c r="H234" s="93"/>
      <c r="I234" s="95"/>
      <c r="J234" s="93"/>
      <c r="K234" s="93"/>
      <c r="L234" s="93"/>
      <c r="M234" s="95"/>
      <c r="N234" s="79"/>
      <c r="O234" s="96" t="b">
        <v>0</v>
      </c>
      <c r="P234" s="97"/>
      <c r="Q234" s="98"/>
      <c r="R234" s="97"/>
      <c r="S234" s="97"/>
      <c r="T234" s="97"/>
      <c r="U234" s="97"/>
      <c r="V234" s="99"/>
      <c r="W234" s="96" t="b">
        <v>0</v>
      </c>
      <c r="X234" s="97"/>
      <c r="Y234" s="98"/>
      <c r="Z234" s="97"/>
      <c r="AA234" s="97"/>
      <c r="AB234" s="97"/>
      <c r="AC234" s="97"/>
      <c r="AD234" s="99"/>
      <c r="AE234" s="96" t="b">
        <v>0</v>
      </c>
      <c r="AF234" s="97"/>
      <c r="AG234" s="98"/>
      <c r="AH234" s="97"/>
      <c r="AI234" s="97"/>
      <c r="AJ234" s="97"/>
      <c r="AK234" s="97"/>
      <c r="AL234" s="99"/>
      <c r="AM234" s="96" t="b">
        <v>0</v>
      </c>
      <c r="AN234" s="114"/>
      <c r="AO234" s="100"/>
      <c r="AP234" s="100"/>
      <c r="AQ234" s="100"/>
      <c r="AR234" s="100"/>
      <c r="AS234" s="100"/>
      <c r="AT234" s="101"/>
      <c r="AU234" s="102"/>
      <c r="AV234" s="83"/>
    </row>
    <row r="235" ht="15.0" customHeight="1">
      <c r="A235" s="83"/>
      <c r="B235" s="92"/>
      <c r="C235" s="115"/>
      <c r="D235" s="93"/>
      <c r="E235" s="94"/>
      <c r="F235" s="94"/>
      <c r="G235" s="95"/>
      <c r="H235" s="93"/>
      <c r="I235" s="95"/>
      <c r="J235" s="93"/>
      <c r="K235" s="93"/>
      <c r="L235" s="93"/>
      <c r="M235" s="95"/>
      <c r="N235" s="79"/>
      <c r="O235" s="96" t="b">
        <v>0</v>
      </c>
      <c r="P235" s="97"/>
      <c r="Q235" s="98"/>
      <c r="R235" s="97"/>
      <c r="S235" s="97"/>
      <c r="T235" s="97"/>
      <c r="U235" s="97"/>
      <c r="V235" s="99"/>
      <c r="W235" s="96" t="b">
        <v>0</v>
      </c>
      <c r="X235" s="97"/>
      <c r="Y235" s="98"/>
      <c r="Z235" s="97"/>
      <c r="AA235" s="97"/>
      <c r="AB235" s="97"/>
      <c r="AC235" s="97"/>
      <c r="AD235" s="99"/>
      <c r="AE235" s="96" t="b">
        <v>0</v>
      </c>
      <c r="AF235" s="97"/>
      <c r="AG235" s="98"/>
      <c r="AH235" s="97"/>
      <c r="AI235" s="97"/>
      <c r="AJ235" s="97"/>
      <c r="AK235" s="97"/>
      <c r="AL235" s="99"/>
      <c r="AM235" s="96" t="b">
        <v>0</v>
      </c>
      <c r="AN235" s="114"/>
      <c r="AO235" s="100"/>
      <c r="AP235" s="100"/>
      <c r="AQ235" s="100"/>
      <c r="AR235" s="100"/>
      <c r="AS235" s="100"/>
      <c r="AT235" s="101"/>
      <c r="AU235" s="102"/>
      <c r="AV235" s="83"/>
    </row>
    <row r="236" ht="15.0" customHeight="1">
      <c r="A236" s="83"/>
      <c r="B236" s="92"/>
      <c r="C236" s="115"/>
      <c r="D236" s="93"/>
      <c r="E236" s="94"/>
      <c r="F236" s="94"/>
      <c r="G236" s="95"/>
      <c r="H236" s="93"/>
      <c r="I236" s="95"/>
      <c r="J236" s="93"/>
      <c r="K236" s="93"/>
      <c r="L236" s="93"/>
      <c r="M236" s="95"/>
      <c r="N236" s="79"/>
      <c r="O236" s="96" t="b">
        <v>0</v>
      </c>
      <c r="P236" s="97"/>
      <c r="Q236" s="98"/>
      <c r="R236" s="97"/>
      <c r="S236" s="97"/>
      <c r="T236" s="97"/>
      <c r="U236" s="97"/>
      <c r="V236" s="99"/>
      <c r="W236" s="96" t="b">
        <v>0</v>
      </c>
      <c r="X236" s="97"/>
      <c r="Y236" s="98"/>
      <c r="Z236" s="97"/>
      <c r="AA236" s="97"/>
      <c r="AB236" s="97"/>
      <c r="AC236" s="97"/>
      <c r="AD236" s="99"/>
      <c r="AE236" s="96" t="b">
        <v>0</v>
      </c>
      <c r="AF236" s="97"/>
      <c r="AG236" s="98"/>
      <c r="AH236" s="97"/>
      <c r="AI236" s="97"/>
      <c r="AJ236" s="97"/>
      <c r="AK236" s="97"/>
      <c r="AL236" s="99"/>
      <c r="AM236" s="96" t="b">
        <v>0</v>
      </c>
      <c r="AN236" s="114"/>
      <c r="AO236" s="100"/>
      <c r="AP236" s="100"/>
      <c r="AQ236" s="100"/>
      <c r="AR236" s="100"/>
      <c r="AS236" s="100"/>
      <c r="AT236" s="101"/>
      <c r="AU236" s="102"/>
      <c r="AV236" s="83"/>
    </row>
    <row r="237" ht="15.0" customHeight="1">
      <c r="A237" s="83"/>
      <c r="B237" s="92"/>
      <c r="C237" s="115"/>
      <c r="D237" s="93"/>
      <c r="E237" s="94"/>
      <c r="F237" s="94"/>
      <c r="G237" s="95"/>
      <c r="H237" s="93"/>
      <c r="I237" s="95"/>
      <c r="J237" s="93"/>
      <c r="K237" s="93"/>
      <c r="L237" s="93"/>
      <c r="M237" s="95"/>
      <c r="N237" s="79"/>
      <c r="O237" s="96" t="b">
        <v>0</v>
      </c>
      <c r="P237" s="97"/>
      <c r="Q237" s="98"/>
      <c r="R237" s="97"/>
      <c r="S237" s="97"/>
      <c r="T237" s="97"/>
      <c r="U237" s="97"/>
      <c r="V237" s="99"/>
      <c r="W237" s="96" t="b">
        <v>0</v>
      </c>
      <c r="X237" s="97"/>
      <c r="Y237" s="98"/>
      <c r="Z237" s="97"/>
      <c r="AA237" s="97"/>
      <c r="AB237" s="97"/>
      <c r="AC237" s="97"/>
      <c r="AD237" s="99"/>
      <c r="AE237" s="96" t="b">
        <v>0</v>
      </c>
      <c r="AF237" s="97"/>
      <c r="AG237" s="98"/>
      <c r="AH237" s="97"/>
      <c r="AI237" s="97"/>
      <c r="AJ237" s="97"/>
      <c r="AK237" s="97"/>
      <c r="AL237" s="99"/>
      <c r="AM237" s="96" t="b">
        <v>0</v>
      </c>
      <c r="AN237" s="114"/>
      <c r="AO237" s="100"/>
      <c r="AP237" s="100"/>
      <c r="AQ237" s="100"/>
      <c r="AR237" s="100"/>
      <c r="AS237" s="100"/>
      <c r="AT237" s="101"/>
      <c r="AU237" s="102"/>
      <c r="AV237" s="83"/>
    </row>
    <row r="238" ht="15.0" customHeight="1">
      <c r="A238" s="83"/>
      <c r="B238" s="92"/>
      <c r="C238" s="115"/>
      <c r="D238" s="93"/>
      <c r="E238" s="94"/>
      <c r="F238" s="94"/>
      <c r="G238" s="95"/>
      <c r="H238" s="93"/>
      <c r="I238" s="95"/>
      <c r="J238" s="93"/>
      <c r="K238" s="93"/>
      <c r="L238" s="93"/>
      <c r="M238" s="95"/>
      <c r="N238" s="79"/>
      <c r="O238" s="96" t="b">
        <v>0</v>
      </c>
      <c r="P238" s="97"/>
      <c r="Q238" s="98"/>
      <c r="R238" s="97"/>
      <c r="S238" s="97"/>
      <c r="T238" s="97"/>
      <c r="U238" s="97"/>
      <c r="V238" s="99"/>
      <c r="W238" s="96" t="b">
        <v>0</v>
      </c>
      <c r="X238" s="97"/>
      <c r="Y238" s="98"/>
      <c r="Z238" s="97"/>
      <c r="AA238" s="97"/>
      <c r="AB238" s="97"/>
      <c r="AC238" s="97"/>
      <c r="AD238" s="99"/>
      <c r="AE238" s="96" t="b">
        <v>0</v>
      </c>
      <c r="AF238" s="97"/>
      <c r="AG238" s="98"/>
      <c r="AH238" s="97"/>
      <c r="AI238" s="97"/>
      <c r="AJ238" s="97"/>
      <c r="AK238" s="97"/>
      <c r="AL238" s="99"/>
      <c r="AM238" s="96" t="b">
        <v>0</v>
      </c>
      <c r="AN238" s="114"/>
      <c r="AO238" s="100"/>
      <c r="AP238" s="100"/>
      <c r="AQ238" s="100"/>
      <c r="AR238" s="100"/>
      <c r="AS238" s="100"/>
      <c r="AT238" s="101"/>
      <c r="AU238" s="102"/>
      <c r="AV238" s="83"/>
    </row>
    <row r="239" ht="15.0" customHeight="1">
      <c r="A239" s="83"/>
      <c r="B239" s="92"/>
      <c r="C239" s="115"/>
      <c r="D239" s="93"/>
      <c r="E239" s="94"/>
      <c r="F239" s="94"/>
      <c r="G239" s="95"/>
      <c r="H239" s="93"/>
      <c r="I239" s="95"/>
      <c r="J239" s="93"/>
      <c r="K239" s="93"/>
      <c r="L239" s="93"/>
      <c r="M239" s="95"/>
      <c r="N239" s="79"/>
      <c r="O239" s="96" t="b">
        <v>0</v>
      </c>
      <c r="P239" s="97"/>
      <c r="Q239" s="98"/>
      <c r="R239" s="97"/>
      <c r="S239" s="97"/>
      <c r="T239" s="97"/>
      <c r="U239" s="97"/>
      <c r="V239" s="99"/>
      <c r="W239" s="96" t="b">
        <v>0</v>
      </c>
      <c r="X239" s="97"/>
      <c r="Y239" s="98"/>
      <c r="Z239" s="97"/>
      <c r="AA239" s="97"/>
      <c r="AB239" s="97"/>
      <c r="AC239" s="97"/>
      <c r="AD239" s="99"/>
      <c r="AE239" s="96" t="b">
        <v>0</v>
      </c>
      <c r="AF239" s="97"/>
      <c r="AG239" s="98"/>
      <c r="AH239" s="97"/>
      <c r="AI239" s="97"/>
      <c r="AJ239" s="97"/>
      <c r="AK239" s="97"/>
      <c r="AL239" s="99"/>
      <c r="AM239" s="96" t="b">
        <v>0</v>
      </c>
      <c r="AN239" s="114"/>
      <c r="AO239" s="100"/>
      <c r="AP239" s="100"/>
      <c r="AQ239" s="100"/>
      <c r="AR239" s="100"/>
      <c r="AS239" s="100"/>
      <c r="AT239" s="101"/>
      <c r="AU239" s="102"/>
      <c r="AV239" s="83"/>
    </row>
    <row r="240" ht="15.0" customHeight="1">
      <c r="A240" s="83"/>
      <c r="B240" s="92"/>
      <c r="C240" s="115"/>
      <c r="D240" s="93"/>
      <c r="E240" s="94"/>
      <c r="F240" s="94"/>
      <c r="G240" s="95"/>
      <c r="H240" s="93"/>
      <c r="I240" s="95"/>
      <c r="J240" s="93"/>
      <c r="K240" s="93"/>
      <c r="L240" s="93"/>
      <c r="M240" s="95"/>
      <c r="N240" s="79"/>
      <c r="O240" s="96" t="b">
        <v>0</v>
      </c>
      <c r="P240" s="97"/>
      <c r="Q240" s="98"/>
      <c r="R240" s="97"/>
      <c r="S240" s="97"/>
      <c r="T240" s="97"/>
      <c r="U240" s="97"/>
      <c r="V240" s="99"/>
      <c r="W240" s="96" t="b">
        <v>0</v>
      </c>
      <c r="X240" s="97"/>
      <c r="Y240" s="98"/>
      <c r="Z240" s="97"/>
      <c r="AA240" s="97"/>
      <c r="AB240" s="97"/>
      <c r="AC240" s="97"/>
      <c r="AD240" s="99"/>
      <c r="AE240" s="96" t="b">
        <v>0</v>
      </c>
      <c r="AF240" s="97"/>
      <c r="AG240" s="98"/>
      <c r="AH240" s="97"/>
      <c r="AI240" s="97"/>
      <c r="AJ240" s="97"/>
      <c r="AK240" s="97"/>
      <c r="AL240" s="99"/>
      <c r="AM240" s="96" t="b">
        <v>0</v>
      </c>
      <c r="AN240" s="114"/>
      <c r="AO240" s="100"/>
      <c r="AP240" s="100"/>
      <c r="AQ240" s="100"/>
      <c r="AR240" s="100"/>
      <c r="AS240" s="100"/>
      <c r="AT240" s="101"/>
      <c r="AU240" s="102"/>
      <c r="AV240" s="83"/>
    </row>
    <row r="241" ht="15.0" customHeight="1">
      <c r="A241" s="83"/>
      <c r="B241" s="92"/>
      <c r="C241" s="115"/>
      <c r="D241" s="93"/>
      <c r="E241" s="94"/>
      <c r="F241" s="94"/>
      <c r="G241" s="95"/>
      <c r="H241" s="93"/>
      <c r="I241" s="95"/>
      <c r="J241" s="93"/>
      <c r="K241" s="93"/>
      <c r="L241" s="93"/>
      <c r="M241" s="95"/>
      <c r="N241" s="79"/>
      <c r="O241" s="96" t="b">
        <v>0</v>
      </c>
      <c r="P241" s="97"/>
      <c r="Q241" s="98"/>
      <c r="R241" s="97"/>
      <c r="S241" s="97"/>
      <c r="T241" s="97"/>
      <c r="U241" s="97"/>
      <c r="V241" s="99"/>
      <c r="W241" s="96" t="b">
        <v>0</v>
      </c>
      <c r="X241" s="97"/>
      <c r="Y241" s="98"/>
      <c r="Z241" s="97"/>
      <c r="AA241" s="97"/>
      <c r="AB241" s="97"/>
      <c r="AC241" s="97"/>
      <c r="AD241" s="99"/>
      <c r="AE241" s="96" t="b">
        <v>0</v>
      </c>
      <c r="AF241" s="97"/>
      <c r="AG241" s="98"/>
      <c r="AH241" s="97"/>
      <c r="AI241" s="97"/>
      <c r="AJ241" s="97"/>
      <c r="AK241" s="97"/>
      <c r="AL241" s="99"/>
      <c r="AM241" s="96" t="b">
        <v>0</v>
      </c>
      <c r="AN241" s="114"/>
      <c r="AO241" s="100"/>
      <c r="AP241" s="100"/>
      <c r="AQ241" s="100"/>
      <c r="AR241" s="100"/>
      <c r="AS241" s="100"/>
      <c r="AT241" s="101"/>
      <c r="AU241" s="102"/>
      <c r="AV241" s="83"/>
    </row>
    <row r="242" ht="15.0" customHeight="1">
      <c r="A242" s="83"/>
      <c r="B242" s="92"/>
      <c r="C242" s="115"/>
      <c r="D242" s="93"/>
      <c r="E242" s="94"/>
      <c r="F242" s="94"/>
      <c r="G242" s="95"/>
      <c r="H242" s="93"/>
      <c r="I242" s="95"/>
      <c r="J242" s="93"/>
      <c r="K242" s="93"/>
      <c r="L242" s="93"/>
      <c r="M242" s="95"/>
      <c r="N242" s="79"/>
      <c r="O242" s="96" t="b">
        <v>0</v>
      </c>
      <c r="P242" s="97"/>
      <c r="Q242" s="98"/>
      <c r="R242" s="97"/>
      <c r="S242" s="97"/>
      <c r="T242" s="97"/>
      <c r="U242" s="97"/>
      <c r="V242" s="99"/>
      <c r="W242" s="96" t="b">
        <v>0</v>
      </c>
      <c r="X242" s="97"/>
      <c r="Y242" s="98"/>
      <c r="Z242" s="97"/>
      <c r="AA242" s="97"/>
      <c r="AB242" s="97"/>
      <c r="AC242" s="97"/>
      <c r="AD242" s="99"/>
      <c r="AE242" s="96" t="b">
        <v>0</v>
      </c>
      <c r="AF242" s="97"/>
      <c r="AG242" s="98"/>
      <c r="AH242" s="97"/>
      <c r="AI242" s="97"/>
      <c r="AJ242" s="97"/>
      <c r="AK242" s="97"/>
      <c r="AL242" s="99"/>
      <c r="AM242" s="96" t="b">
        <v>0</v>
      </c>
      <c r="AN242" s="114"/>
      <c r="AO242" s="100"/>
      <c r="AP242" s="100"/>
      <c r="AQ242" s="100"/>
      <c r="AR242" s="100"/>
      <c r="AS242" s="100"/>
      <c r="AT242" s="101"/>
      <c r="AU242" s="102"/>
      <c r="AV242" s="83"/>
    </row>
    <row r="243" ht="15.0" customHeight="1">
      <c r="A243" s="83"/>
      <c r="B243" s="92"/>
      <c r="C243" s="115"/>
      <c r="D243" s="93"/>
      <c r="E243" s="94"/>
      <c r="F243" s="94"/>
      <c r="G243" s="95"/>
      <c r="H243" s="93"/>
      <c r="I243" s="95"/>
      <c r="J243" s="93"/>
      <c r="K243" s="93"/>
      <c r="L243" s="93"/>
      <c r="M243" s="95"/>
      <c r="N243" s="79"/>
      <c r="O243" s="96" t="b">
        <v>0</v>
      </c>
      <c r="P243" s="97"/>
      <c r="Q243" s="98"/>
      <c r="R243" s="97"/>
      <c r="S243" s="97"/>
      <c r="T243" s="97"/>
      <c r="U243" s="97"/>
      <c r="V243" s="99"/>
      <c r="W243" s="96" t="b">
        <v>0</v>
      </c>
      <c r="X243" s="97"/>
      <c r="Y243" s="98"/>
      <c r="Z243" s="97"/>
      <c r="AA243" s="97"/>
      <c r="AB243" s="97"/>
      <c r="AC243" s="97"/>
      <c r="AD243" s="99"/>
      <c r="AE243" s="96" t="b">
        <v>0</v>
      </c>
      <c r="AF243" s="97"/>
      <c r="AG243" s="98"/>
      <c r="AH243" s="97"/>
      <c r="AI243" s="97"/>
      <c r="AJ243" s="97"/>
      <c r="AK243" s="97"/>
      <c r="AL243" s="99"/>
      <c r="AM243" s="96" t="b">
        <v>0</v>
      </c>
      <c r="AN243" s="114"/>
      <c r="AO243" s="100"/>
      <c r="AP243" s="100"/>
      <c r="AQ243" s="100"/>
      <c r="AR243" s="100"/>
      <c r="AS243" s="100"/>
      <c r="AT243" s="101"/>
      <c r="AU243" s="102"/>
      <c r="AV243" s="83"/>
    </row>
    <row r="244" ht="15.0" customHeight="1">
      <c r="A244" s="83"/>
      <c r="B244" s="92"/>
      <c r="C244" s="115"/>
      <c r="D244" s="93"/>
      <c r="E244" s="94"/>
      <c r="F244" s="94"/>
      <c r="G244" s="95"/>
      <c r="H244" s="93"/>
      <c r="I244" s="95"/>
      <c r="J244" s="93"/>
      <c r="K244" s="93"/>
      <c r="L244" s="93"/>
      <c r="M244" s="95"/>
      <c r="N244" s="79"/>
      <c r="O244" s="96" t="b">
        <v>0</v>
      </c>
      <c r="P244" s="97"/>
      <c r="Q244" s="98"/>
      <c r="R244" s="97"/>
      <c r="S244" s="97"/>
      <c r="T244" s="97"/>
      <c r="U244" s="97"/>
      <c r="V244" s="99"/>
      <c r="W244" s="96" t="b">
        <v>0</v>
      </c>
      <c r="X244" s="97"/>
      <c r="Y244" s="98"/>
      <c r="Z244" s="97"/>
      <c r="AA244" s="97"/>
      <c r="AB244" s="97"/>
      <c r="AC244" s="97"/>
      <c r="AD244" s="99"/>
      <c r="AE244" s="96" t="b">
        <v>0</v>
      </c>
      <c r="AF244" s="97"/>
      <c r="AG244" s="98"/>
      <c r="AH244" s="97"/>
      <c r="AI244" s="97"/>
      <c r="AJ244" s="97"/>
      <c r="AK244" s="97"/>
      <c r="AL244" s="99"/>
      <c r="AM244" s="96" t="b">
        <v>0</v>
      </c>
      <c r="AN244" s="114"/>
      <c r="AO244" s="100"/>
      <c r="AP244" s="100"/>
      <c r="AQ244" s="100"/>
      <c r="AR244" s="100"/>
      <c r="AS244" s="100"/>
      <c r="AT244" s="101"/>
      <c r="AU244" s="102"/>
      <c r="AV244" s="83"/>
    </row>
    <row r="245" ht="15.0" customHeight="1">
      <c r="A245" s="83"/>
      <c r="B245" s="92"/>
      <c r="C245" s="115"/>
      <c r="D245" s="93"/>
      <c r="E245" s="94"/>
      <c r="F245" s="94"/>
      <c r="G245" s="95"/>
      <c r="H245" s="93"/>
      <c r="I245" s="95"/>
      <c r="J245" s="93"/>
      <c r="K245" s="93"/>
      <c r="L245" s="93"/>
      <c r="M245" s="95"/>
      <c r="N245" s="79"/>
      <c r="O245" s="96" t="b">
        <v>0</v>
      </c>
      <c r="P245" s="97"/>
      <c r="Q245" s="98"/>
      <c r="R245" s="97"/>
      <c r="S245" s="97"/>
      <c r="T245" s="97"/>
      <c r="U245" s="97"/>
      <c r="V245" s="99"/>
      <c r="W245" s="96" t="b">
        <v>0</v>
      </c>
      <c r="X245" s="97"/>
      <c r="Y245" s="98"/>
      <c r="Z245" s="97"/>
      <c r="AA245" s="97"/>
      <c r="AB245" s="97"/>
      <c r="AC245" s="97"/>
      <c r="AD245" s="99"/>
      <c r="AE245" s="96" t="b">
        <v>0</v>
      </c>
      <c r="AF245" s="97"/>
      <c r="AG245" s="98"/>
      <c r="AH245" s="97"/>
      <c r="AI245" s="97"/>
      <c r="AJ245" s="97"/>
      <c r="AK245" s="97"/>
      <c r="AL245" s="99"/>
      <c r="AM245" s="96" t="b">
        <v>0</v>
      </c>
      <c r="AN245" s="114"/>
      <c r="AO245" s="100"/>
      <c r="AP245" s="100"/>
      <c r="AQ245" s="100"/>
      <c r="AR245" s="100"/>
      <c r="AS245" s="100"/>
      <c r="AT245" s="101"/>
      <c r="AU245" s="102"/>
      <c r="AV245" s="83"/>
    </row>
    <row r="246" ht="15.0" customHeight="1">
      <c r="A246" s="83"/>
      <c r="B246" s="92"/>
      <c r="C246" s="115"/>
      <c r="D246" s="93"/>
      <c r="E246" s="94"/>
      <c r="F246" s="94"/>
      <c r="G246" s="95"/>
      <c r="H246" s="93"/>
      <c r="I246" s="95"/>
      <c r="J246" s="93"/>
      <c r="K246" s="93"/>
      <c r="L246" s="93"/>
      <c r="M246" s="95"/>
      <c r="N246" s="79"/>
      <c r="O246" s="96" t="b">
        <v>0</v>
      </c>
      <c r="P246" s="97"/>
      <c r="Q246" s="98"/>
      <c r="R246" s="97"/>
      <c r="S246" s="97"/>
      <c r="T246" s="97"/>
      <c r="U246" s="97"/>
      <c r="V246" s="99"/>
      <c r="W246" s="96" t="b">
        <v>0</v>
      </c>
      <c r="X246" s="97"/>
      <c r="Y246" s="98"/>
      <c r="Z246" s="97"/>
      <c r="AA246" s="97"/>
      <c r="AB246" s="97"/>
      <c r="AC246" s="97"/>
      <c r="AD246" s="99"/>
      <c r="AE246" s="96" t="b">
        <v>0</v>
      </c>
      <c r="AF246" s="97"/>
      <c r="AG246" s="98"/>
      <c r="AH246" s="97"/>
      <c r="AI246" s="97"/>
      <c r="AJ246" s="97"/>
      <c r="AK246" s="97"/>
      <c r="AL246" s="99"/>
      <c r="AM246" s="96" t="b">
        <v>0</v>
      </c>
      <c r="AN246" s="114"/>
      <c r="AO246" s="100"/>
      <c r="AP246" s="100"/>
      <c r="AQ246" s="100"/>
      <c r="AR246" s="100"/>
      <c r="AS246" s="100"/>
      <c r="AT246" s="101"/>
      <c r="AU246" s="102"/>
      <c r="AV246" s="83"/>
    </row>
    <row r="247" ht="15.0" customHeight="1">
      <c r="A247" s="83"/>
      <c r="B247" s="92"/>
      <c r="C247" s="115"/>
      <c r="D247" s="93"/>
      <c r="E247" s="94"/>
      <c r="F247" s="94"/>
      <c r="G247" s="95"/>
      <c r="H247" s="93"/>
      <c r="I247" s="95"/>
      <c r="J247" s="93"/>
      <c r="K247" s="93"/>
      <c r="L247" s="93"/>
      <c r="M247" s="95"/>
      <c r="N247" s="79"/>
      <c r="O247" s="96" t="b">
        <v>0</v>
      </c>
      <c r="P247" s="97"/>
      <c r="Q247" s="98"/>
      <c r="R247" s="97"/>
      <c r="S247" s="97"/>
      <c r="T247" s="97"/>
      <c r="U247" s="97"/>
      <c r="V247" s="99"/>
      <c r="W247" s="96" t="b">
        <v>0</v>
      </c>
      <c r="X247" s="97"/>
      <c r="Y247" s="98"/>
      <c r="Z247" s="97"/>
      <c r="AA247" s="97"/>
      <c r="AB247" s="97"/>
      <c r="AC247" s="97"/>
      <c r="AD247" s="99"/>
      <c r="AE247" s="96" t="b">
        <v>0</v>
      </c>
      <c r="AF247" s="97"/>
      <c r="AG247" s="98"/>
      <c r="AH247" s="97"/>
      <c r="AI247" s="97"/>
      <c r="AJ247" s="97"/>
      <c r="AK247" s="97"/>
      <c r="AL247" s="99"/>
      <c r="AM247" s="96" t="b">
        <v>0</v>
      </c>
      <c r="AN247" s="114"/>
      <c r="AO247" s="100"/>
      <c r="AP247" s="100"/>
      <c r="AQ247" s="100"/>
      <c r="AR247" s="100"/>
      <c r="AS247" s="100"/>
      <c r="AT247" s="101"/>
      <c r="AU247" s="102"/>
      <c r="AV247" s="83"/>
    </row>
    <row r="248" ht="15.0" customHeight="1">
      <c r="A248" s="83"/>
      <c r="B248" s="92"/>
      <c r="C248" s="115"/>
      <c r="D248" s="93"/>
      <c r="E248" s="94"/>
      <c r="F248" s="94"/>
      <c r="G248" s="95"/>
      <c r="H248" s="93"/>
      <c r="I248" s="95"/>
      <c r="J248" s="93"/>
      <c r="K248" s="93"/>
      <c r="L248" s="93"/>
      <c r="M248" s="95"/>
      <c r="N248" s="79"/>
      <c r="O248" s="96" t="b">
        <v>0</v>
      </c>
      <c r="P248" s="97"/>
      <c r="Q248" s="98"/>
      <c r="R248" s="97"/>
      <c r="S248" s="97"/>
      <c r="T248" s="97"/>
      <c r="U248" s="97"/>
      <c r="V248" s="99"/>
      <c r="W248" s="96" t="b">
        <v>0</v>
      </c>
      <c r="X248" s="97"/>
      <c r="Y248" s="98"/>
      <c r="Z248" s="97"/>
      <c r="AA248" s="97"/>
      <c r="AB248" s="97"/>
      <c r="AC248" s="97"/>
      <c r="AD248" s="99"/>
      <c r="AE248" s="96" t="b">
        <v>0</v>
      </c>
      <c r="AF248" s="97"/>
      <c r="AG248" s="98"/>
      <c r="AH248" s="97"/>
      <c r="AI248" s="97"/>
      <c r="AJ248" s="97"/>
      <c r="AK248" s="97"/>
      <c r="AL248" s="99"/>
      <c r="AM248" s="96" t="b">
        <v>0</v>
      </c>
      <c r="AN248" s="114"/>
      <c r="AO248" s="100"/>
      <c r="AP248" s="100"/>
      <c r="AQ248" s="100"/>
      <c r="AR248" s="100"/>
      <c r="AS248" s="100"/>
      <c r="AT248" s="101"/>
      <c r="AU248" s="102"/>
      <c r="AV248" s="83"/>
    </row>
    <row r="249" ht="15.0" customHeight="1">
      <c r="A249" s="83"/>
      <c r="B249" s="92"/>
      <c r="C249" s="115"/>
      <c r="D249" s="93"/>
      <c r="E249" s="94"/>
      <c r="F249" s="94"/>
      <c r="G249" s="95"/>
      <c r="H249" s="93"/>
      <c r="I249" s="95"/>
      <c r="J249" s="93"/>
      <c r="K249" s="93"/>
      <c r="L249" s="93"/>
      <c r="M249" s="95"/>
      <c r="N249" s="79"/>
      <c r="O249" s="96" t="b">
        <v>0</v>
      </c>
      <c r="P249" s="97"/>
      <c r="Q249" s="98"/>
      <c r="R249" s="97"/>
      <c r="S249" s="97"/>
      <c r="T249" s="97"/>
      <c r="U249" s="97"/>
      <c r="V249" s="99"/>
      <c r="W249" s="96" t="b">
        <v>0</v>
      </c>
      <c r="X249" s="97"/>
      <c r="Y249" s="98"/>
      <c r="Z249" s="97"/>
      <c r="AA249" s="97"/>
      <c r="AB249" s="97"/>
      <c r="AC249" s="97"/>
      <c r="AD249" s="99"/>
      <c r="AE249" s="96" t="b">
        <v>0</v>
      </c>
      <c r="AF249" s="97"/>
      <c r="AG249" s="98"/>
      <c r="AH249" s="97"/>
      <c r="AI249" s="97"/>
      <c r="AJ249" s="97"/>
      <c r="AK249" s="97"/>
      <c r="AL249" s="99"/>
      <c r="AM249" s="96" t="b">
        <v>0</v>
      </c>
      <c r="AN249" s="114"/>
      <c r="AO249" s="100"/>
      <c r="AP249" s="100"/>
      <c r="AQ249" s="100"/>
      <c r="AR249" s="100"/>
      <c r="AS249" s="100"/>
      <c r="AT249" s="101"/>
      <c r="AU249" s="102"/>
      <c r="AV249" s="83"/>
    </row>
    <row r="250" ht="15.0" customHeight="1">
      <c r="A250" s="83"/>
      <c r="B250" s="92"/>
      <c r="C250" s="115"/>
      <c r="D250" s="93"/>
      <c r="E250" s="94"/>
      <c r="F250" s="94"/>
      <c r="G250" s="95"/>
      <c r="H250" s="93"/>
      <c r="I250" s="95"/>
      <c r="J250" s="93"/>
      <c r="K250" s="93"/>
      <c r="L250" s="93"/>
      <c r="M250" s="95"/>
      <c r="N250" s="79"/>
      <c r="O250" s="96" t="b">
        <v>0</v>
      </c>
      <c r="P250" s="97"/>
      <c r="Q250" s="98"/>
      <c r="R250" s="97"/>
      <c r="S250" s="97"/>
      <c r="T250" s="97"/>
      <c r="U250" s="97"/>
      <c r="V250" s="99"/>
      <c r="W250" s="96" t="b">
        <v>0</v>
      </c>
      <c r="X250" s="97"/>
      <c r="Y250" s="98"/>
      <c r="Z250" s="97"/>
      <c r="AA250" s="97"/>
      <c r="AB250" s="97"/>
      <c r="AC250" s="97"/>
      <c r="AD250" s="99"/>
      <c r="AE250" s="96" t="b">
        <v>0</v>
      </c>
      <c r="AF250" s="97"/>
      <c r="AG250" s="98"/>
      <c r="AH250" s="97"/>
      <c r="AI250" s="97"/>
      <c r="AJ250" s="97"/>
      <c r="AK250" s="97"/>
      <c r="AL250" s="99"/>
      <c r="AM250" s="96" t="b">
        <v>0</v>
      </c>
      <c r="AN250" s="114"/>
      <c r="AO250" s="100"/>
      <c r="AP250" s="100"/>
      <c r="AQ250" s="100"/>
      <c r="AR250" s="100"/>
      <c r="AS250" s="100"/>
      <c r="AT250" s="101"/>
      <c r="AU250" s="102"/>
      <c r="AV250" s="83"/>
    </row>
    <row r="251" ht="15.0" customHeight="1">
      <c r="A251" s="83"/>
      <c r="B251" s="92"/>
      <c r="C251" s="115"/>
      <c r="D251" s="93"/>
      <c r="E251" s="94"/>
      <c r="F251" s="94"/>
      <c r="G251" s="95"/>
      <c r="H251" s="93"/>
      <c r="I251" s="95"/>
      <c r="J251" s="93"/>
      <c r="K251" s="93"/>
      <c r="L251" s="93"/>
      <c r="M251" s="95"/>
      <c r="N251" s="79"/>
      <c r="O251" s="96" t="b">
        <v>0</v>
      </c>
      <c r="P251" s="97"/>
      <c r="Q251" s="98"/>
      <c r="R251" s="97"/>
      <c r="S251" s="97"/>
      <c r="T251" s="97"/>
      <c r="U251" s="97"/>
      <c r="V251" s="99"/>
      <c r="W251" s="96" t="b">
        <v>0</v>
      </c>
      <c r="X251" s="97"/>
      <c r="Y251" s="98"/>
      <c r="Z251" s="97"/>
      <c r="AA251" s="97"/>
      <c r="AB251" s="97"/>
      <c r="AC251" s="97"/>
      <c r="AD251" s="99"/>
      <c r="AE251" s="96" t="b">
        <v>0</v>
      </c>
      <c r="AF251" s="97"/>
      <c r="AG251" s="98"/>
      <c r="AH251" s="97"/>
      <c r="AI251" s="97"/>
      <c r="AJ251" s="97"/>
      <c r="AK251" s="97"/>
      <c r="AL251" s="99"/>
      <c r="AM251" s="96" t="b">
        <v>0</v>
      </c>
      <c r="AN251" s="114"/>
      <c r="AO251" s="100"/>
      <c r="AP251" s="100"/>
      <c r="AQ251" s="100"/>
      <c r="AR251" s="100"/>
      <c r="AS251" s="100"/>
      <c r="AT251" s="101"/>
      <c r="AU251" s="102"/>
      <c r="AV251" s="83"/>
    </row>
    <row r="252" ht="15.0" customHeight="1">
      <c r="A252" s="83"/>
      <c r="B252" s="92"/>
      <c r="C252" s="115"/>
      <c r="D252" s="93"/>
      <c r="E252" s="94"/>
      <c r="F252" s="94"/>
      <c r="G252" s="95"/>
      <c r="H252" s="93"/>
      <c r="I252" s="95"/>
      <c r="J252" s="93"/>
      <c r="K252" s="93"/>
      <c r="L252" s="93"/>
      <c r="M252" s="95"/>
      <c r="N252" s="79"/>
      <c r="O252" s="96" t="b">
        <v>0</v>
      </c>
      <c r="P252" s="97"/>
      <c r="Q252" s="98"/>
      <c r="R252" s="97"/>
      <c r="S252" s="97"/>
      <c r="T252" s="97"/>
      <c r="U252" s="97"/>
      <c r="V252" s="99"/>
      <c r="W252" s="96" t="b">
        <v>0</v>
      </c>
      <c r="X252" s="97"/>
      <c r="Y252" s="98"/>
      <c r="Z252" s="97"/>
      <c r="AA252" s="97"/>
      <c r="AB252" s="97"/>
      <c r="AC252" s="97"/>
      <c r="AD252" s="99"/>
      <c r="AE252" s="96" t="b">
        <v>0</v>
      </c>
      <c r="AF252" s="97"/>
      <c r="AG252" s="98"/>
      <c r="AH252" s="97"/>
      <c r="AI252" s="97"/>
      <c r="AJ252" s="97"/>
      <c r="AK252" s="97"/>
      <c r="AL252" s="99"/>
      <c r="AM252" s="96" t="b">
        <v>0</v>
      </c>
      <c r="AN252" s="114"/>
      <c r="AO252" s="100"/>
      <c r="AP252" s="100"/>
      <c r="AQ252" s="100"/>
      <c r="AR252" s="100"/>
      <c r="AS252" s="100"/>
      <c r="AT252" s="101"/>
      <c r="AU252" s="102"/>
      <c r="AV252" s="83"/>
    </row>
    <row r="253" ht="15.0" customHeight="1">
      <c r="A253" s="83"/>
      <c r="B253" s="92"/>
      <c r="C253" s="115"/>
      <c r="D253" s="93"/>
      <c r="E253" s="94"/>
      <c r="F253" s="94"/>
      <c r="G253" s="95"/>
      <c r="H253" s="93"/>
      <c r="I253" s="95"/>
      <c r="J253" s="93"/>
      <c r="K253" s="93"/>
      <c r="L253" s="93"/>
      <c r="M253" s="95"/>
      <c r="N253" s="79"/>
      <c r="O253" s="96" t="b">
        <v>0</v>
      </c>
      <c r="P253" s="97"/>
      <c r="Q253" s="98"/>
      <c r="R253" s="97"/>
      <c r="S253" s="97"/>
      <c r="T253" s="97"/>
      <c r="U253" s="97"/>
      <c r="V253" s="99"/>
      <c r="W253" s="96" t="b">
        <v>0</v>
      </c>
      <c r="X253" s="97"/>
      <c r="Y253" s="98"/>
      <c r="Z253" s="97"/>
      <c r="AA253" s="97"/>
      <c r="AB253" s="97"/>
      <c r="AC253" s="97"/>
      <c r="AD253" s="99"/>
      <c r="AE253" s="96" t="b">
        <v>0</v>
      </c>
      <c r="AF253" s="97"/>
      <c r="AG253" s="98"/>
      <c r="AH253" s="97"/>
      <c r="AI253" s="97"/>
      <c r="AJ253" s="97"/>
      <c r="AK253" s="97"/>
      <c r="AL253" s="99"/>
      <c r="AM253" s="96" t="b">
        <v>0</v>
      </c>
      <c r="AN253" s="114"/>
      <c r="AO253" s="100"/>
      <c r="AP253" s="100"/>
      <c r="AQ253" s="100"/>
      <c r="AR253" s="100"/>
      <c r="AS253" s="100"/>
      <c r="AT253" s="101"/>
      <c r="AU253" s="102"/>
      <c r="AV253" s="83"/>
    </row>
    <row r="254" ht="15.0" customHeight="1">
      <c r="A254" s="83"/>
      <c r="B254" s="92"/>
      <c r="C254" s="115"/>
      <c r="D254" s="93"/>
      <c r="E254" s="94"/>
      <c r="F254" s="94"/>
      <c r="G254" s="95"/>
      <c r="H254" s="93"/>
      <c r="I254" s="95"/>
      <c r="J254" s="93"/>
      <c r="K254" s="93"/>
      <c r="L254" s="93"/>
      <c r="M254" s="95"/>
      <c r="N254" s="79"/>
      <c r="O254" s="96" t="b">
        <v>0</v>
      </c>
      <c r="P254" s="97"/>
      <c r="Q254" s="98"/>
      <c r="R254" s="97"/>
      <c r="S254" s="97"/>
      <c r="T254" s="97"/>
      <c r="U254" s="97"/>
      <c r="V254" s="99"/>
      <c r="W254" s="96" t="b">
        <v>0</v>
      </c>
      <c r="X254" s="97"/>
      <c r="Y254" s="98"/>
      <c r="Z254" s="97"/>
      <c r="AA254" s="97"/>
      <c r="AB254" s="97"/>
      <c r="AC254" s="97"/>
      <c r="AD254" s="99"/>
      <c r="AE254" s="96" t="b">
        <v>0</v>
      </c>
      <c r="AF254" s="97"/>
      <c r="AG254" s="98"/>
      <c r="AH254" s="97"/>
      <c r="AI254" s="97"/>
      <c r="AJ254" s="97"/>
      <c r="AK254" s="97"/>
      <c r="AL254" s="99"/>
      <c r="AM254" s="96" t="b">
        <v>0</v>
      </c>
      <c r="AN254" s="114"/>
      <c r="AO254" s="100"/>
      <c r="AP254" s="100"/>
      <c r="AQ254" s="100"/>
      <c r="AR254" s="100"/>
      <c r="AS254" s="100"/>
      <c r="AT254" s="101"/>
      <c r="AU254" s="102"/>
      <c r="AV254" s="83"/>
    </row>
    <row r="255" ht="15.0" customHeight="1">
      <c r="A255" s="83"/>
      <c r="B255" s="92"/>
      <c r="C255" s="115"/>
      <c r="D255" s="93"/>
      <c r="E255" s="94"/>
      <c r="F255" s="94"/>
      <c r="G255" s="95"/>
      <c r="H255" s="93"/>
      <c r="I255" s="95"/>
      <c r="J255" s="93"/>
      <c r="K255" s="93"/>
      <c r="L255" s="93"/>
      <c r="M255" s="95"/>
      <c r="N255" s="79"/>
      <c r="O255" s="96" t="b">
        <v>0</v>
      </c>
      <c r="P255" s="97"/>
      <c r="Q255" s="98"/>
      <c r="R255" s="97"/>
      <c r="S255" s="97"/>
      <c r="T255" s="97"/>
      <c r="U255" s="97"/>
      <c r="V255" s="99"/>
      <c r="W255" s="96" t="b">
        <v>0</v>
      </c>
      <c r="X255" s="97"/>
      <c r="Y255" s="98"/>
      <c r="Z255" s="97"/>
      <c r="AA255" s="97"/>
      <c r="AB255" s="97"/>
      <c r="AC255" s="97"/>
      <c r="AD255" s="99"/>
      <c r="AE255" s="96" t="b">
        <v>0</v>
      </c>
      <c r="AF255" s="97"/>
      <c r="AG255" s="98"/>
      <c r="AH255" s="97"/>
      <c r="AI255" s="97"/>
      <c r="AJ255" s="97"/>
      <c r="AK255" s="97"/>
      <c r="AL255" s="99"/>
      <c r="AM255" s="96" t="b">
        <v>0</v>
      </c>
      <c r="AN255" s="114"/>
      <c r="AO255" s="100"/>
      <c r="AP255" s="100"/>
      <c r="AQ255" s="100"/>
      <c r="AR255" s="100"/>
      <c r="AS255" s="100"/>
      <c r="AT255" s="101"/>
      <c r="AU255" s="102"/>
      <c r="AV255" s="83"/>
    </row>
    <row r="256" ht="15.0" customHeight="1">
      <c r="A256" s="83"/>
      <c r="B256" s="92"/>
      <c r="C256" s="115"/>
      <c r="D256" s="93"/>
      <c r="E256" s="94"/>
      <c r="F256" s="94"/>
      <c r="G256" s="95"/>
      <c r="H256" s="93"/>
      <c r="I256" s="95"/>
      <c r="J256" s="93"/>
      <c r="K256" s="93"/>
      <c r="L256" s="93"/>
      <c r="M256" s="95"/>
      <c r="N256" s="79"/>
      <c r="O256" s="96" t="b">
        <v>0</v>
      </c>
      <c r="P256" s="97"/>
      <c r="Q256" s="98"/>
      <c r="R256" s="97"/>
      <c r="S256" s="97"/>
      <c r="T256" s="97"/>
      <c r="U256" s="97"/>
      <c r="V256" s="99"/>
      <c r="W256" s="96" t="b">
        <v>0</v>
      </c>
      <c r="X256" s="97"/>
      <c r="Y256" s="98"/>
      <c r="Z256" s="97"/>
      <c r="AA256" s="97"/>
      <c r="AB256" s="97"/>
      <c r="AC256" s="97"/>
      <c r="AD256" s="99"/>
      <c r="AE256" s="96" t="b">
        <v>0</v>
      </c>
      <c r="AF256" s="97"/>
      <c r="AG256" s="98"/>
      <c r="AH256" s="97"/>
      <c r="AI256" s="97"/>
      <c r="AJ256" s="97"/>
      <c r="AK256" s="97"/>
      <c r="AL256" s="99"/>
      <c r="AM256" s="96" t="b">
        <v>0</v>
      </c>
      <c r="AN256" s="114"/>
      <c r="AO256" s="100"/>
      <c r="AP256" s="100"/>
      <c r="AQ256" s="100"/>
      <c r="AR256" s="100"/>
      <c r="AS256" s="100"/>
      <c r="AT256" s="101"/>
      <c r="AU256" s="102"/>
      <c r="AV256" s="83"/>
    </row>
    <row r="257" ht="15.0" customHeight="1">
      <c r="A257" s="83"/>
      <c r="B257" s="92"/>
      <c r="C257" s="115"/>
      <c r="D257" s="93"/>
      <c r="E257" s="94"/>
      <c r="F257" s="94"/>
      <c r="G257" s="95"/>
      <c r="H257" s="93"/>
      <c r="I257" s="95"/>
      <c r="J257" s="93"/>
      <c r="K257" s="93"/>
      <c r="L257" s="93"/>
      <c r="M257" s="95"/>
      <c r="N257" s="79"/>
      <c r="O257" s="96" t="b">
        <v>0</v>
      </c>
      <c r="P257" s="97"/>
      <c r="Q257" s="98"/>
      <c r="R257" s="97"/>
      <c r="S257" s="97"/>
      <c r="T257" s="97"/>
      <c r="U257" s="97"/>
      <c r="V257" s="99"/>
      <c r="W257" s="96" t="b">
        <v>0</v>
      </c>
      <c r="X257" s="97"/>
      <c r="Y257" s="98"/>
      <c r="Z257" s="97"/>
      <c r="AA257" s="97"/>
      <c r="AB257" s="97"/>
      <c r="AC257" s="97"/>
      <c r="AD257" s="99"/>
      <c r="AE257" s="96" t="b">
        <v>0</v>
      </c>
      <c r="AF257" s="97"/>
      <c r="AG257" s="98"/>
      <c r="AH257" s="97"/>
      <c r="AI257" s="97"/>
      <c r="AJ257" s="97"/>
      <c r="AK257" s="97"/>
      <c r="AL257" s="99"/>
      <c r="AM257" s="96" t="b">
        <v>0</v>
      </c>
      <c r="AN257" s="114"/>
      <c r="AO257" s="100"/>
      <c r="AP257" s="100"/>
      <c r="AQ257" s="100"/>
      <c r="AR257" s="100"/>
      <c r="AS257" s="100"/>
      <c r="AT257" s="101"/>
      <c r="AU257" s="102"/>
      <c r="AV257" s="83"/>
    </row>
  </sheetData>
  <mergeCells count="23">
    <mergeCell ref="A1:C1"/>
    <mergeCell ref="D1:AU1"/>
    <mergeCell ref="A18:B18"/>
    <mergeCell ref="A19:B19"/>
    <mergeCell ref="A43:B43"/>
    <mergeCell ref="A60:B60"/>
    <mergeCell ref="A61:B61"/>
    <mergeCell ref="E24:E28"/>
    <mergeCell ref="E77:E84"/>
    <mergeCell ref="E85:E88"/>
    <mergeCell ref="A91:B91"/>
    <mergeCell ref="E94:E101"/>
    <mergeCell ref="A108:B108"/>
    <mergeCell ref="A109:B109"/>
    <mergeCell ref="A190:A191"/>
    <mergeCell ref="B190:B191"/>
    <mergeCell ref="E117:E118"/>
    <mergeCell ref="E125:E126"/>
    <mergeCell ref="A127:B127"/>
    <mergeCell ref="E132:E133"/>
    <mergeCell ref="A143:B143"/>
    <mergeCell ref="A144:B144"/>
    <mergeCell ref="A151:B151"/>
  </mergeCells>
  <conditionalFormatting sqref="A1:AV257">
    <cfRule type="expression" dxfId="9" priority="1">
      <formula>AND(#REF!&lt;&gt;"",#REF!-1&lt;TODAY())</formula>
    </cfRule>
  </conditionalFormatting>
  <conditionalFormatting sqref="H3:AM257 D91:G91 D110:G110 G143:G145 D145:F145 G151 AT190">
    <cfRule type="expression" dxfId="10" priority="2">
      <formula>AND(OR(RIGHT($D$1,3)="MVP",RIGHT($D$1,3)="MMP",RIGHT($D$1,3)="MLP",RIGHT($D$1,3)="MAP"),NOT(RIGHT($D$1,3)=H$2))</formula>
    </cfRule>
  </conditionalFormatting>
  <dataValidations>
    <dataValidation type="custom" allowBlank="1" showDropDown="1" sqref="AT3:AU3 AU4 AT5:AU6 AO5:AR17 AU7:AU17 AO18:AU18 AU19:AU42 AT43:AU43 AU44:AU60 AT61:AU61 AO19:AR90 AU62:AU90 AN91:AU91 AO92:AR92 AT92:AU92 AN93:AU93 AO94:AR101 AU94:AU101 AN102:AU102 AO103:AR107 AU103:AU109 AN110:AV110 AO111:AR118 AT111:AU118 AN119:AV119 AO120:AR126 AT120:AU126 AN127:AU127 AO128:AR128 AU128 AU130 AT131:AU131 AO130:AR134 AU132:AU134 AO136:AR137 AU136:AU137 AO139:AR142 AT139:AU142 AN143:AU144 AO146:AR150 AU147:AU150 AN151:AU151 AO152:AR167 AU152:AU167 AO169:AR184 AU169:AU184 AN185:AV185 AO186:AR189 AU186:AU189 AO192:AR257 AU192:AU257">
      <formula1>OR(NOT(ISERROR(DATEVALUE(AN3))), AND(ISNUMBER(AN3), LEFT(CELL("format", AN3))="D"))</formula1>
    </dataValidation>
    <dataValidation type="list" allowBlank="1" showErrorMessage="1" sqref="A7:A17 A20:A42 A44:A59 A62:A90 A92 A94:A101 A103:A107 A111:A118 A120:A126 A128 A130:A134 A136:A137 A139:A142 A146:A150 A152:A167 A169:A184 A186:A189 A192:A257">
      <formula1>"Feature,Bug,Chore,Feedback"</formula1>
    </dataValidation>
    <dataValidation type="list" allowBlank="1" showErrorMessage="1" sqref="B7:B17 B20:B42 B44:B59 B62:B90 B92 B94:B101 B103:B107 B111:B118 B120:B126 B128 B130:B134 B136:B137 B139:B142 B146:B150 B152:B167 B169:B184 B186:B189 B192:B257">
      <formula1>"Must,Should,Could,Won't"</formula1>
    </dataValidation>
  </dataValidations>
  <hyperlinks>
    <hyperlink r:id="rId2" ref="C20"/>
    <hyperlink r:id="rId3" ref="C22"/>
    <hyperlink r:id="rId4" ref="C24"/>
    <hyperlink r:id="rId5" ref="C25"/>
    <hyperlink r:id="rId6" ref="C26"/>
    <hyperlink r:id="rId7" ref="C27"/>
    <hyperlink r:id="rId8" ref="C28"/>
    <hyperlink r:id="rId9" ref="C29"/>
    <hyperlink r:id="rId10" ref="C30"/>
    <hyperlink r:id="rId11" ref="C31"/>
    <hyperlink r:id="rId12" ref="C32"/>
    <hyperlink r:id="rId13" ref="C33"/>
    <hyperlink r:id="rId14" ref="C34"/>
    <hyperlink r:id="rId15" ref="C35"/>
    <hyperlink r:id="rId16" ref="C36"/>
    <hyperlink r:id="rId17" ref="C37"/>
    <hyperlink r:id="rId18" ref="C38"/>
    <hyperlink r:id="rId19" ref="C39"/>
    <hyperlink r:id="rId20" ref="C40"/>
    <hyperlink r:id="rId21" ref="C41"/>
    <hyperlink r:id="rId22" ref="C42"/>
    <hyperlink r:id="rId23" ref="C45"/>
    <hyperlink r:id="rId24" ref="C46"/>
    <hyperlink r:id="rId25" ref="C47"/>
    <hyperlink r:id="rId26" ref="C48"/>
    <hyperlink r:id="rId27" ref="C49"/>
    <hyperlink r:id="rId28" ref="C50"/>
    <hyperlink r:id="rId29" ref="C51"/>
    <hyperlink r:id="rId30" ref="C52"/>
    <hyperlink r:id="rId31" ref="C53"/>
    <hyperlink r:id="rId32" ref="C54"/>
    <hyperlink r:id="rId33" ref="C55"/>
    <hyperlink r:id="rId34" ref="C56"/>
    <hyperlink r:id="rId35" ref="C57"/>
    <hyperlink r:id="rId36" ref="C58"/>
    <hyperlink r:id="rId37" ref="C59"/>
    <hyperlink r:id="rId38" ref="C64"/>
    <hyperlink r:id="rId39" ref="C65"/>
    <hyperlink r:id="rId40" ref="C66"/>
    <hyperlink r:id="rId41" ref="C67"/>
    <hyperlink r:id="rId42" ref="C68"/>
    <hyperlink r:id="rId43" ref="C69"/>
    <hyperlink r:id="rId44" ref="C70"/>
    <hyperlink r:id="rId45" ref="C71"/>
    <hyperlink r:id="rId46" ref="C72"/>
    <hyperlink r:id="rId47" ref="C73"/>
    <hyperlink r:id="rId48" ref="C74"/>
    <hyperlink r:id="rId49" ref="C75"/>
    <hyperlink r:id="rId50" ref="C76"/>
    <hyperlink r:id="rId51" ref="C77"/>
    <hyperlink r:id="rId52" ref="C78"/>
    <hyperlink r:id="rId53" ref="C79"/>
    <hyperlink r:id="rId54" ref="C80"/>
    <hyperlink r:id="rId55" ref="C81"/>
    <hyperlink r:id="rId56" ref="C82"/>
    <hyperlink r:id="rId57" ref="C83"/>
    <hyperlink r:id="rId58" ref="C84"/>
    <hyperlink r:id="rId59" ref="C85"/>
    <hyperlink r:id="rId60" ref="C86"/>
    <hyperlink r:id="rId61" ref="C87"/>
    <hyperlink r:id="rId62" ref="C88"/>
    <hyperlink r:id="rId63" ref="C89"/>
    <hyperlink r:id="rId64" ref="C90"/>
    <hyperlink r:id="rId65" ref="C92"/>
    <hyperlink r:id="rId66" ref="C94"/>
    <hyperlink r:id="rId67" ref="C95"/>
    <hyperlink r:id="rId68" ref="C96"/>
    <hyperlink r:id="rId69" ref="C97"/>
    <hyperlink r:id="rId70" ref="C98"/>
    <hyperlink r:id="rId71" ref="C99"/>
    <hyperlink r:id="rId72" ref="C100"/>
    <hyperlink r:id="rId73" ref="C101"/>
    <hyperlink r:id="rId74" ref="C103"/>
    <hyperlink r:id="rId75" ref="C104"/>
    <hyperlink r:id="rId76" ref="C105"/>
    <hyperlink r:id="rId77" ref="C106"/>
    <hyperlink r:id="rId78" ref="C107"/>
    <hyperlink r:id="rId79" ref="C111"/>
    <hyperlink r:id="rId80" ref="C112"/>
    <hyperlink r:id="rId81" ref="C113"/>
    <hyperlink r:id="rId82" ref="C114"/>
    <hyperlink r:id="rId83" ref="C115"/>
    <hyperlink r:id="rId84" ref="C116"/>
    <hyperlink r:id="rId85" ref="C117"/>
    <hyperlink r:id="rId86" ref="C118"/>
    <hyperlink r:id="rId87" ref="C120"/>
    <hyperlink r:id="rId88" ref="C121"/>
    <hyperlink r:id="rId89" ref="C122"/>
    <hyperlink r:id="rId90" ref="C123"/>
    <hyperlink r:id="rId91" ref="C124"/>
    <hyperlink r:id="rId92" ref="C125"/>
    <hyperlink r:id="rId93" ref="C126"/>
    <hyperlink r:id="rId94" ref="C130"/>
    <hyperlink r:id="rId95" ref="C131"/>
    <hyperlink r:id="rId96" ref="C132"/>
    <hyperlink r:id="rId97" ref="C133"/>
    <hyperlink r:id="rId98" ref="C134"/>
    <hyperlink r:id="rId99" ref="C136"/>
    <hyperlink r:id="rId100" ref="C137"/>
    <hyperlink r:id="rId101" ref="C139"/>
    <hyperlink r:id="rId102" ref="C140"/>
    <hyperlink r:id="rId103" ref="C141"/>
    <hyperlink r:id="rId104" ref="C142"/>
    <hyperlink r:id="rId105" ref="C146"/>
    <hyperlink r:id="rId106" ref="C147"/>
    <hyperlink r:id="rId107" ref="C148"/>
    <hyperlink r:id="rId108" ref="C149"/>
    <hyperlink r:id="rId109" ref="C150"/>
    <hyperlink r:id="rId110" ref="C152"/>
    <hyperlink r:id="rId111" ref="C153"/>
    <hyperlink r:id="rId112" ref="C154"/>
    <hyperlink r:id="rId113" ref="C155"/>
    <hyperlink r:id="rId114" ref="C156"/>
    <hyperlink r:id="rId115" ref="C157"/>
    <hyperlink r:id="rId116" ref="C158"/>
    <hyperlink r:id="rId117" ref="C159"/>
    <hyperlink r:id="rId118" ref="C160"/>
    <hyperlink r:id="rId119" ref="C161"/>
    <hyperlink r:id="rId120" ref="C162"/>
    <hyperlink r:id="rId121" ref="C163"/>
    <hyperlink r:id="rId122" ref="C164"/>
    <hyperlink r:id="rId123" ref="C165"/>
    <hyperlink r:id="rId124" ref="C169"/>
  </hyperlinks>
  <printOptions/>
  <pageMargins bottom="0.75" footer="0.0" header="0.0" left="0.7" right="0.7" top="0.75"/>
  <pageSetup orientation="landscape"/>
  <drawing r:id="rId125"/>
  <legacyDrawing r:id="rId12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2" max="2" width="54.14"/>
    <col customWidth="1" min="3" max="3" width="42.14"/>
    <col customWidth="1" min="4" max="4" width="56.14"/>
    <col customWidth="1" min="5" max="5" width="44.0"/>
    <col customWidth="1" min="6" max="6" width="25.86"/>
  </cols>
  <sheetData>
    <row r="1" ht="51.0" customHeight="1">
      <c r="A1" s="149" t="s">
        <v>269</v>
      </c>
      <c r="G1" s="150"/>
      <c r="H1" s="150"/>
      <c r="I1" s="150"/>
      <c r="J1" s="150"/>
      <c r="K1" s="150"/>
      <c r="L1" s="150"/>
      <c r="M1" s="150"/>
      <c r="N1" s="150"/>
      <c r="O1" s="150"/>
      <c r="P1" s="150"/>
      <c r="Q1" s="150"/>
      <c r="R1" s="150"/>
      <c r="S1" s="150"/>
      <c r="T1" s="150"/>
      <c r="U1" s="150"/>
      <c r="V1" s="150"/>
      <c r="W1" s="150"/>
      <c r="X1" s="150"/>
      <c r="Y1" s="150"/>
      <c r="Z1" s="150"/>
    </row>
    <row r="2" ht="21.0" customHeight="1">
      <c r="A2" s="151" t="s">
        <v>270</v>
      </c>
      <c r="B2" s="151" t="s">
        <v>271</v>
      </c>
      <c r="C2" s="152" t="s">
        <v>272</v>
      </c>
      <c r="D2" s="152" t="s">
        <v>273</v>
      </c>
      <c r="E2" s="152" t="s">
        <v>274</v>
      </c>
      <c r="F2" s="151" t="s">
        <v>275</v>
      </c>
      <c r="G2" s="150"/>
      <c r="H2" s="150"/>
      <c r="I2" s="150"/>
      <c r="J2" s="150"/>
      <c r="K2" s="150"/>
      <c r="L2" s="150"/>
      <c r="M2" s="150"/>
      <c r="N2" s="150"/>
      <c r="O2" s="150"/>
      <c r="P2" s="150"/>
      <c r="Q2" s="150"/>
      <c r="R2" s="150"/>
      <c r="S2" s="150"/>
      <c r="T2" s="150"/>
      <c r="U2" s="150"/>
      <c r="V2" s="150"/>
      <c r="W2" s="150"/>
      <c r="X2" s="150"/>
      <c r="Y2" s="150"/>
      <c r="Z2" s="150"/>
    </row>
    <row r="3" ht="30.0" customHeight="1">
      <c r="A3" s="153" t="s">
        <v>179</v>
      </c>
      <c r="B3" s="154" t="s">
        <v>276</v>
      </c>
      <c r="C3" s="154" t="s">
        <v>277</v>
      </c>
      <c r="D3" s="154" t="s">
        <v>278</v>
      </c>
      <c r="E3" s="154" t="s">
        <v>279</v>
      </c>
      <c r="F3" s="153" t="s">
        <v>280</v>
      </c>
      <c r="G3" s="150"/>
      <c r="H3" s="150"/>
      <c r="I3" s="150"/>
      <c r="J3" s="150"/>
      <c r="K3" s="150"/>
      <c r="L3" s="150"/>
      <c r="M3" s="150"/>
      <c r="N3" s="150"/>
      <c r="O3" s="150"/>
      <c r="P3" s="150"/>
      <c r="Q3" s="150"/>
      <c r="R3" s="150"/>
      <c r="S3" s="150"/>
      <c r="T3" s="150"/>
      <c r="U3" s="150"/>
      <c r="V3" s="150"/>
      <c r="W3" s="150"/>
      <c r="X3" s="150"/>
      <c r="Y3" s="150"/>
      <c r="Z3" s="150"/>
    </row>
    <row r="4" ht="30.0" customHeight="1">
      <c r="A4" s="153" t="s">
        <v>179</v>
      </c>
      <c r="B4" s="154" t="s">
        <v>281</v>
      </c>
      <c r="C4" s="154" t="s">
        <v>282</v>
      </c>
      <c r="D4" s="154" t="s">
        <v>283</v>
      </c>
      <c r="E4" s="154" t="s">
        <v>284</v>
      </c>
      <c r="F4" s="153" t="s">
        <v>285</v>
      </c>
      <c r="G4" s="150"/>
      <c r="H4" s="150"/>
      <c r="I4" s="150"/>
      <c r="J4" s="150"/>
      <c r="K4" s="150"/>
      <c r="L4" s="150"/>
      <c r="M4" s="150"/>
      <c r="N4" s="150"/>
      <c r="O4" s="150"/>
      <c r="P4" s="150"/>
      <c r="Q4" s="150"/>
      <c r="R4" s="150"/>
      <c r="S4" s="150"/>
      <c r="T4" s="150"/>
      <c r="U4" s="150"/>
      <c r="V4" s="150"/>
      <c r="W4" s="150"/>
      <c r="X4" s="150"/>
      <c r="Y4" s="150"/>
      <c r="Z4" s="150"/>
    </row>
    <row r="5" ht="30.0" customHeight="1">
      <c r="A5" s="153" t="s">
        <v>179</v>
      </c>
      <c r="B5" s="154" t="s">
        <v>286</v>
      </c>
      <c r="C5" s="154" t="s">
        <v>287</v>
      </c>
      <c r="D5" s="154" t="s">
        <v>288</v>
      </c>
      <c r="E5" s="154" t="s">
        <v>289</v>
      </c>
      <c r="F5" s="153" t="s">
        <v>290</v>
      </c>
      <c r="G5" s="150"/>
      <c r="H5" s="150"/>
      <c r="I5" s="150"/>
      <c r="J5" s="150"/>
      <c r="K5" s="150"/>
      <c r="L5" s="150"/>
      <c r="M5" s="150"/>
      <c r="N5" s="150"/>
      <c r="O5" s="150"/>
      <c r="P5" s="150"/>
      <c r="Q5" s="150"/>
      <c r="R5" s="150"/>
      <c r="S5" s="150"/>
      <c r="T5" s="150"/>
      <c r="U5" s="150"/>
      <c r="V5" s="150"/>
      <c r="W5" s="150"/>
      <c r="X5" s="150"/>
      <c r="Y5" s="150"/>
      <c r="Z5" s="150"/>
    </row>
    <row r="6" ht="30.0" customHeight="1">
      <c r="A6" s="153" t="s">
        <v>179</v>
      </c>
      <c r="B6" s="154" t="s">
        <v>291</v>
      </c>
      <c r="C6" s="154" t="s">
        <v>287</v>
      </c>
      <c r="D6" s="154" t="s">
        <v>292</v>
      </c>
      <c r="E6" s="154" t="s">
        <v>293</v>
      </c>
      <c r="F6" s="153" t="s">
        <v>290</v>
      </c>
      <c r="G6" s="150"/>
      <c r="H6" s="150"/>
      <c r="I6" s="150"/>
      <c r="J6" s="150"/>
      <c r="K6" s="150"/>
      <c r="L6" s="150"/>
      <c r="M6" s="150"/>
      <c r="N6" s="150"/>
      <c r="O6" s="150"/>
      <c r="P6" s="150"/>
      <c r="Q6" s="150"/>
      <c r="R6" s="150"/>
      <c r="S6" s="150"/>
      <c r="T6" s="150"/>
      <c r="U6" s="150"/>
      <c r="V6" s="150"/>
      <c r="W6" s="150"/>
      <c r="X6" s="150"/>
      <c r="Y6" s="150"/>
      <c r="Z6" s="150"/>
    </row>
    <row r="7" ht="30.0" customHeight="1">
      <c r="A7" s="153" t="s">
        <v>179</v>
      </c>
      <c r="B7" s="154" t="s">
        <v>294</v>
      </c>
      <c r="C7" s="154" t="s">
        <v>287</v>
      </c>
      <c r="D7" s="154" t="s">
        <v>295</v>
      </c>
      <c r="E7" s="154" t="s">
        <v>296</v>
      </c>
      <c r="F7" s="153" t="s">
        <v>290</v>
      </c>
      <c r="G7" s="150"/>
      <c r="H7" s="150"/>
      <c r="I7" s="150"/>
      <c r="J7" s="150"/>
      <c r="K7" s="150"/>
      <c r="L7" s="150"/>
      <c r="M7" s="150"/>
      <c r="N7" s="150"/>
      <c r="O7" s="150"/>
      <c r="P7" s="150"/>
      <c r="Q7" s="150"/>
      <c r="R7" s="150"/>
      <c r="S7" s="150"/>
      <c r="T7" s="150"/>
      <c r="U7" s="150"/>
      <c r="V7" s="150"/>
      <c r="W7" s="150"/>
      <c r="X7" s="150"/>
      <c r="Y7" s="150"/>
      <c r="Z7" s="150"/>
    </row>
    <row r="8" ht="30.0" customHeight="1">
      <c r="A8" s="153" t="s">
        <v>179</v>
      </c>
      <c r="B8" s="154" t="s">
        <v>297</v>
      </c>
      <c r="C8" s="154" t="s">
        <v>298</v>
      </c>
      <c r="D8" s="154" t="s">
        <v>299</v>
      </c>
      <c r="E8" s="154" t="s">
        <v>300</v>
      </c>
      <c r="F8" s="153" t="s">
        <v>280</v>
      </c>
      <c r="G8" s="150"/>
      <c r="H8" s="150"/>
      <c r="I8" s="150"/>
      <c r="J8" s="150"/>
      <c r="K8" s="150"/>
      <c r="L8" s="150"/>
      <c r="M8" s="150"/>
      <c r="N8" s="150"/>
      <c r="O8" s="150"/>
      <c r="P8" s="150"/>
      <c r="Q8" s="150"/>
      <c r="R8" s="150"/>
      <c r="S8" s="150"/>
      <c r="T8" s="150"/>
      <c r="U8" s="150"/>
      <c r="V8" s="150"/>
      <c r="W8" s="150"/>
      <c r="X8" s="150"/>
      <c r="Y8" s="150"/>
      <c r="Z8" s="150"/>
    </row>
    <row r="9" ht="30.0" customHeight="1">
      <c r="A9" s="153" t="s">
        <v>179</v>
      </c>
      <c r="B9" s="154" t="s">
        <v>301</v>
      </c>
      <c r="C9" s="154" t="s">
        <v>302</v>
      </c>
      <c r="D9" s="154" t="s">
        <v>303</v>
      </c>
      <c r="E9" s="154" t="s">
        <v>304</v>
      </c>
      <c r="F9" s="153" t="s">
        <v>285</v>
      </c>
      <c r="G9" s="150"/>
      <c r="H9" s="150"/>
      <c r="I9" s="150"/>
      <c r="J9" s="150"/>
      <c r="K9" s="150"/>
      <c r="L9" s="150"/>
      <c r="M9" s="150"/>
      <c r="N9" s="150"/>
      <c r="O9" s="150"/>
      <c r="P9" s="150"/>
      <c r="Q9" s="150"/>
      <c r="R9" s="150"/>
      <c r="S9" s="150"/>
      <c r="T9" s="150"/>
      <c r="U9" s="150"/>
      <c r="V9" s="150"/>
      <c r="W9" s="150"/>
      <c r="X9" s="150"/>
      <c r="Y9" s="150"/>
      <c r="Z9" s="150"/>
    </row>
    <row r="10" ht="30.0" customHeight="1">
      <c r="A10" s="153" t="s">
        <v>179</v>
      </c>
      <c r="B10" s="154" t="s">
        <v>305</v>
      </c>
      <c r="C10" s="154" t="s">
        <v>306</v>
      </c>
      <c r="D10" s="154" t="s">
        <v>307</v>
      </c>
      <c r="E10" s="154" t="s">
        <v>304</v>
      </c>
      <c r="F10" s="153" t="s">
        <v>285</v>
      </c>
      <c r="G10" s="150"/>
      <c r="H10" s="150"/>
      <c r="I10" s="150"/>
      <c r="J10" s="150"/>
      <c r="K10" s="150"/>
      <c r="L10" s="150"/>
      <c r="M10" s="150"/>
      <c r="N10" s="150"/>
      <c r="O10" s="150"/>
      <c r="P10" s="150"/>
      <c r="Q10" s="150"/>
      <c r="R10" s="150"/>
      <c r="S10" s="150"/>
      <c r="T10" s="150"/>
      <c r="U10" s="150"/>
      <c r="V10" s="150"/>
      <c r="W10" s="150"/>
      <c r="X10" s="150"/>
      <c r="Y10" s="150"/>
      <c r="Z10" s="150"/>
    </row>
    <row r="11" ht="30.0" customHeight="1">
      <c r="A11" s="153" t="s">
        <v>179</v>
      </c>
      <c r="B11" s="154" t="s">
        <v>308</v>
      </c>
      <c r="C11" s="154" t="s">
        <v>309</v>
      </c>
      <c r="D11" s="154" t="s">
        <v>310</v>
      </c>
      <c r="E11" s="154" t="s">
        <v>311</v>
      </c>
      <c r="F11" s="153" t="s">
        <v>280</v>
      </c>
      <c r="G11" s="150"/>
      <c r="H11" s="150"/>
      <c r="I11" s="150"/>
      <c r="J11" s="150"/>
      <c r="K11" s="150"/>
      <c r="L11" s="150"/>
      <c r="M11" s="150"/>
      <c r="N11" s="150"/>
      <c r="O11" s="150"/>
      <c r="P11" s="150"/>
      <c r="Q11" s="150"/>
      <c r="R11" s="150"/>
      <c r="S11" s="150"/>
      <c r="T11" s="150"/>
      <c r="U11" s="150"/>
      <c r="V11" s="150"/>
      <c r="W11" s="150"/>
      <c r="X11" s="150"/>
      <c r="Y11" s="150"/>
      <c r="Z11" s="150"/>
    </row>
    <row r="12" ht="30.0" customHeight="1">
      <c r="A12" s="153" t="s">
        <v>179</v>
      </c>
      <c r="B12" s="154" t="s">
        <v>312</v>
      </c>
      <c r="C12" s="154" t="s">
        <v>313</v>
      </c>
      <c r="D12" s="154" t="s">
        <v>310</v>
      </c>
      <c r="E12" s="154" t="s">
        <v>314</v>
      </c>
      <c r="F12" s="153" t="s">
        <v>285</v>
      </c>
      <c r="G12" s="150"/>
      <c r="H12" s="150"/>
      <c r="I12" s="150"/>
      <c r="J12" s="150"/>
      <c r="K12" s="150"/>
      <c r="L12" s="150"/>
      <c r="M12" s="150"/>
      <c r="N12" s="150"/>
      <c r="O12" s="150"/>
      <c r="P12" s="150"/>
      <c r="Q12" s="150"/>
      <c r="R12" s="150"/>
      <c r="S12" s="150"/>
      <c r="T12" s="150"/>
      <c r="U12" s="150"/>
      <c r="V12" s="150"/>
      <c r="W12" s="150"/>
      <c r="X12" s="150"/>
      <c r="Y12" s="150"/>
      <c r="Z12" s="150"/>
    </row>
    <row r="13" ht="30.0" customHeight="1">
      <c r="A13" s="153" t="s">
        <v>179</v>
      </c>
      <c r="B13" s="154" t="s">
        <v>315</v>
      </c>
      <c r="C13" s="154" t="s">
        <v>316</v>
      </c>
      <c r="D13" s="154" t="s">
        <v>317</v>
      </c>
      <c r="E13" s="154" t="s">
        <v>318</v>
      </c>
      <c r="F13" s="153" t="s">
        <v>280</v>
      </c>
      <c r="G13" s="150"/>
      <c r="H13" s="150"/>
      <c r="I13" s="150"/>
      <c r="J13" s="150"/>
      <c r="K13" s="150"/>
      <c r="L13" s="150"/>
      <c r="M13" s="150"/>
      <c r="N13" s="150"/>
      <c r="O13" s="150"/>
      <c r="P13" s="150"/>
      <c r="Q13" s="150"/>
      <c r="R13" s="150"/>
      <c r="S13" s="150"/>
      <c r="T13" s="150"/>
      <c r="U13" s="150"/>
      <c r="V13" s="150"/>
      <c r="W13" s="150"/>
      <c r="X13" s="150"/>
      <c r="Y13" s="150"/>
      <c r="Z13" s="150"/>
    </row>
    <row r="14" ht="30.0" customHeight="1">
      <c r="A14" s="153" t="s">
        <v>179</v>
      </c>
      <c r="B14" s="154" t="s">
        <v>319</v>
      </c>
      <c r="C14" s="154" t="s">
        <v>320</v>
      </c>
      <c r="D14" s="154" t="s">
        <v>321</v>
      </c>
      <c r="E14" s="154" t="s">
        <v>322</v>
      </c>
      <c r="F14" s="153" t="s">
        <v>285</v>
      </c>
      <c r="G14" s="150"/>
      <c r="H14" s="150"/>
      <c r="I14" s="150"/>
      <c r="J14" s="150"/>
      <c r="K14" s="150"/>
      <c r="L14" s="150"/>
      <c r="M14" s="150"/>
      <c r="N14" s="150"/>
      <c r="O14" s="150"/>
      <c r="P14" s="150"/>
      <c r="Q14" s="150"/>
      <c r="R14" s="150"/>
      <c r="S14" s="150"/>
      <c r="T14" s="150"/>
      <c r="U14" s="150"/>
      <c r="V14" s="150"/>
      <c r="W14" s="150"/>
      <c r="X14" s="150"/>
      <c r="Y14" s="150"/>
      <c r="Z14" s="150"/>
    </row>
    <row r="15" ht="30.0" customHeight="1">
      <c r="A15" s="153" t="s">
        <v>179</v>
      </c>
      <c r="B15" s="154" t="s">
        <v>323</v>
      </c>
      <c r="C15" s="154" t="s">
        <v>324</v>
      </c>
      <c r="D15" s="154" t="s">
        <v>325</v>
      </c>
      <c r="E15" s="154" t="s">
        <v>326</v>
      </c>
      <c r="F15" s="153" t="s">
        <v>280</v>
      </c>
      <c r="G15" s="150"/>
      <c r="H15" s="150"/>
      <c r="I15" s="150"/>
      <c r="J15" s="150"/>
      <c r="K15" s="150"/>
      <c r="L15" s="150"/>
      <c r="M15" s="150"/>
      <c r="N15" s="150"/>
      <c r="O15" s="150"/>
      <c r="P15" s="150"/>
      <c r="Q15" s="150"/>
      <c r="R15" s="150"/>
      <c r="S15" s="150"/>
      <c r="T15" s="150"/>
      <c r="U15" s="150"/>
      <c r="V15" s="150"/>
      <c r="W15" s="150"/>
      <c r="X15" s="150"/>
      <c r="Y15" s="150"/>
      <c r="Z15" s="150"/>
    </row>
    <row r="16" ht="30.0" customHeight="1">
      <c r="A16" s="153" t="s">
        <v>179</v>
      </c>
      <c r="B16" s="154" t="s">
        <v>327</v>
      </c>
      <c r="C16" s="154" t="s">
        <v>328</v>
      </c>
      <c r="D16" s="154" t="s">
        <v>329</v>
      </c>
      <c r="E16" s="154" t="s">
        <v>330</v>
      </c>
      <c r="F16" s="153" t="s">
        <v>331</v>
      </c>
      <c r="G16" s="150"/>
      <c r="H16" s="150"/>
      <c r="I16" s="150"/>
      <c r="J16" s="150"/>
      <c r="K16" s="150"/>
      <c r="L16" s="150"/>
      <c r="M16" s="150"/>
      <c r="N16" s="150"/>
      <c r="O16" s="150"/>
      <c r="P16" s="150"/>
      <c r="Q16" s="150"/>
      <c r="R16" s="150"/>
      <c r="S16" s="150"/>
      <c r="T16" s="150"/>
      <c r="U16" s="150"/>
      <c r="V16" s="150"/>
      <c r="W16" s="150"/>
      <c r="X16" s="150"/>
      <c r="Y16" s="150"/>
      <c r="Z16" s="150"/>
    </row>
    <row r="17" ht="30.0" customHeight="1">
      <c r="A17" s="153" t="s">
        <v>332</v>
      </c>
      <c r="B17" s="154" t="s">
        <v>333</v>
      </c>
      <c r="C17" s="154" t="s">
        <v>334</v>
      </c>
      <c r="D17" s="154" t="s">
        <v>335</v>
      </c>
      <c r="E17" s="154" t="s">
        <v>336</v>
      </c>
      <c r="F17" s="153" t="s">
        <v>280</v>
      </c>
      <c r="G17" s="150"/>
      <c r="H17" s="150"/>
      <c r="I17" s="150"/>
      <c r="J17" s="150"/>
      <c r="K17" s="150"/>
      <c r="L17" s="150"/>
      <c r="M17" s="150"/>
      <c r="N17" s="150"/>
      <c r="O17" s="150"/>
      <c r="P17" s="150"/>
      <c r="Q17" s="150"/>
      <c r="R17" s="150"/>
      <c r="S17" s="150"/>
      <c r="T17" s="150"/>
      <c r="U17" s="150"/>
      <c r="V17" s="150"/>
      <c r="W17" s="150"/>
      <c r="X17" s="150"/>
      <c r="Y17" s="150"/>
      <c r="Z17" s="150"/>
    </row>
    <row r="18" ht="30.0" customHeight="1">
      <c r="A18" s="153" t="s">
        <v>332</v>
      </c>
      <c r="B18" s="154" t="s">
        <v>337</v>
      </c>
      <c r="C18" s="154" t="s">
        <v>338</v>
      </c>
      <c r="D18" s="154" t="s">
        <v>339</v>
      </c>
      <c r="E18" s="154" t="s">
        <v>340</v>
      </c>
      <c r="F18" s="153" t="s">
        <v>331</v>
      </c>
      <c r="G18" s="150"/>
      <c r="H18" s="150"/>
      <c r="I18" s="150"/>
      <c r="J18" s="150"/>
      <c r="K18" s="150"/>
      <c r="L18" s="150"/>
      <c r="M18" s="150"/>
      <c r="N18" s="150"/>
      <c r="O18" s="150"/>
      <c r="P18" s="150"/>
      <c r="Q18" s="150"/>
      <c r="R18" s="150"/>
      <c r="S18" s="150"/>
      <c r="T18" s="150"/>
      <c r="U18" s="150"/>
      <c r="V18" s="150"/>
      <c r="W18" s="150"/>
      <c r="X18" s="150"/>
      <c r="Y18" s="150"/>
      <c r="Z18" s="150"/>
    </row>
    <row r="19" ht="30.0" customHeight="1">
      <c r="A19" s="153" t="s">
        <v>332</v>
      </c>
      <c r="B19" s="154" t="s">
        <v>341</v>
      </c>
      <c r="C19" s="154" t="s">
        <v>342</v>
      </c>
      <c r="D19" s="154" t="s">
        <v>343</v>
      </c>
      <c r="E19" s="154" t="s">
        <v>344</v>
      </c>
      <c r="F19" s="153" t="s">
        <v>280</v>
      </c>
      <c r="G19" s="150"/>
      <c r="H19" s="150"/>
      <c r="I19" s="150"/>
      <c r="J19" s="150"/>
      <c r="K19" s="150"/>
      <c r="L19" s="150"/>
      <c r="M19" s="150"/>
      <c r="N19" s="150"/>
      <c r="O19" s="150"/>
      <c r="P19" s="150"/>
      <c r="Q19" s="150"/>
      <c r="R19" s="150"/>
      <c r="S19" s="150"/>
      <c r="T19" s="150"/>
      <c r="U19" s="150"/>
      <c r="V19" s="150"/>
      <c r="W19" s="150"/>
      <c r="X19" s="150"/>
      <c r="Y19" s="150"/>
      <c r="Z19" s="150"/>
    </row>
    <row r="20" ht="30.0" customHeight="1">
      <c r="A20" s="153" t="s">
        <v>332</v>
      </c>
      <c r="B20" s="154" t="s">
        <v>345</v>
      </c>
      <c r="C20" s="154" t="s">
        <v>346</v>
      </c>
      <c r="D20" s="154" t="s">
        <v>347</v>
      </c>
      <c r="E20" s="154" t="s">
        <v>348</v>
      </c>
      <c r="F20" s="153" t="s">
        <v>280</v>
      </c>
      <c r="G20" s="150"/>
      <c r="H20" s="150"/>
      <c r="I20" s="150"/>
      <c r="J20" s="150"/>
      <c r="K20" s="150"/>
      <c r="L20" s="150"/>
      <c r="M20" s="150"/>
      <c r="N20" s="150"/>
      <c r="O20" s="150"/>
      <c r="P20" s="150"/>
      <c r="Q20" s="150"/>
      <c r="R20" s="150"/>
      <c r="S20" s="150"/>
      <c r="T20" s="150"/>
      <c r="U20" s="150"/>
      <c r="V20" s="150"/>
      <c r="W20" s="150"/>
      <c r="X20" s="150"/>
      <c r="Y20" s="150"/>
      <c r="Z20" s="150"/>
    </row>
    <row r="21" ht="30.0" customHeight="1">
      <c r="A21" s="153" t="s">
        <v>332</v>
      </c>
      <c r="B21" s="154" t="s">
        <v>349</v>
      </c>
      <c r="C21" s="154" t="s">
        <v>350</v>
      </c>
      <c r="D21" s="154" t="s">
        <v>351</v>
      </c>
      <c r="E21" s="154" t="s">
        <v>352</v>
      </c>
      <c r="F21" s="153" t="s">
        <v>290</v>
      </c>
      <c r="G21" s="150"/>
      <c r="H21" s="150"/>
      <c r="I21" s="150"/>
      <c r="J21" s="150"/>
      <c r="K21" s="150"/>
      <c r="L21" s="150"/>
      <c r="M21" s="150"/>
      <c r="N21" s="150"/>
      <c r="O21" s="150"/>
      <c r="P21" s="150"/>
      <c r="Q21" s="150"/>
      <c r="R21" s="150"/>
      <c r="S21" s="150"/>
      <c r="T21" s="150"/>
      <c r="U21" s="150"/>
      <c r="V21" s="150"/>
      <c r="W21" s="150"/>
      <c r="X21" s="150"/>
      <c r="Y21" s="150"/>
      <c r="Z21" s="150"/>
    </row>
    <row r="22" ht="30.0" customHeight="1">
      <c r="A22" s="153" t="s">
        <v>332</v>
      </c>
      <c r="B22" s="154" t="s">
        <v>353</v>
      </c>
      <c r="C22" s="154" t="s">
        <v>354</v>
      </c>
      <c r="D22" s="154" t="s">
        <v>355</v>
      </c>
      <c r="E22" s="154" t="s">
        <v>356</v>
      </c>
      <c r="F22" s="153" t="s">
        <v>280</v>
      </c>
      <c r="G22" s="150"/>
      <c r="H22" s="150"/>
      <c r="I22" s="150"/>
      <c r="J22" s="150"/>
      <c r="K22" s="150"/>
      <c r="L22" s="150"/>
      <c r="M22" s="150"/>
      <c r="N22" s="150"/>
      <c r="O22" s="150"/>
      <c r="P22" s="150"/>
      <c r="Q22" s="150"/>
      <c r="R22" s="150"/>
      <c r="S22" s="150"/>
      <c r="T22" s="150"/>
      <c r="U22" s="150"/>
      <c r="V22" s="150"/>
      <c r="W22" s="150"/>
      <c r="X22" s="150"/>
      <c r="Y22" s="150"/>
      <c r="Z22" s="150"/>
    </row>
    <row r="23" ht="30.0" customHeight="1">
      <c r="A23" s="153" t="s">
        <v>332</v>
      </c>
      <c r="B23" s="154" t="s">
        <v>357</v>
      </c>
      <c r="C23" s="154" t="s">
        <v>358</v>
      </c>
      <c r="D23" s="154" t="s">
        <v>359</v>
      </c>
      <c r="E23" s="154" t="s">
        <v>360</v>
      </c>
      <c r="F23" s="153" t="s">
        <v>280</v>
      </c>
      <c r="G23" s="150"/>
      <c r="H23" s="150"/>
      <c r="I23" s="150"/>
      <c r="J23" s="150"/>
      <c r="K23" s="150"/>
      <c r="L23" s="150"/>
      <c r="M23" s="150"/>
      <c r="N23" s="150"/>
      <c r="O23" s="150"/>
      <c r="P23" s="150"/>
      <c r="Q23" s="150"/>
      <c r="R23" s="150"/>
      <c r="S23" s="150"/>
      <c r="T23" s="150"/>
      <c r="U23" s="150"/>
      <c r="V23" s="150"/>
      <c r="W23" s="150"/>
      <c r="X23" s="150"/>
      <c r="Y23" s="150"/>
      <c r="Z23" s="150"/>
    </row>
    <row r="24" ht="30.0" customHeight="1">
      <c r="A24" s="153" t="s">
        <v>332</v>
      </c>
      <c r="B24" s="154" t="s">
        <v>361</v>
      </c>
      <c r="C24" s="154" t="s">
        <v>362</v>
      </c>
      <c r="D24" s="154" t="s">
        <v>363</v>
      </c>
      <c r="E24" s="154" t="s">
        <v>364</v>
      </c>
      <c r="F24" s="153" t="s">
        <v>280</v>
      </c>
      <c r="G24" s="150"/>
      <c r="H24" s="150"/>
      <c r="I24" s="150"/>
      <c r="J24" s="150"/>
      <c r="K24" s="150"/>
      <c r="L24" s="150"/>
      <c r="M24" s="150"/>
      <c r="N24" s="150"/>
      <c r="O24" s="150"/>
      <c r="P24" s="150"/>
      <c r="Q24" s="150"/>
      <c r="R24" s="150"/>
      <c r="S24" s="150"/>
      <c r="T24" s="150"/>
      <c r="U24" s="150"/>
      <c r="V24" s="150"/>
      <c r="W24" s="150"/>
      <c r="X24" s="150"/>
      <c r="Y24" s="150"/>
      <c r="Z24" s="150"/>
    </row>
    <row r="25" ht="30.0" customHeight="1">
      <c r="A25" s="153" t="s">
        <v>332</v>
      </c>
      <c r="B25" s="154" t="s">
        <v>365</v>
      </c>
      <c r="C25" s="154" t="s">
        <v>366</v>
      </c>
      <c r="D25" s="154" t="s">
        <v>367</v>
      </c>
      <c r="E25" s="154" t="s">
        <v>368</v>
      </c>
      <c r="F25" s="153" t="s">
        <v>290</v>
      </c>
      <c r="G25" s="150"/>
      <c r="H25" s="150"/>
      <c r="I25" s="150"/>
      <c r="J25" s="150"/>
      <c r="K25" s="150"/>
      <c r="L25" s="150"/>
      <c r="M25" s="150"/>
      <c r="N25" s="150"/>
      <c r="O25" s="150"/>
      <c r="P25" s="150"/>
      <c r="Q25" s="150"/>
      <c r="R25" s="150"/>
      <c r="S25" s="150"/>
      <c r="T25" s="150"/>
      <c r="U25" s="150"/>
      <c r="V25" s="150"/>
      <c r="W25" s="150"/>
      <c r="X25" s="150"/>
      <c r="Y25" s="150"/>
      <c r="Z25" s="150"/>
    </row>
    <row r="26" ht="30.0" customHeight="1">
      <c r="A26" s="153" t="s">
        <v>332</v>
      </c>
      <c r="B26" s="154" t="s">
        <v>369</v>
      </c>
      <c r="C26" s="154" t="s">
        <v>370</v>
      </c>
      <c r="D26" s="154" t="s">
        <v>371</v>
      </c>
      <c r="E26" s="154" t="s">
        <v>372</v>
      </c>
      <c r="F26" s="153" t="s">
        <v>280</v>
      </c>
      <c r="G26" s="150"/>
      <c r="H26" s="150"/>
      <c r="I26" s="150"/>
      <c r="J26" s="150"/>
      <c r="K26" s="150"/>
      <c r="L26" s="150"/>
      <c r="M26" s="150"/>
      <c r="N26" s="150"/>
      <c r="O26" s="150"/>
      <c r="P26" s="150"/>
      <c r="Q26" s="150"/>
      <c r="R26" s="150"/>
      <c r="S26" s="150"/>
      <c r="T26" s="150"/>
      <c r="U26" s="150"/>
      <c r="V26" s="150"/>
      <c r="W26" s="150"/>
      <c r="X26" s="150"/>
      <c r="Y26" s="150"/>
      <c r="Z26" s="150"/>
    </row>
    <row r="27" ht="30.0" customHeight="1">
      <c r="A27" s="153" t="s">
        <v>332</v>
      </c>
      <c r="B27" s="154" t="s">
        <v>373</v>
      </c>
      <c r="C27" s="154" t="s">
        <v>374</v>
      </c>
      <c r="D27" s="154" t="s">
        <v>375</v>
      </c>
      <c r="E27" s="154" t="s">
        <v>376</v>
      </c>
      <c r="F27" s="153" t="s">
        <v>280</v>
      </c>
      <c r="G27" s="150"/>
      <c r="H27" s="150"/>
      <c r="I27" s="150"/>
      <c r="J27" s="150"/>
      <c r="K27" s="150"/>
      <c r="L27" s="150"/>
      <c r="M27" s="150"/>
      <c r="N27" s="150"/>
      <c r="O27" s="150"/>
      <c r="P27" s="150"/>
      <c r="Q27" s="150"/>
      <c r="R27" s="150"/>
      <c r="S27" s="150"/>
      <c r="T27" s="150"/>
      <c r="U27" s="150"/>
      <c r="V27" s="150"/>
      <c r="W27" s="150"/>
      <c r="X27" s="150"/>
      <c r="Y27" s="150"/>
      <c r="Z27" s="150"/>
    </row>
    <row r="28" ht="30.0" customHeight="1">
      <c r="A28" s="153" t="s">
        <v>332</v>
      </c>
      <c r="B28" s="154" t="s">
        <v>377</v>
      </c>
      <c r="C28" s="154" t="s">
        <v>378</v>
      </c>
      <c r="D28" s="154" t="s">
        <v>379</v>
      </c>
      <c r="E28" s="154" t="s">
        <v>380</v>
      </c>
      <c r="F28" s="153" t="s">
        <v>280</v>
      </c>
      <c r="G28" s="150"/>
      <c r="H28" s="150"/>
      <c r="I28" s="150"/>
      <c r="J28" s="150"/>
      <c r="K28" s="150"/>
      <c r="L28" s="150"/>
      <c r="M28" s="150"/>
      <c r="N28" s="150"/>
      <c r="O28" s="150"/>
      <c r="P28" s="150"/>
      <c r="Q28" s="150"/>
      <c r="R28" s="150"/>
      <c r="S28" s="150"/>
      <c r="T28" s="150"/>
      <c r="U28" s="150"/>
      <c r="V28" s="150"/>
      <c r="W28" s="150"/>
      <c r="X28" s="150"/>
      <c r="Y28" s="150"/>
      <c r="Z28" s="150"/>
    </row>
    <row r="29" ht="30.0" customHeight="1">
      <c r="A29" s="153" t="s">
        <v>332</v>
      </c>
      <c r="B29" s="154" t="s">
        <v>381</v>
      </c>
      <c r="C29" s="154" t="s">
        <v>382</v>
      </c>
      <c r="D29" s="154" t="s">
        <v>383</v>
      </c>
      <c r="E29" s="154" t="s">
        <v>384</v>
      </c>
      <c r="F29" s="153" t="s">
        <v>280</v>
      </c>
      <c r="G29" s="150"/>
      <c r="H29" s="150"/>
      <c r="I29" s="150"/>
      <c r="J29" s="150"/>
      <c r="K29" s="150"/>
      <c r="L29" s="150"/>
      <c r="M29" s="150"/>
      <c r="N29" s="150"/>
      <c r="O29" s="150"/>
      <c r="P29" s="150"/>
      <c r="Q29" s="150"/>
      <c r="R29" s="150"/>
      <c r="S29" s="150"/>
      <c r="T29" s="150"/>
      <c r="U29" s="150"/>
      <c r="V29" s="150"/>
      <c r="W29" s="150"/>
      <c r="X29" s="150"/>
      <c r="Y29" s="150"/>
      <c r="Z29" s="150"/>
    </row>
    <row r="30" ht="30.0" customHeight="1">
      <c r="A30" s="153" t="s">
        <v>332</v>
      </c>
      <c r="B30" s="154" t="s">
        <v>385</v>
      </c>
      <c r="C30" s="154" t="s">
        <v>386</v>
      </c>
      <c r="D30" s="154" t="s">
        <v>387</v>
      </c>
      <c r="E30" s="154" t="s">
        <v>388</v>
      </c>
      <c r="F30" s="153" t="s">
        <v>331</v>
      </c>
      <c r="G30" s="150"/>
      <c r="H30" s="150"/>
      <c r="I30" s="150"/>
      <c r="J30" s="150"/>
      <c r="K30" s="150"/>
      <c r="L30" s="150"/>
      <c r="M30" s="150"/>
      <c r="N30" s="150"/>
      <c r="O30" s="150"/>
      <c r="P30" s="150"/>
      <c r="Q30" s="150"/>
      <c r="R30" s="150"/>
      <c r="S30" s="150"/>
      <c r="T30" s="150"/>
      <c r="U30" s="150"/>
      <c r="V30" s="150"/>
      <c r="W30" s="150"/>
      <c r="X30" s="150"/>
      <c r="Y30" s="150"/>
      <c r="Z30" s="150"/>
    </row>
    <row r="31" ht="30.0" customHeight="1">
      <c r="A31" s="153" t="s">
        <v>332</v>
      </c>
      <c r="B31" s="154" t="s">
        <v>389</v>
      </c>
      <c r="C31" s="154" t="s">
        <v>390</v>
      </c>
      <c r="D31" s="154" t="s">
        <v>391</v>
      </c>
      <c r="E31" s="154" t="s">
        <v>392</v>
      </c>
      <c r="F31" s="153" t="s">
        <v>331</v>
      </c>
      <c r="G31" s="150"/>
      <c r="H31" s="150"/>
      <c r="I31" s="150"/>
      <c r="J31" s="150"/>
      <c r="K31" s="150"/>
      <c r="L31" s="150"/>
      <c r="M31" s="150"/>
      <c r="N31" s="150"/>
      <c r="O31" s="150"/>
      <c r="P31" s="150"/>
      <c r="Q31" s="150"/>
      <c r="R31" s="150"/>
      <c r="S31" s="150"/>
      <c r="T31" s="150"/>
      <c r="U31" s="150"/>
      <c r="V31" s="150"/>
      <c r="W31" s="150"/>
      <c r="X31" s="150"/>
      <c r="Y31" s="150"/>
      <c r="Z31" s="150"/>
    </row>
    <row r="32" ht="30.0" customHeight="1">
      <c r="A32" s="153" t="s">
        <v>332</v>
      </c>
      <c r="B32" s="154" t="s">
        <v>393</v>
      </c>
      <c r="C32" s="154" t="s">
        <v>390</v>
      </c>
      <c r="D32" s="154" t="s">
        <v>394</v>
      </c>
      <c r="E32" s="154" t="s">
        <v>395</v>
      </c>
      <c r="F32" s="153" t="s">
        <v>331</v>
      </c>
      <c r="G32" s="150"/>
      <c r="H32" s="150"/>
      <c r="I32" s="150"/>
      <c r="J32" s="150"/>
      <c r="K32" s="150"/>
      <c r="L32" s="150"/>
      <c r="M32" s="150"/>
      <c r="N32" s="150"/>
      <c r="O32" s="150"/>
      <c r="P32" s="150"/>
      <c r="Q32" s="150"/>
      <c r="R32" s="150"/>
      <c r="S32" s="150"/>
      <c r="T32" s="150"/>
      <c r="U32" s="150"/>
      <c r="V32" s="150"/>
      <c r="W32" s="150"/>
      <c r="X32" s="150"/>
      <c r="Y32" s="150"/>
      <c r="Z32" s="150"/>
    </row>
    <row r="33" ht="30.0" customHeight="1">
      <c r="A33" s="153" t="s">
        <v>396</v>
      </c>
      <c r="B33" s="154" t="s">
        <v>397</v>
      </c>
      <c r="C33" s="154" t="s">
        <v>342</v>
      </c>
      <c r="D33" s="154" t="s">
        <v>398</v>
      </c>
      <c r="E33" s="154" t="s">
        <v>399</v>
      </c>
      <c r="F33" s="153" t="s">
        <v>280</v>
      </c>
      <c r="G33" s="150"/>
      <c r="H33" s="150"/>
      <c r="I33" s="150"/>
      <c r="J33" s="150"/>
      <c r="K33" s="150"/>
      <c r="L33" s="150"/>
      <c r="M33" s="150"/>
      <c r="N33" s="150"/>
      <c r="O33" s="150"/>
      <c r="P33" s="150"/>
      <c r="Q33" s="150"/>
      <c r="R33" s="150"/>
      <c r="S33" s="150"/>
      <c r="T33" s="150"/>
      <c r="U33" s="150"/>
      <c r="V33" s="150"/>
      <c r="W33" s="150"/>
      <c r="X33" s="150"/>
      <c r="Y33" s="150"/>
      <c r="Z33" s="150"/>
    </row>
    <row r="34" ht="30.0" customHeight="1">
      <c r="A34" s="153" t="s">
        <v>396</v>
      </c>
      <c r="B34" s="154" t="s">
        <v>400</v>
      </c>
      <c r="C34" s="154" t="s">
        <v>350</v>
      </c>
      <c r="D34" s="154" t="s">
        <v>351</v>
      </c>
      <c r="E34" s="154" t="s">
        <v>401</v>
      </c>
      <c r="F34" s="153" t="s">
        <v>290</v>
      </c>
      <c r="G34" s="150"/>
      <c r="H34" s="150"/>
      <c r="I34" s="150"/>
      <c r="J34" s="150"/>
      <c r="K34" s="150"/>
      <c r="L34" s="150"/>
      <c r="M34" s="150"/>
      <c r="N34" s="150"/>
      <c r="O34" s="150"/>
      <c r="P34" s="150"/>
      <c r="Q34" s="150"/>
      <c r="R34" s="150"/>
      <c r="S34" s="150"/>
      <c r="T34" s="150"/>
      <c r="U34" s="150"/>
      <c r="V34" s="150"/>
      <c r="W34" s="150"/>
      <c r="X34" s="150"/>
      <c r="Y34" s="150"/>
      <c r="Z34" s="150"/>
    </row>
    <row r="35" ht="30.0" customHeight="1">
      <c r="A35" s="153" t="s">
        <v>396</v>
      </c>
      <c r="B35" s="154" t="s">
        <v>402</v>
      </c>
      <c r="C35" s="154" t="s">
        <v>403</v>
      </c>
      <c r="D35" s="154" t="s">
        <v>404</v>
      </c>
      <c r="E35" s="154" t="s">
        <v>405</v>
      </c>
      <c r="F35" s="153" t="s">
        <v>280</v>
      </c>
      <c r="G35" s="150"/>
      <c r="H35" s="150"/>
      <c r="I35" s="150"/>
      <c r="J35" s="150"/>
      <c r="K35" s="150"/>
      <c r="L35" s="150"/>
      <c r="M35" s="150"/>
      <c r="N35" s="150"/>
      <c r="O35" s="150"/>
      <c r="P35" s="150"/>
      <c r="Q35" s="150"/>
      <c r="R35" s="150"/>
      <c r="S35" s="150"/>
      <c r="T35" s="150"/>
      <c r="U35" s="150"/>
      <c r="V35" s="150"/>
      <c r="W35" s="150"/>
      <c r="X35" s="150"/>
      <c r="Y35" s="150"/>
      <c r="Z35" s="150"/>
    </row>
    <row r="36" ht="30.0" customHeight="1">
      <c r="A36" s="153" t="s">
        <v>396</v>
      </c>
      <c r="B36" s="154" t="s">
        <v>406</v>
      </c>
      <c r="C36" s="154" t="s">
        <v>350</v>
      </c>
      <c r="D36" s="154" t="s">
        <v>407</v>
      </c>
      <c r="E36" s="154" t="s">
        <v>296</v>
      </c>
      <c r="F36" s="153" t="s">
        <v>290</v>
      </c>
      <c r="G36" s="150"/>
      <c r="H36" s="150"/>
      <c r="I36" s="150"/>
      <c r="J36" s="150"/>
      <c r="K36" s="150"/>
      <c r="L36" s="150"/>
      <c r="M36" s="150"/>
      <c r="N36" s="150"/>
      <c r="O36" s="150"/>
      <c r="P36" s="150"/>
      <c r="Q36" s="150"/>
      <c r="R36" s="150"/>
      <c r="S36" s="150"/>
      <c r="T36" s="150"/>
      <c r="U36" s="150"/>
      <c r="V36" s="150"/>
      <c r="W36" s="150"/>
      <c r="X36" s="150"/>
      <c r="Y36" s="150"/>
      <c r="Z36" s="150"/>
    </row>
    <row r="37" ht="30.0" customHeight="1">
      <c r="A37" s="153" t="s">
        <v>396</v>
      </c>
      <c r="B37" s="154" t="s">
        <v>408</v>
      </c>
      <c r="C37" s="154" t="s">
        <v>409</v>
      </c>
      <c r="D37" s="154" t="s">
        <v>410</v>
      </c>
      <c r="E37" s="154" t="s">
        <v>411</v>
      </c>
      <c r="F37" s="153" t="s">
        <v>280</v>
      </c>
      <c r="G37" s="150"/>
      <c r="H37" s="150"/>
      <c r="I37" s="150"/>
      <c r="J37" s="150"/>
      <c r="K37" s="150"/>
      <c r="L37" s="150"/>
      <c r="M37" s="150"/>
      <c r="N37" s="150"/>
      <c r="O37" s="150"/>
      <c r="P37" s="150"/>
      <c r="Q37" s="150"/>
      <c r="R37" s="150"/>
      <c r="S37" s="150"/>
      <c r="T37" s="150"/>
      <c r="U37" s="150"/>
      <c r="V37" s="150"/>
      <c r="W37" s="150"/>
      <c r="X37" s="150"/>
      <c r="Y37" s="150"/>
      <c r="Z37" s="150"/>
    </row>
    <row r="38" ht="30.0" customHeight="1">
      <c r="A38" s="153" t="s">
        <v>396</v>
      </c>
      <c r="B38" s="154" t="s">
        <v>412</v>
      </c>
      <c r="C38" s="154" t="s">
        <v>413</v>
      </c>
      <c r="D38" s="154" t="s">
        <v>414</v>
      </c>
      <c r="E38" s="154" t="s">
        <v>415</v>
      </c>
      <c r="F38" s="153" t="s">
        <v>280</v>
      </c>
      <c r="G38" s="150"/>
      <c r="H38" s="150"/>
      <c r="I38" s="150"/>
      <c r="J38" s="150"/>
      <c r="K38" s="150"/>
      <c r="L38" s="150"/>
      <c r="M38" s="150"/>
      <c r="N38" s="150"/>
      <c r="O38" s="150"/>
      <c r="P38" s="150"/>
      <c r="Q38" s="150"/>
      <c r="R38" s="150"/>
      <c r="S38" s="150"/>
      <c r="T38" s="150"/>
      <c r="U38" s="150"/>
      <c r="V38" s="150"/>
      <c r="W38" s="150"/>
      <c r="X38" s="150"/>
      <c r="Y38" s="150"/>
      <c r="Z38" s="150"/>
    </row>
    <row r="39" ht="30.0" customHeight="1">
      <c r="A39" s="153" t="s">
        <v>396</v>
      </c>
      <c r="B39" s="154" t="s">
        <v>416</v>
      </c>
      <c r="C39" s="154" t="s">
        <v>417</v>
      </c>
      <c r="D39" s="154" t="s">
        <v>418</v>
      </c>
      <c r="E39" s="154" t="s">
        <v>419</v>
      </c>
      <c r="F39" s="153" t="s">
        <v>331</v>
      </c>
      <c r="G39" s="150"/>
      <c r="H39" s="150"/>
      <c r="I39" s="150"/>
      <c r="J39" s="150"/>
      <c r="K39" s="150"/>
      <c r="L39" s="150"/>
      <c r="M39" s="150"/>
      <c r="N39" s="150"/>
      <c r="O39" s="150"/>
      <c r="P39" s="150"/>
      <c r="Q39" s="150"/>
      <c r="R39" s="150"/>
      <c r="S39" s="150"/>
      <c r="T39" s="150"/>
      <c r="U39" s="150"/>
      <c r="V39" s="150"/>
      <c r="W39" s="150"/>
      <c r="X39" s="150"/>
      <c r="Y39" s="150"/>
      <c r="Z39" s="150"/>
    </row>
    <row r="40" ht="30.0" customHeight="1">
      <c r="A40" s="153" t="s">
        <v>396</v>
      </c>
      <c r="B40" s="154" t="s">
        <v>420</v>
      </c>
      <c r="C40" s="154" t="s">
        <v>421</v>
      </c>
      <c r="D40" s="154" t="s">
        <v>422</v>
      </c>
      <c r="E40" s="154" t="s">
        <v>423</v>
      </c>
      <c r="F40" s="153" t="s">
        <v>280</v>
      </c>
      <c r="G40" s="150"/>
      <c r="H40" s="150"/>
      <c r="I40" s="150"/>
      <c r="J40" s="150"/>
      <c r="K40" s="150"/>
      <c r="L40" s="150"/>
      <c r="M40" s="150"/>
      <c r="N40" s="150"/>
      <c r="O40" s="150"/>
      <c r="P40" s="150"/>
      <c r="Q40" s="150"/>
      <c r="R40" s="150"/>
      <c r="S40" s="150"/>
      <c r="T40" s="150"/>
      <c r="U40" s="150"/>
      <c r="V40" s="150"/>
      <c r="W40" s="150"/>
      <c r="X40" s="150"/>
      <c r="Y40" s="150"/>
      <c r="Z40" s="150"/>
    </row>
    <row r="41" ht="30.0" customHeight="1">
      <c r="A41" s="153" t="s">
        <v>396</v>
      </c>
      <c r="B41" s="154" t="s">
        <v>424</v>
      </c>
      <c r="C41" s="154" t="s">
        <v>425</v>
      </c>
      <c r="D41" s="154" t="s">
        <v>426</v>
      </c>
      <c r="E41" s="154" t="s">
        <v>427</v>
      </c>
      <c r="F41" s="153" t="s">
        <v>280</v>
      </c>
      <c r="G41" s="150"/>
      <c r="H41" s="150"/>
      <c r="I41" s="150"/>
      <c r="J41" s="150"/>
      <c r="K41" s="150"/>
      <c r="L41" s="150"/>
      <c r="M41" s="150"/>
      <c r="N41" s="150"/>
      <c r="O41" s="150"/>
      <c r="P41" s="150"/>
      <c r="Q41" s="150"/>
      <c r="R41" s="150"/>
      <c r="S41" s="150"/>
      <c r="T41" s="150"/>
      <c r="U41" s="150"/>
      <c r="V41" s="150"/>
      <c r="W41" s="150"/>
      <c r="X41" s="150"/>
      <c r="Y41" s="150"/>
      <c r="Z41" s="150"/>
    </row>
    <row r="42" ht="30.0" customHeight="1">
      <c r="A42" s="153" t="s">
        <v>396</v>
      </c>
      <c r="B42" s="154" t="s">
        <v>428</v>
      </c>
      <c r="C42" s="154" t="s">
        <v>429</v>
      </c>
      <c r="D42" s="154" t="s">
        <v>430</v>
      </c>
      <c r="E42" s="154" t="s">
        <v>431</v>
      </c>
      <c r="F42" s="153" t="s">
        <v>280</v>
      </c>
      <c r="G42" s="150"/>
      <c r="H42" s="150"/>
      <c r="I42" s="150"/>
      <c r="J42" s="150"/>
      <c r="K42" s="150"/>
      <c r="L42" s="150"/>
      <c r="M42" s="150"/>
      <c r="N42" s="150"/>
      <c r="O42" s="150"/>
      <c r="P42" s="150"/>
      <c r="Q42" s="150"/>
      <c r="R42" s="150"/>
      <c r="S42" s="150"/>
      <c r="T42" s="150"/>
      <c r="U42" s="150"/>
      <c r="V42" s="150"/>
      <c r="W42" s="150"/>
      <c r="X42" s="150"/>
      <c r="Y42" s="150"/>
      <c r="Z42" s="150"/>
    </row>
    <row r="43" ht="30.0" customHeight="1">
      <c r="A43" s="153" t="s">
        <v>396</v>
      </c>
      <c r="B43" s="154" t="s">
        <v>432</v>
      </c>
      <c r="C43" s="154" t="s">
        <v>433</v>
      </c>
      <c r="D43" s="154" t="s">
        <v>434</v>
      </c>
      <c r="E43" s="154" t="s">
        <v>435</v>
      </c>
      <c r="F43" s="153" t="s">
        <v>280</v>
      </c>
      <c r="G43" s="150"/>
      <c r="H43" s="150"/>
      <c r="I43" s="150"/>
      <c r="J43" s="150"/>
      <c r="K43" s="150"/>
      <c r="L43" s="150"/>
      <c r="M43" s="150"/>
      <c r="N43" s="150"/>
      <c r="O43" s="150"/>
      <c r="P43" s="150"/>
      <c r="Q43" s="150"/>
      <c r="R43" s="150"/>
      <c r="S43" s="150"/>
      <c r="T43" s="150"/>
      <c r="U43" s="150"/>
      <c r="V43" s="150"/>
      <c r="W43" s="150"/>
      <c r="X43" s="150"/>
      <c r="Y43" s="150"/>
      <c r="Z43" s="150"/>
    </row>
    <row r="44" ht="30.0" customHeight="1">
      <c r="A44" s="153" t="s">
        <v>396</v>
      </c>
      <c r="B44" s="154" t="s">
        <v>436</v>
      </c>
      <c r="C44" s="154" t="s">
        <v>437</v>
      </c>
      <c r="D44" s="154" t="s">
        <v>438</v>
      </c>
      <c r="E44" s="154" t="s">
        <v>439</v>
      </c>
      <c r="F44" s="153" t="s">
        <v>331</v>
      </c>
      <c r="G44" s="150"/>
      <c r="H44" s="150"/>
      <c r="I44" s="150"/>
      <c r="J44" s="150"/>
      <c r="K44" s="150"/>
      <c r="L44" s="150"/>
      <c r="M44" s="150"/>
      <c r="N44" s="150"/>
      <c r="O44" s="150"/>
      <c r="P44" s="150"/>
      <c r="Q44" s="150"/>
      <c r="R44" s="150"/>
      <c r="S44" s="150"/>
      <c r="T44" s="150"/>
      <c r="U44" s="150"/>
      <c r="V44" s="150"/>
      <c r="W44" s="150"/>
      <c r="X44" s="150"/>
      <c r="Y44" s="150"/>
      <c r="Z44" s="150"/>
    </row>
    <row r="45" ht="30.0" customHeight="1">
      <c r="A45" s="153" t="s">
        <v>396</v>
      </c>
      <c r="B45" s="154" t="s">
        <v>440</v>
      </c>
      <c r="C45" s="154" t="s">
        <v>441</v>
      </c>
      <c r="D45" s="154" t="s">
        <v>442</v>
      </c>
      <c r="E45" s="154" t="s">
        <v>443</v>
      </c>
      <c r="F45" s="153" t="s">
        <v>280</v>
      </c>
      <c r="G45" s="150"/>
      <c r="H45" s="150"/>
      <c r="I45" s="150"/>
      <c r="J45" s="150"/>
      <c r="K45" s="150"/>
      <c r="L45" s="150"/>
      <c r="M45" s="150"/>
      <c r="N45" s="150"/>
      <c r="O45" s="150"/>
      <c r="P45" s="150"/>
      <c r="Q45" s="150"/>
      <c r="R45" s="150"/>
      <c r="S45" s="150"/>
      <c r="T45" s="150"/>
      <c r="U45" s="150"/>
      <c r="V45" s="150"/>
      <c r="W45" s="150"/>
      <c r="X45" s="150"/>
      <c r="Y45" s="150"/>
      <c r="Z45" s="150"/>
    </row>
    <row r="46" ht="30.0" customHeight="1">
      <c r="A46" s="153" t="s">
        <v>444</v>
      </c>
      <c r="B46" s="154" t="s">
        <v>445</v>
      </c>
      <c r="C46" s="154" t="s">
        <v>446</v>
      </c>
      <c r="D46" s="154" t="s">
        <v>447</v>
      </c>
      <c r="E46" s="154" t="s">
        <v>448</v>
      </c>
      <c r="F46" s="153" t="s">
        <v>280</v>
      </c>
      <c r="G46" s="150"/>
      <c r="H46" s="150"/>
      <c r="I46" s="150"/>
      <c r="J46" s="150"/>
      <c r="K46" s="150"/>
      <c r="L46" s="150"/>
      <c r="M46" s="150"/>
      <c r="N46" s="150"/>
      <c r="O46" s="150"/>
      <c r="P46" s="150"/>
      <c r="Q46" s="150"/>
      <c r="R46" s="150"/>
      <c r="S46" s="150"/>
      <c r="T46" s="150"/>
      <c r="U46" s="150"/>
      <c r="V46" s="150"/>
      <c r="W46" s="150"/>
      <c r="X46" s="150"/>
      <c r="Y46" s="150"/>
      <c r="Z46" s="150"/>
    </row>
    <row r="47" ht="30.0" customHeight="1">
      <c r="A47" s="153" t="s">
        <v>444</v>
      </c>
      <c r="B47" s="154" t="s">
        <v>449</v>
      </c>
      <c r="C47" s="154" t="s">
        <v>350</v>
      </c>
      <c r="D47" s="154" t="s">
        <v>450</v>
      </c>
      <c r="E47" s="154" t="s">
        <v>296</v>
      </c>
      <c r="F47" s="153" t="s">
        <v>290</v>
      </c>
      <c r="G47" s="150"/>
      <c r="H47" s="150"/>
      <c r="I47" s="150"/>
      <c r="J47" s="150"/>
      <c r="K47" s="150"/>
      <c r="L47" s="150"/>
      <c r="M47" s="150"/>
      <c r="N47" s="150"/>
      <c r="O47" s="150"/>
      <c r="P47" s="150"/>
      <c r="Q47" s="150"/>
      <c r="R47" s="150"/>
      <c r="S47" s="150"/>
      <c r="T47" s="150"/>
      <c r="U47" s="150"/>
      <c r="V47" s="150"/>
      <c r="W47" s="150"/>
      <c r="X47" s="150"/>
      <c r="Y47" s="150"/>
      <c r="Z47" s="150"/>
    </row>
    <row r="48" ht="30.0" customHeight="1">
      <c r="A48" s="153" t="s">
        <v>444</v>
      </c>
      <c r="B48" s="154" t="s">
        <v>451</v>
      </c>
      <c r="C48" s="154" t="s">
        <v>409</v>
      </c>
      <c r="D48" s="154" t="s">
        <v>452</v>
      </c>
      <c r="E48" s="154" t="s">
        <v>453</v>
      </c>
      <c r="F48" s="153" t="s">
        <v>280</v>
      </c>
      <c r="G48" s="150"/>
      <c r="H48" s="150"/>
      <c r="I48" s="150"/>
      <c r="J48" s="150"/>
      <c r="K48" s="150"/>
      <c r="L48" s="150"/>
      <c r="M48" s="150"/>
      <c r="N48" s="150"/>
      <c r="O48" s="150"/>
      <c r="P48" s="150"/>
      <c r="Q48" s="150"/>
      <c r="R48" s="150"/>
      <c r="S48" s="150"/>
      <c r="T48" s="150"/>
      <c r="U48" s="150"/>
      <c r="V48" s="150"/>
      <c r="W48" s="150"/>
      <c r="X48" s="150"/>
      <c r="Y48" s="150"/>
      <c r="Z48" s="150"/>
    </row>
    <row r="49" ht="30.0" customHeight="1">
      <c r="A49" s="153" t="s">
        <v>444</v>
      </c>
      <c r="B49" s="154" t="s">
        <v>454</v>
      </c>
      <c r="C49" s="154" t="s">
        <v>455</v>
      </c>
      <c r="D49" s="154" t="s">
        <v>456</v>
      </c>
      <c r="E49" s="154" t="s">
        <v>457</v>
      </c>
      <c r="F49" s="153" t="s">
        <v>280</v>
      </c>
      <c r="G49" s="150"/>
      <c r="H49" s="150"/>
      <c r="I49" s="150"/>
      <c r="J49" s="150"/>
      <c r="K49" s="150"/>
      <c r="L49" s="150"/>
      <c r="M49" s="150"/>
      <c r="N49" s="150"/>
      <c r="O49" s="150"/>
      <c r="P49" s="150"/>
      <c r="Q49" s="150"/>
      <c r="R49" s="150"/>
      <c r="S49" s="150"/>
      <c r="T49" s="150"/>
      <c r="U49" s="150"/>
      <c r="V49" s="150"/>
      <c r="W49" s="150"/>
      <c r="X49" s="150"/>
      <c r="Y49" s="150"/>
      <c r="Z49" s="150"/>
    </row>
    <row r="50" ht="30.0" customHeight="1">
      <c r="A50" s="153" t="s">
        <v>444</v>
      </c>
      <c r="B50" s="154" t="s">
        <v>458</v>
      </c>
      <c r="C50" s="154" t="s">
        <v>459</v>
      </c>
      <c r="D50" s="154" t="s">
        <v>460</v>
      </c>
      <c r="E50" s="154" t="s">
        <v>461</v>
      </c>
      <c r="F50" s="153" t="s">
        <v>280</v>
      </c>
      <c r="G50" s="150"/>
      <c r="H50" s="150"/>
      <c r="I50" s="150"/>
      <c r="J50" s="150"/>
      <c r="K50" s="150"/>
      <c r="L50" s="150"/>
      <c r="M50" s="150"/>
      <c r="N50" s="150"/>
      <c r="O50" s="150"/>
      <c r="P50" s="150"/>
      <c r="Q50" s="150"/>
      <c r="R50" s="150"/>
      <c r="S50" s="150"/>
      <c r="T50" s="150"/>
      <c r="U50" s="150"/>
      <c r="V50" s="150"/>
      <c r="W50" s="150"/>
      <c r="X50" s="150"/>
      <c r="Y50" s="150"/>
      <c r="Z50" s="150"/>
    </row>
    <row r="51" ht="30.0" customHeight="1">
      <c r="A51" s="153" t="s">
        <v>444</v>
      </c>
      <c r="B51" s="154" t="s">
        <v>462</v>
      </c>
      <c r="C51" s="154" t="s">
        <v>463</v>
      </c>
      <c r="D51" s="154" t="s">
        <v>464</v>
      </c>
      <c r="E51" s="154" t="s">
        <v>465</v>
      </c>
      <c r="F51" s="153" t="s">
        <v>280</v>
      </c>
      <c r="G51" s="150"/>
      <c r="H51" s="150"/>
      <c r="I51" s="150"/>
      <c r="J51" s="150"/>
      <c r="K51" s="150"/>
      <c r="L51" s="150"/>
      <c r="M51" s="150"/>
      <c r="N51" s="150"/>
      <c r="O51" s="150"/>
      <c r="P51" s="150"/>
      <c r="Q51" s="150"/>
      <c r="R51" s="150"/>
      <c r="S51" s="150"/>
      <c r="T51" s="150"/>
      <c r="U51" s="150"/>
      <c r="V51" s="150"/>
      <c r="W51" s="150"/>
      <c r="X51" s="150"/>
      <c r="Y51" s="150"/>
      <c r="Z51" s="150"/>
    </row>
    <row r="52" ht="30.0" customHeight="1">
      <c r="A52" s="153" t="s">
        <v>444</v>
      </c>
      <c r="B52" s="154" t="s">
        <v>466</v>
      </c>
      <c r="C52" s="154" t="s">
        <v>467</v>
      </c>
      <c r="D52" s="154" t="s">
        <v>468</v>
      </c>
      <c r="E52" s="154" t="s">
        <v>469</v>
      </c>
      <c r="F52" s="153" t="s">
        <v>280</v>
      </c>
      <c r="G52" s="150"/>
      <c r="H52" s="150"/>
      <c r="I52" s="150"/>
      <c r="J52" s="150"/>
      <c r="K52" s="150"/>
      <c r="L52" s="150"/>
      <c r="M52" s="150"/>
      <c r="N52" s="150"/>
      <c r="O52" s="150"/>
      <c r="P52" s="150"/>
      <c r="Q52" s="150"/>
      <c r="R52" s="150"/>
      <c r="S52" s="150"/>
      <c r="T52" s="150"/>
      <c r="U52" s="150"/>
      <c r="V52" s="150"/>
      <c r="W52" s="150"/>
      <c r="X52" s="150"/>
      <c r="Y52" s="150"/>
      <c r="Z52" s="150"/>
    </row>
    <row r="53" ht="30.0" customHeight="1">
      <c r="A53" s="153" t="s">
        <v>444</v>
      </c>
      <c r="B53" s="154" t="s">
        <v>470</v>
      </c>
      <c r="C53" s="154" t="s">
        <v>471</v>
      </c>
      <c r="D53" s="154" t="s">
        <v>472</v>
      </c>
      <c r="E53" s="154" t="s">
        <v>473</v>
      </c>
      <c r="F53" s="153" t="s">
        <v>331</v>
      </c>
      <c r="G53" s="150"/>
      <c r="H53" s="150"/>
      <c r="I53" s="150"/>
      <c r="J53" s="150"/>
      <c r="K53" s="150"/>
      <c r="L53" s="150"/>
      <c r="M53" s="150"/>
      <c r="N53" s="150"/>
      <c r="O53" s="150"/>
      <c r="P53" s="150"/>
      <c r="Q53" s="150"/>
      <c r="R53" s="150"/>
      <c r="S53" s="150"/>
      <c r="T53" s="150"/>
      <c r="U53" s="150"/>
      <c r="V53" s="150"/>
      <c r="W53" s="150"/>
      <c r="X53" s="150"/>
      <c r="Y53" s="150"/>
      <c r="Z53" s="150"/>
    </row>
    <row r="54" ht="30.0" customHeight="1">
      <c r="A54" s="153" t="s">
        <v>444</v>
      </c>
      <c r="B54" s="154" t="s">
        <v>474</v>
      </c>
      <c r="C54" s="154" t="s">
        <v>415</v>
      </c>
      <c r="D54" s="154" t="s">
        <v>475</v>
      </c>
      <c r="E54" s="154" t="s">
        <v>476</v>
      </c>
      <c r="F54" s="153" t="s">
        <v>280</v>
      </c>
      <c r="G54" s="150"/>
      <c r="H54" s="150"/>
      <c r="I54" s="150"/>
      <c r="J54" s="150"/>
      <c r="K54" s="150"/>
      <c r="L54" s="150"/>
      <c r="M54" s="150"/>
      <c r="N54" s="150"/>
      <c r="O54" s="150"/>
      <c r="P54" s="150"/>
      <c r="Q54" s="150"/>
      <c r="R54" s="150"/>
      <c r="S54" s="150"/>
      <c r="T54" s="150"/>
      <c r="U54" s="150"/>
      <c r="V54" s="150"/>
      <c r="W54" s="150"/>
      <c r="X54" s="150"/>
      <c r="Y54" s="150"/>
      <c r="Z54" s="150"/>
    </row>
    <row r="55" ht="30.0" customHeight="1">
      <c r="A55" s="153" t="s">
        <v>477</v>
      </c>
      <c r="B55" s="154" t="s">
        <v>478</v>
      </c>
      <c r="C55" s="154" t="s">
        <v>342</v>
      </c>
      <c r="D55" s="154" t="s">
        <v>479</v>
      </c>
      <c r="E55" s="154" t="s">
        <v>480</v>
      </c>
      <c r="F55" s="153" t="s">
        <v>280</v>
      </c>
      <c r="G55" s="150"/>
      <c r="H55" s="150"/>
      <c r="I55" s="150"/>
      <c r="J55" s="150"/>
      <c r="K55" s="150"/>
      <c r="L55" s="150"/>
      <c r="M55" s="150"/>
      <c r="N55" s="150"/>
      <c r="O55" s="150"/>
      <c r="P55" s="150"/>
      <c r="Q55" s="150"/>
      <c r="R55" s="150"/>
      <c r="S55" s="150"/>
      <c r="T55" s="150"/>
      <c r="U55" s="150"/>
      <c r="V55" s="150"/>
      <c r="W55" s="150"/>
      <c r="X55" s="150"/>
      <c r="Y55" s="150"/>
      <c r="Z55" s="150"/>
    </row>
    <row r="56" ht="30.0" customHeight="1">
      <c r="A56" s="153" t="s">
        <v>477</v>
      </c>
      <c r="B56" s="154" t="s">
        <v>481</v>
      </c>
      <c r="C56" s="154" t="s">
        <v>482</v>
      </c>
      <c r="D56" s="154" t="s">
        <v>483</v>
      </c>
      <c r="E56" s="154" t="s">
        <v>484</v>
      </c>
      <c r="F56" s="153" t="s">
        <v>290</v>
      </c>
      <c r="G56" s="150"/>
      <c r="H56" s="150"/>
      <c r="I56" s="150"/>
      <c r="J56" s="150"/>
      <c r="K56" s="150"/>
      <c r="L56" s="150"/>
      <c r="M56" s="150"/>
      <c r="N56" s="150"/>
      <c r="O56" s="150"/>
      <c r="P56" s="150"/>
      <c r="Q56" s="150"/>
      <c r="R56" s="150"/>
      <c r="S56" s="150"/>
      <c r="T56" s="150"/>
      <c r="U56" s="150"/>
      <c r="V56" s="150"/>
      <c r="W56" s="150"/>
      <c r="X56" s="150"/>
      <c r="Y56" s="150"/>
      <c r="Z56" s="150"/>
    </row>
    <row r="57" ht="30.0" customHeight="1">
      <c r="A57" s="153" t="s">
        <v>477</v>
      </c>
      <c r="B57" s="154" t="s">
        <v>485</v>
      </c>
      <c r="C57" s="154" t="s">
        <v>486</v>
      </c>
      <c r="D57" s="154" t="s">
        <v>487</v>
      </c>
      <c r="E57" s="154" t="s">
        <v>488</v>
      </c>
      <c r="F57" s="153" t="s">
        <v>285</v>
      </c>
      <c r="G57" s="150"/>
      <c r="H57" s="150"/>
      <c r="I57" s="150"/>
      <c r="J57" s="150"/>
      <c r="K57" s="150"/>
      <c r="L57" s="150"/>
      <c r="M57" s="150"/>
      <c r="N57" s="150"/>
      <c r="O57" s="150"/>
      <c r="P57" s="150"/>
      <c r="Q57" s="150"/>
      <c r="R57" s="150"/>
      <c r="S57" s="150"/>
      <c r="T57" s="150"/>
      <c r="U57" s="150"/>
      <c r="V57" s="150"/>
      <c r="W57" s="150"/>
      <c r="X57" s="150"/>
      <c r="Y57" s="150"/>
      <c r="Z57" s="150"/>
    </row>
    <row r="58" ht="30.0" customHeight="1">
      <c r="A58" s="153" t="s">
        <v>477</v>
      </c>
      <c r="B58" s="154" t="s">
        <v>489</v>
      </c>
      <c r="C58" s="154" t="s">
        <v>490</v>
      </c>
      <c r="D58" s="154" t="s">
        <v>491</v>
      </c>
      <c r="E58" s="154" t="s">
        <v>492</v>
      </c>
      <c r="F58" s="153" t="s">
        <v>280</v>
      </c>
      <c r="G58" s="150"/>
      <c r="H58" s="150"/>
      <c r="I58" s="150"/>
      <c r="J58" s="150"/>
      <c r="K58" s="150"/>
      <c r="L58" s="150"/>
      <c r="M58" s="150"/>
      <c r="N58" s="150"/>
      <c r="O58" s="150"/>
      <c r="P58" s="150"/>
      <c r="Q58" s="150"/>
      <c r="R58" s="150"/>
      <c r="S58" s="150"/>
      <c r="T58" s="150"/>
      <c r="U58" s="150"/>
      <c r="V58" s="150"/>
      <c r="W58" s="150"/>
      <c r="X58" s="150"/>
      <c r="Y58" s="150"/>
      <c r="Z58" s="150"/>
    </row>
    <row r="59" ht="30.0" customHeight="1">
      <c r="A59" s="153" t="s">
        <v>477</v>
      </c>
      <c r="B59" s="154" t="s">
        <v>493</v>
      </c>
      <c r="C59" s="154" t="s">
        <v>494</v>
      </c>
      <c r="D59" s="154" t="s">
        <v>495</v>
      </c>
      <c r="E59" s="154" t="s">
        <v>496</v>
      </c>
      <c r="F59" s="153" t="s">
        <v>280</v>
      </c>
      <c r="G59" s="150"/>
      <c r="H59" s="150"/>
      <c r="I59" s="150"/>
      <c r="J59" s="150"/>
      <c r="K59" s="150"/>
      <c r="L59" s="150"/>
      <c r="M59" s="150"/>
      <c r="N59" s="150"/>
      <c r="O59" s="150"/>
      <c r="P59" s="150"/>
      <c r="Q59" s="150"/>
      <c r="R59" s="150"/>
      <c r="S59" s="150"/>
      <c r="T59" s="150"/>
      <c r="U59" s="150"/>
      <c r="V59" s="150"/>
      <c r="W59" s="150"/>
      <c r="X59" s="150"/>
      <c r="Y59" s="150"/>
      <c r="Z59" s="150"/>
    </row>
    <row r="60" ht="30.0" customHeight="1">
      <c r="A60" s="153" t="s">
        <v>477</v>
      </c>
      <c r="B60" s="154" t="s">
        <v>497</v>
      </c>
      <c r="C60" s="154" t="s">
        <v>498</v>
      </c>
      <c r="D60" s="154" t="s">
        <v>499</v>
      </c>
      <c r="E60" s="154" t="s">
        <v>500</v>
      </c>
      <c r="F60" s="153" t="s">
        <v>280</v>
      </c>
      <c r="G60" s="150"/>
      <c r="H60" s="150"/>
      <c r="I60" s="150"/>
      <c r="J60" s="150"/>
      <c r="K60" s="150"/>
      <c r="L60" s="150"/>
      <c r="M60" s="150"/>
      <c r="N60" s="150"/>
      <c r="O60" s="150"/>
      <c r="P60" s="150"/>
      <c r="Q60" s="150"/>
      <c r="R60" s="150"/>
      <c r="S60" s="150"/>
      <c r="T60" s="150"/>
      <c r="U60" s="150"/>
      <c r="V60" s="150"/>
      <c r="W60" s="150"/>
      <c r="X60" s="150"/>
      <c r="Y60" s="150"/>
      <c r="Z60" s="150"/>
    </row>
    <row r="61" ht="30.0" customHeight="1">
      <c r="A61" s="153" t="s">
        <v>477</v>
      </c>
      <c r="B61" s="154" t="s">
        <v>501</v>
      </c>
      <c r="C61" s="154" t="s">
        <v>502</v>
      </c>
      <c r="D61" s="154" t="s">
        <v>503</v>
      </c>
      <c r="E61" s="154" t="s">
        <v>504</v>
      </c>
      <c r="F61" s="153" t="s">
        <v>280</v>
      </c>
      <c r="G61" s="150"/>
      <c r="H61" s="150"/>
      <c r="I61" s="150"/>
      <c r="J61" s="150"/>
      <c r="K61" s="150"/>
      <c r="L61" s="150"/>
      <c r="M61" s="150"/>
      <c r="N61" s="150"/>
      <c r="O61" s="150"/>
      <c r="P61" s="150"/>
      <c r="Q61" s="150"/>
      <c r="R61" s="150"/>
      <c r="S61" s="150"/>
      <c r="T61" s="150"/>
      <c r="U61" s="150"/>
      <c r="V61" s="150"/>
      <c r="W61" s="150"/>
      <c r="X61" s="150"/>
      <c r="Y61" s="150"/>
      <c r="Z61" s="150"/>
    </row>
    <row r="62" ht="30.0" customHeight="1">
      <c r="A62" s="153" t="s">
        <v>505</v>
      </c>
      <c r="B62" s="154" t="s">
        <v>506</v>
      </c>
      <c r="C62" s="154" t="s">
        <v>342</v>
      </c>
      <c r="D62" s="154" t="s">
        <v>507</v>
      </c>
      <c r="E62" s="154" t="s">
        <v>508</v>
      </c>
      <c r="F62" s="153" t="s">
        <v>280</v>
      </c>
      <c r="G62" s="150"/>
      <c r="H62" s="150"/>
      <c r="I62" s="150"/>
      <c r="J62" s="150"/>
      <c r="K62" s="150"/>
      <c r="L62" s="150"/>
      <c r="M62" s="150"/>
      <c r="N62" s="150"/>
      <c r="O62" s="150"/>
      <c r="P62" s="150"/>
      <c r="Q62" s="150"/>
      <c r="R62" s="150"/>
      <c r="S62" s="150"/>
      <c r="T62" s="150"/>
      <c r="U62" s="150"/>
      <c r="V62" s="150"/>
      <c r="W62" s="150"/>
      <c r="X62" s="150"/>
      <c r="Y62" s="150"/>
      <c r="Z62" s="150"/>
    </row>
    <row r="63" ht="30.0" customHeight="1">
      <c r="A63" s="153" t="s">
        <v>505</v>
      </c>
      <c r="B63" s="154" t="s">
        <v>509</v>
      </c>
      <c r="C63" s="154" t="s">
        <v>510</v>
      </c>
      <c r="D63" s="154" t="s">
        <v>511</v>
      </c>
      <c r="E63" s="154" t="s">
        <v>512</v>
      </c>
      <c r="F63" s="153" t="s">
        <v>290</v>
      </c>
      <c r="G63" s="150"/>
      <c r="H63" s="150"/>
      <c r="I63" s="150"/>
      <c r="J63" s="150"/>
      <c r="K63" s="150"/>
      <c r="L63" s="150"/>
      <c r="M63" s="150"/>
      <c r="N63" s="150"/>
      <c r="O63" s="150"/>
      <c r="P63" s="150"/>
      <c r="Q63" s="150"/>
      <c r="R63" s="150"/>
      <c r="S63" s="150"/>
      <c r="T63" s="150"/>
      <c r="U63" s="150"/>
      <c r="V63" s="150"/>
      <c r="W63" s="150"/>
      <c r="X63" s="150"/>
      <c r="Y63" s="150"/>
      <c r="Z63" s="150"/>
    </row>
    <row r="64" ht="30.0" customHeight="1">
      <c r="A64" s="153" t="s">
        <v>505</v>
      </c>
      <c r="B64" s="154" t="s">
        <v>513</v>
      </c>
      <c r="C64" s="154" t="s">
        <v>514</v>
      </c>
      <c r="D64" s="154" t="s">
        <v>515</v>
      </c>
      <c r="E64" s="154" t="s">
        <v>516</v>
      </c>
      <c r="F64" s="153" t="s">
        <v>285</v>
      </c>
      <c r="G64" s="150"/>
      <c r="H64" s="150"/>
      <c r="I64" s="150"/>
      <c r="J64" s="150"/>
      <c r="K64" s="150"/>
      <c r="L64" s="150"/>
      <c r="M64" s="150"/>
      <c r="N64" s="150"/>
      <c r="O64" s="150"/>
      <c r="P64" s="150"/>
      <c r="Q64" s="150"/>
      <c r="R64" s="150"/>
      <c r="S64" s="150"/>
      <c r="T64" s="150"/>
      <c r="U64" s="150"/>
      <c r="V64" s="150"/>
      <c r="W64" s="150"/>
      <c r="X64" s="150"/>
      <c r="Y64" s="150"/>
      <c r="Z64" s="150"/>
    </row>
    <row r="65" ht="30.0" customHeight="1">
      <c r="A65" s="153" t="s">
        <v>505</v>
      </c>
      <c r="B65" s="154" t="s">
        <v>517</v>
      </c>
      <c r="C65" s="154" t="s">
        <v>518</v>
      </c>
      <c r="D65" s="154" t="s">
        <v>519</v>
      </c>
      <c r="E65" s="154" t="s">
        <v>520</v>
      </c>
      <c r="F65" s="153" t="s">
        <v>280</v>
      </c>
      <c r="G65" s="150"/>
      <c r="H65" s="150"/>
      <c r="I65" s="150"/>
      <c r="J65" s="150"/>
      <c r="K65" s="150"/>
      <c r="L65" s="150"/>
      <c r="M65" s="150"/>
      <c r="N65" s="150"/>
      <c r="O65" s="150"/>
      <c r="P65" s="150"/>
      <c r="Q65" s="150"/>
      <c r="R65" s="150"/>
      <c r="S65" s="150"/>
      <c r="T65" s="150"/>
      <c r="U65" s="150"/>
      <c r="V65" s="150"/>
      <c r="W65" s="150"/>
      <c r="X65" s="150"/>
      <c r="Y65" s="150"/>
      <c r="Z65" s="150"/>
    </row>
    <row r="66" ht="30.0" customHeight="1">
      <c r="A66" s="153" t="s">
        <v>505</v>
      </c>
      <c r="B66" s="154" t="s">
        <v>521</v>
      </c>
      <c r="C66" s="154" t="s">
        <v>518</v>
      </c>
      <c r="D66" s="154" t="s">
        <v>522</v>
      </c>
      <c r="E66" s="154" t="s">
        <v>523</v>
      </c>
      <c r="F66" s="153" t="s">
        <v>290</v>
      </c>
      <c r="G66" s="150"/>
      <c r="H66" s="150"/>
      <c r="I66" s="150"/>
      <c r="J66" s="150"/>
      <c r="K66" s="150"/>
      <c r="L66" s="150"/>
      <c r="M66" s="150"/>
      <c r="N66" s="150"/>
      <c r="O66" s="150"/>
      <c r="P66" s="150"/>
      <c r="Q66" s="150"/>
      <c r="R66" s="150"/>
      <c r="S66" s="150"/>
      <c r="T66" s="150"/>
      <c r="U66" s="150"/>
      <c r="V66" s="150"/>
      <c r="W66" s="150"/>
      <c r="X66" s="150"/>
      <c r="Y66" s="150"/>
      <c r="Z66" s="150"/>
    </row>
    <row r="67" ht="30.0" customHeight="1">
      <c r="A67" s="153" t="s">
        <v>505</v>
      </c>
      <c r="B67" s="154" t="s">
        <v>524</v>
      </c>
      <c r="C67" s="154" t="s">
        <v>525</v>
      </c>
      <c r="D67" s="154" t="s">
        <v>526</v>
      </c>
      <c r="E67" s="154" t="s">
        <v>527</v>
      </c>
      <c r="F67" s="153" t="s">
        <v>285</v>
      </c>
      <c r="G67" s="150"/>
      <c r="H67" s="150"/>
      <c r="I67" s="150"/>
      <c r="J67" s="150"/>
      <c r="K67" s="150"/>
      <c r="L67" s="150"/>
      <c r="M67" s="150"/>
      <c r="N67" s="150"/>
      <c r="O67" s="150"/>
      <c r="P67" s="150"/>
      <c r="Q67" s="150"/>
      <c r="R67" s="150"/>
      <c r="S67" s="150"/>
      <c r="T67" s="150"/>
      <c r="U67" s="150"/>
      <c r="V67" s="150"/>
      <c r="W67" s="150"/>
      <c r="X67" s="150"/>
      <c r="Y67" s="150"/>
      <c r="Z67" s="150"/>
    </row>
    <row r="68" ht="30.0" customHeight="1">
      <c r="A68" s="153" t="s">
        <v>505</v>
      </c>
      <c r="B68" s="154" t="s">
        <v>528</v>
      </c>
      <c r="C68" s="154" t="s">
        <v>529</v>
      </c>
      <c r="D68" s="154" t="s">
        <v>530</v>
      </c>
      <c r="E68" s="154" t="s">
        <v>531</v>
      </c>
      <c r="F68" s="153" t="s">
        <v>280</v>
      </c>
      <c r="G68" s="150"/>
      <c r="H68" s="150"/>
      <c r="I68" s="150"/>
      <c r="J68" s="150"/>
      <c r="K68" s="150"/>
      <c r="L68" s="150"/>
      <c r="M68" s="150"/>
      <c r="N68" s="150"/>
      <c r="O68" s="150"/>
      <c r="P68" s="150"/>
      <c r="Q68" s="150"/>
      <c r="R68" s="150"/>
      <c r="S68" s="150"/>
      <c r="T68" s="150"/>
      <c r="U68" s="150"/>
      <c r="V68" s="150"/>
      <c r="W68" s="150"/>
      <c r="X68" s="150"/>
      <c r="Y68" s="150"/>
      <c r="Z68" s="150"/>
    </row>
    <row r="69" ht="30.0" customHeight="1">
      <c r="A69" s="153" t="s">
        <v>505</v>
      </c>
      <c r="B69" s="154" t="s">
        <v>532</v>
      </c>
      <c r="C69" s="154" t="s">
        <v>533</v>
      </c>
      <c r="D69" s="154" t="s">
        <v>534</v>
      </c>
      <c r="E69" s="154" t="s">
        <v>535</v>
      </c>
      <c r="F69" s="153" t="s">
        <v>280</v>
      </c>
      <c r="G69" s="150"/>
      <c r="H69" s="150"/>
      <c r="I69" s="150"/>
      <c r="J69" s="150"/>
      <c r="K69" s="150"/>
      <c r="L69" s="150"/>
      <c r="M69" s="150"/>
      <c r="N69" s="150"/>
      <c r="O69" s="150"/>
      <c r="P69" s="150"/>
      <c r="Q69" s="150"/>
      <c r="R69" s="150"/>
      <c r="S69" s="150"/>
      <c r="T69" s="150"/>
      <c r="U69" s="150"/>
      <c r="V69" s="150"/>
      <c r="W69" s="150"/>
      <c r="X69" s="150"/>
      <c r="Y69" s="150"/>
      <c r="Z69" s="150"/>
    </row>
    <row r="70" ht="30.0" customHeight="1">
      <c r="A70" s="153" t="s">
        <v>505</v>
      </c>
      <c r="B70" s="154" t="s">
        <v>536</v>
      </c>
      <c r="C70" s="154" t="s">
        <v>537</v>
      </c>
      <c r="D70" s="154" t="s">
        <v>538</v>
      </c>
      <c r="E70" s="154" t="s">
        <v>539</v>
      </c>
      <c r="F70" s="153" t="s">
        <v>331</v>
      </c>
      <c r="G70" s="150"/>
      <c r="H70" s="150"/>
      <c r="I70" s="150"/>
      <c r="J70" s="150"/>
      <c r="K70" s="150"/>
      <c r="L70" s="150"/>
      <c r="M70" s="150"/>
      <c r="N70" s="150"/>
      <c r="O70" s="150"/>
      <c r="P70" s="150"/>
      <c r="Q70" s="150"/>
      <c r="R70" s="150"/>
      <c r="S70" s="150"/>
      <c r="T70" s="150"/>
      <c r="U70" s="150"/>
      <c r="V70" s="150"/>
      <c r="W70" s="150"/>
      <c r="X70" s="150"/>
      <c r="Y70" s="150"/>
      <c r="Z70" s="150"/>
    </row>
    <row r="71">
      <c r="A71" s="150"/>
      <c r="B71" s="155"/>
      <c r="C71" s="155"/>
      <c r="D71" s="155"/>
      <c r="E71" s="155"/>
      <c r="F71" s="150"/>
      <c r="G71" s="150"/>
      <c r="H71" s="150"/>
      <c r="I71" s="150"/>
      <c r="J71" s="150"/>
      <c r="K71" s="150"/>
      <c r="L71" s="150"/>
      <c r="M71" s="150"/>
      <c r="N71" s="150"/>
      <c r="O71" s="150"/>
      <c r="P71" s="150"/>
      <c r="Q71" s="150"/>
      <c r="R71" s="150"/>
      <c r="S71" s="150"/>
      <c r="T71" s="150"/>
      <c r="U71" s="150"/>
      <c r="V71" s="150"/>
      <c r="W71" s="150"/>
      <c r="X71" s="150"/>
      <c r="Y71" s="150"/>
      <c r="Z71" s="150"/>
    </row>
    <row r="72">
      <c r="A72" s="150"/>
      <c r="B72" s="155"/>
      <c r="C72" s="155"/>
      <c r="D72" s="155"/>
      <c r="E72" s="155"/>
      <c r="F72" s="150"/>
      <c r="G72" s="150"/>
      <c r="H72" s="150"/>
      <c r="I72" s="150"/>
      <c r="J72" s="150"/>
      <c r="K72" s="150"/>
      <c r="L72" s="150"/>
      <c r="M72" s="150"/>
      <c r="N72" s="150"/>
      <c r="O72" s="150"/>
      <c r="P72" s="150"/>
      <c r="Q72" s="150"/>
      <c r="R72" s="150"/>
      <c r="S72" s="150"/>
      <c r="T72" s="150"/>
      <c r="U72" s="150"/>
      <c r="V72" s="150"/>
      <c r="W72" s="150"/>
      <c r="X72" s="150"/>
      <c r="Y72" s="150"/>
      <c r="Z72" s="150"/>
    </row>
    <row r="73">
      <c r="A73" s="150"/>
      <c r="B73" s="155"/>
      <c r="C73" s="155"/>
      <c r="D73" s="155"/>
      <c r="E73" s="155"/>
      <c r="F73" s="150"/>
      <c r="G73" s="150"/>
      <c r="H73" s="150"/>
      <c r="I73" s="150"/>
      <c r="J73" s="150"/>
      <c r="K73" s="150"/>
      <c r="L73" s="150"/>
      <c r="M73" s="150"/>
      <c r="N73" s="150"/>
      <c r="O73" s="150"/>
      <c r="P73" s="150"/>
      <c r="Q73" s="150"/>
      <c r="R73" s="150"/>
      <c r="S73" s="150"/>
      <c r="T73" s="150"/>
      <c r="U73" s="150"/>
      <c r="V73" s="150"/>
      <c r="W73" s="150"/>
      <c r="X73" s="150"/>
      <c r="Y73" s="150"/>
      <c r="Z73" s="150"/>
    </row>
    <row r="74">
      <c r="A74" s="150"/>
      <c r="B74" s="155"/>
      <c r="C74" s="155"/>
      <c r="D74" s="155"/>
      <c r="E74" s="155"/>
      <c r="F74" s="150"/>
      <c r="G74" s="150"/>
      <c r="H74" s="150"/>
      <c r="I74" s="150"/>
      <c r="J74" s="150"/>
      <c r="K74" s="150"/>
      <c r="L74" s="150"/>
      <c r="M74" s="150"/>
      <c r="N74" s="150"/>
      <c r="O74" s="150"/>
      <c r="P74" s="150"/>
      <c r="Q74" s="150"/>
      <c r="R74" s="150"/>
      <c r="S74" s="150"/>
      <c r="T74" s="150"/>
      <c r="U74" s="150"/>
      <c r="V74" s="150"/>
      <c r="W74" s="150"/>
      <c r="X74" s="150"/>
      <c r="Y74" s="150"/>
      <c r="Z74" s="150"/>
    </row>
    <row r="75">
      <c r="A75" s="150"/>
      <c r="B75" s="155"/>
      <c r="C75" s="155"/>
      <c r="D75" s="155"/>
      <c r="E75" s="155"/>
      <c r="F75" s="150"/>
      <c r="G75" s="150"/>
      <c r="H75" s="150"/>
      <c r="I75" s="150"/>
      <c r="J75" s="150"/>
      <c r="K75" s="150"/>
      <c r="L75" s="150"/>
      <c r="M75" s="150"/>
      <c r="N75" s="150"/>
      <c r="O75" s="150"/>
      <c r="P75" s="150"/>
      <c r="Q75" s="150"/>
      <c r="R75" s="150"/>
      <c r="S75" s="150"/>
      <c r="T75" s="150"/>
      <c r="U75" s="150"/>
      <c r="V75" s="150"/>
      <c r="W75" s="150"/>
      <c r="X75" s="150"/>
      <c r="Y75" s="150"/>
      <c r="Z75" s="150"/>
    </row>
    <row r="76">
      <c r="A76" s="150"/>
      <c r="B76" s="155"/>
      <c r="C76" s="155"/>
      <c r="D76" s="155"/>
      <c r="E76" s="155"/>
      <c r="F76" s="150"/>
      <c r="G76" s="150"/>
      <c r="H76" s="150"/>
      <c r="I76" s="150"/>
      <c r="J76" s="150"/>
      <c r="K76" s="150"/>
      <c r="L76" s="150"/>
      <c r="M76" s="150"/>
      <c r="N76" s="150"/>
      <c r="O76" s="150"/>
      <c r="P76" s="150"/>
      <c r="Q76" s="150"/>
      <c r="R76" s="150"/>
      <c r="S76" s="150"/>
      <c r="T76" s="150"/>
      <c r="U76" s="150"/>
      <c r="V76" s="150"/>
      <c r="W76" s="150"/>
      <c r="X76" s="150"/>
      <c r="Y76" s="150"/>
      <c r="Z76" s="150"/>
    </row>
    <row r="77">
      <c r="A77" s="150"/>
      <c r="B77" s="155"/>
      <c r="C77" s="155"/>
      <c r="D77" s="155"/>
      <c r="E77" s="155"/>
      <c r="F77" s="150"/>
      <c r="G77" s="150"/>
      <c r="H77" s="150"/>
      <c r="I77" s="150"/>
      <c r="J77" s="150"/>
      <c r="K77" s="150"/>
      <c r="L77" s="150"/>
      <c r="M77" s="150"/>
      <c r="N77" s="150"/>
      <c r="O77" s="150"/>
      <c r="P77" s="150"/>
      <c r="Q77" s="150"/>
      <c r="R77" s="150"/>
      <c r="S77" s="150"/>
      <c r="T77" s="150"/>
      <c r="U77" s="150"/>
      <c r="V77" s="150"/>
      <c r="W77" s="150"/>
      <c r="X77" s="150"/>
      <c r="Y77" s="150"/>
      <c r="Z77" s="150"/>
    </row>
    <row r="78">
      <c r="A78" s="150"/>
      <c r="B78" s="155"/>
      <c r="C78" s="155"/>
      <c r="D78" s="155"/>
      <c r="E78" s="155"/>
      <c r="F78" s="150"/>
      <c r="G78" s="150"/>
      <c r="H78" s="150"/>
      <c r="I78" s="150"/>
      <c r="J78" s="150"/>
      <c r="K78" s="150"/>
      <c r="L78" s="150"/>
      <c r="M78" s="150"/>
      <c r="N78" s="150"/>
      <c r="O78" s="150"/>
      <c r="P78" s="150"/>
      <c r="Q78" s="150"/>
      <c r="R78" s="150"/>
      <c r="S78" s="150"/>
      <c r="T78" s="150"/>
      <c r="U78" s="150"/>
      <c r="V78" s="150"/>
      <c r="W78" s="150"/>
      <c r="X78" s="150"/>
      <c r="Y78" s="150"/>
      <c r="Z78" s="150"/>
    </row>
    <row r="79">
      <c r="A79" s="150"/>
      <c r="B79" s="155"/>
      <c r="C79" s="155"/>
      <c r="D79" s="155"/>
      <c r="E79" s="155"/>
      <c r="F79" s="150"/>
      <c r="G79" s="150"/>
      <c r="H79" s="150"/>
      <c r="I79" s="150"/>
      <c r="J79" s="150"/>
      <c r="K79" s="150"/>
      <c r="L79" s="150"/>
      <c r="M79" s="150"/>
      <c r="N79" s="150"/>
      <c r="O79" s="150"/>
      <c r="P79" s="150"/>
      <c r="Q79" s="150"/>
      <c r="R79" s="150"/>
      <c r="S79" s="150"/>
      <c r="T79" s="150"/>
      <c r="U79" s="150"/>
      <c r="V79" s="150"/>
      <c r="W79" s="150"/>
      <c r="X79" s="150"/>
      <c r="Y79" s="150"/>
      <c r="Z79" s="150"/>
    </row>
    <row r="80">
      <c r="A80" s="150"/>
      <c r="B80" s="155"/>
      <c r="C80" s="155"/>
      <c r="D80" s="155"/>
      <c r="E80" s="155"/>
      <c r="F80" s="150"/>
      <c r="G80" s="150"/>
      <c r="H80" s="150"/>
      <c r="I80" s="150"/>
      <c r="J80" s="150"/>
      <c r="K80" s="150"/>
      <c r="L80" s="150"/>
      <c r="M80" s="150"/>
      <c r="N80" s="150"/>
      <c r="O80" s="150"/>
      <c r="P80" s="150"/>
      <c r="Q80" s="150"/>
      <c r="R80" s="150"/>
      <c r="S80" s="150"/>
      <c r="T80" s="150"/>
      <c r="U80" s="150"/>
      <c r="V80" s="150"/>
      <c r="W80" s="150"/>
      <c r="X80" s="150"/>
      <c r="Y80" s="150"/>
      <c r="Z80" s="150"/>
    </row>
    <row r="81">
      <c r="A81" s="150"/>
      <c r="B81" s="155"/>
      <c r="C81" s="155"/>
      <c r="D81" s="155"/>
      <c r="E81" s="155"/>
      <c r="F81" s="150"/>
      <c r="G81" s="150"/>
      <c r="H81" s="150"/>
      <c r="I81" s="150"/>
      <c r="J81" s="150"/>
      <c r="K81" s="150"/>
      <c r="L81" s="150"/>
      <c r="M81" s="150"/>
      <c r="N81" s="150"/>
      <c r="O81" s="150"/>
      <c r="P81" s="150"/>
      <c r="Q81" s="150"/>
      <c r="R81" s="150"/>
      <c r="S81" s="150"/>
      <c r="T81" s="150"/>
      <c r="U81" s="150"/>
      <c r="V81" s="150"/>
      <c r="W81" s="150"/>
      <c r="X81" s="150"/>
      <c r="Y81" s="150"/>
      <c r="Z81" s="150"/>
    </row>
    <row r="82">
      <c r="A82" s="150"/>
      <c r="B82" s="155"/>
      <c r="C82" s="155"/>
      <c r="D82" s="155"/>
      <c r="E82" s="155"/>
      <c r="F82" s="150"/>
      <c r="G82" s="150"/>
      <c r="H82" s="150"/>
      <c r="I82" s="150"/>
      <c r="J82" s="150"/>
      <c r="K82" s="150"/>
      <c r="L82" s="150"/>
      <c r="M82" s="150"/>
      <c r="N82" s="150"/>
      <c r="O82" s="150"/>
      <c r="P82" s="150"/>
      <c r="Q82" s="150"/>
      <c r="R82" s="150"/>
      <c r="S82" s="150"/>
      <c r="T82" s="150"/>
      <c r="U82" s="150"/>
      <c r="V82" s="150"/>
      <c r="W82" s="150"/>
      <c r="X82" s="150"/>
      <c r="Y82" s="150"/>
      <c r="Z82" s="150"/>
    </row>
    <row r="83">
      <c r="A83" s="150"/>
      <c r="B83" s="155"/>
      <c r="C83" s="155"/>
      <c r="D83" s="155"/>
      <c r="E83" s="155"/>
      <c r="F83" s="150"/>
      <c r="G83" s="150"/>
      <c r="H83" s="150"/>
      <c r="I83" s="150"/>
      <c r="J83" s="150"/>
      <c r="K83" s="150"/>
      <c r="L83" s="150"/>
      <c r="M83" s="150"/>
      <c r="N83" s="150"/>
      <c r="O83" s="150"/>
      <c r="P83" s="150"/>
      <c r="Q83" s="150"/>
      <c r="R83" s="150"/>
      <c r="S83" s="150"/>
      <c r="T83" s="150"/>
      <c r="U83" s="150"/>
      <c r="V83" s="150"/>
      <c r="W83" s="150"/>
      <c r="X83" s="150"/>
      <c r="Y83" s="150"/>
      <c r="Z83" s="150"/>
    </row>
    <row r="84">
      <c r="A84" s="150"/>
      <c r="B84" s="155"/>
      <c r="C84" s="155"/>
      <c r="D84" s="155"/>
      <c r="E84" s="155"/>
      <c r="F84" s="150"/>
      <c r="G84" s="150"/>
      <c r="H84" s="150"/>
      <c r="I84" s="150"/>
      <c r="J84" s="150"/>
      <c r="K84" s="150"/>
      <c r="L84" s="150"/>
      <c r="M84" s="150"/>
      <c r="N84" s="150"/>
      <c r="O84" s="150"/>
      <c r="P84" s="150"/>
      <c r="Q84" s="150"/>
      <c r="R84" s="150"/>
      <c r="S84" s="150"/>
      <c r="T84" s="150"/>
      <c r="U84" s="150"/>
      <c r="V84" s="150"/>
      <c r="W84" s="150"/>
      <c r="X84" s="150"/>
      <c r="Y84" s="150"/>
      <c r="Z84" s="150"/>
    </row>
    <row r="85">
      <c r="A85" s="150"/>
      <c r="B85" s="155"/>
      <c r="C85" s="155"/>
      <c r="D85" s="155"/>
      <c r="E85" s="155"/>
      <c r="F85" s="150"/>
      <c r="G85" s="150"/>
      <c r="H85" s="150"/>
      <c r="I85" s="150"/>
      <c r="J85" s="150"/>
      <c r="K85" s="150"/>
      <c r="L85" s="150"/>
      <c r="M85" s="150"/>
      <c r="N85" s="150"/>
      <c r="O85" s="150"/>
      <c r="P85" s="150"/>
      <c r="Q85" s="150"/>
      <c r="R85" s="150"/>
      <c r="S85" s="150"/>
      <c r="T85" s="150"/>
      <c r="U85" s="150"/>
      <c r="V85" s="150"/>
      <c r="W85" s="150"/>
      <c r="X85" s="150"/>
      <c r="Y85" s="150"/>
      <c r="Z85" s="150"/>
    </row>
    <row r="86">
      <c r="A86" s="150"/>
      <c r="B86" s="155"/>
      <c r="C86" s="155"/>
      <c r="D86" s="155"/>
      <c r="E86" s="155"/>
      <c r="F86" s="150"/>
      <c r="G86" s="150"/>
      <c r="H86" s="150"/>
      <c r="I86" s="150"/>
      <c r="J86" s="150"/>
      <c r="K86" s="150"/>
      <c r="L86" s="150"/>
      <c r="M86" s="150"/>
      <c r="N86" s="150"/>
      <c r="O86" s="150"/>
      <c r="P86" s="150"/>
      <c r="Q86" s="150"/>
      <c r="R86" s="150"/>
      <c r="S86" s="150"/>
      <c r="T86" s="150"/>
      <c r="U86" s="150"/>
      <c r="V86" s="150"/>
      <c r="W86" s="150"/>
      <c r="X86" s="150"/>
      <c r="Y86" s="150"/>
      <c r="Z86" s="150"/>
    </row>
    <row r="87">
      <c r="A87" s="150"/>
      <c r="B87" s="155"/>
      <c r="C87" s="155"/>
      <c r="D87" s="155"/>
      <c r="E87" s="155"/>
      <c r="F87" s="150"/>
      <c r="G87" s="150"/>
      <c r="H87" s="150"/>
      <c r="I87" s="150"/>
      <c r="J87" s="150"/>
      <c r="K87" s="150"/>
      <c r="L87" s="150"/>
      <c r="M87" s="150"/>
      <c r="N87" s="150"/>
      <c r="O87" s="150"/>
      <c r="P87" s="150"/>
      <c r="Q87" s="150"/>
      <c r="R87" s="150"/>
      <c r="S87" s="150"/>
      <c r="T87" s="150"/>
      <c r="U87" s="150"/>
      <c r="V87" s="150"/>
      <c r="W87" s="150"/>
      <c r="X87" s="150"/>
      <c r="Y87" s="150"/>
      <c r="Z87" s="150"/>
    </row>
    <row r="88">
      <c r="A88" s="150"/>
      <c r="B88" s="155"/>
      <c r="C88" s="155"/>
      <c r="D88" s="155"/>
      <c r="E88" s="155"/>
      <c r="F88" s="150"/>
      <c r="G88" s="150"/>
      <c r="H88" s="150"/>
      <c r="I88" s="150"/>
      <c r="J88" s="150"/>
      <c r="K88" s="150"/>
      <c r="L88" s="150"/>
      <c r="M88" s="150"/>
      <c r="N88" s="150"/>
      <c r="O88" s="150"/>
      <c r="P88" s="150"/>
      <c r="Q88" s="150"/>
      <c r="R88" s="150"/>
      <c r="S88" s="150"/>
      <c r="T88" s="150"/>
      <c r="U88" s="150"/>
      <c r="V88" s="150"/>
      <c r="W88" s="150"/>
      <c r="X88" s="150"/>
      <c r="Y88" s="150"/>
      <c r="Z88" s="150"/>
    </row>
    <row r="89">
      <c r="A89" s="150"/>
      <c r="B89" s="155"/>
      <c r="C89" s="155"/>
      <c r="D89" s="155"/>
      <c r="E89" s="155"/>
      <c r="F89" s="150"/>
      <c r="G89" s="150"/>
      <c r="H89" s="150"/>
      <c r="I89" s="150"/>
      <c r="J89" s="150"/>
      <c r="K89" s="150"/>
      <c r="L89" s="150"/>
      <c r="M89" s="150"/>
      <c r="N89" s="150"/>
      <c r="O89" s="150"/>
      <c r="P89" s="150"/>
      <c r="Q89" s="150"/>
      <c r="R89" s="150"/>
      <c r="S89" s="150"/>
      <c r="T89" s="150"/>
      <c r="U89" s="150"/>
      <c r="V89" s="150"/>
      <c r="W89" s="150"/>
      <c r="X89" s="150"/>
      <c r="Y89" s="150"/>
      <c r="Z89" s="150"/>
    </row>
    <row r="90">
      <c r="A90" s="150"/>
      <c r="B90" s="155"/>
      <c r="C90" s="155"/>
      <c r="D90" s="155"/>
      <c r="E90" s="155"/>
      <c r="F90" s="150"/>
      <c r="G90" s="150"/>
      <c r="H90" s="150"/>
      <c r="I90" s="150"/>
      <c r="J90" s="150"/>
      <c r="K90" s="150"/>
      <c r="L90" s="150"/>
      <c r="M90" s="150"/>
      <c r="N90" s="150"/>
      <c r="O90" s="150"/>
      <c r="P90" s="150"/>
      <c r="Q90" s="150"/>
      <c r="R90" s="150"/>
      <c r="S90" s="150"/>
      <c r="T90" s="150"/>
      <c r="U90" s="150"/>
      <c r="V90" s="150"/>
      <c r="W90" s="150"/>
      <c r="X90" s="150"/>
      <c r="Y90" s="150"/>
      <c r="Z90" s="150"/>
    </row>
    <row r="91">
      <c r="A91" s="150"/>
      <c r="B91" s="155"/>
      <c r="C91" s="155"/>
      <c r="D91" s="155"/>
      <c r="E91" s="155"/>
      <c r="F91" s="150"/>
      <c r="G91" s="150"/>
      <c r="H91" s="150"/>
      <c r="I91" s="150"/>
      <c r="J91" s="150"/>
      <c r="K91" s="150"/>
      <c r="L91" s="150"/>
      <c r="M91" s="150"/>
      <c r="N91" s="150"/>
      <c r="O91" s="150"/>
      <c r="P91" s="150"/>
      <c r="Q91" s="150"/>
      <c r="R91" s="150"/>
      <c r="S91" s="150"/>
      <c r="T91" s="150"/>
      <c r="U91" s="150"/>
      <c r="V91" s="150"/>
      <c r="W91" s="150"/>
      <c r="X91" s="150"/>
      <c r="Y91" s="150"/>
      <c r="Z91" s="150"/>
    </row>
    <row r="92">
      <c r="A92" s="150"/>
      <c r="B92" s="155"/>
      <c r="C92" s="155"/>
      <c r="D92" s="155"/>
      <c r="E92" s="155"/>
      <c r="F92" s="150"/>
      <c r="G92" s="150"/>
      <c r="H92" s="150"/>
      <c r="I92" s="150"/>
      <c r="J92" s="150"/>
      <c r="K92" s="150"/>
      <c r="L92" s="150"/>
      <c r="M92" s="150"/>
      <c r="N92" s="150"/>
      <c r="O92" s="150"/>
      <c r="P92" s="150"/>
      <c r="Q92" s="150"/>
      <c r="R92" s="150"/>
      <c r="S92" s="150"/>
      <c r="T92" s="150"/>
      <c r="U92" s="150"/>
      <c r="V92" s="150"/>
      <c r="W92" s="150"/>
      <c r="X92" s="150"/>
      <c r="Y92" s="150"/>
      <c r="Z92" s="150"/>
    </row>
    <row r="93">
      <c r="A93" s="150"/>
      <c r="B93" s="155"/>
      <c r="C93" s="155"/>
      <c r="D93" s="155"/>
      <c r="E93" s="155"/>
      <c r="F93" s="150"/>
      <c r="G93" s="150"/>
      <c r="H93" s="150"/>
      <c r="I93" s="150"/>
      <c r="J93" s="150"/>
      <c r="K93" s="150"/>
      <c r="L93" s="150"/>
      <c r="M93" s="150"/>
      <c r="N93" s="150"/>
      <c r="O93" s="150"/>
      <c r="P93" s="150"/>
      <c r="Q93" s="150"/>
      <c r="R93" s="150"/>
      <c r="S93" s="150"/>
      <c r="T93" s="150"/>
      <c r="U93" s="150"/>
      <c r="V93" s="150"/>
      <c r="W93" s="150"/>
      <c r="X93" s="150"/>
      <c r="Y93" s="150"/>
      <c r="Z93" s="150"/>
    </row>
    <row r="94">
      <c r="A94" s="150"/>
      <c r="B94" s="155"/>
      <c r="C94" s="155"/>
      <c r="D94" s="155"/>
      <c r="E94" s="155"/>
      <c r="F94" s="150"/>
      <c r="G94" s="150"/>
      <c r="H94" s="150"/>
      <c r="I94" s="150"/>
      <c r="J94" s="150"/>
      <c r="K94" s="150"/>
      <c r="L94" s="150"/>
      <c r="M94" s="150"/>
      <c r="N94" s="150"/>
      <c r="O94" s="150"/>
      <c r="P94" s="150"/>
      <c r="Q94" s="150"/>
      <c r="R94" s="150"/>
      <c r="S94" s="150"/>
      <c r="T94" s="150"/>
      <c r="U94" s="150"/>
      <c r="V94" s="150"/>
      <c r="W94" s="150"/>
      <c r="X94" s="150"/>
      <c r="Y94" s="150"/>
      <c r="Z94" s="150"/>
    </row>
    <row r="95">
      <c r="A95" s="150"/>
      <c r="B95" s="155"/>
      <c r="C95" s="155"/>
      <c r="D95" s="155"/>
      <c r="E95" s="155"/>
      <c r="F95" s="150"/>
      <c r="G95" s="150"/>
      <c r="H95" s="150"/>
      <c r="I95" s="150"/>
      <c r="J95" s="150"/>
      <c r="K95" s="150"/>
      <c r="L95" s="150"/>
      <c r="M95" s="150"/>
      <c r="N95" s="150"/>
      <c r="O95" s="150"/>
      <c r="P95" s="150"/>
      <c r="Q95" s="150"/>
      <c r="R95" s="150"/>
      <c r="S95" s="150"/>
      <c r="T95" s="150"/>
      <c r="U95" s="150"/>
      <c r="V95" s="150"/>
      <c r="W95" s="150"/>
      <c r="X95" s="150"/>
      <c r="Y95" s="150"/>
      <c r="Z95" s="150"/>
    </row>
    <row r="96">
      <c r="A96" s="150"/>
      <c r="B96" s="155"/>
      <c r="C96" s="155"/>
      <c r="D96" s="155"/>
      <c r="E96" s="155"/>
      <c r="F96" s="150"/>
      <c r="G96" s="150"/>
      <c r="H96" s="150"/>
      <c r="I96" s="150"/>
      <c r="J96" s="150"/>
      <c r="K96" s="150"/>
      <c r="L96" s="150"/>
      <c r="M96" s="150"/>
      <c r="N96" s="150"/>
      <c r="O96" s="150"/>
      <c r="P96" s="150"/>
      <c r="Q96" s="150"/>
      <c r="R96" s="150"/>
      <c r="S96" s="150"/>
      <c r="T96" s="150"/>
      <c r="U96" s="150"/>
      <c r="V96" s="150"/>
      <c r="W96" s="150"/>
      <c r="X96" s="150"/>
      <c r="Y96" s="150"/>
      <c r="Z96" s="150"/>
    </row>
    <row r="97">
      <c r="A97" s="150"/>
      <c r="B97" s="155"/>
      <c r="C97" s="155"/>
      <c r="D97" s="155"/>
      <c r="E97" s="155"/>
      <c r="F97" s="150"/>
      <c r="G97" s="150"/>
      <c r="H97" s="150"/>
      <c r="I97" s="150"/>
      <c r="J97" s="150"/>
      <c r="K97" s="150"/>
      <c r="L97" s="150"/>
      <c r="M97" s="150"/>
      <c r="N97" s="150"/>
      <c r="O97" s="150"/>
      <c r="P97" s="150"/>
      <c r="Q97" s="150"/>
      <c r="R97" s="150"/>
      <c r="S97" s="150"/>
      <c r="T97" s="150"/>
      <c r="U97" s="150"/>
      <c r="V97" s="150"/>
      <c r="W97" s="150"/>
      <c r="X97" s="150"/>
      <c r="Y97" s="150"/>
      <c r="Z97" s="150"/>
    </row>
    <row r="98">
      <c r="A98" s="150"/>
      <c r="B98" s="155"/>
      <c r="C98" s="155"/>
      <c r="D98" s="155"/>
      <c r="E98" s="155"/>
      <c r="F98" s="150"/>
      <c r="G98" s="150"/>
      <c r="H98" s="150"/>
      <c r="I98" s="150"/>
      <c r="J98" s="150"/>
      <c r="K98" s="150"/>
      <c r="L98" s="150"/>
      <c r="M98" s="150"/>
      <c r="N98" s="150"/>
      <c r="O98" s="150"/>
      <c r="P98" s="150"/>
      <c r="Q98" s="150"/>
      <c r="R98" s="150"/>
      <c r="S98" s="150"/>
      <c r="T98" s="150"/>
      <c r="U98" s="150"/>
      <c r="V98" s="150"/>
      <c r="W98" s="150"/>
      <c r="X98" s="150"/>
      <c r="Y98" s="150"/>
      <c r="Z98" s="150"/>
    </row>
    <row r="99">
      <c r="A99" s="150"/>
      <c r="B99" s="155"/>
      <c r="C99" s="155"/>
      <c r="D99" s="155"/>
      <c r="E99" s="155"/>
      <c r="F99" s="150"/>
      <c r="G99" s="150"/>
      <c r="H99" s="150"/>
      <c r="I99" s="150"/>
      <c r="J99" s="150"/>
      <c r="K99" s="150"/>
      <c r="L99" s="150"/>
      <c r="M99" s="150"/>
      <c r="N99" s="150"/>
      <c r="O99" s="150"/>
      <c r="P99" s="150"/>
      <c r="Q99" s="150"/>
      <c r="R99" s="150"/>
      <c r="S99" s="150"/>
      <c r="T99" s="150"/>
      <c r="U99" s="150"/>
      <c r="V99" s="150"/>
      <c r="W99" s="150"/>
      <c r="X99" s="150"/>
      <c r="Y99" s="150"/>
      <c r="Z99" s="150"/>
    </row>
    <row r="100">
      <c r="A100" s="150"/>
      <c r="B100" s="155"/>
      <c r="C100" s="155"/>
      <c r="D100" s="155"/>
      <c r="E100" s="155"/>
      <c r="F100" s="150"/>
      <c r="G100" s="150"/>
      <c r="H100" s="150"/>
      <c r="I100" s="150"/>
      <c r="J100" s="150"/>
      <c r="K100" s="150"/>
      <c r="L100" s="150"/>
      <c r="M100" s="150"/>
      <c r="N100" s="150"/>
      <c r="O100" s="150"/>
      <c r="P100" s="150"/>
      <c r="Q100" s="150"/>
      <c r="R100" s="150"/>
      <c r="S100" s="150"/>
      <c r="T100" s="150"/>
      <c r="U100" s="150"/>
      <c r="V100" s="150"/>
      <c r="W100" s="150"/>
      <c r="X100" s="150"/>
      <c r="Y100" s="150"/>
      <c r="Z100" s="150"/>
    </row>
    <row r="101">
      <c r="A101" s="150"/>
      <c r="B101" s="155"/>
      <c r="C101" s="155"/>
      <c r="D101" s="155"/>
      <c r="E101" s="155"/>
      <c r="F101" s="150"/>
      <c r="G101" s="150"/>
      <c r="H101" s="150"/>
      <c r="I101" s="150"/>
      <c r="J101" s="150"/>
      <c r="K101" s="150"/>
      <c r="L101" s="150"/>
      <c r="M101" s="150"/>
      <c r="N101" s="150"/>
      <c r="O101" s="150"/>
      <c r="P101" s="150"/>
      <c r="Q101" s="150"/>
      <c r="R101" s="150"/>
      <c r="S101" s="150"/>
      <c r="T101" s="150"/>
      <c r="U101" s="150"/>
      <c r="V101" s="150"/>
      <c r="W101" s="150"/>
      <c r="X101" s="150"/>
      <c r="Y101" s="150"/>
      <c r="Z101" s="150"/>
    </row>
    <row r="102">
      <c r="A102" s="150"/>
      <c r="B102" s="155"/>
      <c r="C102" s="155"/>
      <c r="D102" s="155"/>
      <c r="E102" s="155"/>
      <c r="F102" s="150"/>
      <c r="G102" s="150"/>
      <c r="H102" s="150"/>
      <c r="I102" s="150"/>
      <c r="J102" s="150"/>
      <c r="K102" s="150"/>
      <c r="L102" s="150"/>
      <c r="M102" s="150"/>
      <c r="N102" s="150"/>
      <c r="O102" s="150"/>
      <c r="P102" s="150"/>
      <c r="Q102" s="150"/>
      <c r="R102" s="150"/>
      <c r="S102" s="150"/>
      <c r="T102" s="150"/>
      <c r="U102" s="150"/>
      <c r="V102" s="150"/>
      <c r="W102" s="150"/>
      <c r="X102" s="150"/>
      <c r="Y102" s="150"/>
      <c r="Z102" s="150"/>
    </row>
    <row r="103">
      <c r="A103" s="150"/>
      <c r="B103" s="155"/>
      <c r="C103" s="155"/>
      <c r="D103" s="155"/>
      <c r="E103" s="155"/>
      <c r="F103" s="150"/>
      <c r="G103" s="150"/>
      <c r="H103" s="150"/>
      <c r="I103" s="150"/>
      <c r="J103" s="150"/>
      <c r="K103" s="150"/>
      <c r="L103" s="150"/>
      <c r="M103" s="150"/>
      <c r="N103" s="150"/>
      <c r="O103" s="150"/>
      <c r="P103" s="150"/>
      <c r="Q103" s="150"/>
      <c r="R103" s="150"/>
      <c r="S103" s="150"/>
      <c r="T103" s="150"/>
      <c r="U103" s="150"/>
      <c r="V103" s="150"/>
      <c r="W103" s="150"/>
      <c r="X103" s="150"/>
      <c r="Y103" s="150"/>
      <c r="Z103" s="150"/>
    </row>
    <row r="104">
      <c r="A104" s="150"/>
      <c r="B104" s="155"/>
      <c r="C104" s="155"/>
      <c r="D104" s="155"/>
      <c r="E104" s="155"/>
      <c r="F104" s="150"/>
      <c r="G104" s="150"/>
      <c r="H104" s="150"/>
      <c r="I104" s="150"/>
      <c r="J104" s="150"/>
      <c r="K104" s="150"/>
      <c r="L104" s="150"/>
      <c r="M104" s="150"/>
      <c r="N104" s="150"/>
      <c r="O104" s="150"/>
      <c r="P104" s="150"/>
      <c r="Q104" s="150"/>
      <c r="R104" s="150"/>
      <c r="S104" s="150"/>
      <c r="T104" s="150"/>
      <c r="U104" s="150"/>
      <c r="V104" s="150"/>
      <c r="W104" s="150"/>
      <c r="X104" s="150"/>
      <c r="Y104" s="150"/>
      <c r="Z104" s="150"/>
    </row>
    <row r="105">
      <c r="A105" s="150"/>
      <c r="B105" s="155"/>
      <c r="C105" s="155"/>
      <c r="D105" s="155"/>
      <c r="E105" s="155"/>
      <c r="F105" s="150"/>
      <c r="G105" s="150"/>
      <c r="H105" s="150"/>
      <c r="I105" s="150"/>
      <c r="J105" s="150"/>
      <c r="K105" s="150"/>
      <c r="L105" s="150"/>
      <c r="M105" s="150"/>
      <c r="N105" s="150"/>
      <c r="O105" s="150"/>
      <c r="P105" s="150"/>
      <c r="Q105" s="150"/>
      <c r="R105" s="150"/>
      <c r="S105" s="150"/>
      <c r="T105" s="150"/>
      <c r="U105" s="150"/>
      <c r="V105" s="150"/>
      <c r="W105" s="150"/>
      <c r="X105" s="150"/>
      <c r="Y105" s="150"/>
      <c r="Z105" s="150"/>
    </row>
    <row r="106">
      <c r="A106" s="150"/>
      <c r="B106" s="155"/>
      <c r="C106" s="155"/>
      <c r="D106" s="155"/>
      <c r="E106" s="155"/>
      <c r="F106" s="150"/>
      <c r="G106" s="150"/>
      <c r="H106" s="150"/>
      <c r="I106" s="150"/>
      <c r="J106" s="150"/>
      <c r="K106" s="150"/>
      <c r="L106" s="150"/>
      <c r="M106" s="150"/>
      <c r="N106" s="150"/>
      <c r="O106" s="150"/>
      <c r="P106" s="150"/>
      <c r="Q106" s="150"/>
      <c r="R106" s="150"/>
      <c r="S106" s="150"/>
      <c r="T106" s="150"/>
      <c r="U106" s="150"/>
      <c r="V106" s="150"/>
      <c r="W106" s="150"/>
      <c r="X106" s="150"/>
      <c r="Y106" s="150"/>
      <c r="Z106" s="150"/>
    </row>
    <row r="107">
      <c r="A107" s="150"/>
      <c r="B107" s="155"/>
      <c r="C107" s="155"/>
      <c r="D107" s="155"/>
      <c r="E107" s="155"/>
      <c r="F107" s="150"/>
      <c r="G107" s="150"/>
      <c r="H107" s="150"/>
      <c r="I107" s="150"/>
      <c r="J107" s="150"/>
      <c r="K107" s="150"/>
      <c r="L107" s="150"/>
      <c r="M107" s="150"/>
      <c r="N107" s="150"/>
      <c r="O107" s="150"/>
      <c r="P107" s="150"/>
      <c r="Q107" s="150"/>
      <c r="R107" s="150"/>
      <c r="S107" s="150"/>
      <c r="T107" s="150"/>
      <c r="U107" s="150"/>
      <c r="V107" s="150"/>
      <c r="W107" s="150"/>
      <c r="X107" s="150"/>
      <c r="Y107" s="150"/>
      <c r="Z107" s="150"/>
    </row>
    <row r="108">
      <c r="A108" s="150"/>
      <c r="B108" s="155"/>
      <c r="C108" s="155"/>
      <c r="D108" s="155"/>
      <c r="E108" s="155"/>
      <c r="F108" s="150"/>
      <c r="G108" s="150"/>
      <c r="H108" s="150"/>
      <c r="I108" s="150"/>
      <c r="J108" s="150"/>
      <c r="K108" s="150"/>
      <c r="L108" s="150"/>
      <c r="M108" s="150"/>
      <c r="N108" s="150"/>
      <c r="O108" s="150"/>
      <c r="P108" s="150"/>
      <c r="Q108" s="150"/>
      <c r="R108" s="150"/>
      <c r="S108" s="150"/>
      <c r="T108" s="150"/>
      <c r="U108" s="150"/>
      <c r="V108" s="150"/>
      <c r="W108" s="150"/>
      <c r="X108" s="150"/>
      <c r="Y108" s="150"/>
      <c r="Z108" s="150"/>
    </row>
    <row r="109">
      <c r="A109" s="150"/>
      <c r="B109" s="155"/>
      <c r="C109" s="155"/>
      <c r="D109" s="155"/>
      <c r="E109" s="155"/>
      <c r="F109" s="150"/>
      <c r="G109" s="150"/>
      <c r="H109" s="150"/>
      <c r="I109" s="150"/>
      <c r="J109" s="150"/>
      <c r="K109" s="150"/>
      <c r="L109" s="150"/>
      <c r="M109" s="150"/>
      <c r="N109" s="150"/>
      <c r="O109" s="150"/>
      <c r="P109" s="150"/>
      <c r="Q109" s="150"/>
      <c r="R109" s="150"/>
      <c r="S109" s="150"/>
      <c r="T109" s="150"/>
      <c r="U109" s="150"/>
      <c r="V109" s="150"/>
      <c r="W109" s="150"/>
      <c r="X109" s="150"/>
      <c r="Y109" s="150"/>
      <c r="Z109" s="150"/>
    </row>
    <row r="110">
      <c r="A110" s="150"/>
      <c r="B110" s="155"/>
      <c r="C110" s="155"/>
      <c r="D110" s="155"/>
      <c r="E110" s="155"/>
      <c r="F110" s="150"/>
      <c r="G110" s="150"/>
      <c r="H110" s="150"/>
      <c r="I110" s="150"/>
      <c r="J110" s="150"/>
      <c r="K110" s="150"/>
      <c r="L110" s="150"/>
      <c r="M110" s="150"/>
      <c r="N110" s="150"/>
      <c r="O110" s="150"/>
      <c r="P110" s="150"/>
      <c r="Q110" s="150"/>
      <c r="R110" s="150"/>
      <c r="S110" s="150"/>
      <c r="T110" s="150"/>
      <c r="U110" s="150"/>
      <c r="V110" s="150"/>
      <c r="W110" s="150"/>
      <c r="X110" s="150"/>
      <c r="Y110" s="150"/>
      <c r="Z110" s="150"/>
    </row>
    <row r="111">
      <c r="A111" s="150"/>
      <c r="B111" s="155"/>
      <c r="C111" s="155"/>
      <c r="D111" s="155"/>
      <c r="E111" s="155"/>
      <c r="F111" s="150"/>
      <c r="G111" s="150"/>
      <c r="H111" s="150"/>
      <c r="I111" s="150"/>
      <c r="J111" s="150"/>
      <c r="K111" s="150"/>
      <c r="L111" s="150"/>
      <c r="M111" s="150"/>
      <c r="N111" s="150"/>
      <c r="O111" s="150"/>
      <c r="P111" s="150"/>
      <c r="Q111" s="150"/>
      <c r="R111" s="150"/>
      <c r="S111" s="150"/>
      <c r="T111" s="150"/>
      <c r="U111" s="150"/>
      <c r="V111" s="150"/>
      <c r="W111" s="150"/>
      <c r="X111" s="150"/>
      <c r="Y111" s="150"/>
      <c r="Z111" s="150"/>
    </row>
    <row r="112">
      <c r="A112" s="150"/>
      <c r="B112" s="155"/>
      <c r="C112" s="155"/>
      <c r="D112" s="155"/>
      <c r="E112" s="155"/>
      <c r="F112" s="150"/>
      <c r="G112" s="150"/>
      <c r="H112" s="150"/>
      <c r="I112" s="150"/>
      <c r="J112" s="150"/>
      <c r="K112" s="150"/>
      <c r="L112" s="150"/>
      <c r="M112" s="150"/>
      <c r="N112" s="150"/>
      <c r="O112" s="150"/>
      <c r="P112" s="150"/>
      <c r="Q112" s="150"/>
      <c r="R112" s="150"/>
      <c r="S112" s="150"/>
      <c r="T112" s="150"/>
      <c r="U112" s="150"/>
      <c r="V112" s="150"/>
      <c r="W112" s="150"/>
      <c r="X112" s="150"/>
      <c r="Y112" s="150"/>
      <c r="Z112" s="150"/>
    </row>
    <row r="113">
      <c r="A113" s="150"/>
      <c r="B113" s="155"/>
      <c r="C113" s="155"/>
      <c r="D113" s="155"/>
      <c r="E113" s="155"/>
      <c r="F113" s="150"/>
      <c r="G113" s="150"/>
      <c r="H113" s="150"/>
      <c r="I113" s="150"/>
      <c r="J113" s="150"/>
      <c r="K113" s="150"/>
      <c r="L113" s="150"/>
      <c r="M113" s="150"/>
      <c r="N113" s="150"/>
      <c r="O113" s="150"/>
      <c r="P113" s="150"/>
      <c r="Q113" s="150"/>
      <c r="R113" s="150"/>
      <c r="S113" s="150"/>
      <c r="T113" s="150"/>
      <c r="U113" s="150"/>
      <c r="V113" s="150"/>
      <c r="W113" s="150"/>
      <c r="X113" s="150"/>
      <c r="Y113" s="150"/>
      <c r="Z113" s="150"/>
    </row>
    <row r="114">
      <c r="A114" s="150"/>
      <c r="B114" s="155"/>
      <c r="C114" s="155"/>
      <c r="D114" s="155"/>
      <c r="E114" s="155"/>
      <c r="F114" s="150"/>
      <c r="G114" s="150"/>
      <c r="H114" s="150"/>
      <c r="I114" s="150"/>
      <c r="J114" s="150"/>
      <c r="K114" s="150"/>
      <c r="L114" s="150"/>
      <c r="M114" s="150"/>
      <c r="N114" s="150"/>
      <c r="O114" s="150"/>
      <c r="P114" s="150"/>
      <c r="Q114" s="150"/>
      <c r="R114" s="150"/>
      <c r="S114" s="150"/>
      <c r="T114" s="150"/>
      <c r="U114" s="150"/>
      <c r="V114" s="150"/>
      <c r="W114" s="150"/>
      <c r="X114" s="150"/>
      <c r="Y114" s="150"/>
      <c r="Z114" s="150"/>
    </row>
    <row r="115">
      <c r="A115" s="150"/>
      <c r="B115" s="155"/>
      <c r="C115" s="155"/>
      <c r="D115" s="155"/>
      <c r="E115" s="155"/>
      <c r="F115" s="150"/>
      <c r="G115" s="150"/>
      <c r="H115" s="150"/>
      <c r="I115" s="150"/>
      <c r="J115" s="150"/>
      <c r="K115" s="150"/>
      <c r="L115" s="150"/>
      <c r="M115" s="150"/>
      <c r="N115" s="150"/>
      <c r="O115" s="150"/>
      <c r="P115" s="150"/>
      <c r="Q115" s="150"/>
      <c r="R115" s="150"/>
      <c r="S115" s="150"/>
      <c r="T115" s="150"/>
      <c r="U115" s="150"/>
      <c r="V115" s="150"/>
      <c r="W115" s="150"/>
      <c r="X115" s="150"/>
      <c r="Y115" s="150"/>
      <c r="Z115" s="150"/>
    </row>
    <row r="116">
      <c r="A116" s="150"/>
      <c r="B116" s="155"/>
      <c r="C116" s="155"/>
      <c r="D116" s="155"/>
      <c r="E116" s="155"/>
      <c r="F116" s="150"/>
      <c r="G116" s="150"/>
      <c r="H116" s="150"/>
      <c r="I116" s="150"/>
      <c r="J116" s="150"/>
      <c r="K116" s="150"/>
      <c r="L116" s="150"/>
      <c r="M116" s="150"/>
      <c r="N116" s="150"/>
      <c r="O116" s="150"/>
      <c r="P116" s="150"/>
      <c r="Q116" s="150"/>
      <c r="R116" s="150"/>
      <c r="S116" s="150"/>
      <c r="T116" s="150"/>
      <c r="U116" s="150"/>
      <c r="V116" s="150"/>
      <c r="W116" s="150"/>
      <c r="X116" s="150"/>
      <c r="Y116" s="150"/>
      <c r="Z116" s="150"/>
    </row>
    <row r="117">
      <c r="A117" s="150"/>
      <c r="B117" s="155"/>
      <c r="C117" s="155"/>
      <c r="D117" s="155"/>
      <c r="E117" s="155"/>
      <c r="F117" s="150"/>
      <c r="G117" s="150"/>
      <c r="H117" s="150"/>
      <c r="I117" s="150"/>
      <c r="J117" s="150"/>
      <c r="K117" s="150"/>
      <c r="L117" s="150"/>
      <c r="M117" s="150"/>
      <c r="N117" s="150"/>
      <c r="O117" s="150"/>
      <c r="P117" s="150"/>
      <c r="Q117" s="150"/>
      <c r="R117" s="150"/>
      <c r="S117" s="150"/>
      <c r="T117" s="150"/>
      <c r="U117" s="150"/>
      <c r="V117" s="150"/>
      <c r="W117" s="150"/>
      <c r="X117" s="150"/>
      <c r="Y117" s="150"/>
      <c r="Z117" s="150"/>
    </row>
    <row r="118">
      <c r="A118" s="150"/>
      <c r="B118" s="155"/>
      <c r="C118" s="155"/>
      <c r="D118" s="155"/>
      <c r="E118" s="155"/>
      <c r="F118" s="150"/>
      <c r="G118" s="150"/>
      <c r="H118" s="150"/>
      <c r="I118" s="150"/>
      <c r="J118" s="150"/>
      <c r="K118" s="150"/>
      <c r="L118" s="150"/>
      <c r="M118" s="150"/>
      <c r="N118" s="150"/>
      <c r="O118" s="150"/>
      <c r="P118" s="150"/>
      <c r="Q118" s="150"/>
      <c r="R118" s="150"/>
      <c r="S118" s="150"/>
      <c r="T118" s="150"/>
      <c r="U118" s="150"/>
      <c r="V118" s="150"/>
      <c r="W118" s="150"/>
      <c r="X118" s="150"/>
      <c r="Y118" s="150"/>
      <c r="Z118" s="150"/>
    </row>
    <row r="119">
      <c r="A119" s="150"/>
      <c r="B119" s="155"/>
      <c r="C119" s="155"/>
      <c r="D119" s="155"/>
      <c r="E119" s="155"/>
      <c r="F119" s="150"/>
      <c r="G119" s="150"/>
      <c r="H119" s="150"/>
      <c r="I119" s="150"/>
      <c r="J119" s="150"/>
      <c r="K119" s="150"/>
      <c r="L119" s="150"/>
      <c r="M119" s="150"/>
      <c r="N119" s="150"/>
      <c r="O119" s="150"/>
      <c r="P119" s="150"/>
      <c r="Q119" s="150"/>
      <c r="R119" s="150"/>
      <c r="S119" s="150"/>
      <c r="T119" s="150"/>
      <c r="U119" s="150"/>
      <c r="V119" s="150"/>
      <c r="W119" s="150"/>
      <c r="X119" s="150"/>
      <c r="Y119" s="150"/>
      <c r="Z119" s="150"/>
    </row>
    <row r="120">
      <c r="A120" s="150"/>
      <c r="B120" s="155"/>
      <c r="C120" s="155"/>
      <c r="D120" s="155"/>
      <c r="E120" s="155"/>
      <c r="F120" s="150"/>
      <c r="G120" s="150"/>
      <c r="H120" s="150"/>
      <c r="I120" s="150"/>
      <c r="J120" s="150"/>
      <c r="K120" s="150"/>
      <c r="L120" s="150"/>
      <c r="M120" s="150"/>
      <c r="N120" s="150"/>
      <c r="O120" s="150"/>
      <c r="P120" s="150"/>
      <c r="Q120" s="150"/>
      <c r="R120" s="150"/>
      <c r="S120" s="150"/>
      <c r="T120" s="150"/>
      <c r="U120" s="150"/>
      <c r="V120" s="150"/>
      <c r="W120" s="150"/>
      <c r="X120" s="150"/>
      <c r="Y120" s="150"/>
      <c r="Z120" s="150"/>
    </row>
    <row r="121">
      <c r="A121" s="150"/>
      <c r="B121" s="155"/>
      <c r="C121" s="155"/>
      <c r="D121" s="155"/>
      <c r="E121" s="155"/>
      <c r="F121" s="150"/>
      <c r="G121" s="150"/>
      <c r="H121" s="150"/>
      <c r="I121" s="150"/>
      <c r="J121" s="150"/>
      <c r="K121" s="150"/>
      <c r="L121" s="150"/>
      <c r="M121" s="150"/>
      <c r="N121" s="150"/>
      <c r="O121" s="150"/>
      <c r="P121" s="150"/>
      <c r="Q121" s="150"/>
      <c r="R121" s="150"/>
      <c r="S121" s="150"/>
      <c r="T121" s="150"/>
      <c r="U121" s="150"/>
      <c r="V121" s="150"/>
      <c r="W121" s="150"/>
      <c r="X121" s="150"/>
      <c r="Y121" s="150"/>
      <c r="Z121" s="150"/>
    </row>
    <row r="122">
      <c r="A122" s="150"/>
      <c r="B122" s="155"/>
      <c r="C122" s="155"/>
      <c r="D122" s="155"/>
      <c r="E122" s="155"/>
      <c r="F122" s="150"/>
      <c r="G122" s="150"/>
      <c r="H122" s="150"/>
      <c r="I122" s="150"/>
      <c r="J122" s="150"/>
      <c r="K122" s="150"/>
      <c r="L122" s="150"/>
      <c r="M122" s="150"/>
      <c r="N122" s="150"/>
      <c r="O122" s="150"/>
      <c r="P122" s="150"/>
      <c r="Q122" s="150"/>
      <c r="R122" s="150"/>
      <c r="S122" s="150"/>
      <c r="T122" s="150"/>
      <c r="U122" s="150"/>
      <c r="V122" s="150"/>
      <c r="W122" s="150"/>
      <c r="X122" s="150"/>
      <c r="Y122" s="150"/>
      <c r="Z122" s="150"/>
    </row>
    <row r="123">
      <c r="A123" s="150"/>
      <c r="B123" s="155"/>
      <c r="C123" s="155"/>
      <c r="D123" s="155"/>
      <c r="E123" s="155"/>
      <c r="F123" s="150"/>
      <c r="G123" s="150"/>
      <c r="H123" s="150"/>
      <c r="I123" s="150"/>
      <c r="J123" s="150"/>
      <c r="K123" s="150"/>
      <c r="L123" s="150"/>
      <c r="M123" s="150"/>
      <c r="N123" s="150"/>
      <c r="O123" s="150"/>
      <c r="P123" s="150"/>
      <c r="Q123" s="150"/>
      <c r="R123" s="150"/>
      <c r="S123" s="150"/>
      <c r="T123" s="150"/>
      <c r="U123" s="150"/>
      <c r="V123" s="150"/>
      <c r="W123" s="150"/>
      <c r="X123" s="150"/>
      <c r="Y123" s="150"/>
      <c r="Z123" s="150"/>
    </row>
    <row r="124">
      <c r="A124" s="150"/>
      <c r="B124" s="155"/>
      <c r="C124" s="155"/>
      <c r="D124" s="155"/>
      <c r="E124" s="155"/>
      <c r="F124" s="150"/>
      <c r="G124" s="150"/>
      <c r="H124" s="150"/>
      <c r="I124" s="150"/>
      <c r="J124" s="150"/>
      <c r="K124" s="150"/>
      <c r="L124" s="150"/>
      <c r="M124" s="150"/>
      <c r="N124" s="150"/>
      <c r="O124" s="150"/>
      <c r="P124" s="150"/>
      <c r="Q124" s="150"/>
      <c r="R124" s="150"/>
      <c r="S124" s="150"/>
      <c r="T124" s="150"/>
      <c r="U124" s="150"/>
      <c r="V124" s="150"/>
      <c r="W124" s="150"/>
      <c r="X124" s="150"/>
      <c r="Y124" s="150"/>
      <c r="Z124" s="150"/>
    </row>
    <row r="125">
      <c r="A125" s="150"/>
      <c r="B125" s="155"/>
      <c r="C125" s="155"/>
      <c r="D125" s="155"/>
      <c r="E125" s="155"/>
      <c r="F125" s="150"/>
      <c r="G125" s="150"/>
      <c r="H125" s="150"/>
      <c r="I125" s="150"/>
      <c r="J125" s="150"/>
      <c r="K125" s="150"/>
      <c r="L125" s="150"/>
      <c r="M125" s="150"/>
      <c r="N125" s="150"/>
      <c r="O125" s="150"/>
      <c r="P125" s="150"/>
      <c r="Q125" s="150"/>
      <c r="R125" s="150"/>
      <c r="S125" s="150"/>
      <c r="T125" s="150"/>
      <c r="U125" s="150"/>
      <c r="V125" s="150"/>
      <c r="W125" s="150"/>
      <c r="X125" s="150"/>
      <c r="Y125" s="150"/>
      <c r="Z125" s="150"/>
    </row>
    <row r="126">
      <c r="A126" s="150"/>
      <c r="B126" s="155"/>
      <c r="C126" s="155"/>
      <c r="D126" s="155"/>
      <c r="E126" s="155"/>
      <c r="F126" s="150"/>
      <c r="G126" s="150"/>
      <c r="H126" s="150"/>
      <c r="I126" s="150"/>
      <c r="J126" s="150"/>
      <c r="K126" s="150"/>
      <c r="L126" s="150"/>
      <c r="M126" s="150"/>
      <c r="N126" s="150"/>
      <c r="O126" s="150"/>
      <c r="P126" s="150"/>
      <c r="Q126" s="150"/>
      <c r="R126" s="150"/>
      <c r="S126" s="150"/>
      <c r="T126" s="150"/>
      <c r="U126" s="150"/>
      <c r="V126" s="150"/>
      <c r="W126" s="150"/>
      <c r="X126" s="150"/>
      <c r="Y126" s="150"/>
      <c r="Z126" s="150"/>
    </row>
    <row r="127">
      <c r="A127" s="150"/>
      <c r="B127" s="155"/>
      <c r="C127" s="155"/>
      <c r="D127" s="155"/>
      <c r="E127" s="155"/>
      <c r="F127" s="150"/>
      <c r="G127" s="150"/>
      <c r="H127" s="150"/>
      <c r="I127" s="150"/>
      <c r="J127" s="150"/>
      <c r="K127" s="150"/>
      <c r="L127" s="150"/>
      <c r="M127" s="150"/>
      <c r="N127" s="150"/>
      <c r="O127" s="150"/>
      <c r="P127" s="150"/>
      <c r="Q127" s="150"/>
      <c r="R127" s="150"/>
      <c r="S127" s="150"/>
      <c r="T127" s="150"/>
      <c r="U127" s="150"/>
      <c r="V127" s="150"/>
      <c r="W127" s="150"/>
      <c r="X127" s="150"/>
      <c r="Y127" s="150"/>
      <c r="Z127" s="150"/>
    </row>
    <row r="128">
      <c r="A128" s="150"/>
      <c r="B128" s="155"/>
      <c r="C128" s="155"/>
      <c r="D128" s="155"/>
      <c r="E128" s="155"/>
      <c r="F128" s="150"/>
      <c r="G128" s="150"/>
      <c r="H128" s="150"/>
      <c r="I128" s="150"/>
      <c r="J128" s="150"/>
      <c r="K128" s="150"/>
      <c r="L128" s="150"/>
      <c r="M128" s="150"/>
      <c r="N128" s="150"/>
      <c r="O128" s="150"/>
      <c r="P128" s="150"/>
      <c r="Q128" s="150"/>
      <c r="R128" s="150"/>
      <c r="S128" s="150"/>
      <c r="T128" s="150"/>
      <c r="U128" s="150"/>
      <c r="V128" s="150"/>
      <c r="W128" s="150"/>
      <c r="X128" s="150"/>
      <c r="Y128" s="150"/>
      <c r="Z128" s="150"/>
    </row>
    <row r="129">
      <c r="A129" s="150"/>
      <c r="B129" s="155"/>
      <c r="C129" s="155"/>
      <c r="D129" s="155"/>
      <c r="E129" s="155"/>
      <c r="F129" s="150"/>
      <c r="G129" s="150"/>
      <c r="H129" s="150"/>
      <c r="I129" s="150"/>
      <c r="J129" s="150"/>
      <c r="K129" s="150"/>
      <c r="L129" s="150"/>
      <c r="M129" s="150"/>
      <c r="N129" s="150"/>
      <c r="O129" s="150"/>
      <c r="P129" s="150"/>
      <c r="Q129" s="150"/>
      <c r="R129" s="150"/>
      <c r="S129" s="150"/>
      <c r="T129" s="150"/>
      <c r="U129" s="150"/>
      <c r="V129" s="150"/>
      <c r="W129" s="150"/>
      <c r="X129" s="150"/>
      <c r="Y129" s="150"/>
      <c r="Z129" s="150"/>
    </row>
    <row r="130">
      <c r="A130" s="150"/>
      <c r="B130" s="155"/>
      <c r="C130" s="155"/>
      <c r="D130" s="155"/>
      <c r="E130" s="155"/>
      <c r="F130" s="150"/>
      <c r="G130" s="150"/>
      <c r="H130" s="150"/>
      <c r="I130" s="150"/>
      <c r="J130" s="150"/>
      <c r="K130" s="150"/>
      <c r="L130" s="150"/>
      <c r="M130" s="150"/>
      <c r="N130" s="150"/>
      <c r="O130" s="150"/>
      <c r="P130" s="150"/>
      <c r="Q130" s="150"/>
      <c r="R130" s="150"/>
      <c r="S130" s="150"/>
      <c r="T130" s="150"/>
      <c r="U130" s="150"/>
      <c r="V130" s="150"/>
      <c r="W130" s="150"/>
      <c r="X130" s="150"/>
      <c r="Y130" s="150"/>
      <c r="Z130" s="150"/>
    </row>
    <row r="131">
      <c r="A131" s="150"/>
      <c r="B131" s="155"/>
      <c r="C131" s="155"/>
      <c r="D131" s="155"/>
      <c r="E131" s="155"/>
      <c r="F131" s="150"/>
      <c r="G131" s="150"/>
      <c r="H131" s="150"/>
      <c r="I131" s="150"/>
      <c r="J131" s="150"/>
      <c r="K131" s="150"/>
      <c r="L131" s="150"/>
      <c r="M131" s="150"/>
      <c r="N131" s="150"/>
      <c r="O131" s="150"/>
      <c r="P131" s="150"/>
      <c r="Q131" s="150"/>
      <c r="R131" s="150"/>
      <c r="S131" s="150"/>
      <c r="T131" s="150"/>
      <c r="U131" s="150"/>
      <c r="V131" s="150"/>
      <c r="W131" s="150"/>
      <c r="X131" s="150"/>
      <c r="Y131" s="150"/>
      <c r="Z131" s="150"/>
    </row>
    <row r="132">
      <c r="A132" s="150"/>
      <c r="B132" s="155"/>
      <c r="C132" s="155"/>
      <c r="D132" s="155"/>
      <c r="E132" s="155"/>
      <c r="F132" s="150"/>
      <c r="G132" s="150"/>
      <c r="H132" s="150"/>
      <c r="I132" s="150"/>
      <c r="J132" s="150"/>
      <c r="K132" s="150"/>
      <c r="L132" s="150"/>
      <c r="M132" s="150"/>
      <c r="N132" s="150"/>
      <c r="O132" s="150"/>
      <c r="P132" s="150"/>
      <c r="Q132" s="150"/>
      <c r="R132" s="150"/>
      <c r="S132" s="150"/>
      <c r="T132" s="150"/>
      <c r="U132" s="150"/>
      <c r="V132" s="150"/>
      <c r="W132" s="150"/>
      <c r="X132" s="150"/>
      <c r="Y132" s="150"/>
      <c r="Z132" s="150"/>
    </row>
    <row r="133">
      <c r="A133" s="150"/>
      <c r="B133" s="155"/>
      <c r="C133" s="155"/>
      <c r="D133" s="155"/>
      <c r="E133" s="155"/>
      <c r="F133" s="150"/>
      <c r="G133" s="150"/>
      <c r="H133" s="150"/>
      <c r="I133" s="150"/>
      <c r="J133" s="150"/>
      <c r="K133" s="150"/>
      <c r="L133" s="150"/>
      <c r="M133" s="150"/>
      <c r="N133" s="150"/>
      <c r="O133" s="150"/>
      <c r="P133" s="150"/>
      <c r="Q133" s="150"/>
      <c r="R133" s="150"/>
      <c r="S133" s="150"/>
      <c r="T133" s="150"/>
      <c r="U133" s="150"/>
      <c r="V133" s="150"/>
      <c r="W133" s="150"/>
      <c r="X133" s="150"/>
      <c r="Y133" s="150"/>
      <c r="Z133" s="150"/>
    </row>
    <row r="134">
      <c r="A134" s="150"/>
      <c r="B134" s="155"/>
      <c r="C134" s="155"/>
      <c r="D134" s="155"/>
      <c r="E134" s="155"/>
      <c r="F134" s="150"/>
      <c r="G134" s="150"/>
      <c r="H134" s="150"/>
      <c r="I134" s="150"/>
      <c r="J134" s="150"/>
      <c r="K134" s="150"/>
      <c r="L134" s="150"/>
      <c r="M134" s="150"/>
      <c r="N134" s="150"/>
      <c r="O134" s="150"/>
      <c r="P134" s="150"/>
      <c r="Q134" s="150"/>
      <c r="R134" s="150"/>
      <c r="S134" s="150"/>
      <c r="T134" s="150"/>
      <c r="U134" s="150"/>
      <c r="V134" s="150"/>
      <c r="W134" s="150"/>
      <c r="X134" s="150"/>
      <c r="Y134" s="150"/>
      <c r="Z134" s="150"/>
    </row>
    <row r="135">
      <c r="A135" s="150"/>
      <c r="B135" s="155"/>
      <c r="C135" s="155"/>
      <c r="D135" s="155"/>
      <c r="E135" s="155"/>
      <c r="F135" s="150"/>
      <c r="G135" s="150"/>
      <c r="H135" s="150"/>
      <c r="I135" s="150"/>
      <c r="J135" s="150"/>
      <c r="K135" s="150"/>
      <c r="L135" s="150"/>
      <c r="M135" s="150"/>
      <c r="N135" s="150"/>
      <c r="O135" s="150"/>
      <c r="P135" s="150"/>
      <c r="Q135" s="150"/>
      <c r="R135" s="150"/>
      <c r="S135" s="150"/>
      <c r="T135" s="150"/>
      <c r="U135" s="150"/>
      <c r="V135" s="150"/>
      <c r="W135" s="150"/>
      <c r="X135" s="150"/>
      <c r="Y135" s="150"/>
      <c r="Z135" s="150"/>
    </row>
    <row r="136">
      <c r="A136" s="150"/>
      <c r="B136" s="155"/>
      <c r="C136" s="155"/>
      <c r="D136" s="155"/>
      <c r="E136" s="155"/>
      <c r="F136" s="150"/>
      <c r="G136" s="150"/>
      <c r="H136" s="150"/>
      <c r="I136" s="150"/>
      <c r="J136" s="150"/>
      <c r="K136" s="150"/>
      <c r="L136" s="150"/>
      <c r="M136" s="150"/>
      <c r="N136" s="150"/>
      <c r="O136" s="150"/>
      <c r="P136" s="150"/>
      <c r="Q136" s="150"/>
      <c r="R136" s="150"/>
      <c r="S136" s="150"/>
      <c r="T136" s="150"/>
      <c r="U136" s="150"/>
      <c r="V136" s="150"/>
      <c r="W136" s="150"/>
      <c r="X136" s="150"/>
      <c r="Y136" s="150"/>
      <c r="Z136" s="150"/>
    </row>
    <row r="137">
      <c r="A137" s="150"/>
      <c r="B137" s="155"/>
      <c r="C137" s="155"/>
      <c r="D137" s="155"/>
      <c r="E137" s="155"/>
      <c r="F137" s="150"/>
      <c r="G137" s="150"/>
      <c r="H137" s="150"/>
      <c r="I137" s="150"/>
      <c r="J137" s="150"/>
      <c r="K137" s="150"/>
      <c r="L137" s="150"/>
      <c r="M137" s="150"/>
      <c r="N137" s="150"/>
      <c r="O137" s="150"/>
      <c r="P137" s="150"/>
      <c r="Q137" s="150"/>
      <c r="R137" s="150"/>
      <c r="S137" s="150"/>
      <c r="T137" s="150"/>
      <c r="U137" s="150"/>
      <c r="V137" s="150"/>
      <c r="W137" s="150"/>
      <c r="X137" s="150"/>
      <c r="Y137" s="150"/>
      <c r="Z137" s="150"/>
    </row>
    <row r="138">
      <c r="A138" s="150"/>
      <c r="B138" s="155"/>
      <c r="C138" s="155"/>
      <c r="D138" s="155"/>
      <c r="E138" s="155"/>
      <c r="F138" s="150"/>
      <c r="G138" s="150"/>
      <c r="H138" s="150"/>
      <c r="I138" s="150"/>
      <c r="J138" s="150"/>
      <c r="K138" s="150"/>
      <c r="L138" s="150"/>
      <c r="M138" s="150"/>
      <c r="N138" s="150"/>
      <c r="O138" s="150"/>
      <c r="P138" s="150"/>
      <c r="Q138" s="150"/>
      <c r="R138" s="150"/>
      <c r="S138" s="150"/>
      <c r="T138" s="150"/>
      <c r="U138" s="150"/>
      <c r="V138" s="150"/>
      <c r="W138" s="150"/>
      <c r="X138" s="150"/>
      <c r="Y138" s="150"/>
      <c r="Z138" s="150"/>
    </row>
    <row r="139">
      <c r="A139" s="150"/>
      <c r="B139" s="155"/>
      <c r="C139" s="155"/>
      <c r="D139" s="155"/>
      <c r="E139" s="155"/>
      <c r="F139" s="150"/>
      <c r="G139" s="150"/>
      <c r="H139" s="150"/>
      <c r="I139" s="150"/>
      <c r="J139" s="150"/>
      <c r="K139" s="150"/>
      <c r="L139" s="150"/>
      <c r="M139" s="150"/>
      <c r="N139" s="150"/>
      <c r="O139" s="150"/>
      <c r="P139" s="150"/>
      <c r="Q139" s="150"/>
      <c r="R139" s="150"/>
      <c r="S139" s="150"/>
      <c r="T139" s="150"/>
      <c r="U139" s="150"/>
      <c r="V139" s="150"/>
      <c r="W139" s="150"/>
      <c r="X139" s="150"/>
      <c r="Y139" s="150"/>
      <c r="Z139" s="150"/>
    </row>
    <row r="140">
      <c r="A140" s="150"/>
      <c r="B140" s="155"/>
      <c r="C140" s="155"/>
      <c r="D140" s="155"/>
      <c r="E140" s="155"/>
      <c r="F140" s="150"/>
      <c r="G140" s="150"/>
      <c r="H140" s="150"/>
      <c r="I140" s="150"/>
      <c r="J140" s="150"/>
      <c r="K140" s="150"/>
      <c r="L140" s="150"/>
      <c r="M140" s="150"/>
      <c r="N140" s="150"/>
      <c r="O140" s="150"/>
      <c r="P140" s="150"/>
      <c r="Q140" s="150"/>
      <c r="R140" s="150"/>
      <c r="S140" s="150"/>
      <c r="T140" s="150"/>
      <c r="U140" s="150"/>
      <c r="V140" s="150"/>
      <c r="W140" s="150"/>
      <c r="X140" s="150"/>
      <c r="Y140" s="150"/>
      <c r="Z140" s="150"/>
    </row>
    <row r="141">
      <c r="A141" s="150"/>
      <c r="B141" s="155"/>
      <c r="C141" s="155"/>
      <c r="D141" s="155"/>
      <c r="E141" s="155"/>
      <c r="F141" s="150"/>
      <c r="G141" s="150"/>
      <c r="H141" s="150"/>
      <c r="I141" s="150"/>
      <c r="J141" s="150"/>
      <c r="K141" s="150"/>
      <c r="L141" s="150"/>
      <c r="M141" s="150"/>
      <c r="N141" s="150"/>
      <c r="O141" s="150"/>
      <c r="P141" s="150"/>
      <c r="Q141" s="150"/>
      <c r="R141" s="150"/>
      <c r="S141" s="150"/>
      <c r="T141" s="150"/>
      <c r="U141" s="150"/>
      <c r="V141" s="150"/>
      <c r="W141" s="150"/>
      <c r="X141" s="150"/>
      <c r="Y141" s="150"/>
      <c r="Z141" s="150"/>
    </row>
    <row r="142">
      <c r="A142" s="150"/>
      <c r="B142" s="155"/>
      <c r="C142" s="155"/>
      <c r="D142" s="155"/>
      <c r="E142" s="155"/>
      <c r="F142" s="150"/>
      <c r="G142" s="150"/>
      <c r="H142" s="150"/>
      <c r="I142" s="150"/>
      <c r="J142" s="150"/>
      <c r="K142" s="150"/>
      <c r="L142" s="150"/>
      <c r="M142" s="150"/>
      <c r="N142" s="150"/>
      <c r="O142" s="150"/>
      <c r="P142" s="150"/>
      <c r="Q142" s="150"/>
      <c r="R142" s="150"/>
      <c r="S142" s="150"/>
      <c r="T142" s="150"/>
      <c r="U142" s="150"/>
      <c r="V142" s="150"/>
      <c r="W142" s="150"/>
      <c r="X142" s="150"/>
      <c r="Y142" s="150"/>
      <c r="Z142" s="150"/>
    </row>
    <row r="143">
      <c r="A143" s="150"/>
      <c r="B143" s="155"/>
      <c r="C143" s="155"/>
      <c r="D143" s="155"/>
      <c r="E143" s="155"/>
      <c r="F143" s="150"/>
      <c r="G143" s="150"/>
      <c r="H143" s="150"/>
      <c r="I143" s="150"/>
      <c r="J143" s="150"/>
      <c r="K143" s="150"/>
      <c r="L143" s="150"/>
      <c r="M143" s="150"/>
      <c r="N143" s="150"/>
      <c r="O143" s="150"/>
      <c r="P143" s="150"/>
      <c r="Q143" s="150"/>
      <c r="R143" s="150"/>
      <c r="S143" s="150"/>
      <c r="T143" s="150"/>
      <c r="U143" s="150"/>
      <c r="V143" s="150"/>
      <c r="W143" s="150"/>
      <c r="X143" s="150"/>
      <c r="Y143" s="150"/>
      <c r="Z143" s="150"/>
    </row>
    <row r="144">
      <c r="A144" s="150"/>
      <c r="B144" s="155"/>
      <c r="C144" s="155"/>
      <c r="D144" s="155"/>
      <c r="E144" s="155"/>
      <c r="F144" s="150"/>
      <c r="G144" s="150"/>
      <c r="H144" s="150"/>
      <c r="I144" s="150"/>
      <c r="J144" s="150"/>
      <c r="K144" s="150"/>
      <c r="L144" s="150"/>
      <c r="M144" s="150"/>
      <c r="N144" s="150"/>
      <c r="O144" s="150"/>
      <c r="P144" s="150"/>
      <c r="Q144" s="150"/>
      <c r="R144" s="150"/>
      <c r="S144" s="150"/>
      <c r="T144" s="150"/>
      <c r="U144" s="150"/>
      <c r="V144" s="150"/>
      <c r="W144" s="150"/>
      <c r="X144" s="150"/>
      <c r="Y144" s="150"/>
      <c r="Z144" s="150"/>
    </row>
    <row r="145">
      <c r="A145" s="150"/>
      <c r="B145" s="155"/>
      <c r="C145" s="155"/>
      <c r="D145" s="155"/>
      <c r="E145" s="155"/>
      <c r="F145" s="150"/>
      <c r="G145" s="150"/>
      <c r="H145" s="150"/>
      <c r="I145" s="150"/>
      <c r="J145" s="150"/>
      <c r="K145" s="150"/>
      <c r="L145" s="150"/>
      <c r="M145" s="150"/>
      <c r="N145" s="150"/>
      <c r="O145" s="150"/>
      <c r="P145" s="150"/>
      <c r="Q145" s="150"/>
      <c r="R145" s="150"/>
      <c r="S145" s="150"/>
      <c r="T145" s="150"/>
      <c r="U145" s="150"/>
      <c r="V145" s="150"/>
      <c r="W145" s="150"/>
      <c r="X145" s="150"/>
      <c r="Y145" s="150"/>
      <c r="Z145" s="150"/>
    </row>
    <row r="146">
      <c r="A146" s="150"/>
      <c r="B146" s="155"/>
      <c r="C146" s="155"/>
      <c r="D146" s="155"/>
      <c r="E146" s="155"/>
      <c r="F146" s="150"/>
      <c r="G146" s="150"/>
      <c r="H146" s="150"/>
      <c r="I146" s="150"/>
      <c r="J146" s="150"/>
      <c r="K146" s="150"/>
      <c r="L146" s="150"/>
      <c r="M146" s="150"/>
      <c r="N146" s="150"/>
      <c r="O146" s="150"/>
      <c r="P146" s="150"/>
      <c r="Q146" s="150"/>
      <c r="R146" s="150"/>
      <c r="S146" s="150"/>
      <c r="T146" s="150"/>
      <c r="U146" s="150"/>
      <c r="V146" s="150"/>
      <c r="W146" s="150"/>
      <c r="X146" s="150"/>
      <c r="Y146" s="150"/>
      <c r="Z146" s="150"/>
    </row>
    <row r="147">
      <c r="A147" s="150"/>
      <c r="B147" s="155"/>
      <c r="C147" s="155"/>
      <c r="D147" s="155"/>
      <c r="E147" s="155"/>
      <c r="F147" s="150"/>
      <c r="G147" s="150"/>
      <c r="H147" s="150"/>
      <c r="I147" s="150"/>
      <c r="J147" s="150"/>
      <c r="K147" s="150"/>
      <c r="L147" s="150"/>
      <c r="M147" s="150"/>
      <c r="N147" s="150"/>
      <c r="O147" s="150"/>
      <c r="P147" s="150"/>
      <c r="Q147" s="150"/>
      <c r="R147" s="150"/>
      <c r="S147" s="150"/>
      <c r="T147" s="150"/>
      <c r="U147" s="150"/>
      <c r="V147" s="150"/>
      <c r="W147" s="150"/>
      <c r="X147" s="150"/>
      <c r="Y147" s="150"/>
      <c r="Z147" s="150"/>
    </row>
    <row r="148">
      <c r="A148" s="150"/>
      <c r="B148" s="155"/>
      <c r="C148" s="155"/>
      <c r="D148" s="155"/>
      <c r="E148" s="155"/>
      <c r="F148" s="150"/>
      <c r="G148" s="150"/>
      <c r="H148" s="150"/>
      <c r="I148" s="150"/>
      <c r="J148" s="150"/>
      <c r="K148" s="150"/>
      <c r="L148" s="150"/>
      <c r="M148" s="150"/>
      <c r="N148" s="150"/>
      <c r="O148" s="150"/>
      <c r="P148" s="150"/>
      <c r="Q148" s="150"/>
      <c r="R148" s="150"/>
      <c r="S148" s="150"/>
      <c r="T148" s="150"/>
      <c r="U148" s="150"/>
      <c r="V148" s="150"/>
      <c r="W148" s="150"/>
      <c r="X148" s="150"/>
      <c r="Y148" s="150"/>
      <c r="Z148" s="150"/>
    </row>
    <row r="149">
      <c r="A149" s="150"/>
      <c r="B149" s="155"/>
      <c r="C149" s="155"/>
      <c r="D149" s="155"/>
      <c r="E149" s="155"/>
      <c r="F149" s="150"/>
      <c r="G149" s="150"/>
      <c r="H149" s="150"/>
      <c r="I149" s="150"/>
      <c r="J149" s="150"/>
      <c r="K149" s="150"/>
      <c r="L149" s="150"/>
      <c r="M149" s="150"/>
      <c r="N149" s="150"/>
      <c r="O149" s="150"/>
      <c r="P149" s="150"/>
      <c r="Q149" s="150"/>
      <c r="R149" s="150"/>
      <c r="S149" s="150"/>
      <c r="T149" s="150"/>
      <c r="U149" s="150"/>
      <c r="V149" s="150"/>
      <c r="W149" s="150"/>
      <c r="X149" s="150"/>
      <c r="Y149" s="150"/>
      <c r="Z149" s="150"/>
    </row>
    <row r="150">
      <c r="A150" s="150"/>
      <c r="B150" s="155"/>
      <c r="C150" s="155"/>
      <c r="D150" s="155"/>
      <c r="E150" s="155"/>
      <c r="F150" s="150"/>
      <c r="G150" s="150"/>
      <c r="H150" s="150"/>
      <c r="I150" s="150"/>
      <c r="J150" s="150"/>
      <c r="K150" s="150"/>
      <c r="L150" s="150"/>
      <c r="M150" s="150"/>
      <c r="N150" s="150"/>
      <c r="O150" s="150"/>
      <c r="P150" s="150"/>
      <c r="Q150" s="150"/>
      <c r="R150" s="150"/>
      <c r="S150" s="150"/>
      <c r="T150" s="150"/>
      <c r="U150" s="150"/>
      <c r="V150" s="150"/>
      <c r="W150" s="150"/>
      <c r="X150" s="150"/>
      <c r="Y150" s="150"/>
      <c r="Z150" s="150"/>
    </row>
    <row r="151">
      <c r="A151" s="150"/>
      <c r="B151" s="155"/>
      <c r="C151" s="155"/>
      <c r="D151" s="155"/>
      <c r="E151" s="155"/>
      <c r="F151" s="150"/>
      <c r="G151" s="150"/>
      <c r="H151" s="150"/>
      <c r="I151" s="150"/>
      <c r="J151" s="150"/>
      <c r="K151" s="150"/>
      <c r="L151" s="150"/>
      <c r="M151" s="150"/>
      <c r="N151" s="150"/>
      <c r="O151" s="150"/>
      <c r="P151" s="150"/>
      <c r="Q151" s="150"/>
      <c r="R151" s="150"/>
      <c r="S151" s="150"/>
      <c r="T151" s="150"/>
      <c r="U151" s="150"/>
      <c r="V151" s="150"/>
      <c r="W151" s="150"/>
      <c r="X151" s="150"/>
      <c r="Y151" s="150"/>
      <c r="Z151" s="150"/>
    </row>
    <row r="152">
      <c r="A152" s="150"/>
      <c r="B152" s="155"/>
      <c r="C152" s="155"/>
      <c r="D152" s="155"/>
      <c r="E152" s="155"/>
      <c r="F152" s="150"/>
      <c r="G152" s="150"/>
      <c r="H152" s="150"/>
      <c r="I152" s="150"/>
      <c r="J152" s="150"/>
      <c r="K152" s="150"/>
      <c r="L152" s="150"/>
      <c r="M152" s="150"/>
      <c r="N152" s="150"/>
      <c r="O152" s="150"/>
      <c r="P152" s="150"/>
      <c r="Q152" s="150"/>
      <c r="R152" s="150"/>
      <c r="S152" s="150"/>
      <c r="T152" s="150"/>
      <c r="U152" s="150"/>
      <c r="V152" s="150"/>
      <c r="W152" s="150"/>
      <c r="X152" s="150"/>
      <c r="Y152" s="150"/>
      <c r="Z152" s="150"/>
    </row>
    <row r="153">
      <c r="A153" s="150"/>
      <c r="B153" s="155"/>
      <c r="C153" s="155"/>
      <c r="D153" s="155"/>
      <c r="E153" s="155"/>
      <c r="F153" s="150"/>
      <c r="G153" s="150"/>
      <c r="H153" s="150"/>
      <c r="I153" s="150"/>
      <c r="J153" s="150"/>
      <c r="K153" s="150"/>
      <c r="L153" s="150"/>
      <c r="M153" s="150"/>
      <c r="N153" s="150"/>
      <c r="O153" s="150"/>
      <c r="P153" s="150"/>
      <c r="Q153" s="150"/>
      <c r="R153" s="150"/>
      <c r="S153" s="150"/>
      <c r="T153" s="150"/>
      <c r="U153" s="150"/>
      <c r="V153" s="150"/>
      <c r="W153" s="150"/>
      <c r="X153" s="150"/>
      <c r="Y153" s="150"/>
      <c r="Z153" s="150"/>
    </row>
    <row r="154">
      <c r="A154" s="150"/>
      <c r="B154" s="155"/>
      <c r="C154" s="155"/>
      <c r="D154" s="155"/>
      <c r="E154" s="155"/>
      <c r="F154" s="150"/>
      <c r="G154" s="150"/>
      <c r="H154" s="150"/>
      <c r="I154" s="150"/>
      <c r="J154" s="150"/>
      <c r="K154" s="150"/>
      <c r="L154" s="150"/>
      <c r="M154" s="150"/>
      <c r="N154" s="150"/>
      <c r="O154" s="150"/>
      <c r="P154" s="150"/>
      <c r="Q154" s="150"/>
      <c r="R154" s="150"/>
      <c r="S154" s="150"/>
      <c r="T154" s="150"/>
      <c r="U154" s="150"/>
      <c r="V154" s="150"/>
      <c r="W154" s="150"/>
      <c r="X154" s="150"/>
      <c r="Y154" s="150"/>
      <c r="Z154" s="150"/>
    </row>
    <row r="155">
      <c r="A155" s="150"/>
      <c r="B155" s="155"/>
      <c r="C155" s="155"/>
      <c r="D155" s="155"/>
      <c r="E155" s="155"/>
      <c r="F155" s="150"/>
      <c r="G155" s="150"/>
      <c r="H155" s="150"/>
      <c r="I155" s="150"/>
      <c r="J155" s="150"/>
      <c r="K155" s="150"/>
      <c r="L155" s="150"/>
      <c r="M155" s="150"/>
      <c r="N155" s="150"/>
      <c r="O155" s="150"/>
      <c r="P155" s="150"/>
      <c r="Q155" s="150"/>
      <c r="R155" s="150"/>
      <c r="S155" s="150"/>
      <c r="T155" s="150"/>
      <c r="U155" s="150"/>
      <c r="V155" s="150"/>
      <c r="W155" s="150"/>
      <c r="X155" s="150"/>
      <c r="Y155" s="150"/>
      <c r="Z155" s="150"/>
    </row>
    <row r="156">
      <c r="A156" s="150"/>
      <c r="B156" s="155"/>
      <c r="C156" s="155"/>
      <c r="D156" s="155"/>
      <c r="E156" s="155"/>
      <c r="F156" s="150"/>
      <c r="G156" s="150"/>
      <c r="H156" s="150"/>
      <c r="I156" s="150"/>
      <c r="J156" s="150"/>
      <c r="K156" s="150"/>
      <c r="L156" s="150"/>
      <c r="M156" s="150"/>
      <c r="N156" s="150"/>
      <c r="O156" s="150"/>
      <c r="P156" s="150"/>
      <c r="Q156" s="150"/>
      <c r="R156" s="150"/>
      <c r="S156" s="150"/>
      <c r="T156" s="150"/>
      <c r="U156" s="150"/>
      <c r="V156" s="150"/>
      <c r="W156" s="150"/>
      <c r="X156" s="150"/>
      <c r="Y156" s="150"/>
      <c r="Z156" s="150"/>
    </row>
    <row r="157">
      <c r="A157" s="150"/>
      <c r="B157" s="155"/>
      <c r="C157" s="155"/>
      <c r="D157" s="155"/>
      <c r="E157" s="155"/>
      <c r="F157" s="150"/>
      <c r="G157" s="150"/>
      <c r="H157" s="150"/>
      <c r="I157" s="150"/>
      <c r="J157" s="150"/>
      <c r="K157" s="150"/>
      <c r="L157" s="150"/>
      <c r="M157" s="150"/>
      <c r="N157" s="150"/>
      <c r="O157" s="150"/>
      <c r="P157" s="150"/>
      <c r="Q157" s="150"/>
      <c r="R157" s="150"/>
      <c r="S157" s="150"/>
      <c r="T157" s="150"/>
      <c r="U157" s="150"/>
      <c r="V157" s="150"/>
      <c r="W157" s="150"/>
      <c r="X157" s="150"/>
      <c r="Y157" s="150"/>
      <c r="Z157" s="150"/>
    </row>
    <row r="158">
      <c r="A158" s="150"/>
      <c r="B158" s="155"/>
      <c r="C158" s="155"/>
      <c r="D158" s="155"/>
      <c r="E158" s="155"/>
      <c r="F158" s="150"/>
      <c r="G158" s="150"/>
      <c r="H158" s="150"/>
      <c r="I158" s="150"/>
      <c r="J158" s="150"/>
      <c r="K158" s="150"/>
      <c r="L158" s="150"/>
      <c r="M158" s="150"/>
      <c r="N158" s="150"/>
      <c r="O158" s="150"/>
      <c r="P158" s="150"/>
      <c r="Q158" s="150"/>
      <c r="R158" s="150"/>
      <c r="S158" s="150"/>
      <c r="T158" s="150"/>
      <c r="U158" s="150"/>
      <c r="V158" s="150"/>
      <c r="W158" s="150"/>
      <c r="X158" s="150"/>
      <c r="Y158" s="150"/>
      <c r="Z158" s="150"/>
    </row>
    <row r="159">
      <c r="A159" s="150"/>
      <c r="B159" s="155"/>
      <c r="C159" s="155"/>
      <c r="D159" s="155"/>
      <c r="E159" s="155"/>
      <c r="F159" s="150"/>
      <c r="G159" s="150"/>
      <c r="H159" s="150"/>
      <c r="I159" s="150"/>
      <c r="J159" s="150"/>
      <c r="K159" s="150"/>
      <c r="L159" s="150"/>
      <c r="M159" s="150"/>
      <c r="N159" s="150"/>
      <c r="O159" s="150"/>
      <c r="P159" s="150"/>
      <c r="Q159" s="150"/>
      <c r="R159" s="150"/>
      <c r="S159" s="150"/>
      <c r="T159" s="150"/>
      <c r="U159" s="150"/>
      <c r="V159" s="150"/>
      <c r="W159" s="150"/>
      <c r="X159" s="150"/>
      <c r="Y159" s="150"/>
      <c r="Z159" s="150"/>
    </row>
    <row r="160">
      <c r="A160" s="150"/>
      <c r="B160" s="155"/>
      <c r="C160" s="155"/>
      <c r="D160" s="155"/>
      <c r="E160" s="155"/>
      <c r="F160" s="150"/>
      <c r="G160" s="150"/>
      <c r="H160" s="150"/>
      <c r="I160" s="150"/>
      <c r="J160" s="150"/>
      <c r="K160" s="150"/>
      <c r="L160" s="150"/>
      <c r="M160" s="150"/>
      <c r="N160" s="150"/>
      <c r="O160" s="150"/>
      <c r="P160" s="150"/>
      <c r="Q160" s="150"/>
      <c r="R160" s="150"/>
      <c r="S160" s="150"/>
      <c r="T160" s="150"/>
      <c r="U160" s="150"/>
      <c r="V160" s="150"/>
      <c r="W160" s="150"/>
      <c r="X160" s="150"/>
      <c r="Y160" s="150"/>
      <c r="Z160" s="150"/>
    </row>
    <row r="161">
      <c r="A161" s="150"/>
      <c r="B161" s="155"/>
      <c r="C161" s="155"/>
      <c r="D161" s="155"/>
      <c r="E161" s="155"/>
      <c r="F161" s="150"/>
      <c r="G161" s="150"/>
      <c r="H161" s="150"/>
      <c r="I161" s="150"/>
      <c r="J161" s="150"/>
      <c r="K161" s="150"/>
      <c r="L161" s="150"/>
      <c r="M161" s="150"/>
      <c r="N161" s="150"/>
      <c r="O161" s="150"/>
      <c r="P161" s="150"/>
      <c r="Q161" s="150"/>
      <c r="R161" s="150"/>
      <c r="S161" s="150"/>
      <c r="T161" s="150"/>
      <c r="U161" s="150"/>
      <c r="V161" s="150"/>
      <c r="W161" s="150"/>
      <c r="X161" s="150"/>
      <c r="Y161" s="150"/>
      <c r="Z161" s="150"/>
    </row>
    <row r="162">
      <c r="A162" s="150"/>
      <c r="B162" s="155"/>
      <c r="C162" s="155"/>
      <c r="D162" s="155"/>
      <c r="E162" s="155"/>
      <c r="F162" s="150"/>
      <c r="G162" s="150"/>
      <c r="H162" s="150"/>
      <c r="I162" s="150"/>
      <c r="J162" s="150"/>
      <c r="K162" s="150"/>
      <c r="L162" s="150"/>
      <c r="M162" s="150"/>
      <c r="N162" s="150"/>
      <c r="O162" s="150"/>
      <c r="P162" s="150"/>
      <c r="Q162" s="150"/>
      <c r="R162" s="150"/>
      <c r="S162" s="150"/>
      <c r="T162" s="150"/>
      <c r="U162" s="150"/>
      <c r="V162" s="150"/>
      <c r="W162" s="150"/>
      <c r="X162" s="150"/>
      <c r="Y162" s="150"/>
      <c r="Z162" s="150"/>
    </row>
    <row r="163">
      <c r="A163" s="150"/>
      <c r="B163" s="155"/>
      <c r="C163" s="155"/>
      <c r="D163" s="155"/>
      <c r="E163" s="155"/>
      <c r="F163" s="150"/>
      <c r="G163" s="150"/>
      <c r="H163" s="150"/>
      <c r="I163" s="150"/>
      <c r="J163" s="150"/>
      <c r="K163" s="150"/>
      <c r="L163" s="150"/>
      <c r="M163" s="150"/>
      <c r="N163" s="150"/>
      <c r="O163" s="150"/>
      <c r="P163" s="150"/>
      <c r="Q163" s="150"/>
      <c r="R163" s="150"/>
      <c r="S163" s="150"/>
      <c r="T163" s="150"/>
      <c r="U163" s="150"/>
      <c r="V163" s="150"/>
      <c r="W163" s="150"/>
      <c r="X163" s="150"/>
      <c r="Y163" s="150"/>
      <c r="Z163" s="150"/>
    </row>
    <row r="164">
      <c r="A164" s="150"/>
      <c r="B164" s="155"/>
      <c r="C164" s="155"/>
      <c r="D164" s="155"/>
      <c r="E164" s="155"/>
      <c r="F164" s="150"/>
      <c r="G164" s="150"/>
      <c r="H164" s="150"/>
      <c r="I164" s="150"/>
      <c r="J164" s="150"/>
      <c r="K164" s="150"/>
      <c r="L164" s="150"/>
      <c r="M164" s="150"/>
      <c r="N164" s="150"/>
      <c r="O164" s="150"/>
      <c r="P164" s="150"/>
      <c r="Q164" s="150"/>
      <c r="R164" s="150"/>
      <c r="S164" s="150"/>
      <c r="T164" s="150"/>
      <c r="U164" s="150"/>
      <c r="V164" s="150"/>
      <c r="W164" s="150"/>
      <c r="X164" s="150"/>
      <c r="Y164" s="150"/>
      <c r="Z164" s="150"/>
    </row>
    <row r="165">
      <c r="A165" s="150"/>
      <c r="B165" s="155"/>
      <c r="C165" s="155"/>
      <c r="D165" s="155"/>
      <c r="E165" s="155"/>
      <c r="F165" s="150"/>
      <c r="G165" s="150"/>
      <c r="H165" s="150"/>
      <c r="I165" s="150"/>
      <c r="J165" s="150"/>
      <c r="K165" s="150"/>
      <c r="L165" s="150"/>
      <c r="M165" s="150"/>
      <c r="N165" s="150"/>
      <c r="O165" s="150"/>
      <c r="P165" s="150"/>
      <c r="Q165" s="150"/>
      <c r="R165" s="150"/>
      <c r="S165" s="150"/>
      <c r="T165" s="150"/>
      <c r="U165" s="150"/>
      <c r="V165" s="150"/>
      <c r="W165" s="150"/>
      <c r="X165" s="150"/>
      <c r="Y165" s="150"/>
      <c r="Z165" s="150"/>
    </row>
    <row r="166">
      <c r="A166" s="150"/>
      <c r="B166" s="155"/>
      <c r="C166" s="155"/>
      <c r="D166" s="155"/>
      <c r="E166" s="155"/>
      <c r="F166" s="150"/>
      <c r="G166" s="150"/>
      <c r="H166" s="150"/>
      <c r="I166" s="150"/>
      <c r="J166" s="150"/>
      <c r="K166" s="150"/>
      <c r="L166" s="150"/>
      <c r="M166" s="150"/>
      <c r="N166" s="150"/>
      <c r="O166" s="150"/>
      <c r="P166" s="150"/>
      <c r="Q166" s="150"/>
      <c r="R166" s="150"/>
      <c r="S166" s="150"/>
      <c r="T166" s="150"/>
      <c r="U166" s="150"/>
      <c r="V166" s="150"/>
      <c r="W166" s="150"/>
      <c r="X166" s="150"/>
      <c r="Y166" s="150"/>
      <c r="Z166" s="150"/>
    </row>
    <row r="167">
      <c r="A167" s="150"/>
      <c r="B167" s="155"/>
      <c r="C167" s="155"/>
      <c r="D167" s="155"/>
      <c r="E167" s="155"/>
      <c r="F167" s="150"/>
      <c r="G167" s="150"/>
      <c r="H167" s="150"/>
      <c r="I167" s="150"/>
      <c r="J167" s="150"/>
      <c r="K167" s="150"/>
      <c r="L167" s="150"/>
      <c r="M167" s="150"/>
      <c r="N167" s="150"/>
      <c r="O167" s="150"/>
      <c r="P167" s="150"/>
      <c r="Q167" s="150"/>
      <c r="R167" s="150"/>
      <c r="S167" s="150"/>
      <c r="T167" s="150"/>
      <c r="U167" s="150"/>
      <c r="V167" s="150"/>
      <c r="W167" s="150"/>
      <c r="X167" s="150"/>
      <c r="Y167" s="150"/>
      <c r="Z167" s="150"/>
    </row>
    <row r="168">
      <c r="A168" s="150"/>
      <c r="B168" s="155"/>
      <c r="C168" s="155"/>
      <c r="D168" s="155"/>
      <c r="E168" s="155"/>
      <c r="F168" s="150"/>
      <c r="G168" s="150"/>
      <c r="H168" s="150"/>
      <c r="I168" s="150"/>
      <c r="J168" s="150"/>
      <c r="K168" s="150"/>
      <c r="L168" s="150"/>
      <c r="M168" s="150"/>
      <c r="N168" s="150"/>
      <c r="O168" s="150"/>
      <c r="P168" s="150"/>
      <c r="Q168" s="150"/>
      <c r="R168" s="150"/>
      <c r="S168" s="150"/>
      <c r="T168" s="150"/>
      <c r="U168" s="150"/>
      <c r="V168" s="150"/>
      <c r="W168" s="150"/>
      <c r="X168" s="150"/>
      <c r="Y168" s="150"/>
      <c r="Z168" s="150"/>
    </row>
    <row r="169">
      <c r="A169" s="150"/>
      <c r="B169" s="155"/>
      <c r="C169" s="155"/>
      <c r="D169" s="155"/>
      <c r="E169" s="155"/>
      <c r="F169" s="150"/>
      <c r="G169" s="150"/>
      <c r="H169" s="150"/>
      <c r="I169" s="150"/>
      <c r="J169" s="150"/>
      <c r="K169" s="150"/>
      <c r="L169" s="150"/>
      <c r="M169" s="150"/>
      <c r="N169" s="150"/>
      <c r="O169" s="150"/>
      <c r="P169" s="150"/>
      <c r="Q169" s="150"/>
      <c r="R169" s="150"/>
      <c r="S169" s="150"/>
      <c r="T169" s="150"/>
      <c r="U169" s="150"/>
      <c r="V169" s="150"/>
      <c r="W169" s="150"/>
      <c r="X169" s="150"/>
      <c r="Y169" s="150"/>
      <c r="Z169" s="150"/>
    </row>
    <row r="170">
      <c r="A170" s="150"/>
      <c r="B170" s="155"/>
      <c r="C170" s="155"/>
      <c r="D170" s="155"/>
      <c r="E170" s="155"/>
      <c r="F170" s="150"/>
      <c r="G170" s="150"/>
      <c r="H170" s="150"/>
      <c r="I170" s="150"/>
      <c r="J170" s="150"/>
      <c r="K170" s="150"/>
      <c r="L170" s="150"/>
      <c r="M170" s="150"/>
      <c r="N170" s="150"/>
      <c r="O170" s="150"/>
      <c r="P170" s="150"/>
      <c r="Q170" s="150"/>
      <c r="R170" s="150"/>
      <c r="S170" s="150"/>
      <c r="T170" s="150"/>
      <c r="U170" s="150"/>
      <c r="V170" s="150"/>
      <c r="W170" s="150"/>
      <c r="X170" s="150"/>
      <c r="Y170" s="150"/>
      <c r="Z170" s="150"/>
    </row>
    <row r="171">
      <c r="A171" s="150"/>
      <c r="B171" s="155"/>
      <c r="C171" s="155"/>
      <c r="D171" s="155"/>
      <c r="E171" s="155"/>
      <c r="F171" s="150"/>
      <c r="G171" s="150"/>
      <c r="H171" s="150"/>
      <c r="I171" s="150"/>
      <c r="J171" s="150"/>
      <c r="K171" s="150"/>
      <c r="L171" s="150"/>
      <c r="M171" s="150"/>
      <c r="N171" s="150"/>
      <c r="O171" s="150"/>
      <c r="P171" s="150"/>
      <c r="Q171" s="150"/>
      <c r="R171" s="150"/>
      <c r="S171" s="150"/>
      <c r="T171" s="150"/>
      <c r="U171" s="150"/>
      <c r="V171" s="150"/>
      <c r="W171" s="150"/>
      <c r="X171" s="150"/>
      <c r="Y171" s="150"/>
      <c r="Z171" s="150"/>
    </row>
    <row r="172">
      <c r="A172" s="150"/>
      <c r="B172" s="155"/>
      <c r="C172" s="155"/>
      <c r="D172" s="155"/>
      <c r="E172" s="155"/>
      <c r="F172" s="150"/>
      <c r="G172" s="150"/>
      <c r="H172" s="150"/>
      <c r="I172" s="150"/>
      <c r="J172" s="150"/>
      <c r="K172" s="150"/>
      <c r="L172" s="150"/>
      <c r="M172" s="150"/>
      <c r="N172" s="150"/>
      <c r="O172" s="150"/>
      <c r="P172" s="150"/>
      <c r="Q172" s="150"/>
      <c r="R172" s="150"/>
      <c r="S172" s="150"/>
      <c r="T172" s="150"/>
      <c r="U172" s="150"/>
      <c r="V172" s="150"/>
      <c r="W172" s="150"/>
      <c r="X172" s="150"/>
      <c r="Y172" s="150"/>
      <c r="Z172" s="150"/>
    </row>
    <row r="173">
      <c r="A173" s="150"/>
      <c r="B173" s="155"/>
      <c r="C173" s="155"/>
      <c r="D173" s="155"/>
      <c r="E173" s="155"/>
      <c r="F173" s="150"/>
      <c r="G173" s="150"/>
      <c r="H173" s="150"/>
      <c r="I173" s="150"/>
      <c r="J173" s="150"/>
      <c r="K173" s="150"/>
      <c r="L173" s="150"/>
      <c r="M173" s="150"/>
      <c r="N173" s="150"/>
      <c r="O173" s="150"/>
      <c r="P173" s="150"/>
      <c r="Q173" s="150"/>
      <c r="R173" s="150"/>
      <c r="S173" s="150"/>
      <c r="T173" s="150"/>
      <c r="U173" s="150"/>
      <c r="V173" s="150"/>
      <c r="W173" s="150"/>
      <c r="X173" s="150"/>
      <c r="Y173" s="150"/>
      <c r="Z173" s="150"/>
    </row>
    <row r="174">
      <c r="A174" s="150"/>
      <c r="B174" s="155"/>
      <c r="C174" s="155"/>
      <c r="D174" s="155"/>
      <c r="E174" s="155"/>
      <c r="F174" s="150"/>
      <c r="G174" s="150"/>
      <c r="H174" s="150"/>
      <c r="I174" s="150"/>
      <c r="J174" s="150"/>
      <c r="K174" s="150"/>
      <c r="L174" s="150"/>
      <c r="M174" s="150"/>
      <c r="N174" s="150"/>
      <c r="O174" s="150"/>
      <c r="P174" s="150"/>
      <c r="Q174" s="150"/>
      <c r="R174" s="150"/>
      <c r="S174" s="150"/>
      <c r="T174" s="150"/>
      <c r="U174" s="150"/>
      <c r="V174" s="150"/>
      <c r="W174" s="150"/>
      <c r="X174" s="150"/>
      <c r="Y174" s="150"/>
      <c r="Z174" s="150"/>
    </row>
    <row r="175">
      <c r="A175" s="150"/>
      <c r="B175" s="155"/>
      <c r="C175" s="155"/>
      <c r="D175" s="155"/>
      <c r="E175" s="155"/>
      <c r="F175" s="150"/>
      <c r="G175" s="150"/>
      <c r="H175" s="150"/>
      <c r="I175" s="150"/>
      <c r="J175" s="150"/>
      <c r="K175" s="150"/>
      <c r="L175" s="150"/>
      <c r="M175" s="150"/>
      <c r="N175" s="150"/>
      <c r="O175" s="150"/>
      <c r="P175" s="150"/>
      <c r="Q175" s="150"/>
      <c r="R175" s="150"/>
      <c r="S175" s="150"/>
      <c r="T175" s="150"/>
      <c r="U175" s="150"/>
      <c r="V175" s="150"/>
      <c r="W175" s="150"/>
      <c r="X175" s="150"/>
      <c r="Y175" s="150"/>
      <c r="Z175" s="150"/>
    </row>
    <row r="176">
      <c r="A176" s="150"/>
      <c r="B176" s="155"/>
      <c r="C176" s="155"/>
      <c r="D176" s="155"/>
      <c r="E176" s="155"/>
      <c r="F176" s="150"/>
      <c r="G176" s="150"/>
      <c r="H176" s="150"/>
      <c r="I176" s="150"/>
      <c r="J176" s="150"/>
      <c r="K176" s="150"/>
      <c r="L176" s="150"/>
      <c r="M176" s="150"/>
      <c r="N176" s="150"/>
      <c r="O176" s="150"/>
      <c r="P176" s="150"/>
      <c r="Q176" s="150"/>
      <c r="R176" s="150"/>
      <c r="S176" s="150"/>
      <c r="T176" s="150"/>
      <c r="U176" s="150"/>
      <c r="V176" s="150"/>
      <c r="W176" s="150"/>
      <c r="X176" s="150"/>
      <c r="Y176" s="150"/>
      <c r="Z176" s="150"/>
    </row>
    <row r="177">
      <c r="A177" s="150"/>
      <c r="B177" s="155"/>
      <c r="C177" s="155"/>
      <c r="D177" s="155"/>
      <c r="E177" s="155"/>
      <c r="F177" s="150"/>
      <c r="G177" s="150"/>
      <c r="H177" s="150"/>
      <c r="I177" s="150"/>
      <c r="J177" s="150"/>
      <c r="K177" s="150"/>
      <c r="L177" s="150"/>
      <c r="M177" s="150"/>
      <c r="N177" s="150"/>
      <c r="O177" s="150"/>
      <c r="P177" s="150"/>
      <c r="Q177" s="150"/>
      <c r="R177" s="150"/>
      <c r="S177" s="150"/>
      <c r="T177" s="150"/>
      <c r="U177" s="150"/>
      <c r="V177" s="150"/>
      <c r="W177" s="150"/>
      <c r="X177" s="150"/>
      <c r="Y177" s="150"/>
      <c r="Z177" s="150"/>
    </row>
    <row r="178">
      <c r="A178" s="150"/>
      <c r="B178" s="155"/>
      <c r="C178" s="155"/>
      <c r="D178" s="155"/>
      <c r="E178" s="155"/>
      <c r="F178" s="150"/>
      <c r="G178" s="150"/>
      <c r="H178" s="150"/>
      <c r="I178" s="150"/>
      <c r="J178" s="150"/>
      <c r="K178" s="150"/>
      <c r="L178" s="150"/>
      <c r="M178" s="150"/>
      <c r="N178" s="150"/>
      <c r="O178" s="150"/>
      <c r="P178" s="150"/>
      <c r="Q178" s="150"/>
      <c r="R178" s="150"/>
      <c r="S178" s="150"/>
      <c r="T178" s="150"/>
      <c r="U178" s="150"/>
      <c r="V178" s="150"/>
      <c r="W178" s="150"/>
      <c r="X178" s="150"/>
      <c r="Y178" s="150"/>
      <c r="Z178" s="150"/>
    </row>
    <row r="179">
      <c r="A179" s="150"/>
      <c r="B179" s="155"/>
      <c r="C179" s="155"/>
      <c r="D179" s="155"/>
      <c r="E179" s="155"/>
      <c r="F179" s="150"/>
      <c r="G179" s="150"/>
      <c r="H179" s="150"/>
      <c r="I179" s="150"/>
      <c r="J179" s="150"/>
      <c r="K179" s="150"/>
      <c r="L179" s="150"/>
      <c r="M179" s="150"/>
      <c r="N179" s="150"/>
      <c r="O179" s="150"/>
      <c r="P179" s="150"/>
      <c r="Q179" s="150"/>
      <c r="R179" s="150"/>
      <c r="S179" s="150"/>
      <c r="T179" s="150"/>
      <c r="U179" s="150"/>
      <c r="V179" s="150"/>
      <c r="W179" s="150"/>
      <c r="X179" s="150"/>
      <c r="Y179" s="150"/>
      <c r="Z179" s="150"/>
    </row>
    <row r="180">
      <c r="A180" s="150"/>
      <c r="B180" s="155"/>
      <c r="C180" s="155"/>
      <c r="D180" s="155"/>
      <c r="E180" s="155"/>
      <c r="F180" s="150"/>
      <c r="G180" s="150"/>
      <c r="H180" s="150"/>
      <c r="I180" s="150"/>
      <c r="J180" s="150"/>
      <c r="K180" s="150"/>
      <c r="L180" s="150"/>
      <c r="M180" s="150"/>
      <c r="N180" s="150"/>
      <c r="O180" s="150"/>
      <c r="P180" s="150"/>
      <c r="Q180" s="150"/>
      <c r="R180" s="150"/>
      <c r="S180" s="150"/>
      <c r="T180" s="150"/>
      <c r="U180" s="150"/>
      <c r="V180" s="150"/>
      <c r="W180" s="150"/>
      <c r="X180" s="150"/>
      <c r="Y180" s="150"/>
      <c r="Z180" s="150"/>
    </row>
    <row r="181">
      <c r="A181" s="150"/>
      <c r="B181" s="155"/>
      <c r="C181" s="155"/>
      <c r="D181" s="155"/>
      <c r="E181" s="155"/>
      <c r="F181" s="150"/>
      <c r="G181" s="150"/>
      <c r="H181" s="150"/>
      <c r="I181" s="150"/>
      <c r="J181" s="150"/>
      <c r="K181" s="150"/>
      <c r="L181" s="150"/>
      <c r="M181" s="150"/>
      <c r="N181" s="150"/>
      <c r="O181" s="150"/>
      <c r="P181" s="150"/>
      <c r="Q181" s="150"/>
      <c r="R181" s="150"/>
      <c r="S181" s="150"/>
      <c r="T181" s="150"/>
      <c r="U181" s="150"/>
      <c r="V181" s="150"/>
      <c r="W181" s="150"/>
      <c r="X181" s="150"/>
      <c r="Y181" s="150"/>
      <c r="Z181" s="150"/>
    </row>
    <row r="182">
      <c r="A182" s="150"/>
      <c r="B182" s="155"/>
      <c r="C182" s="155"/>
      <c r="D182" s="155"/>
      <c r="E182" s="155"/>
      <c r="F182" s="150"/>
      <c r="G182" s="150"/>
      <c r="H182" s="150"/>
      <c r="I182" s="150"/>
      <c r="J182" s="150"/>
      <c r="K182" s="150"/>
      <c r="L182" s="150"/>
      <c r="M182" s="150"/>
      <c r="N182" s="150"/>
      <c r="O182" s="150"/>
      <c r="P182" s="150"/>
      <c r="Q182" s="150"/>
      <c r="R182" s="150"/>
      <c r="S182" s="150"/>
      <c r="T182" s="150"/>
      <c r="U182" s="150"/>
      <c r="V182" s="150"/>
      <c r="W182" s="150"/>
      <c r="X182" s="150"/>
      <c r="Y182" s="150"/>
      <c r="Z182" s="150"/>
    </row>
    <row r="183">
      <c r="A183" s="150"/>
      <c r="B183" s="155"/>
      <c r="C183" s="155"/>
      <c r="D183" s="155"/>
      <c r="E183" s="155"/>
      <c r="F183" s="150"/>
      <c r="G183" s="150"/>
      <c r="H183" s="150"/>
      <c r="I183" s="150"/>
      <c r="J183" s="150"/>
      <c r="K183" s="150"/>
      <c r="L183" s="150"/>
      <c r="M183" s="150"/>
      <c r="N183" s="150"/>
      <c r="O183" s="150"/>
      <c r="P183" s="150"/>
      <c r="Q183" s="150"/>
      <c r="R183" s="150"/>
      <c r="S183" s="150"/>
      <c r="T183" s="150"/>
      <c r="U183" s="150"/>
      <c r="V183" s="150"/>
      <c r="W183" s="150"/>
      <c r="X183" s="150"/>
      <c r="Y183" s="150"/>
      <c r="Z183" s="150"/>
    </row>
    <row r="184">
      <c r="A184" s="150"/>
      <c r="B184" s="155"/>
      <c r="C184" s="155"/>
      <c r="D184" s="155"/>
      <c r="E184" s="155"/>
      <c r="F184" s="150"/>
      <c r="G184" s="150"/>
      <c r="H184" s="150"/>
      <c r="I184" s="150"/>
      <c r="J184" s="150"/>
      <c r="K184" s="150"/>
      <c r="L184" s="150"/>
      <c r="M184" s="150"/>
      <c r="N184" s="150"/>
      <c r="O184" s="150"/>
      <c r="P184" s="150"/>
      <c r="Q184" s="150"/>
      <c r="R184" s="150"/>
      <c r="S184" s="150"/>
      <c r="T184" s="150"/>
      <c r="U184" s="150"/>
      <c r="V184" s="150"/>
      <c r="W184" s="150"/>
      <c r="X184" s="150"/>
      <c r="Y184" s="150"/>
      <c r="Z184" s="150"/>
    </row>
    <row r="185">
      <c r="A185" s="150"/>
      <c r="B185" s="155"/>
      <c r="C185" s="155"/>
      <c r="D185" s="155"/>
      <c r="E185" s="155"/>
      <c r="F185" s="150"/>
      <c r="G185" s="150"/>
      <c r="H185" s="150"/>
      <c r="I185" s="150"/>
      <c r="J185" s="150"/>
      <c r="K185" s="150"/>
      <c r="L185" s="150"/>
      <c r="M185" s="150"/>
      <c r="N185" s="150"/>
      <c r="O185" s="150"/>
      <c r="P185" s="150"/>
      <c r="Q185" s="150"/>
      <c r="R185" s="150"/>
      <c r="S185" s="150"/>
      <c r="T185" s="150"/>
      <c r="U185" s="150"/>
      <c r="V185" s="150"/>
      <c r="W185" s="150"/>
      <c r="X185" s="150"/>
      <c r="Y185" s="150"/>
      <c r="Z185" s="150"/>
    </row>
    <row r="186">
      <c r="A186" s="150"/>
      <c r="B186" s="155"/>
      <c r="C186" s="155"/>
      <c r="D186" s="155"/>
      <c r="E186" s="155"/>
      <c r="F186" s="150"/>
      <c r="G186" s="150"/>
      <c r="H186" s="150"/>
      <c r="I186" s="150"/>
      <c r="J186" s="150"/>
      <c r="K186" s="150"/>
      <c r="L186" s="150"/>
      <c r="M186" s="150"/>
      <c r="N186" s="150"/>
      <c r="O186" s="150"/>
      <c r="P186" s="150"/>
      <c r="Q186" s="150"/>
      <c r="R186" s="150"/>
      <c r="S186" s="150"/>
      <c r="T186" s="150"/>
      <c r="U186" s="150"/>
      <c r="V186" s="150"/>
      <c r="W186" s="150"/>
      <c r="X186" s="150"/>
      <c r="Y186" s="150"/>
      <c r="Z186" s="150"/>
    </row>
    <row r="187">
      <c r="A187" s="150"/>
      <c r="B187" s="155"/>
      <c r="C187" s="155"/>
      <c r="D187" s="155"/>
      <c r="E187" s="155"/>
      <c r="F187" s="150"/>
      <c r="G187" s="150"/>
      <c r="H187" s="150"/>
      <c r="I187" s="150"/>
      <c r="J187" s="150"/>
      <c r="K187" s="150"/>
      <c r="L187" s="150"/>
      <c r="M187" s="150"/>
      <c r="N187" s="150"/>
      <c r="O187" s="150"/>
      <c r="P187" s="150"/>
      <c r="Q187" s="150"/>
      <c r="R187" s="150"/>
      <c r="S187" s="150"/>
      <c r="T187" s="150"/>
      <c r="U187" s="150"/>
      <c r="V187" s="150"/>
      <c r="W187" s="150"/>
      <c r="X187" s="150"/>
      <c r="Y187" s="150"/>
      <c r="Z187" s="150"/>
    </row>
    <row r="188">
      <c r="A188" s="150"/>
      <c r="B188" s="155"/>
      <c r="C188" s="155"/>
      <c r="D188" s="155"/>
      <c r="E188" s="155"/>
      <c r="F188" s="150"/>
      <c r="G188" s="150"/>
      <c r="H188" s="150"/>
      <c r="I188" s="150"/>
      <c r="J188" s="150"/>
      <c r="K188" s="150"/>
      <c r="L188" s="150"/>
      <c r="M188" s="150"/>
      <c r="N188" s="150"/>
      <c r="O188" s="150"/>
      <c r="P188" s="150"/>
      <c r="Q188" s="150"/>
      <c r="R188" s="150"/>
      <c r="S188" s="150"/>
      <c r="T188" s="150"/>
      <c r="U188" s="150"/>
      <c r="V188" s="150"/>
      <c r="W188" s="150"/>
      <c r="X188" s="150"/>
      <c r="Y188" s="150"/>
      <c r="Z188" s="150"/>
    </row>
    <row r="189">
      <c r="A189" s="150"/>
      <c r="B189" s="155"/>
      <c r="C189" s="155"/>
      <c r="D189" s="155"/>
      <c r="E189" s="155"/>
      <c r="F189" s="150"/>
      <c r="G189" s="150"/>
      <c r="H189" s="150"/>
      <c r="I189" s="150"/>
      <c r="J189" s="150"/>
      <c r="K189" s="150"/>
      <c r="L189" s="150"/>
      <c r="M189" s="150"/>
      <c r="N189" s="150"/>
      <c r="O189" s="150"/>
      <c r="P189" s="150"/>
      <c r="Q189" s="150"/>
      <c r="R189" s="150"/>
      <c r="S189" s="150"/>
      <c r="T189" s="150"/>
      <c r="U189" s="150"/>
      <c r="V189" s="150"/>
      <c r="W189" s="150"/>
      <c r="X189" s="150"/>
      <c r="Y189" s="150"/>
      <c r="Z189" s="150"/>
    </row>
    <row r="190">
      <c r="A190" s="150"/>
      <c r="B190" s="155"/>
      <c r="C190" s="155"/>
      <c r="D190" s="155"/>
      <c r="E190" s="155"/>
      <c r="F190" s="150"/>
      <c r="G190" s="150"/>
      <c r="H190" s="150"/>
      <c r="I190" s="150"/>
      <c r="J190" s="150"/>
      <c r="K190" s="150"/>
      <c r="L190" s="150"/>
      <c r="M190" s="150"/>
      <c r="N190" s="150"/>
      <c r="O190" s="150"/>
      <c r="P190" s="150"/>
      <c r="Q190" s="150"/>
      <c r="R190" s="150"/>
      <c r="S190" s="150"/>
      <c r="T190" s="150"/>
      <c r="U190" s="150"/>
      <c r="V190" s="150"/>
      <c r="W190" s="150"/>
      <c r="X190" s="150"/>
      <c r="Y190" s="150"/>
      <c r="Z190" s="150"/>
    </row>
    <row r="191">
      <c r="A191" s="150"/>
      <c r="B191" s="155"/>
      <c r="C191" s="155"/>
      <c r="D191" s="155"/>
      <c r="E191" s="155"/>
      <c r="F191" s="150"/>
      <c r="G191" s="150"/>
      <c r="H191" s="150"/>
      <c r="I191" s="150"/>
      <c r="J191" s="150"/>
      <c r="K191" s="150"/>
      <c r="L191" s="150"/>
      <c r="M191" s="150"/>
      <c r="N191" s="150"/>
      <c r="O191" s="150"/>
      <c r="P191" s="150"/>
      <c r="Q191" s="150"/>
      <c r="R191" s="150"/>
      <c r="S191" s="150"/>
      <c r="T191" s="150"/>
      <c r="U191" s="150"/>
      <c r="V191" s="150"/>
      <c r="W191" s="150"/>
      <c r="X191" s="150"/>
      <c r="Y191" s="150"/>
      <c r="Z191" s="150"/>
    </row>
    <row r="192">
      <c r="A192" s="150"/>
      <c r="B192" s="155"/>
      <c r="C192" s="155"/>
      <c r="D192" s="155"/>
      <c r="E192" s="155"/>
      <c r="F192" s="150"/>
      <c r="G192" s="150"/>
      <c r="H192" s="150"/>
      <c r="I192" s="150"/>
      <c r="J192" s="150"/>
      <c r="K192" s="150"/>
      <c r="L192" s="150"/>
      <c r="M192" s="150"/>
      <c r="N192" s="150"/>
      <c r="O192" s="150"/>
      <c r="P192" s="150"/>
      <c r="Q192" s="150"/>
      <c r="R192" s="150"/>
      <c r="S192" s="150"/>
      <c r="T192" s="150"/>
      <c r="U192" s="150"/>
      <c r="V192" s="150"/>
      <c r="W192" s="150"/>
      <c r="X192" s="150"/>
      <c r="Y192" s="150"/>
      <c r="Z192" s="150"/>
    </row>
    <row r="193">
      <c r="A193" s="150"/>
      <c r="B193" s="155"/>
      <c r="C193" s="155"/>
      <c r="D193" s="155"/>
      <c r="E193" s="155"/>
      <c r="F193" s="150"/>
      <c r="G193" s="150"/>
      <c r="H193" s="150"/>
      <c r="I193" s="150"/>
      <c r="J193" s="150"/>
      <c r="K193" s="150"/>
      <c r="L193" s="150"/>
      <c r="M193" s="150"/>
      <c r="N193" s="150"/>
      <c r="O193" s="150"/>
      <c r="P193" s="150"/>
      <c r="Q193" s="150"/>
      <c r="R193" s="150"/>
      <c r="S193" s="150"/>
      <c r="T193" s="150"/>
      <c r="U193" s="150"/>
      <c r="V193" s="150"/>
      <c r="W193" s="150"/>
      <c r="X193" s="150"/>
      <c r="Y193" s="150"/>
      <c r="Z193" s="150"/>
    </row>
    <row r="194">
      <c r="A194" s="150"/>
      <c r="B194" s="155"/>
      <c r="C194" s="155"/>
      <c r="D194" s="155"/>
      <c r="E194" s="155"/>
      <c r="F194" s="150"/>
      <c r="G194" s="150"/>
      <c r="H194" s="150"/>
      <c r="I194" s="150"/>
      <c r="J194" s="150"/>
      <c r="K194" s="150"/>
      <c r="L194" s="150"/>
      <c r="M194" s="150"/>
      <c r="N194" s="150"/>
      <c r="O194" s="150"/>
      <c r="P194" s="150"/>
      <c r="Q194" s="150"/>
      <c r="R194" s="150"/>
      <c r="S194" s="150"/>
      <c r="T194" s="150"/>
      <c r="U194" s="150"/>
      <c r="V194" s="150"/>
      <c r="W194" s="150"/>
      <c r="X194" s="150"/>
      <c r="Y194" s="150"/>
      <c r="Z194" s="150"/>
    </row>
    <row r="195">
      <c r="A195" s="150"/>
      <c r="B195" s="155"/>
      <c r="C195" s="155"/>
      <c r="D195" s="155"/>
      <c r="E195" s="155"/>
      <c r="F195" s="150"/>
      <c r="G195" s="150"/>
      <c r="H195" s="150"/>
      <c r="I195" s="150"/>
      <c r="J195" s="150"/>
      <c r="K195" s="150"/>
      <c r="L195" s="150"/>
      <c r="M195" s="150"/>
      <c r="N195" s="150"/>
      <c r="O195" s="150"/>
      <c r="P195" s="150"/>
      <c r="Q195" s="150"/>
      <c r="R195" s="150"/>
      <c r="S195" s="150"/>
      <c r="T195" s="150"/>
      <c r="U195" s="150"/>
      <c r="V195" s="150"/>
      <c r="W195" s="150"/>
      <c r="X195" s="150"/>
      <c r="Y195" s="150"/>
      <c r="Z195" s="150"/>
    </row>
    <row r="196">
      <c r="A196" s="150"/>
      <c r="B196" s="155"/>
      <c r="C196" s="155"/>
      <c r="D196" s="155"/>
      <c r="E196" s="155"/>
      <c r="F196" s="150"/>
      <c r="G196" s="150"/>
      <c r="H196" s="150"/>
      <c r="I196" s="150"/>
      <c r="J196" s="150"/>
      <c r="K196" s="150"/>
      <c r="L196" s="150"/>
      <c r="M196" s="150"/>
      <c r="N196" s="150"/>
      <c r="O196" s="150"/>
      <c r="P196" s="150"/>
      <c r="Q196" s="150"/>
      <c r="R196" s="150"/>
      <c r="S196" s="150"/>
      <c r="T196" s="150"/>
      <c r="U196" s="150"/>
      <c r="V196" s="150"/>
      <c r="W196" s="150"/>
      <c r="X196" s="150"/>
      <c r="Y196" s="150"/>
      <c r="Z196" s="150"/>
    </row>
    <row r="197">
      <c r="A197" s="150"/>
      <c r="B197" s="155"/>
      <c r="C197" s="155"/>
      <c r="D197" s="155"/>
      <c r="E197" s="155"/>
      <c r="F197" s="150"/>
      <c r="G197" s="150"/>
      <c r="H197" s="150"/>
      <c r="I197" s="150"/>
      <c r="J197" s="150"/>
      <c r="K197" s="150"/>
      <c r="L197" s="150"/>
      <c r="M197" s="150"/>
      <c r="N197" s="150"/>
      <c r="O197" s="150"/>
      <c r="P197" s="150"/>
      <c r="Q197" s="150"/>
      <c r="R197" s="150"/>
      <c r="S197" s="150"/>
      <c r="T197" s="150"/>
      <c r="U197" s="150"/>
      <c r="V197" s="150"/>
      <c r="W197" s="150"/>
      <c r="X197" s="150"/>
      <c r="Y197" s="150"/>
      <c r="Z197" s="150"/>
    </row>
    <row r="198">
      <c r="A198" s="150"/>
      <c r="B198" s="155"/>
      <c r="C198" s="155"/>
      <c r="D198" s="155"/>
      <c r="E198" s="155"/>
      <c r="F198" s="150"/>
      <c r="G198" s="150"/>
      <c r="H198" s="150"/>
      <c r="I198" s="150"/>
      <c r="J198" s="150"/>
      <c r="K198" s="150"/>
      <c r="L198" s="150"/>
      <c r="M198" s="150"/>
      <c r="N198" s="150"/>
      <c r="O198" s="150"/>
      <c r="P198" s="150"/>
      <c r="Q198" s="150"/>
      <c r="R198" s="150"/>
      <c r="S198" s="150"/>
      <c r="T198" s="150"/>
      <c r="U198" s="150"/>
      <c r="V198" s="150"/>
      <c r="W198" s="150"/>
      <c r="X198" s="150"/>
      <c r="Y198" s="150"/>
      <c r="Z198" s="150"/>
    </row>
    <row r="199">
      <c r="A199" s="150"/>
      <c r="B199" s="155"/>
      <c r="C199" s="155"/>
      <c r="D199" s="155"/>
      <c r="E199" s="155"/>
      <c r="F199" s="150"/>
      <c r="G199" s="150"/>
      <c r="H199" s="150"/>
      <c r="I199" s="150"/>
      <c r="J199" s="150"/>
      <c r="K199" s="150"/>
      <c r="L199" s="150"/>
      <c r="M199" s="150"/>
      <c r="N199" s="150"/>
      <c r="O199" s="150"/>
      <c r="P199" s="150"/>
      <c r="Q199" s="150"/>
      <c r="R199" s="150"/>
      <c r="S199" s="150"/>
      <c r="T199" s="150"/>
      <c r="U199" s="150"/>
      <c r="V199" s="150"/>
      <c r="W199" s="150"/>
      <c r="X199" s="150"/>
      <c r="Y199" s="150"/>
      <c r="Z199" s="150"/>
    </row>
    <row r="200">
      <c r="A200" s="150"/>
      <c r="B200" s="155"/>
      <c r="C200" s="155"/>
      <c r="D200" s="155"/>
      <c r="E200" s="155"/>
      <c r="F200" s="150"/>
      <c r="G200" s="150"/>
      <c r="H200" s="150"/>
      <c r="I200" s="150"/>
      <c r="J200" s="150"/>
      <c r="K200" s="150"/>
      <c r="L200" s="150"/>
      <c r="M200" s="150"/>
      <c r="N200" s="150"/>
      <c r="O200" s="150"/>
      <c r="P200" s="150"/>
      <c r="Q200" s="150"/>
      <c r="R200" s="150"/>
      <c r="S200" s="150"/>
      <c r="T200" s="150"/>
      <c r="U200" s="150"/>
      <c r="V200" s="150"/>
      <c r="W200" s="150"/>
      <c r="X200" s="150"/>
      <c r="Y200" s="150"/>
      <c r="Z200" s="150"/>
    </row>
    <row r="201">
      <c r="A201" s="150"/>
      <c r="B201" s="155"/>
      <c r="C201" s="155"/>
      <c r="D201" s="155"/>
      <c r="E201" s="155"/>
      <c r="F201" s="150"/>
      <c r="G201" s="150"/>
      <c r="H201" s="150"/>
      <c r="I201" s="150"/>
      <c r="J201" s="150"/>
      <c r="K201" s="150"/>
      <c r="L201" s="150"/>
      <c r="M201" s="150"/>
      <c r="N201" s="150"/>
      <c r="O201" s="150"/>
      <c r="P201" s="150"/>
      <c r="Q201" s="150"/>
      <c r="R201" s="150"/>
      <c r="S201" s="150"/>
      <c r="T201" s="150"/>
      <c r="U201" s="150"/>
      <c r="V201" s="150"/>
      <c r="W201" s="150"/>
      <c r="X201" s="150"/>
      <c r="Y201" s="150"/>
      <c r="Z201" s="150"/>
    </row>
    <row r="202">
      <c r="A202" s="150"/>
      <c r="B202" s="155"/>
      <c r="C202" s="155"/>
      <c r="D202" s="155"/>
      <c r="E202" s="155"/>
      <c r="F202" s="150"/>
      <c r="G202" s="150"/>
      <c r="H202" s="150"/>
      <c r="I202" s="150"/>
      <c r="J202" s="150"/>
      <c r="K202" s="150"/>
      <c r="L202" s="150"/>
      <c r="M202" s="150"/>
      <c r="N202" s="150"/>
      <c r="O202" s="150"/>
      <c r="P202" s="150"/>
      <c r="Q202" s="150"/>
      <c r="R202" s="150"/>
      <c r="S202" s="150"/>
      <c r="T202" s="150"/>
      <c r="U202" s="150"/>
      <c r="V202" s="150"/>
      <c r="W202" s="150"/>
      <c r="X202" s="150"/>
      <c r="Y202" s="150"/>
      <c r="Z202" s="150"/>
    </row>
    <row r="203">
      <c r="A203" s="150"/>
      <c r="B203" s="155"/>
      <c r="C203" s="155"/>
      <c r="D203" s="155"/>
      <c r="E203" s="155"/>
      <c r="F203" s="150"/>
      <c r="G203" s="150"/>
      <c r="H203" s="150"/>
      <c r="I203" s="150"/>
      <c r="J203" s="150"/>
      <c r="K203" s="150"/>
      <c r="L203" s="150"/>
      <c r="M203" s="150"/>
      <c r="N203" s="150"/>
      <c r="O203" s="150"/>
      <c r="P203" s="150"/>
      <c r="Q203" s="150"/>
      <c r="R203" s="150"/>
      <c r="S203" s="150"/>
      <c r="T203" s="150"/>
      <c r="U203" s="150"/>
      <c r="V203" s="150"/>
      <c r="W203" s="150"/>
      <c r="X203" s="150"/>
      <c r="Y203" s="150"/>
      <c r="Z203" s="150"/>
    </row>
    <row r="204">
      <c r="A204" s="150"/>
      <c r="B204" s="155"/>
      <c r="C204" s="155"/>
      <c r="D204" s="155"/>
      <c r="E204" s="155"/>
      <c r="F204" s="150"/>
      <c r="G204" s="150"/>
      <c r="H204" s="150"/>
      <c r="I204" s="150"/>
      <c r="J204" s="150"/>
      <c r="K204" s="150"/>
      <c r="L204" s="150"/>
      <c r="M204" s="150"/>
      <c r="N204" s="150"/>
      <c r="O204" s="150"/>
      <c r="P204" s="150"/>
      <c r="Q204" s="150"/>
      <c r="R204" s="150"/>
      <c r="S204" s="150"/>
      <c r="T204" s="150"/>
      <c r="U204" s="150"/>
      <c r="V204" s="150"/>
      <c r="W204" s="150"/>
      <c r="X204" s="150"/>
      <c r="Y204" s="150"/>
      <c r="Z204" s="150"/>
    </row>
    <row r="205">
      <c r="A205" s="150"/>
      <c r="B205" s="155"/>
      <c r="C205" s="155"/>
      <c r="D205" s="155"/>
      <c r="E205" s="155"/>
      <c r="F205" s="150"/>
      <c r="G205" s="150"/>
      <c r="H205" s="150"/>
      <c r="I205" s="150"/>
      <c r="J205" s="150"/>
      <c r="K205" s="150"/>
      <c r="L205" s="150"/>
      <c r="M205" s="150"/>
      <c r="N205" s="150"/>
      <c r="O205" s="150"/>
      <c r="P205" s="150"/>
      <c r="Q205" s="150"/>
      <c r="R205" s="150"/>
      <c r="S205" s="150"/>
      <c r="T205" s="150"/>
      <c r="U205" s="150"/>
      <c r="V205" s="150"/>
      <c r="W205" s="150"/>
      <c r="X205" s="150"/>
      <c r="Y205" s="150"/>
      <c r="Z205" s="150"/>
    </row>
    <row r="206">
      <c r="A206" s="150"/>
      <c r="B206" s="155"/>
      <c r="C206" s="155"/>
      <c r="D206" s="155"/>
      <c r="E206" s="155"/>
      <c r="F206" s="150"/>
      <c r="G206" s="150"/>
      <c r="H206" s="150"/>
      <c r="I206" s="150"/>
      <c r="J206" s="150"/>
      <c r="K206" s="150"/>
      <c r="L206" s="150"/>
      <c r="M206" s="150"/>
      <c r="N206" s="150"/>
      <c r="O206" s="150"/>
      <c r="P206" s="150"/>
      <c r="Q206" s="150"/>
      <c r="R206" s="150"/>
      <c r="S206" s="150"/>
      <c r="T206" s="150"/>
      <c r="U206" s="150"/>
      <c r="V206" s="150"/>
      <c r="W206" s="150"/>
      <c r="X206" s="150"/>
      <c r="Y206" s="150"/>
      <c r="Z206" s="150"/>
    </row>
    <row r="207">
      <c r="A207" s="150"/>
      <c r="B207" s="155"/>
      <c r="C207" s="155"/>
      <c r="D207" s="155"/>
      <c r="E207" s="155"/>
      <c r="F207" s="150"/>
      <c r="G207" s="150"/>
      <c r="H207" s="150"/>
      <c r="I207" s="150"/>
      <c r="J207" s="150"/>
      <c r="K207" s="150"/>
      <c r="L207" s="150"/>
      <c r="M207" s="150"/>
      <c r="N207" s="150"/>
      <c r="O207" s="150"/>
      <c r="P207" s="150"/>
      <c r="Q207" s="150"/>
      <c r="R207" s="150"/>
      <c r="S207" s="150"/>
      <c r="T207" s="150"/>
      <c r="U207" s="150"/>
      <c r="V207" s="150"/>
      <c r="W207" s="150"/>
      <c r="X207" s="150"/>
      <c r="Y207" s="150"/>
      <c r="Z207" s="150"/>
    </row>
    <row r="208">
      <c r="A208" s="150"/>
      <c r="B208" s="155"/>
      <c r="C208" s="155"/>
      <c r="D208" s="155"/>
      <c r="E208" s="155"/>
      <c r="F208" s="150"/>
      <c r="G208" s="150"/>
      <c r="H208" s="150"/>
      <c r="I208" s="150"/>
      <c r="J208" s="150"/>
      <c r="K208" s="150"/>
      <c r="L208" s="150"/>
      <c r="M208" s="150"/>
      <c r="N208" s="150"/>
      <c r="O208" s="150"/>
      <c r="P208" s="150"/>
      <c r="Q208" s="150"/>
      <c r="R208" s="150"/>
      <c r="S208" s="150"/>
      <c r="T208" s="150"/>
      <c r="U208" s="150"/>
      <c r="V208" s="150"/>
      <c r="W208" s="150"/>
      <c r="X208" s="150"/>
      <c r="Y208" s="150"/>
      <c r="Z208" s="150"/>
    </row>
    <row r="209">
      <c r="A209" s="150"/>
      <c r="B209" s="155"/>
      <c r="C209" s="155"/>
      <c r="D209" s="155"/>
      <c r="E209" s="155"/>
      <c r="F209" s="150"/>
      <c r="G209" s="150"/>
      <c r="H209" s="150"/>
      <c r="I209" s="150"/>
      <c r="J209" s="150"/>
      <c r="K209" s="150"/>
      <c r="L209" s="150"/>
      <c r="M209" s="150"/>
      <c r="N209" s="150"/>
      <c r="O209" s="150"/>
      <c r="P209" s="150"/>
      <c r="Q209" s="150"/>
      <c r="R209" s="150"/>
      <c r="S209" s="150"/>
      <c r="T209" s="150"/>
      <c r="U209" s="150"/>
      <c r="V209" s="150"/>
      <c r="W209" s="150"/>
      <c r="X209" s="150"/>
      <c r="Y209" s="150"/>
      <c r="Z209" s="150"/>
    </row>
    <row r="210">
      <c r="A210" s="150"/>
      <c r="B210" s="155"/>
      <c r="C210" s="155"/>
      <c r="D210" s="155"/>
      <c r="E210" s="155"/>
      <c r="F210" s="150"/>
      <c r="G210" s="150"/>
      <c r="H210" s="150"/>
      <c r="I210" s="150"/>
      <c r="J210" s="150"/>
      <c r="K210" s="150"/>
      <c r="L210" s="150"/>
      <c r="M210" s="150"/>
      <c r="N210" s="150"/>
      <c r="O210" s="150"/>
      <c r="P210" s="150"/>
      <c r="Q210" s="150"/>
      <c r="R210" s="150"/>
      <c r="S210" s="150"/>
      <c r="T210" s="150"/>
      <c r="U210" s="150"/>
      <c r="V210" s="150"/>
      <c r="W210" s="150"/>
      <c r="X210" s="150"/>
      <c r="Y210" s="150"/>
      <c r="Z210" s="150"/>
    </row>
    <row r="211">
      <c r="A211" s="150"/>
      <c r="B211" s="155"/>
      <c r="C211" s="155"/>
      <c r="D211" s="155"/>
      <c r="E211" s="155"/>
      <c r="F211" s="150"/>
      <c r="G211" s="150"/>
      <c r="H211" s="150"/>
      <c r="I211" s="150"/>
      <c r="J211" s="150"/>
      <c r="K211" s="150"/>
      <c r="L211" s="150"/>
      <c r="M211" s="150"/>
      <c r="N211" s="150"/>
      <c r="O211" s="150"/>
      <c r="P211" s="150"/>
      <c r="Q211" s="150"/>
      <c r="R211" s="150"/>
      <c r="S211" s="150"/>
      <c r="T211" s="150"/>
      <c r="U211" s="150"/>
      <c r="V211" s="150"/>
      <c r="W211" s="150"/>
      <c r="X211" s="150"/>
      <c r="Y211" s="150"/>
      <c r="Z211" s="150"/>
    </row>
    <row r="212">
      <c r="A212" s="150"/>
      <c r="B212" s="155"/>
      <c r="C212" s="155"/>
      <c r="D212" s="155"/>
      <c r="E212" s="155"/>
      <c r="F212" s="150"/>
      <c r="G212" s="150"/>
      <c r="H212" s="150"/>
      <c r="I212" s="150"/>
      <c r="J212" s="150"/>
      <c r="K212" s="150"/>
      <c r="L212" s="150"/>
      <c r="M212" s="150"/>
      <c r="N212" s="150"/>
      <c r="O212" s="150"/>
      <c r="P212" s="150"/>
      <c r="Q212" s="150"/>
      <c r="R212" s="150"/>
      <c r="S212" s="150"/>
      <c r="T212" s="150"/>
      <c r="U212" s="150"/>
      <c r="V212" s="150"/>
      <c r="W212" s="150"/>
      <c r="X212" s="150"/>
      <c r="Y212" s="150"/>
      <c r="Z212" s="150"/>
    </row>
    <row r="213">
      <c r="A213" s="150"/>
      <c r="B213" s="155"/>
      <c r="C213" s="155"/>
      <c r="D213" s="155"/>
      <c r="E213" s="155"/>
      <c r="F213" s="150"/>
      <c r="G213" s="150"/>
      <c r="H213" s="150"/>
      <c r="I213" s="150"/>
      <c r="J213" s="150"/>
      <c r="K213" s="150"/>
      <c r="L213" s="150"/>
      <c r="M213" s="150"/>
      <c r="N213" s="150"/>
      <c r="O213" s="150"/>
      <c r="P213" s="150"/>
      <c r="Q213" s="150"/>
      <c r="R213" s="150"/>
      <c r="S213" s="150"/>
      <c r="T213" s="150"/>
      <c r="U213" s="150"/>
      <c r="V213" s="150"/>
      <c r="W213" s="150"/>
      <c r="X213" s="150"/>
      <c r="Y213" s="150"/>
      <c r="Z213" s="150"/>
    </row>
    <row r="214">
      <c r="A214" s="150"/>
      <c r="B214" s="155"/>
      <c r="C214" s="155"/>
      <c r="D214" s="155"/>
      <c r="E214" s="155"/>
      <c r="F214" s="150"/>
      <c r="G214" s="150"/>
      <c r="H214" s="150"/>
      <c r="I214" s="150"/>
      <c r="J214" s="150"/>
      <c r="K214" s="150"/>
      <c r="L214" s="150"/>
      <c r="M214" s="150"/>
      <c r="N214" s="150"/>
      <c r="O214" s="150"/>
      <c r="P214" s="150"/>
      <c r="Q214" s="150"/>
      <c r="R214" s="150"/>
      <c r="S214" s="150"/>
      <c r="T214" s="150"/>
      <c r="U214" s="150"/>
      <c r="V214" s="150"/>
      <c r="W214" s="150"/>
      <c r="X214" s="150"/>
      <c r="Y214" s="150"/>
      <c r="Z214" s="150"/>
    </row>
    <row r="215">
      <c r="A215" s="150"/>
      <c r="B215" s="155"/>
      <c r="C215" s="155"/>
      <c r="D215" s="155"/>
      <c r="E215" s="155"/>
      <c r="F215" s="150"/>
      <c r="G215" s="150"/>
      <c r="H215" s="150"/>
      <c r="I215" s="150"/>
      <c r="J215" s="150"/>
      <c r="K215" s="150"/>
      <c r="L215" s="150"/>
      <c r="M215" s="150"/>
      <c r="N215" s="150"/>
      <c r="O215" s="150"/>
      <c r="P215" s="150"/>
      <c r="Q215" s="150"/>
      <c r="R215" s="150"/>
      <c r="S215" s="150"/>
      <c r="T215" s="150"/>
      <c r="U215" s="150"/>
      <c r="V215" s="150"/>
      <c r="W215" s="150"/>
      <c r="X215" s="150"/>
      <c r="Y215" s="150"/>
      <c r="Z215" s="150"/>
    </row>
    <row r="216">
      <c r="A216" s="150"/>
      <c r="B216" s="155"/>
      <c r="C216" s="155"/>
      <c r="D216" s="155"/>
      <c r="E216" s="155"/>
      <c r="F216" s="150"/>
      <c r="G216" s="150"/>
      <c r="H216" s="150"/>
      <c r="I216" s="150"/>
      <c r="J216" s="150"/>
      <c r="K216" s="150"/>
      <c r="L216" s="150"/>
      <c r="M216" s="150"/>
      <c r="N216" s="150"/>
      <c r="O216" s="150"/>
      <c r="P216" s="150"/>
      <c r="Q216" s="150"/>
      <c r="R216" s="150"/>
      <c r="S216" s="150"/>
      <c r="T216" s="150"/>
      <c r="U216" s="150"/>
      <c r="V216" s="150"/>
      <c r="W216" s="150"/>
      <c r="X216" s="150"/>
      <c r="Y216" s="150"/>
      <c r="Z216" s="150"/>
    </row>
    <row r="217">
      <c r="A217" s="150"/>
      <c r="B217" s="155"/>
      <c r="C217" s="155"/>
      <c r="D217" s="155"/>
      <c r="E217" s="155"/>
      <c r="F217" s="150"/>
      <c r="G217" s="150"/>
      <c r="H217" s="150"/>
      <c r="I217" s="150"/>
      <c r="J217" s="150"/>
      <c r="K217" s="150"/>
      <c r="L217" s="150"/>
      <c r="M217" s="150"/>
      <c r="N217" s="150"/>
      <c r="O217" s="150"/>
      <c r="P217" s="150"/>
      <c r="Q217" s="150"/>
      <c r="R217" s="150"/>
      <c r="S217" s="150"/>
      <c r="T217" s="150"/>
      <c r="U217" s="150"/>
      <c r="V217" s="150"/>
      <c r="W217" s="150"/>
      <c r="X217" s="150"/>
      <c r="Y217" s="150"/>
      <c r="Z217" s="150"/>
    </row>
    <row r="218">
      <c r="A218" s="150"/>
      <c r="B218" s="155"/>
      <c r="C218" s="155"/>
      <c r="D218" s="155"/>
      <c r="E218" s="155"/>
      <c r="F218" s="150"/>
      <c r="G218" s="150"/>
      <c r="H218" s="150"/>
      <c r="I218" s="150"/>
      <c r="J218" s="150"/>
      <c r="K218" s="150"/>
      <c r="L218" s="150"/>
      <c r="M218" s="150"/>
      <c r="N218" s="150"/>
      <c r="O218" s="150"/>
      <c r="P218" s="150"/>
      <c r="Q218" s="150"/>
      <c r="R218" s="150"/>
      <c r="S218" s="150"/>
      <c r="T218" s="150"/>
      <c r="U218" s="150"/>
      <c r="V218" s="150"/>
      <c r="W218" s="150"/>
      <c r="X218" s="150"/>
      <c r="Y218" s="150"/>
      <c r="Z218" s="150"/>
    </row>
    <row r="219">
      <c r="A219" s="150"/>
      <c r="B219" s="155"/>
      <c r="C219" s="155"/>
      <c r="D219" s="155"/>
      <c r="E219" s="155"/>
      <c r="F219" s="150"/>
      <c r="G219" s="150"/>
      <c r="H219" s="150"/>
      <c r="I219" s="150"/>
      <c r="J219" s="150"/>
      <c r="K219" s="150"/>
      <c r="L219" s="150"/>
      <c r="M219" s="150"/>
      <c r="N219" s="150"/>
      <c r="O219" s="150"/>
      <c r="P219" s="150"/>
      <c r="Q219" s="150"/>
      <c r="R219" s="150"/>
      <c r="S219" s="150"/>
      <c r="T219" s="150"/>
      <c r="U219" s="150"/>
      <c r="V219" s="150"/>
      <c r="W219" s="150"/>
      <c r="X219" s="150"/>
      <c r="Y219" s="150"/>
      <c r="Z219" s="150"/>
    </row>
    <row r="220">
      <c r="A220" s="150"/>
      <c r="B220" s="155"/>
      <c r="C220" s="155"/>
      <c r="D220" s="155"/>
      <c r="E220" s="155"/>
      <c r="F220" s="150"/>
      <c r="G220" s="150"/>
      <c r="H220" s="150"/>
      <c r="I220" s="150"/>
      <c r="J220" s="150"/>
      <c r="K220" s="150"/>
      <c r="L220" s="150"/>
      <c r="M220" s="150"/>
      <c r="N220" s="150"/>
      <c r="O220" s="150"/>
      <c r="P220" s="150"/>
      <c r="Q220" s="150"/>
      <c r="R220" s="150"/>
      <c r="S220" s="150"/>
      <c r="T220" s="150"/>
      <c r="U220" s="150"/>
      <c r="V220" s="150"/>
      <c r="W220" s="150"/>
      <c r="X220" s="150"/>
      <c r="Y220" s="150"/>
      <c r="Z220" s="150"/>
    </row>
    <row r="221">
      <c r="A221" s="150"/>
      <c r="B221" s="155"/>
      <c r="C221" s="155"/>
      <c r="D221" s="155"/>
      <c r="E221" s="155"/>
      <c r="F221" s="150"/>
      <c r="G221" s="150"/>
      <c r="H221" s="150"/>
      <c r="I221" s="150"/>
      <c r="J221" s="150"/>
      <c r="K221" s="150"/>
      <c r="L221" s="150"/>
      <c r="M221" s="150"/>
      <c r="N221" s="150"/>
      <c r="O221" s="150"/>
      <c r="P221" s="150"/>
      <c r="Q221" s="150"/>
      <c r="R221" s="150"/>
      <c r="S221" s="150"/>
      <c r="T221" s="150"/>
      <c r="U221" s="150"/>
      <c r="V221" s="150"/>
      <c r="W221" s="150"/>
      <c r="X221" s="150"/>
      <c r="Y221" s="150"/>
      <c r="Z221" s="150"/>
    </row>
    <row r="222">
      <c r="A222" s="150"/>
      <c r="B222" s="155"/>
      <c r="C222" s="155"/>
      <c r="D222" s="155"/>
      <c r="E222" s="155"/>
      <c r="F222" s="150"/>
      <c r="G222" s="150"/>
      <c r="H222" s="150"/>
      <c r="I222" s="150"/>
      <c r="J222" s="150"/>
      <c r="K222" s="150"/>
      <c r="L222" s="150"/>
      <c r="M222" s="150"/>
      <c r="N222" s="150"/>
      <c r="O222" s="150"/>
      <c r="P222" s="150"/>
      <c r="Q222" s="150"/>
      <c r="R222" s="150"/>
      <c r="S222" s="150"/>
      <c r="T222" s="150"/>
      <c r="U222" s="150"/>
      <c r="V222" s="150"/>
      <c r="W222" s="150"/>
      <c r="X222" s="150"/>
      <c r="Y222" s="150"/>
      <c r="Z222" s="150"/>
    </row>
    <row r="223">
      <c r="A223" s="150"/>
      <c r="B223" s="155"/>
      <c r="C223" s="155"/>
      <c r="D223" s="155"/>
      <c r="E223" s="155"/>
      <c r="F223" s="150"/>
      <c r="G223" s="150"/>
      <c r="H223" s="150"/>
      <c r="I223" s="150"/>
      <c r="J223" s="150"/>
      <c r="K223" s="150"/>
      <c r="L223" s="150"/>
      <c r="M223" s="150"/>
      <c r="N223" s="150"/>
      <c r="O223" s="150"/>
      <c r="P223" s="150"/>
      <c r="Q223" s="150"/>
      <c r="R223" s="150"/>
      <c r="S223" s="150"/>
      <c r="T223" s="150"/>
      <c r="U223" s="150"/>
      <c r="V223" s="150"/>
      <c r="W223" s="150"/>
      <c r="X223" s="150"/>
      <c r="Y223" s="150"/>
      <c r="Z223" s="150"/>
    </row>
    <row r="224">
      <c r="A224" s="150"/>
      <c r="B224" s="155"/>
      <c r="C224" s="155"/>
      <c r="D224" s="155"/>
      <c r="E224" s="155"/>
      <c r="F224" s="150"/>
      <c r="G224" s="150"/>
      <c r="H224" s="150"/>
      <c r="I224" s="150"/>
      <c r="J224" s="150"/>
      <c r="K224" s="150"/>
      <c r="L224" s="150"/>
      <c r="M224" s="150"/>
      <c r="N224" s="150"/>
      <c r="O224" s="150"/>
      <c r="P224" s="150"/>
      <c r="Q224" s="150"/>
      <c r="R224" s="150"/>
      <c r="S224" s="150"/>
      <c r="T224" s="150"/>
      <c r="U224" s="150"/>
      <c r="V224" s="150"/>
      <c r="W224" s="150"/>
      <c r="X224" s="150"/>
      <c r="Y224" s="150"/>
      <c r="Z224" s="150"/>
    </row>
    <row r="225">
      <c r="A225" s="150"/>
      <c r="B225" s="155"/>
      <c r="C225" s="155"/>
      <c r="D225" s="155"/>
      <c r="E225" s="155"/>
      <c r="F225" s="150"/>
      <c r="G225" s="150"/>
      <c r="H225" s="150"/>
      <c r="I225" s="150"/>
      <c r="J225" s="150"/>
      <c r="K225" s="150"/>
      <c r="L225" s="150"/>
      <c r="M225" s="150"/>
      <c r="N225" s="150"/>
      <c r="O225" s="150"/>
      <c r="P225" s="150"/>
      <c r="Q225" s="150"/>
      <c r="R225" s="150"/>
      <c r="S225" s="150"/>
      <c r="T225" s="150"/>
      <c r="U225" s="150"/>
      <c r="V225" s="150"/>
      <c r="W225" s="150"/>
      <c r="X225" s="150"/>
      <c r="Y225" s="150"/>
      <c r="Z225" s="150"/>
    </row>
    <row r="226">
      <c r="A226" s="150"/>
      <c r="B226" s="155"/>
      <c r="C226" s="155"/>
      <c r="D226" s="155"/>
      <c r="E226" s="155"/>
      <c r="F226" s="150"/>
      <c r="G226" s="150"/>
      <c r="H226" s="150"/>
      <c r="I226" s="150"/>
      <c r="J226" s="150"/>
      <c r="K226" s="150"/>
      <c r="L226" s="150"/>
      <c r="M226" s="150"/>
      <c r="N226" s="150"/>
      <c r="O226" s="150"/>
      <c r="P226" s="150"/>
      <c r="Q226" s="150"/>
      <c r="R226" s="150"/>
      <c r="S226" s="150"/>
      <c r="T226" s="150"/>
      <c r="U226" s="150"/>
      <c r="V226" s="150"/>
      <c r="W226" s="150"/>
      <c r="X226" s="150"/>
      <c r="Y226" s="150"/>
      <c r="Z226" s="150"/>
    </row>
    <row r="227">
      <c r="A227" s="150"/>
      <c r="B227" s="155"/>
      <c r="C227" s="155"/>
      <c r="D227" s="155"/>
      <c r="E227" s="155"/>
      <c r="F227" s="150"/>
      <c r="G227" s="150"/>
      <c r="H227" s="150"/>
      <c r="I227" s="150"/>
      <c r="J227" s="150"/>
      <c r="K227" s="150"/>
      <c r="L227" s="150"/>
      <c r="M227" s="150"/>
      <c r="N227" s="150"/>
      <c r="O227" s="150"/>
      <c r="P227" s="150"/>
      <c r="Q227" s="150"/>
      <c r="R227" s="150"/>
      <c r="S227" s="150"/>
      <c r="T227" s="150"/>
      <c r="U227" s="150"/>
      <c r="V227" s="150"/>
      <c r="W227" s="150"/>
      <c r="X227" s="150"/>
      <c r="Y227" s="150"/>
      <c r="Z227" s="150"/>
    </row>
    <row r="228">
      <c r="A228" s="150"/>
      <c r="B228" s="155"/>
      <c r="C228" s="155"/>
      <c r="D228" s="155"/>
      <c r="E228" s="155"/>
      <c r="F228" s="150"/>
      <c r="G228" s="150"/>
      <c r="H228" s="150"/>
      <c r="I228" s="150"/>
      <c r="J228" s="150"/>
      <c r="K228" s="150"/>
      <c r="L228" s="150"/>
      <c r="M228" s="150"/>
      <c r="N228" s="150"/>
      <c r="O228" s="150"/>
      <c r="P228" s="150"/>
      <c r="Q228" s="150"/>
      <c r="R228" s="150"/>
      <c r="S228" s="150"/>
      <c r="T228" s="150"/>
      <c r="U228" s="150"/>
      <c r="V228" s="150"/>
      <c r="W228" s="150"/>
      <c r="X228" s="150"/>
      <c r="Y228" s="150"/>
      <c r="Z228" s="150"/>
    </row>
    <row r="229">
      <c r="A229" s="150"/>
      <c r="B229" s="155"/>
      <c r="C229" s="155"/>
      <c r="D229" s="155"/>
      <c r="E229" s="155"/>
      <c r="F229" s="150"/>
      <c r="G229" s="150"/>
      <c r="H229" s="150"/>
      <c r="I229" s="150"/>
      <c r="J229" s="150"/>
      <c r="K229" s="150"/>
      <c r="L229" s="150"/>
      <c r="M229" s="150"/>
      <c r="N229" s="150"/>
      <c r="O229" s="150"/>
      <c r="P229" s="150"/>
      <c r="Q229" s="150"/>
      <c r="R229" s="150"/>
      <c r="S229" s="150"/>
      <c r="T229" s="150"/>
      <c r="U229" s="150"/>
      <c r="V229" s="150"/>
      <c r="W229" s="150"/>
      <c r="X229" s="150"/>
      <c r="Y229" s="150"/>
      <c r="Z229" s="150"/>
    </row>
    <row r="230">
      <c r="A230" s="150"/>
      <c r="B230" s="155"/>
      <c r="C230" s="155"/>
      <c r="D230" s="155"/>
      <c r="E230" s="155"/>
      <c r="F230" s="150"/>
      <c r="G230" s="150"/>
      <c r="H230" s="150"/>
      <c r="I230" s="150"/>
      <c r="J230" s="150"/>
      <c r="K230" s="150"/>
      <c r="L230" s="150"/>
      <c r="M230" s="150"/>
      <c r="N230" s="150"/>
      <c r="O230" s="150"/>
      <c r="P230" s="150"/>
      <c r="Q230" s="150"/>
      <c r="R230" s="150"/>
      <c r="S230" s="150"/>
      <c r="T230" s="150"/>
      <c r="U230" s="150"/>
      <c r="V230" s="150"/>
      <c r="W230" s="150"/>
      <c r="X230" s="150"/>
      <c r="Y230" s="150"/>
      <c r="Z230" s="150"/>
    </row>
    <row r="231">
      <c r="A231" s="150"/>
      <c r="B231" s="155"/>
      <c r="C231" s="155"/>
      <c r="D231" s="155"/>
      <c r="E231" s="155"/>
      <c r="F231" s="150"/>
      <c r="G231" s="150"/>
      <c r="H231" s="150"/>
      <c r="I231" s="150"/>
      <c r="J231" s="150"/>
      <c r="K231" s="150"/>
      <c r="L231" s="150"/>
      <c r="M231" s="150"/>
      <c r="N231" s="150"/>
      <c r="O231" s="150"/>
      <c r="P231" s="150"/>
      <c r="Q231" s="150"/>
      <c r="R231" s="150"/>
      <c r="S231" s="150"/>
      <c r="T231" s="150"/>
      <c r="U231" s="150"/>
      <c r="V231" s="150"/>
      <c r="W231" s="150"/>
      <c r="X231" s="150"/>
      <c r="Y231" s="150"/>
      <c r="Z231" s="150"/>
    </row>
    <row r="232">
      <c r="A232" s="150"/>
      <c r="B232" s="155"/>
      <c r="C232" s="155"/>
      <c r="D232" s="155"/>
      <c r="E232" s="155"/>
      <c r="F232" s="150"/>
      <c r="G232" s="150"/>
      <c r="H232" s="150"/>
      <c r="I232" s="150"/>
      <c r="J232" s="150"/>
      <c r="K232" s="150"/>
      <c r="L232" s="150"/>
      <c r="M232" s="150"/>
      <c r="N232" s="150"/>
      <c r="O232" s="150"/>
      <c r="P232" s="150"/>
      <c r="Q232" s="150"/>
      <c r="R232" s="150"/>
      <c r="S232" s="150"/>
      <c r="T232" s="150"/>
      <c r="U232" s="150"/>
      <c r="V232" s="150"/>
      <c r="W232" s="150"/>
      <c r="X232" s="150"/>
      <c r="Y232" s="150"/>
      <c r="Z232" s="150"/>
    </row>
    <row r="233">
      <c r="A233" s="150"/>
      <c r="B233" s="155"/>
      <c r="C233" s="155"/>
      <c r="D233" s="155"/>
      <c r="E233" s="155"/>
      <c r="F233" s="150"/>
      <c r="G233" s="150"/>
      <c r="H233" s="150"/>
      <c r="I233" s="150"/>
      <c r="J233" s="150"/>
      <c r="K233" s="150"/>
      <c r="L233" s="150"/>
      <c r="M233" s="150"/>
      <c r="N233" s="150"/>
      <c r="O233" s="150"/>
      <c r="P233" s="150"/>
      <c r="Q233" s="150"/>
      <c r="R233" s="150"/>
      <c r="S233" s="150"/>
      <c r="T233" s="150"/>
      <c r="U233" s="150"/>
      <c r="V233" s="150"/>
      <c r="W233" s="150"/>
      <c r="X233" s="150"/>
      <c r="Y233" s="150"/>
      <c r="Z233" s="150"/>
    </row>
    <row r="234">
      <c r="A234" s="150"/>
      <c r="B234" s="155"/>
      <c r="C234" s="155"/>
      <c r="D234" s="155"/>
      <c r="E234" s="155"/>
      <c r="F234" s="150"/>
      <c r="G234" s="150"/>
      <c r="H234" s="150"/>
      <c r="I234" s="150"/>
      <c r="J234" s="150"/>
      <c r="K234" s="150"/>
      <c r="L234" s="150"/>
      <c r="M234" s="150"/>
      <c r="N234" s="150"/>
      <c r="O234" s="150"/>
      <c r="P234" s="150"/>
      <c r="Q234" s="150"/>
      <c r="R234" s="150"/>
      <c r="S234" s="150"/>
      <c r="T234" s="150"/>
      <c r="U234" s="150"/>
      <c r="V234" s="150"/>
      <c r="W234" s="150"/>
      <c r="X234" s="150"/>
      <c r="Y234" s="150"/>
      <c r="Z234" s="150"/>
    </row>
    <row r="235">
      <c r="A235" s="150"/>
      <c r="B235" s="155"/>
      <c r="C235" s="155"/>
      <c r="D235" s="155"/>
      <c r="E235" s="155"/>
      <c r="F235" s="150"/>
      <c r="G235" s="150"/>
      <c r="H235" s="150"/>
      <c r="I235" s="150"/>
      <c r="J235" s="150"/>
      <c r="K235" s="150"/>
      <c r="L235" s="150"/>
      <c r="M235" s="150"/>
      <c r="N235" s="150"/>
      <c r="O235" s="150"/>
      <c r="P235" s="150"/>
      <c r="Q235" s="150"/>
      <c r="R235" s="150"/>
      <c r="S235" s="150"/>
      <c r="T235" s="150"/>
      <c r="U235" s="150"/>
      <c r="V235" s="150"/>
      <c r="W235" s="150"/>
      <c r="X235" s="150"/>
      <c r="Y235" s="150"/>
      <c r="Z235" s="150"/>
    </row>
    <row r="236">
      <c r="A236" s="150"/>
      <c r="B236" s="155"/>
      <c r="C236" s="155"/>
      <c r="D236" s="155"/>
      <c r="E236" s="155"/>
      <c r="F236" s="150"/>
      <c r="G236" s="150"/>
      <c r="H236" s="150"/>
      <c r="I236" s="150"/>
      <c r="J236" s="150"/>
      <c r="K236" s="150"/>
      <c r="L236" s="150"/>
      <c r="M236" s="150"/>
      <c r="N236" s="150"/>
      <c r="O236" s="150"/>
      <c r="P236" s="150"/>
      <c r="Q236" s="150"/>
      <c r="R236" s="150"/>
      <c r="S236" s="150"/>
      <c r="T236" s="150"/>
      <c r="U236" s="150"/>
      <c r="V236" s="150"/>
      <c r="W236" s="150"/>
      <c r="X236" s="150"/>
      <c r="Y236" s="150"/>
      <c r="Z236" s="150"/>
    </row>
    <row r="237">
      <c r="A237" s="150"/>
      <c r="B237" s="155"/>
      <c r="C237" s="155"/>
      <c r="D237" s="155"/>
      <c r="E237" s="155"/>
      <c r="F237" s="150"/>
      <c r="G237" s="150"/>
      <c r="H237" s="150"/>
      <c r="I237" s="150"/>
      <c r="J237" s="150"/>
      <c r="K237" s="150"/>
      <c r="L237" s="150"/>
      <c r="M237" s="150"/>
      <c r="N237" s="150"/>
      <c r="O237" s="150"/>
      <c r="P237" s="150"/>
      <c r="Q237" s="150"/>
      <c r="R237" s="150"/>
      <c r="S237" s="150"/>
      <c r="T237" s="150"/>
      <c r="U237" s="150"/>
      <c r="V237" s="150"/>
      <c r="W237" s="150"/>
      <c r="X237" s="150"/>
      <c r="Y237" s="150"/>
      <c r="Z237" s="150"/>
    </row>
    <row r="238">
      <c r="A238" s="150"/>
      <c r="B238" s="155"/>
      <c r="C238" s="155"/>
      <c r="D238" s="155"/>
      <c r="E238" s="155"/>
      <c r="F238" s="150"/>
      <c r="G238" s="150"/>
      <c r="H238" s="150"/>
      <c r="I238" s="150"/>
      <c r="J238" s="150"/>
      <c r="K238" s="150"/>
      <c r="L238" s="150"/>
      <c r="M238" s="150"/>
      <c r="N238" s="150"/>
      <c r="O238" s="150"/>
      <c r="P238" s="150"/>
      <c r="Q238" s="150"/>
      <c r="R238" s="150"/>
      <c r="S238" s="150"/>
      <c r="T238" s="150"/>
      <c r="U238" s="150"/>
      <c r="V238" s="150"/>
      <c r="W238" s="150"/>
      <c r="X238" s="150"/>
      <c r="Y238" s="150"/>
      <c r="Z238" s="150"/>
    </row>
    <row r="239">
      <c r="A239" s="150"/>
      <c r="B239" s="155"/>
      <c r="C239" s="155"/>
      <c r="D239" s="155"/>
      <c r="E239" s="155"/>
      <c r="F239" s="150"/>
      <c r="G239" s="150"/>
      <c r="H239" s="150"/>
      <c r="I239" s="150"/>
      <c r="J239" s="150"/>
      <c r="K239" s="150"/>
      <c r="L239" s="150"/>
      <c r="M239" s="150"/>
      <c r="N239" s="150"/>
      <c r="O239" s="150"/>
      <c r="P239" s="150"/>
      <c r="Q239" s="150"/>
      <c r="R239" s="150"/>
      <c r="S239" s="150"/>
      <c r="T239" s="150"/>
      <c r="U239" s="150"/>
      <c r="V239" s="150"/>
      <c r="W239" s="150"/>
      <c r="X239" s="150"/>
      <c r="Y239" s="150"/>
      <c r="Z239" s="150"/>
    </row>
    <row r="240">
      <c r="A240" s="150"/>
      <c r="B240" s="155"/>
      <c r="C240" s="155"/>
      <c r="D240" s="155"/>
      <c r="E240" s="155"/>
      <c r="F240" s="150"/>
      <c r="G240" s="150"/>
      <c r="H240" s="150"/>
      <c r="I240" s="150"/>
      <c r="J240" s="150"/>
      <c r="K240" s="150"/>
      <c r="L240" s="150"/>
      <c r="M240" s="150"/>
      <c r="N240" s="150"/>
      <c r="O240" s="150"/>
      <c r="P240" s="150"/>
      <c r="Q240" s="150"/>
      <c r="R240" s="150"/>
      <c r="S240" s="150"/>
      <c r="T240" s="150"/>
      <c r="U240" s="150"/>
      <c r="V240" s="150"/>
      <c r="W240" s="150"/>
      <c r="X240" s="150"/>
      <c r="Y240" s="150"/>
      <c r="Z240" s="150"/>
    </row>
    <row r="241">
      <c r="A241" s="150"/>
      <c r="B241" s="155"/>
      <c r="C241" s="155"/>
      <c r="D241" s="155"/>
      <c r="E241" s="155"/>
      <c r="F241" s="150"/>
      <c r="G241" s="150"/>
      <c r="H241" s="150"/>
      <c r="I241" s="150"/>
      <c r="J241" s="150"/>
      <c r="K241" s="150"/>
      <c r="L241" s="150"/>
      <c r="M241" s="150"/>
      <c r="N241" s="150"/>
      <c r="O241" s="150"/>
      <c r="P241" s="150"/>
      <c r="Q241" s="150"/>
      <c r="R241" s="150"/>
      <c r="S241" s="150"/>
      <c r="T241" s="150"/>
      <c r="U241" s="150"/>
      <c r="V241" s="150"/>
      <c r="W241" s="150"/>
      <c r="X241" s="150"/>
      <c r="Y241" s="150"/>
      <c r="Z241" s="150"/>
    </row>
    <row r="242">
      <c r="A242" s="150"/>
      <c r="B242" s="155"/>
      <c r="C242" s="155"/>
      <c r="D242" s="155"/>
      <c r="E242" s="155"/>
      <c r="F242" s="150"/>
      <c r="G242" s="150"/>
      <c r="H242" s="150"/>
      <c r="I242" s="150"/>
      <c r="J242" s="150"/>
      <c r="K242" s="150"/>
      <c r="L242" s="150"/>
      <c r="M242" s="150"/>
      <c r="N242" s="150"/>
      <c r="O242" s="150"/>
      <c r="P242" s="150"/>
      <c r="Q242" s="150"/>
      <c r="R242" s="150"/>
      <c r="S242" s="150"/>
      <c r="T242" s="150"/>
      <c r="U242" s="150"/>
      <c r="V242" s="150"/>
      <c r="W242" s="150"/>
      <c r="X242" s="150"/>
      <c r="Y242" s="150"/>
      <c r="Z242" s="150"/>
    </row>
    <row r="243">
      <c r="A243" s="150"/>
      <c r="B243" s="155"/>
      <c r="C243" s="155"/>
      <c r="D243" s="155"/>
      <c r="E243" s="155"/>
      <c r="F243" s="150"/>
      <c r="G243" s="150"/>
      <c r="H243" s="150"/>
      <c r="I243" s="150"/>
      <c r="J243" s="150"/>
      <c r="K243" s="150"/>
      <c r="L243" s="150"/>
      <c r="M243" s="150"/>
      <c r="N243" s="150"/>
      <c r="O243" s="150"/>
      <c r="P243" s="150"/>
      <c r="Q243" s="150"/>
      <c r="R243" s="150"/>
      <c r="S243" s="150"/>
      <c r="T243" s="150"/>
      <c r="U243" s="150"/>
      <c r="V243" s="150"/>
      <c r="W243" s="150"/>
      <c r="X243" s="150"/>
      <c r="Y243" s="150"/>
      <c r="Z243" s="150"/>
    </row>
    <row r="244">
      <c r="A244" s="150"/>
      <c r="B244" s="155"/>
      <c r="C244" s="155"/>
      <c r="D244" s="155"/>
      <c r="E244" s="155"/>
      <c r="F244" s="150"/>
      <c r="G244" s="150"/>
      <c r="H244" s="150"/>
      <c r="I244" s="150"/>
      <c r="J244" s="150"/>
      <c r="K244" s="150"/>
      <c r="L244" s="150"/>
      <c r="M244" s="150"/>
      <c r="N244" s="150"/>
      <c r="O244" s="150"/>
      <c r="P244" s="150"/>
      <c r="Q244" s="150"/>
      <c r="R244" s="150"/>
      <c r="S244" s="150"/>
      <c r="T244" s="150"/>
      <c r="U244" s="150"/>
      <c r="V244" s="150"/>
      <c r="W244" s="150"/>
      <c r="X244" s="150"/>
      <c r="Y244" s="150"/>
      <c r="Z244" s="150"/>
    </row>
    <row r="245">
      <c r="A245" s="150"/>
      <c r="B245" s="155"/>
      <c r="C245" s="155"/>
      <c r="D245" s="155"/>
      <c r="E245" s="155"/>
      <c r="F245" s="150"/>
      <c r="G245" s="150"/>
      <c r="H245" s="150"/>
      <c r="I245" s="150"/>
      <c r="J245" s="150"/>
      <c r="K245" s="150"/>
      <c r="L245" s="150"/>
      <c r="M245" s="150"/>
      <c r="N245" s="150"/>
      <c r="O245" s="150"/>
      <c r="P245" s="150"/>
      <c r="Q245" s="150"/>
      <c r="R245" s="150"/>
      <c r="S245" s="150"/>
      <c r="T245" s="150"/>
      <c r="U245" s="150"/>
      <c r="V245" s="150"/>
      <c r="W245" s="150"/>
      <c r="X245" s="150"/>
      <c r="Y245" s="150"/>
      <c r="Z245" s="150"/>
    </row>
    <row r="246">
      <c r="A246" s="150"/>
      <c r="B246" s="155"/>
      <c r="C246" s="155"/>
      <c r="D246" s="155"/>
      <c r="E246" s="155"/>
      <c r="F246" s="150"/>
      <c r="G246" s="150"/>
      <c r="H246" s="150"/>
      <c r="I246" s="150"/>
      <c r="J246" s="150"/>
      <c r="K246" s="150"/>
      <c r="L246" s="150"/>
      <c r="M246" s="150"/>
      <c r="N246" s="150"/>
      <c r="O246" s="150"/>
      <c r="P246" s="150"/>
      <c r="Q246" s="150"/>
      <c r="R246" s="150"/>
      <c r="S246" s="150"/>
      <c r="T246" s="150"/>
      <c r="U246" s="150"/>
      <c r="V246" s="150"/>
      <c r="W246" s="150"/>
      <c r="X246" s="150"/>
      <c r="Y246" s="150"/>
      <c r="Z246" s="150"/>
    </row>
    <row r="247">
      <c r="A247" s="150"/>
      <c r="B247" s="155"/>
      <c r="C247" s="155"/>
      <c r="D247" s="155"/>
      <c r="E247" s="155"/>
      <c r="F247" s="150"/>
      <c r="G247" s="150"/>
      <c r="H247" s="150"/>
      <c r="I247" s="150"/>
      <c r="J247" s="150"/>
      <c r="K247" s="150"/>
      <c r="L247" s="150"/>
      <c r="M247" s="150"/>
      <c r="N247" s="150"/>
      <c r="O247" s="150"/>
      <c r="P247" s="150"/>
      <c r="Q247" s="150"/>
      <c r="R247" s="150"/>
      <c r="S247" s="150"/>
      <c r="T247" s="150"/>
      <c r="U247" s="150"/>
      <c r="V247" s="150"/>
      <c r="W247" s="150"/>
      <c r="X247" s="150"/>
      <c r="Y247" s="150"/>
      <c r="Z247" s="150"/>
    </row>
    <row r="248">
      <c r="A248" s="150"/>
      <c r="B248" s="155"/>
      <c r="C248" s="155"/>
      <c r="D248" s="155"/>
      <c r="E248" s="155"/>
      <c r="F248" s="150"/>
      <c r="G248" s="150"/>
      <c r="H248" s="150"/>
      <c r="I248" s="150"/>
      <c r="J248" s="150"/>
      <c r="K248" s="150"/>
      <c r="L248" s="150"/>
      <c r="M248" s="150"/>
      <c r="N248" s="150"/>
      <c r="O248" s="150"/>
      <c r="P248" s="150"/>
      <c r="Q248" s="150"/>
      <c r="R248" s="150"/>
      <c r="S248" s="150"/>
      <c r="T248" s="150"/>
      <c r="U248" s="150"/>
      <c r="V248" s="150"/>
      <c r="W248" s="150"/>
      <c r="X248" s="150"/>
      <c r="Y248" s="150"/>
      <c r="Z248" s="150"/>
    </row>
    <row r="249">
      <c r="A249" s="150"/>
      <c r="B249" s="155"/>
      <c r="C249" s="155"/>
      <c r="D249" s="155"/>
      <c r="E249" s="155"/>
      <c r="F249" s="150"/>
      <c r="G249" s="150"/>
      <c r="H249" s="150"/>
      <c r="I249" s="150"/>
      <c r="J249" s="150"/>
      <c r="K249" s="150"/>
      <c r="L249" s="150"/>
      <c r="M249" s="150"/>
      <c r="N249" s="150"/>
      <c r="O249" s="150"/>
      <c r="P249" s="150"/>
      <c r="Q249" s="150"/>
      <c r="R249" s="150"/>
      <c r="S249" s="150"/>
      <c r="T249" s="150"/>
      <c r="U249" s="150"/>
      <c r="V249" s="150"/>
      <c r="W249" s="150"/>
      <c r="X249" s="150"/>
      <c r="Y249" s="150"/>
      <c r="Z249" s="150"/>
    </row>
    <row r="250">
      <c r="A250" s="150"/>
      <c r="B250" s="155"/>
      <c r="C250" s="155"/>
      <c r="D250" s="155"/>
      <c r="E250" s="155"/>
      <c r="F250" s="150"/>
      <c r="G250" s="150"/>
      <c r="H250" s="150"/>
      <c r="I250" s="150"/>
      <c r="J250" s="150"/>
      <c r="K250" s="150"/>
      <c r="L250" s="150"/>
      <c r="M250" s="150"/>
      <c r="N250" s="150"/>
      <c r="O250" s="150"/>
      <c r="P250" s="150"/>
      <c r="Q250" s="150"/>
      <c r="R250" s="150"/>
      <c r="S250" s="150"/>
      <c r="T250" s="150"/>
      <c r="U250" s="150"/>
      <c r="V250" s="150"/>
      <c r="W250" s="150"/>
      <c r="X250" s="150"/>
      <c r="Y250" s="150"/>
      <c r="Z250" s="150"/>
    </row>
    <row r="251">
      <c r="A251" s="150"/>
      <c r="B251" s="155"/>
      <c r="C251" s="155"/>
      <c r="D251" s="155"/>
      <c r="E251" s="155"/>
      <c r="F251" s="150"/>
      <c r="G251" s="150"/>
      <c r="H251" s="150"/>
      <c r="I251" s="150"/>
      <c r="J251" s="150"/>
      <c r="K251" s="150"/>
      <c r="L251" s="150"/>
      <c r="M251" s="150"/>
      <c r="N251" s="150"/>
      <c r="O251" s="150"/>
      <c r="P251" s="150"/>
      <c r="Q251" s="150"/>
      <c r="R251" s="150"/>
      <c r="S251" s="150"/>
      <c r="T251" s="150"/>
      <c r="U251" s="150"/>
      <c r="V251" s="150"/>
      <c r="W251" s="150"/>
      <c r="X251" s="150"/>
      <c r="Y251" s="150"/>
      <c r="Z251" s="150"/>
    </row>
    <row r="252">
      <c r="A252" s="150"/>
      <c r="B252" s="155"/>
      <c r="C252" s="155"/>
      <c r="D252" s="155"/>
      <c r="E252" s="155"/>
      <c r="F252" s="150"/>
      <c r="G252" s="150"/>
      <c r="H252" s="150"/>
      <c r="I252" s="150"/>
      <c r="J252" s="150"/>
      <c r="K252" s="150"/>
      <c r="L252" s="150"/>
      <c r="M252" s="150"/>
      <c r="N252" s="150"/>
      <c r="O252" s="150"/>
      <c r="P252" s="150"/>
      <c r="Q252" s="150"/>
      <c r="R252" s="150"/>
      <c r="S252" s="150"/>
      <c r="T252" s="150"/>
      <c r="U252" s="150"/>
      <c r="V252" s="150"/>
      <c r="W252" s="150"/>
      <c r="X252" s="150"/>
      <c r="Y252" s="150"/>
      <c r="Z252" s="150"/>
    </row>
    <row r="253">
      <c r="A253" s="150"/>
      <c r="B253" s="155"/>
      <c r="C253" s="155"/>
      <c r="D253" s="155"/>
      <c r="E253" s="155"/>
      <c r="F253" s="150"/>
      <c r="G253" s="150"/>
      <c r="H253" s="150"/>
      <c r="I253" s="150"/>
      <c r="J253" s="150"/>
      <c r="K253" s="150"/>
      <c r="L253" s="150"/>
      <c r="M253" s="150"/>
      <c r="N253" s="150"/>
      <c r="O253" s="150"/>
      <c r="P253" s="150"/>
      <c r="Q253" s="150"/>
      <c r="R253" s="150"/>
      <c r="S253" s="150"/>
      <c r="T253" s="150"/>
      <c r="U253" s="150"/>
      <c r="V253" s="150"/>
      <c r="W253" s="150"/>
      <c r="X253" s="150"/>
      <c r="Y253" s="150"/>
      <c r="Z253" s="150"/>
    </row>
    <row r="254">
      <c r="A254" s="150"/>
      <c r="B254" s="155"/>
      <c r="C254" s="155"/>
      <c r="D254" s="155"/>
      <c r="E254" s="155"/>
      <c r="F254" s="150"/>
      <c r="G254" s="150"/>
      <c r="H254" s="150"/>
      <c r="I254" s="150"/>
      <c r="J254" s="150"/>
      <c r="K254" s="150"/>
      <c r="L254" s="150"/>
      <c r="M254" s="150"/>
      <c r="N254" s="150"/>
      <c r="O254" s="150"/>
      <c r="P254" s="150"/>
      <c r="Q254" s="150"/>
      <c r="R254" s="150"/>
      <c r="S254" s="150"/>
      <c r="T254" s="150"/>
      <c r="U254" s="150"/>
      <c r="V254" s="150"/>
      <c r="W254" s="150"/>
      <c r="X254" s="150"/>
      <c r="Y254" s="150"/>
      <c r="Z254" s="150"/>
    </row>
    <row r="255">
      <c r="A255" s="150"/>
      <c r="B255" s="155"/>
      <c r="C255" s="155"/>
      <c r="D255" s="155"/>
      <c r="E255" s="155"/>
      <c r="F255" s="150"/>
      <c r="G255" s="150"/>
      <c r="H255" s="150"/>
      <c r="I255" s="150"/>
      <c r="J255" s="150"/>
      <c r="K255" s="150"/>
      <c r="L255" s="150"/>
      <c r="M255" s="150"/>
      <c r="N255" s="150"/>
      <c r="O255" s="150"/>
      <c r="P255" s="150"/>
      <c r="Q255" s="150"/>
      <c r="R255" s="150"/>
      <c r="S255" s="150"/>
      <c r="T255" s="150"/>
      <c r="U255" s="150"/>
      <c r="V255" s="150"/>
      <c r="W255" s="150"/>
      <c r="X255" s="150"/>
      <c r="Y255" s="150"/>
      <c r="Z255" s="150"/>
    </row>
    <row r="256">
      <c r="A256" s="150"/>
      <c r="B256" s="155"/>
      <c r="C256" s="155"/>
      <c r="D256" s="155"/>
      <c r="E256" s="155"/>
      <c r="F256" s="150"/>
      <c r="G256" s="150"/>
      <c r="H256" s="150"/>
      <c r="I256" s="150"/>
      <c r="J256" s="150"/>
      <c r="K256" s="150"/>
      <c r="L256" s="150"/>
      <c r="M256" s="150"/>
      <c r="N256" s="150"/>
      <c r="O256" s="150"/>
      <c r="P256" s="150"/>
      <c r="Q256" s="150"/>
      <c r="R256" s="150"/>
      <c r="S256" s="150"/>
      <c r="T256" s="150"/>
      <c r="U256" s="150"/>
      <c r="V256" s="150"/>
      <c r="W256" s="150"/>
      <c r="X256" s="150"/>
      <c r="Y256" s="150"/>
      <c r="Z256" s="150"/>
    </row>
    <row r="257">
      <c r="A257" s="150"/>
      <c r="B257" s="155"/>
      <c r="C257" s="155"/>
      <c r="D257" s="155"/>
      <c r="E257" s="155"/>
      <c r="F257" s="150"/>
      <c r="G257" s="150"/>
      <c r="H257" s="150"/>
      <c r="I257" s="150"/>
      <c r="J257" s="150"/>
      <c r="K257" s="150"/>
      <c r="L257" s="150"/>
      <c r="M257" s="150"/>
      <c r="N257" s="150"/>
      <c r="O257" s="150"/>
      <c r="P257" s="150"/>
      <c r="Q257" s="150"/>
      <c r="R257" s="150"/>
      <c r="S257" s="150"/>
      <c r="T257" s="150"/>
      <c r="U257" s="150"/>
      <c r="V257" s="150"/>
      <c r="W257" s="150"/>
      <c r="X257" s="150"/>
      <c r="Y257" s="150"/>
      <c r="Z257" s="150"/>
    </row>
    <row r="258">
      <c r="A258" s="150"/>
      <c r="B258" s="155"/>
      <c r="C258" s="155"/>
      <c r="D258" s="155"/>
      <c r="E258" s="155"/>
      <c r="F258" s="150"/>
      <c r="G258" s="150"/>
      <c r="H258" s="150"/>
      <c r="I258" s="150"/>
      <c r="J258" s="150"/>
      <c r="K258" s="150"/>
      <c r="L258" s="150"/>
      <c r="M258" s="150"/>
      <c r="N258" s="150"/>
      <c r="O258" s="150"/>
      <c r="P258" s="150"/>
      <c r="Q258" s="150"/>
      <c r="R258" s="150"/>
      <c r="S258" s="150"/>
      <c r="T258" s="150"/>
      <c r="U258" s="150"/>
      <c r="V258" s="150"/>
      <c r="W258" s="150"/>
      <c r="X258" s="150"/>
      <c r="Y258" s="150"/>
      <c r="Z258" s="150"/>
    </row>
    <row r="259">
      <c r="A259" s="150"/>
      <c r="B259" s="155"/>
      <c r="C259" s="155"/>
      <c r="D259" s="155"/>
      <c r="E259" s="155"/>
      <c r="F259" s="150"/>
      <c r="G259" s="150"/>
      <c r="H259" s="150"/>
      <c r="I259" s="150"/>
      <c r="J259" s="150"/>
      <c r="K259" s="150"/>
      <c r="L259" s="150"/>
      <c r="M259" s="150"/>
      <c r="N259" s="150"/>
      <c r="O259" s="150"/>
      <c r="P259" s="150"/>
      <c r="Q259" s="150"/>
      <c r="R259" s="150"/>
      <c r="S259" s="150"/>
      <c r="T259" s="150"/>
      <c r="U259" s="150"/>
      <c r="V259" s="150"/>
      <c r="W259" s="150"/>
      <c r="X259" s="150"/>
      <c r="Y259" s="150"/>
      <c r="Z259" s="150"/>
    </row>
    <row r="260">
      <c r="A260" s="150"/>
      <c r="B260" s="155"/>
      <c r="C260" s="155"/>
      <c r="D260" s="155"/>
      <c r="E260" s="155"/>
      <c r="F260" s="150"/>
      <c r="G260" s="150"/>
      <c r="H260" s="150"/>
      <c r="I260" s="150"/>
      <c r="J260" s="150"/>
      <c r="K260" s="150"/>
      <c r="L260" s="150"/>
      <c r="M260" s="150"/>
      <c r="N260" s="150"/>
      <c r="O260" s="150"/>
      <c r="P260" s="150"/>
      <c r="Q260" s="150"/>
      <c r="R260" s="150"/>
      <c r="S260" s="150"/>
      <c r="T260" s="150"/>
      <c r="U260" s="150"/>
      <c r="V260" s="150"/>
      <c r="W260" s="150"/>
      <c r="X260" s="150"/>
      <c r="Y260" s="150"/>
      <c r="Z260" s="150"/>
    </row>
    <row r="261">
      <c r="A261" s="150"/>
      <c r="B261" s="155"/>
      <c r="C261" s="155"/>
      <c r="D261" s="155"/>
      <c r="E261" s="155"/>
      <c r="F261" s="150"/>
      <c r="G261" s="150"/>
      <c r="H261" s="150"/>
      <c r="I261" s="150"/>
      <c r="J261" s="150"/>
      <c r="K261" s="150"/>
      <c r="L261" s="150"/>
      <c r="M261" s="150"/>
      <c r="N261" s="150"/>
      <c r="O261" s="150"/>
      <c r="P261" s="150"/>
      <c r="Q261" s="150"/>
      <c r="R261" s="150"/>
      <c r="S261" s="150"/>
      <c r="T261" s="150"/>
      <c r="U261" s="150"/>
      <c r="V261" s="150"/>
      <c r="W261" s="150"/>
      <c r="X261" s="150"/>
      <c r="Y261" s="150"/>
      <c r="Z261" s="150"/>
    </row>
    <row r="262">
      <c r="A262" s="150"/>
      <c r="B262" s="155"/>
      <c r="C262" s="155"/>
      <c r="D262" s="155"/>
      <c r="E262" s="155"/>
      <c r="F262" s="150"/>
      <c r="G262" s="150"/>
      <c r="H262" s="150"/>
      <c r="I262" s="150"/>
      <c r="J262" s="150"/>
      <c r="K262" s="150"/>
      <c r="L262" s="150"/>
      <c r="M262" s="150"/>
      <c r="N262" s="150"/>
      <c r="O262" s="150"/>
      <c r="P262" s="150"/>
      <c r="Q262" s="150"/>
      <c r="R262" s="150"/>
      <c r="S262" s="150"/>
      <c r="T262" s="150"/>
      <c r="U262" s="150"/>
      <c r="V262" s="150"/>
      <c r="W262" s="150"/>
      <c r="X262" s="150"/>
      <c r="Y262" s="150"/>
      <c r="Z262" s="150"/>
    </row>
    <row r="263">
      <c r="A263" s="150"/>
      <c r="B263" s="155"/>
      <c r="C263" s="155"/>
      <c r="D263" s="155"/>
      <c r="E263" s="155"/>
      <c r="F263" s="150"/>
      <c r="G263" s="150"/>
      <c r="H263" s="150"/>
      <c r="I263" s="150"/>
      <c r="J263" s="150"/>
      <c r="K263" s="150"/>
      <c r="L263" s="150"/>
      <c r="M263" s="150"/>
      <c r="N263" s="150"/>
      <c r="O263" s="150"/>
      <c r="P263" s="150"/>
      <c r="Q263" s="150"/>
      <c r="R263" s="150"/>
      <c r="S263" s="150"/>
      <c r="T263" s="150"/>
      <c r="U263" s="150"/>
      <c r="V263" s="150"/>
      <c r="W263" s="150"/>
      <c r="X263" s="150"/>
      <c r="Y263" s="150"/>
      <c r="Z263" s="150"/>
    </row>
    <row r="264">
      <c r="A264" s="150"/>
      <c r="B264" s="155"/>
      <c r="C264" s="155"/>
      <c r="D264" s="155"/>
      <c r="E264" s="155"/>
      <c r="F264" s="150"/>
      <c r="G264" s="150"/>
      <c r="H264" s="150"/>
      <c r="I264" s="150"/>
      <c r="J264" s="150"/>
      <c r="K264" s="150"/>
      <c r="L264" s="150"/>
      <c r="M264" s="150"/>
      <c r="N264" s="150"/>
      <c r="O264" s="150"/>
      <c r="P264" s="150"/>
      <c r="Q264" s="150"/>
      <c r="R264" s="150"/>
      <c r="S264" s="150"/>
      <c r="T264" s="150"/>
      <c r="U264" s="150"/>
      <c r="V264" s="150"/>
      <c r="W264" s="150"/>
      <c r="X264" s="150"/>
      <c r="Y264" s="150"/>
      <c r="Z264" s="150"/>
    </row>
    <row r="265">
      <c r="A265" s="150"/>
      <c r="B265" s="155"/>
      <c r="C265" s="155"/>
      <c r="D265" s="155"/>
      <c r="E265" s="155"/>
      <c r="F265" s="150"/>
      <c r="G265" s="150"/>
      <c r="H265" s="150"/>
      <c r="I265" s="150"/>
      <c r="J265" s="150"/>
      <c r="K265" s="150"/>
      <c r="L265" s="150"/>
      <c r="M265" s="150"/>
      <c r="N265" s="150"/>
      <c r="O265" s="150"/>
      <c r="P265" s="150"/>
      <c r="Q265" s="150"/>
      <c r="R265" s="150"/>
      <c r="S265" s="150"/>
      <c r="T265" s="150"/>
      <c r="U265" s="150"/>
      <c r="V265" s="150"/>
      <c r="W265" s="150"/>
      <c r="X265" s="150"/>
      <c r="Y265" s="150"/>
      <c r="Z265" s="150"/>
    </row>
    <row r="266">
      <c r="A266" s="150"/>
      <c r="B266" s="155"/>
      <c r="C266" s="155"/>
      <c r="D266" s="155"/>
      <c r="E266" s="155"/>
      <c r="F266" s="150"/>
      <c r="G266" s="150"/>
      <c r="H266" s="150"/>
      <c r="I266" s="150"/>
      <c r="J266" s="150"/>
      <c r="K266" s="150"/>
      <c r="L266" s="150"/>
      <c r="M266" s="150"/>
      <c r="N266" s="150"/>
      <c r="O266" s="150"/>
      <c r="P266" s="150"/>
      <c r="Q266" s="150"/>
      <c r="R266" s="150"/>
      <c r="S266" s="150"/>
      <c r="T266" s="150"/>
      <c r="U266" s="150"/>
      <c r="V266" s="150"/>
      <c r="W266" s="150"/>
      <c r="X266" s="150"/>
      <c r="Y266" s="150"/>
      <c r="Z266" s="150"/>
    </row>
    <row r="267">
      <c r="A267" s="150"/>
      <c r="B267" s="155"/>
      <c r="C267" s="155"/>
      <c r="D267" s="155"/>
      <c r="E267" s="155"/>
      <c r="F267" s="150"/>
      <c r="G267" s="150"/>
      <c r="H267" s="150"/>
      <c r="I267" s="150"/>
      <c r="J267" s="150"/>
      <c r="K267" s="150"/>
      <c r="L267" s="150"/>
      <c r="M267" s="150"/>
      <c r="N267" s="150"/>
      <c r="O267" s="150"/>
      <c r="P267" s="150"/>
      <c r="Q267" s="150"/>
      <c r="R267" s="150"/>
      <c r="S267" s="150"/>
      <c r="T267" s="150"/>
      <c r="U267" s="150"/>
      <c r="V267" s="150"/>
      <c r="W267" s="150"/>
      <c r="X267" s="150"/>
      <c r="Y267" s="150"/>
      <c r="Z267" s="150"/>
    </row>
    <row r="268">
      <c r="A268" s="150"/>
      <c r="B268" s="155"/>
      <c r="C268" s="155"/>
      <c r="D268" s="155"/>
      <c r="E268" s="155"/>
      <c r="F268" s="150"/>
      <c r="G268" s="150"/>
      <c r="H268" s="150"/>
      <c r="I268" s="150"/>
      <c r="J268" s="150"/>
      <c r="K268" s="150"/>
      <c r="L268" s="150"/>
      <c r="M268" s="150"/>
      <c r="N268" s="150"/>
      <c r="O268" s="150"/>
      <c r="P268" s="150"/>
      <c r="Q268" s="150"/>
      <c r="R268" s="150"/>
      <c r="S268" s="150"/>
      <c r="T268" s="150"/>
      <c r="U268" s="150"/>
      <c r="V268" s="150"/>
      <c r="W268" s="150"/>
      <c r="X268" s="150"/>
      <c r="Y268" s="150"/>
      <c r="Z268" s="150"/>
    </row>
    <row r="269">
      <c r="A269" s="150"/>
      <c r="B269" s="155"/>
      <c r="C269" s="155"/>
      <c r="D269" s="155"/>
      <c r="E269" s="155"/>
      <c r="F269" s="150"/>
      <c r="G269" s="150"/>
      <c r="H269" s="150"/>
      <c r="I269" s="150"/>
      <c r="J269" s="150"/>
      <c r="K269" s="150"/>
      <c r="L269" s="150"/>
      <c r="M269" s="150"/>
      <c r="N269" s="150"/>
      <c r="O269" s="150"/>
      <c r="P269" s="150"/>
      <c r="Q269" s="150"/>
      <c r="R269" s="150"/>
      <c r="S269" s="150"/>
      <c r="T269" s="150"/>
      <c r="U269" s="150"/>
      <c r="V269" s="150"/>
      <c r="W269" s="150"/>
      <c r="X269" s="150"/>
      <c r="Y269" s="150"/>
      <c r="Z269" s="150"/>
    </row>
    <row r="270">
      <c r="A270" s="150"/>
      <c r="B270" s="155"/>
      <c r="C270" s="155"/>
      <c r="D270" s="155"/>
      <c r="E270" s="155"/>
      <c r="F270" s="150"/>
      <c r="G270" s="150"/>
      <c r="H270" s="150"/>
      <c r="I270" s="150"/>
      <c r="J270" s="150"/>
      <c r="K270" s="150"/>
      <c r="L270" s="150"/>
      <c r="M270" s="150"/>
      <c r="N270" s="150"/>
      <c r="O270" s="150"/>
      <c r="P270" s="150"/>
      <c r="Q270" s="150"/>
      <c r="R270" s="150"/>
      <c r="S270" s="150"/>
      <c r="T270" s="150"/>
      <c r="U270" s="150"/>
      <c r="V270" s="150"/>
      <c r="W270" s="150"/>
      <c r="X270" s="150"/>
      <c r="Y270" s="150"/>
      <c r="Z270" s="150"/>
    </row>
    <row r="271">
      <c r="A271" s="150"/>
      <c r="B271" s="155"/>
      <c r="C271" s="155"/>
      <c r="D271" s="155"/>
      <c r="E271" s="155"/>
      <c r="F271" s="150"/>
      <c r="G271" s="150"/>
      <c r="H271" s="150"/>
      <c r="I271" s="150"/>
      <c r="J271" s="150"/>
      <c r="K271" s="150"/>
      <c r="L271" s="150"/>
      <c r="M271" s="150"/>
      <c r="N271" s="150"/>
      <c r="O271" s="150"/>
      <c r="P271" s="150"/>
      <c r="Q271" s="150"/>
      <c r="R271" s="150"/>
      <c r="S271" s="150"/>
      <c r="T271" s="150"/>
      <c r="U271" s="150"/>
      <c r="V271" s="150"/>
      <c r="W271" s="150"/>
      <c r="X271" s="150"/>
      <c r="Y271" s="150"/>
      <c r="Z271" s="150"/>
    </row>
    <row r="272">
      <c r="A272" s="150"/>
      <c r="B272" s="155"/>
      <c r="C272" s="155"/>
      <c r="D272" s="155"/>
      <c r="E272" s="155"/>
      <c r="F272" s="150"/>
      <c r="G272" s="150"/>
      <c r="H272" s="150"/>
      <c r="I272" s="150"/>
      <c r="J272" s="150"/>
      <c r="K272" s="150"/>
      <c r="L272" s="150"/>
      <c r="M272" s="150"/>
      <c r="N272" s="150"/>
      <c r="O272" s="150"/>
      <c r="P272" s="150"/>
      <c r="Q272" s="150"/>
      <c r="R272" s="150"/>
      <c r="S272" s="150"/>
      <c r="T272" s="150"/>
      <c r="U272" s="150"/>
      <c r="V272" s="150"/>
      <c r="W272" s="150"/>
      <c r="X272" s="150"/>
      <c r="Y272" s="150"/>
      <c r="Z272" s="150"/>
    </row>
    <row r="273">
      <c r="A273" s="150"/>
      <c r="B273" s="155"/>
      <c r="C273" s="155"/>
      <c r="D273" s="155"/>
      <c r="E273" s="155"/>
      <c r="F273" s="150"/>
      <c r="G273" s="150"/>
      <c r="H273" s="150"/>
      <c r="I273" s="150"/>
      <c r="J273" s="150"/>
      <c r="K273" s="150"/>
      <c r="L273" s="150"/>
      <c r="M273" s="150"/>
      <c r="N273" s="150"/>
      <c r="O273" s="150"/>
      <c r="P273" s="150"/>
      <c r="Q273" s="150"/>
      <c r="R273" s="150"/>
      <c r="S273" s="150"/>
      <c r="T273" s="150"/>
      <c r="U273" s="150"/>
      <c r="V273" s="150"/>
      <c r="W273" s="150"/>
      <c r="X273" s="150"/>
      <c r="Y273" s="150"/>
      <c r="Z273" s="150"/>
    </row>
    <row r="274">
      <c r="A274" s="150"/>
      <c r="B274" s="155"/>
      <c r="C274" s="155"/>
      <c r="D274" s="155"/>
      <c r="E274" s="155"/>
      <c r="F274" s="150"/>
      <c r="G274" s="150"/>
      <c r="H274" s="150"/>
      <c r="I274" s="150"/>
      <c r="J274" s="150"/>
      <c r="K274" s="150"/>
      <c r="L274" s="150"/>
      <c r="M274" s="150"/>
      <c r="N274" s="150"/>
      <c r="O274" s="150"/>
      <c r="P274" s="150"/>
      <c r="Q274" s="150"/>
      <c r="R274" s="150"/>
      <c r="S274" s="150"/>
      <c r="T274" s="150"/>
      <c r="U274" s="150"/>
      <c r="V274" s="150"/>
      <c r="W274" s="150"/>
      <c r="X274" s="150"/>
      <c r="Y274" s="150"/>
      <c r="Z274" s="150"/>
    </row>
    <row r="275">
      <c r="A275" s="150"/>
      <c r="B275" s="155"/>
      <c r="C275" s="155"/>
      <c r="D275" s="155"/>
      <c r="E275" s="155"/>
      <c r="F275" s="150"/>
      <c r="G275" s="150"/>
      <c r="H275" s="150"/>
      <c r="I275" s="150"/>
      <c r="J275" s="150"/>
      <c r="K275" s="150"/>
      <c r="L275" s="150"/>
      <c r="M275" s="150"/>
      <c r="N275" s="150"/>
      <c r="O275" s="150"/>
      <c r="P275" s="150"/>
      <c r="Q275" s="150"/>
      <c r="R275" s="150"/>
      <c r="S275" s="150"/>
      <c r="T275" s="150"/>
      <c r="U275" s="150"/>
      <c r="V275" s="150"/>
      <c r="W275" s="150"/>
      <c r="X275" s="150"/>
      <c r="Y275" s="150"/>
      <c r="Z275" s="150"/>
    </row>
    <row r="276">
      <c r="A276" s="150"/>
      <c r="B276" s="155"/>
      <c r="C276" s="155"/>
      <c r="D276" s="155"/>
      <c r="E276" s="155"/>
      <c r="F276" s="150"/>
      <c r="G276" s="150"/>
      <c r="H276" s="150"/>
      <c r="I276" s="150"/>
      <c r="J276" s="150"/>
      <c r="K276" s="150"/>
      <c r="L276" s="150"/>
      <c r="M276" s="150"/>
      <c r="N276" s="150"/>
      <c r="O276" s="150"/>
      <c r="P276" s="150"/>
      <c r="Q276" s="150"/>
      <c r="R276" s="150"/>
      <c r="S276" s="150"/>
      <c r="T276" s="150"/>
      <c r="U276" s="150"/>
      <c r="V276" s="150"/>
      <c r="W276" s="150"/>
      <c r="X276" s="150"/>
      <c r="Y276" s="150"/>
      <c r="Z276" s="150"/>
    </row>
    <row r="277">
      <c r="A277" s="150"/>
      <c r="B277" s="155"/>
      <c r="C277" s="155"/>
      <c r="D277" s="155"/>
      <c r="E277" s="155"/>
      <c r="F277" s="150"/>
      <c r="G277" s="150"/>
      <c r="H277" s="150"/>
      <c r="I277" s="150"/>
      <c r="J277" s="150"/>
      <c r="K277" s="150"/>
      <c r="L277" s="150"/>
      <c r="M277" s="150"/>
      <c r="N277" s="150"/>
      <c r="O277" s="150"/>
      <c r="P277" s="150"/>
      <c r="Q277" s="150"/>
      <c r="R277" s="150"/>
      <c r="S277" s="150"/>
      <c r="T277" s="150"/>
      <c r="U277" s="150"/>
      <c r="V277" s="150"/>
      <c r="W277" s="150"/>
      <c r="X277" s="150"/>
      <c r="Y277" s="150"/>
      <c r="Z277" s="150"/>
    </row>
    <row r="278">
      <c r="A278" s="150"/>
      <c r="B278" s="155"/>
      <c r="C278" s="155"/>
      <c r="D278" s="155"/>
      <c r="E278" s="155"/>
      <c r="F278" s="150"/>
      <c r="G278" s="150"/>
      <c r="H278" s="150"/>
      <c r="I278" s="150"/>
      <c r="J278" s="150"/>
      <c r="K278" s="150"/>
      <c r="L278" s="150"/>
      <c r="M278" s="150"/>
      <c r="N278" s="150"/>
      <c r="O278" s="150"/>
      <c r="P278" s="150"/>
      <c r="Q278" s="150"/>
      <c r="R278" s="150"/>
      <c r="S278" s="150"/>
      <c r="T278" s="150"/>
      <c r="U278" s="150"/>
      <c r="V278" s="150"/>
      <c r="W278" s="150"/>
      <c r="X278" s="150"/>
      <c r="Y278" s="150"/>
      <c r="Z278" s="150"/>
    </row>
    <row r="279">
      <c r="A279" s="150"/>
      <c r="B279" s="155"/>
      <c r="C279" s="155"/>
      <c r="D279" s="155"/>
      <c r="E279" s="155"/>
      <c r="F279" s="150"/>
      <c r="G279" s="150"/>
      <c r="H279" s="150"/>
      <c r="I279" s="150"/>
      <c r="J279" s="150"/>
      <c r="K279" s="150"/>
      <c r="L279" s="150"/>
      <c r="M279" s="150"/>
      <c r="N279" s="150"/>
      <c r="O279" s="150"/>
      <c r="P279" s="150"/>
      <c r="Q279" s="150"/>
      <c r="R279" s="150"/>
      <c r="S279" s="150"/>
      <c r="T279" s="150"/>
      <c r="U279" s="150"/>
      <c r="V279" s="150"/>
      <c r="W279" s="150"/>
      <c r="X279" s="150"/>
      <c r="Y279" s="150"/>
      <c r="Z279" s="150"/>
    </row>
    <row r="280">
      <c r="A280" s="150"/>
      <c r="B280" s="155"/>
      <c r="C280" s="155"/>
      <c r="D280" s="155"/>
      <c r="E280" s="155"/>
      <c r="F280" s="150"/>
      <c r="G280" s="150"/>
      <c r="H280" s="150"/>
      <c r="I280" s="150"/>
      <c r="J280" s="150"/>
      <c r="K280" s="150"/>
      <c r="L280" s="150"/>
      <c r="M280" s="150"/>
      <c r="N280" s="150"/>
      <c r="O280" s="150"/>
      <c r="P280" s="150"/>
      <c r="Q280" s="150"/>
      <c r="R280" s="150"/>
      <c r="S280" s="150"/>
      <c r="T280" s="150"/>
      <c r="U280" s="150"/>
      <c r="V280" s="150"/>
      <c r="W280" s="150"/>
      <c r="X280" s="150"/>
      <c r="Y280" s="150"/>
      <c r="Z280" s="150"/>
    </row>
    <row r="281">
      <c r="A281" s="150"/>
      <c r="B281" s="155"/>
      <c r="C281" s="155"/>
      <c r="D281" s="155"/>
      <c r="E281" s="155"/>
      <c r="F281" s="150"/>
      <c r="G281" s="150"/>
      <c r="H281" s="150"/>
      <c r="I281" s="150"/>
      <c r="J281" s="150"/>
      <c r="K281" s="150"/>
      <c r="L281" s="150"/>
      <c r="M281" s="150"/>
      <c r="N281" s="150"/>
      <c r="O281" s="150"/>
      <c r="P281" s="150"/>
      <c r="Q281" s="150"/>
      <c r="R281" s="150"/>
      <c r="S281" s="150"/>
      <c r="T281" s="150"/>
      <c r="U281" s="150"/>
      <c r="V281" s="150"/>
      <c r="W281" s="150"/>
      <c r="X281" s="150"/>
      <c r="Y281" s="150"/>
      <c r="Z281" s="150"/>
    </row>
    <row r="282">
      <c r="A282" s="150"/>
      <c r="B282" s="155"/>
      <c r="C282" s="155"/>
      <c r="D282" s="155"/>
      <c r="E282" s="155"/>
      <c r="F282" s="150"/>
      <c r="G282" s="150"/>
      <c r="H282" s="150"/>
      <c r="I282" s="150"/>
      <c r="J282" s="150"/>
      <c r="K282" s="150"/>
      <c r="L282" s="150"/>
      <c r="M282" s="150"/>
      <c r="N282" s="150"/>
      <c r="O282" s="150"/>
      <c r="P282" s="150"/>
      <c r="Q282" s="150"/>
      <c r="R282" s="150"/>
      <c r="S282" s="150"/>
      <c r="T282" s="150"/>
      <c r="U282" s="150"/>
      <c r="V282" s="150"/>
      <c r="W282" s="150"/>
      <c r="X282" s="150"/>
      <c r="Y282" s="150"/>
      <c r="Z282" s="150"/>
    </row>
    <row r="283">
      <c r="A283" s="150"/>
      <c r="B283" s="155"/>
      <c r="C283" s="155"/>
      <c r="D283" s="155"/>
      <c r="E283" s="155"/>
      <c r="F283" s="150"/>
      <c r="G283" s="150"/>
      <c r="H283" s="150"/>
      <c r="I283" s="150"/>
      <c r="J283" s="150"/>
      <c r="K283" s="150"/>
      <c r="L283" s="150"/>
      <c r="M283" s="150"/>
      <c r="N283" s="150"/>
      <c r="O283" s="150"/>
      <c r="P283" s="150"/>
      <c r="Q283" s="150"/>
      <c r="R283" s="150"/>
      <c r="S283" s="150"/>
      <c r="T283" s="150"/>
      <c r="U283" s="150"/>
      <c r="V283" s="150"/>
      <c r="W283" s="150"/>
      <c r="X283" s="150"/>
      <c r="Y283" s="150"/>
      <c r="Z283" s="150"/>
    </row>
    <row r="284">
      <c r="A284" s="150"/>
      <c r="B284" s="155"/>
      <c r="C284" s="155"/>
      <c r="D284" s="155"/>
      <c r="E284" s="155"/>
      <c r="F284" s="150"/>
      <c r="G284" s="150"/>
      <c r="H284" s="150"/>
      <c r="I284" s="150"/>
      <c r="J284" s="150"/>
      <c r="K284" s="150"/>
      <c r="L284" s="150"/>
      <c r="M284" s="150"/>
      <c r="N284" s="150"/>
      <c r="O284" s="150"/>
      <c r="P284" s="150"/>
      <c r="Q284" s="150"/>
      <c r="R284" s="150"/>
      <c r="S284" s="150"/>
      <c r="T284" s="150"/>
      <c r="U284" s="150"/>
      <c r="V284" s="150"/>
      <c r="W284" s="150"/>
      <c r="X284" s="150"/>
      <c r="Y284" s="150"/>
      <c r="Z284" s="150"/>
    </row>
    <row r="285">
      <c r="A285" s="150"/>
      <c r="B285" s="155"/>
      <c r="C285" s="155"/>
      <c r="D285" s="155"/>
      <c r="E285" s="155"/>
      <c r="F285" s="150"/>
      <c r="G285" s="150"/>
      <c r="H285" s="150"/>
      <c r="I285" s="150"/>
      <c r="J285" s="150"/>
      <c r="K285" s="150"/>
      <c r="L285" s="150"/>
      <c r="M285" s="150"/>
      <c r="N285" s="150"/>
      <c r="O285" s="150"/>
      <c r="P285" s="150"/>
      <c r="Q285" s="150"/>
      <c r="R285" s="150"/>
      <c r="S285" s="150"/>
      <c r="T285" s="150"/>
      <c r="U285" s="150"/>
      <c r="V285" s="150"/>
      <c r="W285" s="150"/>
      <c r="X285" s="150"/>
      <c r="Y285" s="150"/>
      <c r="Z285" s="150"/>
    </row>
    <row r="286">
      <c r="A286" s="150"/>
      <c r="B286" s="155"/>
      <c r="C286" s="155"/>
      <c r="D286" s="155"/>
      <c r="E286" s="155"/>
      <c r="F286" s="150"/>
      <c r="G286" s="150"/>
      <c r="H286" s="150"/>
      <c r="I286" s="150"/>
      <c r="J286" s="150"/>
      <c r="K286" s="150"/>
      <c r="L286" s="150"/>
      <c r="M286" s="150"/>
      <c r="N286" s="150"/>
      <c r="O286" s="150"/>
      <c r="P286" s="150"/>
      <c r="Q286" s="150"/>
      <c r="R286" s="150"/>
      <c r="S286" s="150"/>
      <c r="T286" s="150"/>
      <c r="U286" s="150"/>
      <c r="V286" s="150"/>
      <c r="W286" s="150"/>
      <c r="X286" s="150"/>
      <c r="Y286" s="150"/>
      <c r="Z286" s="150"/>
    </row>
    <row r="287">
      <c r="A287" s="150"/>
      <c r="B287" s="155"/>
      <c r="C287" s="155"/>
      <c r="D287" s="155"/>
      <c r="E287" s="155"/>
      <c r="F287" s="150"/>
      <c r="G287" s="150"/>
      <c r="H287" s="150"/>
      <c r="I287" s="150"/>
      <c r="J287" s="150"/>
      <c r="K287" s="150"/>
      <c r="L287" s="150"/>
      <c r="M287" s="150"/>
      <c r="N287" s="150"/>
      <c r="O287" s="150"/>
      <c r="P287" s="150"/>
      <c r="Q287" s="150"/>
      <c r="R287" s="150"/>
      <c r="S287" s="150"/>
      <c r="T287" s="150"/>
      <c r="U287" s="150"/>
      <c r="V287" s="150"/>
      <c r="W287" s="150"/>
      <c r="X287" s="150"/>
      <c r="Y287" s="150"/>
      <c r="Z287" s="150"/>
    </row>
    <row r="288">
      <c r="A288" s="150"/>
      <c r="B288" s="155"/>
      <c r="C288" s="155"/>
      <c r="D288" s="155"/>
      <c r="E288" s="155"/>
      <c r="F288" s="150"/>
      <c r="G288" s="150"/>
      <c r="H288" s="150"/>
      <c r="I288" s="150"/>
      <c r="J288" s="150"/>
      <c r="K288" s="150"/>
      <c r="L288" s="150"/>
      <c r="M288" s="150"/>
      <c r="N288" s="150"/>
      <c r="O288" s="150"/>
      <c r="P288" s="150"/>
      <c r="Q288" s="150"/>
      <c r="R288" s="150"/>
      <c r="S288" s="150"/>
      <c r="T288" s="150"/>
      <c r="U288" s="150"/>
      <c r="V288" s="150"/>
      <c r="W288" s="150"/>
      <c r="X288" s="150"/>
      <c r="Y288" s="150"/>
      <c r="Z288" s="150"/>
    </row>
    <row r="289">
      <c r="A289" s="150"/>
      <c r="B289" s="155"/>
      <c r="C289" s="155"/>
      <c r="D289" s="155"/>
      <c r="E289" s="155"/>
      <c r="F289" s="150"/>
      <c r="G289" s="150"/>
      <c r="H289" s="150"/>
      <c r="I289" s="150"/>
      <c r="J289" s="150"/>
      <c r="K289" s="150"/>
      <c r="L289" s="150"/>
      <c r="M289" s="150"/>
      <c r="N289" s="150"/>
      <c r="O289" s="150"/>
      <c r="P289" s="150"/>
      <c r="Q289" s="150"/>
      <c r="R289" s="150"/>
      <c r="S289" s="150"/>
      <c r="T289" s="150"/>
      <c r="U289" s="150"/>
      <c r="V289" s="150"/>
      <c r="W289" s="150"/>
      <c r="X289" s="150"/>
      <c r="Y289" s="150"/>
      <c r="Z289" s="150"/>
    </row>
    <row r="290">
      <c r="A290" s="150"/>
      <c r="B290" s="155"/>
      <c r="C290" s="155"/>
      <c r="D290" s="155"/>
      <c r="E290" s="155"/>
      <c r="F290" s="150"/>
      <c r="G290" s="150"/>
      <c r="H290" s="150"/>
      <c r="I290" s="150"/>
      <c r="J290" s="150"/>
      <c r="K290" s="150"/>
      <c r="L290" s="150"/>
      <c r="M290" s="150"/>
      <c r="N290" s="150"/>
      <c r="O290" s="150"/>
      <c r="P290" s="150"/>
      <c r="Q290" s="150"/>
      <c r="R290" s="150"/>
      <c r="S290" s="150"/>
      <c r="T290" s="150"/>
      <c r="U290" s="150"/>
      <c r="V290" s="150"/>
      <c r="W290" s="150"/>
      <c r="X290" s="150"/>
      <c r="Y290" s="150"/>
      <c r="Z290" s="150"/>
    </row>
    <row r="291">
      <c r="A291" s="150"/>
      <c r="B291" s="155"/>
      <c r="C291" s="155"/>
      <c r="D291" s="155"/>
      <c r="E291" s="155"/>
      <c r="F291" s="150"/>
      <c r="G291" s="150"/>
      <c r="H291" s="150"/>
      <c r="I291" s="150"/>
      <c r="J291" s="150"/>
      <c r="K291" s="150"/>
      <c r="L291" s="150"/>
      <c r="M291" s="150"/>
      <c r="N291" s="150"/>
      <c r="O291" s="150"/>
      <c r="P291" s="150"/>
      <c r="Q291" s="150"/>
      <c r="R291" s="150"/>
      <c r="S291" s="150"/>
      <c r="T291" s="150"/>
      <c r="U291" s="150"/>
      <c r="V291" s="150"/>
      <c r="W291" s="150"/>
      <c r="X291" s="150"/>
      <c r="Y291" s="150"/>
      <c r="Z291" s="150"/>
    </row>
    <row r="292">
      <c r="A292" s="150"/>
      <c r="B292" s="155"/>
      <c r="C292" s="155"/>
      <c r="D292" s="155"/>
      <c r="E292" s="155"/>
      <c r="F292" s="150"/>
      <c r="G292" s="150"/>
      <c r="H292" s="150"/>
      <c r="I292" s="150"/>
      <c r="J292" s="150"/>
      <c r="K292" s="150"/>
      <c r="L292" s="150"/>
      <c r="M292" s="150"/>
      <c r="N292" s="150"/>
      <c r="O292" s="150"/>
      <c r="P292" s="150"/>
      <c r="Q292" s="150"/>
      <c r="R292" s="150"/>
      <c r="S292" s="150"/>
      <c r="T292" s="150"/>
      <c r="U292" s="150"/>
      <c r="V292" s="150"/>
      <c r="W292" s="150"/>
      <c r="X292" s="150"/>
      <c r="Y292" s="150"/>
      <c r="Z292" s="150"/>
    </row>
    <row r="293">
      <c r="A293" s="150"/>
      <c r="B293" s="155"/>
      <c r="C293" s="155"/>
      <c r="D293" s="155"/>
      <c r="E293" s="155"/>
      <c r="F293" s="150"/>
      <c r="G293" s="150"/>
      <c r="H293" s="150"/>
      <c r="I293" s="150"/>
      <c r="J293" s="150"/>
      <c r="K293" s="150"/>
      <c r="L293" s="150"/>
      <c r="M293" s="150"/>
      <c r="N293" s="150"/>
      <c r="O293" s="150"/>
      <c r="P293" s="150"/>
      <c r="Q293" s="150"/>
      <c r="R293" s="150"/>
      <c r="S293" s="150"/>
      <c r="T293" s="150"/>
      <c r="U293" s="150"/>
      <c r="V293" s="150"/>
      <c r="W293" s="150"/>
      <c r="X293" s="150"/>
      <c r="Y293" s="150"/>
      <c r="Z293" s="150"/>
    </row>
    <row r="294">
      <c r="A294" s="150"/>
      <c r="B294" s="155"/>
      <c r="C294" s="155"/>
      <c r="D294" s="155"/>
      <c r="E294" s="155"/>
      <c r="F294" s="150"/>
      <c r="G294" s="150"/>
      <c r="H294" s="150"/>
      <c r="I294" s="150"/>
      <c r="J294" s="150"/>
      <c r="K294" s="150"/>
      <c r="L294" s="150"/>
      <c r="M294" s="150"/>
      <c r="N294" s="150"/>
      <c r="O294" s="150"/>
      <c r="P294" s="150"/>
      <c r="Q294" s="150"/>
      <c r="R294" s="150"/>
      <c r="S294" s="150"/>
      <c r="T294" s="150"/>
      <c r="U294" s="150"/>
      <c r="V294" s="150"/>
      <c r="W294" s="150"/>
      <c r="X294" s="150"/>
      <c r="Y294" s="150"/>
      <c r="Z294" s="150"/>
    </row>
    <row r="295">
      <c r="A295" s="150"/>
      <c r="B295" s="155"/>
      <c r="C295" s="155"/>
      <c r="D295" s="155"/>
      <c r="E295" s="155"/>
      <c r="F295" s="150"/>
      <c r="G295" s="150"/>
      <c r="H295" s="150"/>
      <c r="I295" s="150"/>
      <c r="J295" s="150"/>
      <c r="K295" s="150"/>
      <c r="L295" s="150"/>
      <c r="M295" s="150"/>
      <c r="N295" s="150"/>
      <c r="O295" s="150"/>
      <c r="P295" s="150"/>
      <c r="Q295" s="150"/>
      <c r="R295" s="150"/>
      <c r="S295" s="150"/>
      <c r="T295" s="150"/>
      <c r="U295" s="150"/>
      <c r="V295" s="150"/>
      <c r="W295" s="150"/>
      <c r="X295" s="150"/>
      <c r="Y295" s="150"/>
      <c r="Z295" s="150"/>
    </row>
    <row r="296">
      <c r="A296" s="150"/>
      <c r="B296" s="155"/>
      <c r="C296" s="155"/>
      <c r="D296" s="155"/>
      <c r="E296" s="155"/>
      <c r="F296" s="150"/>
      <c r="G296" s="150"/>
      <c r="H296" s="150"/>
      <c r="I296" s="150"/>
      <c r="J296" s="150"/>
      <c r="K296" s="150"/>
      <c r="L296" s="150"/>
      <c r="M296" s="150"/>
      <c r="N296" s="150"/>
      <c r="O296" s="150"/>
      <c r="P296" s="150"/>
      <c r="Q296" s="150"/>
      <c r="R296" s="150"/>
      <c r="S296" s="150"/>
      <c r="T296" s="150"/>
      <c r="U296" s="150"/>
      <c r="V296" s="150"/>
      <c r="W296" s="150"/>
      <c r="X296" s="150"/>
      <c r="Y296" s="150"/>
      <c r="Z296" s="150"/>
    </row>
    <row r="297">
      <c r="A297" s="150"/>
      <c r="B297" s="155"/>
      <c r="C297" s="155"/>
      <c r="D297" s="155"/>
      <c r="E297" s="155"/>
      <c r="F297" s="150"/>
      <c r="G297" s="150"/>
      <c r="H297" s="150"/>
      <c r="I297" s="150"/>
      <c r="J297" s="150"/>
      <c r="K297" s="150"/>
      <c r="L297" s="150"/>
      <c r="M297" s="150"/>
      <c r="N297" s="150"/>
      <c r="O297" s="150"/>
      <c r="P297" s="150"/>
      <c r="Q297" s="150"/>
      <c r="R297" s="150"/>
      <c r="S297" s="150"/>
      <c r="T297" s="150"/>
      <c r="U297" s="150"/>
      <c r="V297" s="150"/>
      <c r="W297" s="150"/>
      <c r="X297" s="150"/>
      <c r="Y297" s="150"/>
      <c r="Z297" s="150"/>
    </row>
    <row r="298">
      <c r="A298" s="150"/>
      <c r="B298" s="155"/>
      <c r="C298" s="155"/>
      <c r="D298" s="155"/>
      <c r="E298" s="155"/>
      <c r="F298" s="150"/>
      <c r="G298" s="150"/>
      <c r="H298" s="150"/>
      <c r="I298" s="150"/>
      <c r="J298" s="150"/>
      <c r="K298" s="150"/>
      <c r="L298" s="150"/>
      <c r="M298" s="150"/>
      <c r="N298" s="150"/>
      <c r="O298" s="150"/>
      <c r="P298" s="150"/>
      <c r="Q298" s="150"/>
      <c r="R298" s="150"/>
      <c r="S298" s="150"/>
      <c r="T298" s="150"/>
      <c r="U298" s="150"/>
      <c r="V298" s="150"/>
      <c r="W298" s="150"/>
      <c r="X298" s="150"/>
      <c r="Y298" s="150"/>
      <c r="Z298" s="150"/>
    </row>
    <row r="299">
      <c r="A299" s="150"/>
      <c r="B299" s="155"/>
      <c r="C299" s="155"/>
      <c r="D299" s="155"/>
      <c r="E299" s="155"/>
      <c r="F299" s="150"/>
      <c r="G299" s="150"/>
      <c r="H299" s="150"/>
      <c r="I299" s="150"/>
      <c r="J299" s="150"/>
      <c r="K299" s="150"/>
      <c r="L299" s="150"/>
      <c r="M299" s="150"/>
      <c r="N299" s="150"/>
      <c r="O299" s="150"/>
      <c r="P299" s="150"/>
      <c r="Q299" s="150"/>
      <c r="R299" s="150"/>
      <c r="S299" s="150"/>
      <c r="T299" s="150"/>
      <c r="U299" s="150"/>
      <c r="V299" s="150"/>
      <c r="W299" s="150"/>
      <c r="X299" s="150"/>
      <c r="Y299" s="150"/>
      <c r="Z299" s="150"/>
    </row>
    <row r="300">
      <c r="A300" s="150"/>
      <c r="B300" s="155"/>
      <c r="C300" s="155"/>
      <c r="D300" s="155"/>
      <c r="E300" s="155"/>
      <c r="F300" s="150"/>
      <c r="G300" s="150"/>
      <c r="H300" s="150"/>
      <c r="I300" s="150"/>
      <c r="J300" s="150"/>
      <c r="K300" s="150"/>
      <c r="L300" s="150"/>
      <c r="M300" s="150"/>
      <c r="N300" s="150"/>
      <c r="O300" s="150"/>
      <c r="P300" s="150"/>
      <c r="Q300" s="150"/>
      <c r="R300" s="150"/>
      <c r="S300" s="150"/>
      <c r="T300" s="150"/>
      <c r="U300" s="150"/>
      <c r="V300" s="150"/>
      <c r="W300" s="150"/>
      <c r="X300" s="150"/>
      <c r="Y300" s="150"/>
      <c r="Z300" s="150"/>
    </row>
    <row r="301">
      <c r="A301" s="150"/>
      <c r="B301" s="155"/>
      <c r="C301" s="155"/>
      <c r="D301" s="155"/>
      <c r="E301" s="155"/>
      <c r="F301" s="150"/>
      <c r="G301" s="150"/>
      <c r="H301" s="150"/>
      <c r="I301" s="150"/>
      <c r="J301" s="150"/>
      <c r="K301" s="150"/>
      <c r="L301" s="150"/>
      <c r="M301" s="150"/>
      <c r="N301" s="150"/>
      <c r="O301" s="150"/>
      <c r="P301" s="150"/>
      <c r="Q301" s="150"/>
      <c r="R301" s="150"/>
      <c r="S301" s="150"/>
      <c r="T301" s="150"/>
      <c r="U301" s="150"/>
      <c r="V301" s="150"/>
      <c r="W301" s="150"/>
      <c r="X301" s="150"/>
      <c r="Y301" s="150"/>
      <c r="Z301" s="150"/>
    </row>
    <row r="302">
      <c r="A302" s="150"/>
      <c r="B302" s="155"/>
      <c r="C302" s="155"/>
      <c r="D302" s="155"/>
      <c r="E302" s="155"/>
      <c r="F302" s="150"/>
      <c r="G302" s="150"/>
      <c r="H302" s="150"/>
      <c r="I302" s="150"/>
      <c r="J302" s="150"/>
      <c r="K302" s="150"/>
      <c r="L302" s="150"/>
      <c r="M302" s="150"/>
      <c r="N302" s="150"/>
      <c r="O302" s="150"/>
      <c r="P302" s="150"/>
      <c r="Q302" s="150"/>
      <c r="R302" s="150"/>
      <c r="S302" s="150"/>
      <c r="T302" s="150"/>
      <c r="U302" s="150"/>
      <c r="V302" s="150"/>
      <c r="W302" s="150"/>
      <c r="X302" s="150"/>
      <c r="Y302" s="150"/>
      <c r="Z302" s="150"/>
    </row>
    <row r="303">
      <c r="A303" s="150"/>
      <c r="B303" s="155"/>
      <c r="C303" s="155"/>
      <c r="D303" s="155"/>
      <c r="E303" s="155"/>
      <c r="F303" s="150"/>
      <c r="G303" s="150"/>
      <c r="H303" s="150"/>
      <c r="I303" s="150"/>
      <c r="J303" s="150"/>
      <c r="K303" s="150"/>
      <c r="L303" s="150"/>
      <c r="M303" s="150"/>
      <c r="N303" s="150"/>
      <c r="O303" s="150"/>
      <c r="P303" s="150"/>
      <c r="Q303" s="150"/>
      <c r="R303" s="150"/>
      <c r="S303" s="150"/>
      <c r="T303" s="150"/>
      <c r="U303" s="150"/>
      <c r="V303" s="150"/>
      <c r="W303" s="150"/>
      <c r="X303" s="150"/>
      <c r="Y303" s="150"/>
      <c r="Z303" s="150"/>
    </row>
    <row r="304">
      <c r="A304" s="150"/>
      <c r="B304" s="155"/>
      <c r="C304" s="155"/>
      <c r="D304" s="155"/>
      <c r="E304" s="155"/>
      <c r="F304" s="150"/>
      <c r="G304" s="150"/>
      <c r="H304" s="150"/>
      <c r="I304" s="150"/>
      <c r="J304" s="150"/>
      <c r="K304" s="150"/>
      <c r="L304" s="150"/>
      <c r="M304" s="150"/>
      <c r="N304" s="150"/>
      <c r="O304" s="150"/>
      <c r="P304" s="150"/>
      <c r="Q304" s="150"/>
      <c r="R304" s="150"/>
      <c r="S304" s="150"/>
      <c r="T304" s="150"/>
      <c r="U304" s="150"/>
      <c r="V304" s="150"/>
      <c r="W304" s="150"/>
      <c r="X304" s="150"/>
      <c r="Y304" s="150"/>
      <c r="Z304" s="150"/>
    </row>
    <row r="305">
      <c r="A305" s="150"/>
      <c r="B305" s="155"/>
      <c r="C305" s="155"/>
      <c r="D305" s="155"/>
      <c r="E305" s="155"/>
      <c r="F305" s="150"/>
      <c r="G305" s="150"/>
      <c r="H305" s="150"/>
      <c r="I305" s="150"/>
      <c r="J305" s="150"/>
      <c r="K305" s="150"/>
      <c r="L305" s="150"/>
      <c r="M305" s="150"/>
      <c r="N305" s="150"/>
      <c r="O305" s="150"/>
      <c r="P305" s="150"/>
      <c r="Q305" s="150"/>
      <c r="R305" s="150"/>
      <c r="S305" s="150"/>
      <c r="T305" s="150"/>
      <c r="U305" s="150"/>
      <c r="V305" s="150"/>
      <c r="W305" s="150"/>
      <c r="X305" s="150"/>
      <c r="Y305" s="150"/>
      <c r="Z305" s="150"/>
    </row>
    <row r="306">
      <c r="A306" s="150"/>
      <c r="B306" s="155"/>
      <c r="C306" s="155"/>
      <c r="D306" s="155"/>
      <c r="E306" s="155"/>
      <c r="F306" s="150"/>
      <c r="G306" s="150"/>
      <c r="H306" s="150"/>
      <c r="I306" s="150"/>
      <c r="J306" s="150"/>
      <c r="K306" s="150"/>
      <c r="L306" s="150"/>
      <c r="M306" s="150"/>
      <c r="N306" s="150"/>
      <c r="O306" s="150"/>
      <c r="P306" s="150"/>
      <c r="Q306" s="150"/>
      <c r="R306" s="150"/>
      <c r="S306" s="150"/>
      <c r="T306" s="150"/>
      <c r="U306" s="150"/>
      <c r="V306" s="150"/>
      <c r="W306" s="150"/>
      <c r="X306" s="150"/>
      <c r="Y306" s="150"/>
      <c r="Z306" s="150"/>
    </row>
    <row r="307">
      <c r="A307" s="150"/>
      <c r="B307" s="155"/>
      <c r="C307" s="155"/>
      <c r="D307" s="155"/>
      <c r="E307" s="155"/>
      <c r="F307" s="150"/>
      <c r="G307" s="150"/>
      <c r="H307" s="150"/>
      <c r="I307" s="150"/>
      <c r="J307" s="150"/>
      <c r="K307" s="150"/>
      <c r="L307" s="150"/>
      <c r="M307" s="150"/>
      <c r="N307" s="150"/>
      <c r="O307" s="150"/>
      <c r="P307" s="150"/>
      <c r="Q307" s="150"/>
      <c r="R307" s="150"/>
      <c r="S307" s="150"/>
      <c r="T307" s="150"/>
      <c r="U307" s="150"/>
      <c r="V307" s="150"/>
      <c r="W307" s="150"/>
      <c r="X307" s="150"/>
      <c r="Y307" s="150"/>
      <c r="Z307" s="150"/>
    </row>
    <row r="308">
      <c r="A308" s="150"/>
      <c r="B308" s="155"/>
      <c r="C308" s="155"/>
      <c r="D308" s="155"/>
      <c r="E308" s="155"/>
      <c r="F308" s="150"/>
      <c r="G308" s="150"/>
      <c r="H308" s="150"/>
      <c r="I308" s="150"/>
      <c r="J308" s="150"/>
      <c r="K308" s="150"/>
      <c r="L308" s="150"/>
      <c r="M308" s="150"/>
      <c r="N308" s="150"/>
      <c r="O308" s="150"/>
      <c r="P308" s="150"/>
      <c r="Q308" s="150"/>
      <c r="R308" s="150"/>
      <c r="S308" s="150"/>
      <c r="T308" s="150"/>
      <c r="U308" s="150"/>
      <c r="V308" s="150"/>
      <c r="W308" s="150"/>
      <c r="X308" s="150"/>
      <c r="Y308" s="150"/>
      <c r="Z308" s="150"/>
    </row>
    <row r="309">
      <c r="A309" s="150"/>
      <c r="B309" s="155"/>
      <c r="C309" s="155"/>
      <c r="D309" s="155"/>
      <c r="E309" s="155"/>
      <c r="F309" s="150"/>
      <c r="G309" s="150"/>
      <c r="H309" s="150"/>
      <c r="I309" s="150"/>
      <c r="J309" s="150"/>
      <c r="K309" s="150"/>
      <c r="L309" s="150"/>
      <c r="M309" s="150"/>
      <c r="N309" s="150"/>
      <c r="O309" s="150"/>
      <c r="P309" s="150"/>
      <c r="Q309" s="150"/>
      <c r="R309" s="150"/>
      <c r="S309" s="150"/>
      <c r="T309" s="150"/>
      <c r="U309" s="150"/>
      <c r="V309" s="150"/>
      <c r="W309" s="150"/>
      <c r="X309" s="150"/>
      <c r="Y309" s="150"/>
      <c r="Z309" s="150"/>
    </row>
    <row r="310">
      <c r="A310" s="150"/>
      <c r="B310" s="155"/>
      <c r="C310" s="155"/>
      <c r="D310" s="155"/>
      <c r="E310" s="155"/>
      <c r="F310" s="150"/>
      <c r="G310" s="150"/>
      <c r="H310" s="150"/>
      <c r="I310" s="150"/>
      <c r="J310" s="150"/>
      <c r="K310" s="150"/>
      <c r="L310" s="150"/>
      <c r="M310" s="150"/>
      <c r="N310" s="150"/>
      <c r="O310" s="150"/>
      <c r="P310" s="150"/>
      <c r="Q310" s="150"/>
      <c r="R310" s="150"/>
      <c r="S310" s="150"/>
      <c r="T310" s="150"/>
      <c r="U310" s="150"/>
      <c r="V310" s="150"/>
      <c r="W310" s="150"/>
      <c r="X310" s="150"/>
      <c r="Y310" s="150"/>
      <c r="Z310" s="150"/>
    </row>
    <row r="311">
      <c r="A311" s="150"/>
      <c r="B311" s="155"/>
      <c r="C311" s="155"/>
      <c r="D311" s="155"/>
      <c r="E311" s="155"/>
      <c r="F311" s="150"/>
      <c r="G311" s="150"/>
      <c r="H311" s="150"/>
      <c r="I311" s="150"/>
      <c r="J311" s="150"/>
      <c r="K311" s="150"/>
      <c r="L311" s="150"/>
      <c r="M311" s="150"/>
      <c r="N311" s="150"/>
      <c r="O311" s="150"/>
      <c r="P311" s="150"/>
      <c r="Q311" s="150"/>
      <c r="R311" s="150"/>
      <c r="S311" s="150"/>
      <c r="T311" s="150"/>
      <c r="U311" s="150"/>
      <c r="V311" s="150"/>
      <c r="W311" s="150"/>
      <c r="X311" s="150"/>
      <c r="Y311" s="150"/>
      <c r="Z311" s="150"/>
    </row>
    <row r="312">
      <c r="A312" s="150"/>
      <c r="B312" s="155"/>
      <c r="C312" s="155"/>
      <c r="D312" s="155"/>
      <c r="E312" s="155"/>
      <c r="F312" s="150"/>
      <c r="G312" s="150"/>
      <c r="H312" s="150"/>
      <c r="I312" s="150"/>
      <c r="J312" s="150"/>
      <c r="K312" s="150"/>
      <c r="L312" s="150"/>
      <c r="M312" s="150"/>
      <c r="N312" s="150"/>
      <c r="O312" s="150"/>
      <c r="P312" s="150"/>
      <c r="Q312" s="150"/>
      <c r="R312" s="150"/>
      <c r="S312" s="150"/>
      <c r="T312" s="150"/>
      <c r="U312" s="150"/>
      <c r="V312" s="150"/>
      <c r="W312" s="150"/>
      <c r="X312" s="150"/>
      <c r="Y312" s="150"/>
      <c r="Z312" s="150"/>
    </row>
    <row r="313">
      <c r="A313" s="150"/>
      <c r="B313" s="155"/>
      <c r="C313" s="155"/>
      <c r="D313" s="155"/>
      <c r="E313" s="155"/>
      <c r="F313" s="150"/>
      <c r="G313" s="150"/>
      <c r="H313" s="150"/>
      <c r="I313" s="150"/>
      <c r="J313" s="150"/>
      <c r="K313" s="150"/>
      <c r="L313" s="150"/>
      <c r="M313" s="150"/>
      <c r="N313" s="150"/>
      <c r="O313" s="150"/>
      <c r="P313" s="150"/>
      <c r="Q313" s="150"/>
      <c r="R313" s="150"/>
      <c r="S313" s="150"/>
      <c r="T313" s="150"/>
      <c r="U313" s="150"/>
      <c r="V313" s="150"/>
      <c r="W313" s="150"/>
      <c r="X313" s="150"/>
      <c r="Y313" s="150"/>
      <c r="Z313" s="150"/>
    </row>
    <row r="314">
      <c r="A314" s="150"/>
      <c r="B314" s="155"/>
      <c r="C314" s="155"/>
      <c r="D314" s="155"/>
      <c r="E314" s="155"/>
      <c r="F314" s="150"/>
      <c r="G314" s="150"/>
      <c r="H314" s="150"/>
      <c r="I314" s="150"/>
      <c r="J314" s="150"/>
      <c r="K314" s="150"/>
      <c r="L314" s="150"/>
      <c r="M314" s="150"/>
      <c r="N314" s="150"/>
      <c r="O314" s="150"/>
      <c r="P314" s="150"/>
      <c r="Q314" s="150"/>
      <c r="R314" s="150"/>
      <c r="S314" s="150"/>
      <c r="T314" s="150"/>
      <c r="U314" s="150"/>
      <c r="V314" s="150"/>
      <c r="W314" s="150"/>
      <c r="X314" s="150"/>
      <c r="Y314" s="150"/>
      <c r="Z314" s="150"/>
    </row>
    <row r="315">
      <c r="A315" s="150"/>
      <c r="B315" s="155"/>
      <c r="C315" s="155"/>
      <c r="D315" s="155"/>
      <c r="E315" s="155"/>
      <c r="F315" s="150"/>
      <c r="G315" s="150"/>
      <c r="H315" s="150"/>
      <c r="I315" s="150"/>
      <c r="J315" s="150"/>
      <c r="K315" s="150"/>
      <c r="L315" s="150"/>
      <c r="M315" s="150"/>
      <c r="N315" s="150"/>
      <c r="O315" s="150"/>
      <c r="P315" s="150"/>
      <c r="Q315" s="150"/>
      <c r="R315" s="150"/>
      <c r="S315" s="150"/>
      <c r="T315" s="150"/>
      <c r="U315" s="150"/>
      <c r="V315" s="150"/>
      <c r="W315" s="150"/>
      <c r="X315" s="150"/>
      <c r="Y315" s="150"/>
      <c r="Z315" s="150"/>
    </row>
    <row r="316">
      <c r="A316" s="150"/>
      <c r="B316" s="155"/>
      <c r="C316" s="155"/>
      <c r="D316" s="155"/>
      <c r="E316" s="155"/>
      <c r="F316" s="150"/>
      <c r="G316" s="150"/>
      <c r="H316" s="150"/>
      <c r="I316" s="150"/>
      <c r="J316" s="150"/>
      <c r="K316" s="150"/>
      <c r="L316" s="150"/>
      <c r="M316" s="150"/>
      <c r="N316" s="150"/>
      <c r="O316" s="150"/>
      <c r="P316" s="150"/>
      <c r="Q316" s="150"/>
      <c r="R316" s="150"/>
      <c r="S316" s="150"/>
      <c r="T316" s="150"/>
      <c r="U316" s="150"/>
      <c r="V316" s="150"/>
      <c r="W316" s="150"/>
      <c r="X316" s="150"/>
      <c r="Y316" s="150"/>
      <c r="Z316" s="150"/>
    </row>
    <row r="317">
      <c r="A317" s="150"/>
      <c r="B317" s="155"/>
      <c r="C317" s="155"/>
      <c r="D317" s="155"/>
      <c r="E317" s="155"/>
      <c r="F317" s="150"/>
      <c r="G317" s="150"/>
      <c r="H317" s="150"/>
      <c r="I317" s="150"/>
      <c r="J317" s="150"/>
      <c r="K317" s="150"/>
      <c r="L317" s="150"/>
      <c r="M317" s="150"/>
      <c r="N317" s="150"/>
      <c r="O317" s="150"/>
      <c r="P317" s="150"/>
      <c r="Q317" s="150"/>
      <c r="R317" s="150"/>
      <c r="S317" s="150"/>
      <c r="T317" s="150"/>
      <c r="U317" s="150"/>
      <c r="V317" s="150"/>
      <c r="W317" s="150"/>
      <c r="X317" s="150"/>
      <c r="Y317" s="150"/>
      <c r="Z317" s="150"/>
    </row>
    <row r="318">
      <c r="A318" s="150"/>
      <c r="B318" s="155"/>
      <c r="C318" s="155"/>
      <c r="D318" s="155"/>
      <c r="E318" s="155"/>
      <c r="F318" s="150"/>
      <c r="G318" s="150"/>
      <c r="H318" s="150"/>
      <c r="I318" s="150"/>
      <c r="J318" s="150"/>
      <c r="K318" s="150"/>
      <c r="L318" s="150"/>
      <c r="M318" s="150"/>
      <c r="N318" s="150"/>
      <c r="O318" s="150"/>
      <c r="P318" s="150"/>
      <c r="Q318" s="150"/>
      <c r="R318" s="150"/>
      <c r="S318" s="150"/>
      <c r="T318" s="150"/>
      <c r="U318" s="150"/>
      <c r="V318" s="150"/>
      <c r="W318" s="150"/>
      <c r="X318" s="150"/>
      <c r="Y318" s="150"/>
      <c r="Z318" s="150"/>
    </row>
    <row r="319">
      <c r="A319" s="150"/>
      <c r="B319" s="155"/>
      <c r="C319" s="155"/>
      <c r="D319" s="155"/>
      <c r="E319" s="155"/>
      <c r="F319" s="150"/>
      <c r="G319" s="150"/>
      <c r="H319" s="150"/>
      <c r="I319" s="150"/>
      <c r="J319" s="150"/>
      <c r="K319" s="150"/>
      <c r="L319" s="150"/>
      <c r="M319" s="150"/>
      <c r="N319" s="150"/>
      <c r="O319" s="150"/>
      <c r="P319" s="150"/>
      <c r="Q319" s="150"/>
      <c r="R319" s="150"/>
      <c r="S319" s="150"/>
      <c r="T319" s="150"/>
      <c r="U319" s="150"/>
      <c r="V319" s="150"/>
      <c r="W319" s="150"/>
      <c r="X319" s="150"/>
      <c r="Y319" s="150"/>
      <c r="Z319" s="150"/>
    </row>
    <row r="320">
      <c r="A320" s="150"/>
      <c r="B320" s="155"/>
      <c r="C320" s="155"/>
      <c r="D320" s="155"/>
      <c r="E320" s="155"/>
      <c r="F320" s="150"/>
      <c r="G320" s="150"/>
      <c r="H320" s="150"/>
      <c r="I320" s="150"/>
      <c r="J320" s="150"/>
      <c r="K320" s="150"/>
      <c r="L320" s="150"/>
      <c r="M320" s="150"/>
      <c r="N320" s="150"/>
      <c r="O320" s="150"/>
      <c r="P320" s="150"/>
      <c r="Q320" s="150"/>
      <c r="R320" s="150"/>
      <c r="S320" s="150"/>
      <c r="T320" s="150"/>
      <c r="U320" s="150"/>
      <c r="V320" s="150"/>
      <c r="W320" s="150"/>
      <c r="X320" s="150"/>
      <c r="Y320" s="150"/>
      <c r="Z320" s="150"/>
    </row>
    <row r="321">
      <c r="A321" s="150"/>
      <c r="B321" s="155"/>
      <c r="C321" s="155"/>
      <c r="D321" s="155"/>
      <c r="E321" s="155"/>
      <c r="F321" s="150"/>
      <c r="G321" s="150"/>
      <c r="H321" s="150"/>
      <c r="I321" s="150"/>
      <c r="J321" s="150"/>
      <c r="K321" s="150"/>
      <c r="L321" s="150"/>
      <c r="M321" s="150"/>
      <c r="N321" s="150"/>
      <c r="O321" s="150"/>
      <c r="P321" s="150"/>
      <c r="Q321" s="150"/>
      <c r="R321" s="150"/>
      <c r="S321" s="150"/>
      <c r="T321" s="150"/>
      <c r="U321" s="150"/>
      <c r="V321" s="150"/>
      <c r="W321" s="150"/>
      <c r="X321" s="150"/>
      <c r="Y321" s="150"/>
      <c r="Z321" s="150"/>
    </row>
    <row r="322">
      <c r="A322" s="150"/>
      <c r="B322" s="155"/>
      <c r="C322" s="155"/>
      <c r="D322" s="155"/>
      <c r="E322" s="155"/>
      <c r="F322" s="150"/>
      <c r="G322" s="150"/>
      <c r="H322" s="150"/>
      <c r="I322" s="150"/>
      <c r="J322" s="150"/>
      <c r="K322" s="150"/>
      <c r="L322" s="150"/>
      <c r="M322" s="150"/>
      <c r="N322" s="150"/>
      <c r="O322" s="150"/>
      <c r="P322" s="150"/>
      <c r="Q322" s="150"/>
      <c r="R322" s="150"/>
      <c r="S322" s="150"/>
      <c r="T322" s="150"/>
      <c r="U322" s="150"/>
      <c r="V322" s="150"/>
      <c r="W322" s="150"/>
      <c r="X322" s="150"/>
      <c r="Y322" s="150"/>
      <c r="Z322" s="150"/>
    </row>
    <row r="323">
      <c r="A323" s="150"/>
      <c r="B323" s="155"/>
      <c r="C323" s="155"/>
      <c r="D323" s="155"/>
      <c r="E323" s="155"/>
      <c r="F323" s="150"/>
      <c r="G323" s="150"/>
      <c r="H323" s="150"/>
      <c r="I323" s="150"/>
      <c r="J323" s="150"/>
      <c r="K323" s="150"/>
      <c r="L323" s="150"/>
      <c r="M323" s="150"/>
      <c r="N323" s="150"/>
      <c r="O323" s="150"/>
      <c r="P323" s="150"/>
      <c r="Q323" s="150"/>
      <c r="R323" s="150"/>
      <c r="S323" s="150"/>
      <c r="T323" s="150"/>
      <c r="U323" s="150"/>
      <c r="V323" s="150"/>
      <c r="W323" s="150"/>
      <c r="X323" s="150"/>
      <c r="Y323" s="150"/>
      <c r="Z323" s="150"/>
    </row>
    <row r="324">
      <c r="A324" s="150"/>
      <c r="B324" s="155"/>
      <c r="C324" s="155"/>
      <c r="D324" s="155"/>
      <c r="E324" s="155"/>
      <c r="F324" s="150"/>
      <c r="G324" s="150"/>
      <c r="H324" s="150"/>
      <c r="I324" s="150"/>
      <c r="J324" s="150"/>
      <c r="K324" s="150"/>
      <c r="L324" s="150"/>
      <c r="M324" s="150"/>
      <c r="N324" s="150"/>
      <c r="O324" s="150"/>
      <c r="P324" s="150"/>
      <c r="Q324" s="150"/>
      <c r="R324" s="150"/>
      <c r="S324" s="150"/>
      <c r="T324" s="150"/>
      <c r="U324" s="150"/>
      <c r="V324" s="150"/>
      <c r="W324" s="150"/>
      <c r="X324" s="150"/>
      <c r="Y324" s="150"/>
      <c r="Z324" s="150"/>
    </row>
    <row r="325">
      <c r="A325" s="150"/>
      <c r="B325" s="155"/>
      <c r="C325" s="155"/>
      <c r="D325" s="155"/>
      <c r="E325" s="155"/>
      <c r="F325" s="150"/>
      <c r="G325" s="150"/>
      <c r="H325" s="150"/>
      <c r="I325" s="150"/>
      <c r="J325" s="150"/>
      <c r="K325" s="150"/>
      <c r="L325" s="150"/>
      <c r="M325" s="150"/>
      <c r="N325" s="150"/>
      <c r="O325" s="150"/>
      <c r="P325" s="150"/>
      <c r="Q325" s="150"/>
      <c r="R325" s="150"/>
      <c r="S325" s="150"/>
      <c r="T325" s="150"/>
      <c r="U325" s="150"/>
      <c r="V325" s="150"/>
      <c r="W325" s="150"/>
      <c r="X325" s="150"/>
      <c r="Y325" s="150"/>
      <c r="Z325" s="150"/>
    </row>
    <row r="326">
      <c r="A326" s="150"/>
      <c r="B326" s="155"/>
      <c r="C326" s="155"/>
      <c r="D326" s="155"/>
      <c r="E326" s="155"/>
      <c r="F326" s="150"/>
      <c r="G326" s="150"/>
      <c r="H326" s="150"/>
      <c r="I326" s="150"/>
      <c r="J326" s="150"/>
      <c r="K326" s="150"/>
      <c r="L326" s="150"/>
      <c r="M326" s="150"/>
      <c r="N326" s="150"/>
      <c r="O326" s="150"/>
      <c r="P326" s="150"/>
      <c r="Q326" s="150"/>
      <c r="R326" s="150"/>
      <c r="S326" s="150"/>
      <c r="T326" s="150"/>
      <c r="U326" s="150"/>
      <c r="V326" s="150"/>
      <c r="W326" s="150"/>
      <c r="X326" s="150"/>
      <c r="Y326" s="150"/>
      <c r="Z326" s="150"/>
    </row>
    <row r="327">
      <c r="A327" s="150"/>
      <c r="B327" s="155"/>
      <c r="C327" s="155"/>
      <c r="D327" s="155"/>
      <c r="E327" s="155"/>
      <c r="F327" s="150"/>
      <c r="G327" s="150"/>
      <c r="H327" s="150"/>
      <c r="I327" s="150"/>
      <c r="J327" s="150"/>
      <c r="K327" s="150"/>
      <c r="L327" s="150"/>
      <c r="M327" s="150"/>
      <c r="N327" s="150"/>
      <c r="O327" s="150"/>
      <c r="P327" s="150"/>
      <c r="Q327" s="150"/>
      <c r="R327" s="150"/>
      <c r="S327" s="150"/>
      <c r="T327" s="150"/>
      <c r="U327" s="150"/>
      <c r="V327" s="150"/>
      <c r="W327" s="150"/>
      <c r="X327" s="150"/>
      <c r="Y327" s="150"/>
      <c r="Z327" s="150"/>
    </row>
    <row r="328">
      <c r="A328" s="150"/>
      <c r="B328" s="155"/>
      <c r="C328" s="155"/>
      <c r="D328" s="155"/>
      <c r="E328" s="155"/>
      <c r="F328" s="150"/>
      <c r="G328" s="150"/>
      <c r="H328" s="150"/>
      <c r="I328" s="150"/>
      <c r="J328" s="150"/>
      <c r="K328" s="150"/>
      <c r="L328" s="150"/>
      <c r="M328" s="150"/>
      <c r="N328" s="150"/>
      <c r="O328" s="150"/>
      <c r="P328" s="150"/>
      <c r="Q328" s="150"/>
      <c r="R328" s="150"/>
      <c r="S328" s="150"/>
      <c r="T328" s="150"/>
      <c r="U328" s="150"/>
      <c r="V328" s="150"/>
      <c r="W328" s="150"/>
      <c r="X328" s="150"/>
      <c r="Y328" s="150"/>
      <c r="Z328" s="150"/>
    </row>
    <row r="329">
      <c r="A329" s="150"/>
      <c r="B329" s="155"/>
      <c r="C329" s="155"/>
      <c r="D329" s="155"/>
      <c r="E329" s="155"/>
      <c r="F329" s="150"/>
      <c r="G329" s="150"/>
      <c r="H329" s="150"/>
      <c r="I329" s="150"/>
      <c r="J329" s="150"/>
      <c r="K329" s="150"/>
      <c r="L329" s="150"/>
      <c r="M329" s="150"/>
      <c r="N329" s="150"/>
      <c r="O329" s="150"/>
      <c r="P329" s="150"/>
      <c r="Q329" s="150"/>
      <c r="R329" s="150"/>
      <c r="S329" s="150"/>
      <c r="T329" s="150"/>
      <c r="U329" s="150"/>
      <c r="V329" s="150"/>
      <c r="W329" s="150"/>
      <c r="X329" s="150"/>
      <c r="Y329" s="150"/>
      <c r="Z329" s="150"/>
    </row>
    <row r="330">
      <c r="A330" s="150"/>
      <c r="B330" s="155"/>
      <c r="C330" s="155"/>
      <c r="D330" s="155"/>
      <c r="E330" s="155"/>
      <c r="F330" s="150"/>
      <c r="G330" s="150"/>
      <c r="H330" s="150"/>
      <c r="I330" s="150"/>
      <c r="J330" s="150"/>
      <c r="K330" s="150"/>
      <c r="L330" s="150"/>
      <c r="M330" s="150"/>
      <c r="N330" s="150"/>
      <c r="O330" s="150"/>
      <c r="P330" s="150"/>
      <c r="Q330" s="150"/>
      <c r="R330" s="150"/>
      <c r="S330" s="150"/>
      <c r="T330" s="150"/>
      <c r="U330" s="150"/>
      <c r="V330" s="150"/>
      <c r="W330" s="150"/>
      <c r="X330" s="150"/>
      <c r="Y330" s="150"/>
      <c r="Z330" s="150"/>
    </row>
    <row r="331">
      <c r="A331" s="150"/>
      <c r="B331" s="155"/>
      <c r="C331" s="155"/>
      <c r="D331" s="155"/>
      <c r="E331" s="155"/>
      <c r="F331" s="150"/>
      <c r="G331" s="150"/>
      <c r="H331" s="150"/>
      <c r="I331" s="150"/>
      <c r="J331" s="150"/>
      <c r="K331" s="150"/>
      <c r="L331" s="150"/>
      <c r="M331" s="150"/>
      <c r="N331" s="150"/>
      <c r="O331" s="150"/>
      <c r="P331" s="150"/>
      <c r="Q331" s="150"/>
      <c r="R331" s="150"/>
      <c r="S331" s="150"/>
      <c r="T331" s="150"/>
      <c r="U331" s="150"/>
      <c r="V331" s="150"/>
      <c r="W331" s="150"/>
      <c r="X331" s="150"/>
      <c r="Y331" s="150"/>
      <c r="Z331" s="150"/>
    </row>
    <row r="332">
      <c r="A332" s="150"/>
      <c r="B332" s="155"/>
      <c r="C332" s="155"/>
      <c r="D332" s="155"/>
      <c r="E332" s="155"/>
      <c r="F332" s="150"/>
      <c r="G332" s="150"/>
      <c r="H332" s="150"/>
      <c r="I332" s="150"/>
      <c r="J332" s="150"/>
      <c r="K332" s="150"/>
      <c r="L332" s="150"/>
      <c r="M332" s="150"/>
      <c r="N332" s="150"/>
      <c r="O332" s="150"/>
      <c r="P332" s="150"/>
      <c r="Q332" s="150"/>
      <c r="R332" s="150"/>
      <c r="S332" s="150"/>
      <c r="T332" s="150"/>
      <c r="U332" s="150"/>
      <c r="V332" s="150"/>
      <c r="W332" s="150"/>
      <c r="X332" s="150"/>
      <c r="Y332" s="150"/>
      <c r="Z332" s="150"/>
    </row>
    <row r="333">
      <c r="A333" s="150"/>
      <c r="B333" s="155"/>
      <c r="C333" s="155"/>
      <c r="D333" s="155"/>
      <c r="E333" s="155"/>
      <c r="F333" s="150"/>
      <c r="G333" s="150"/>
      <c r="H333" s="150"/>
      <c r="I333" s="150"/>
      <c r="J333" s="150"/>
      <c r="K333" s="150"/>
      <c r="L333" s="150"/>
      <c r="M333" s="150"/>
      <c r="N333" s="150"/>
      <c r="O333" s="150"/>
      <c r="P333" s="150"/>
      <c r="Q333" s="150"/>
      <c r="R333" s="150"/>
      <c r="S333" s="150"/>
      <c r="T333" s="150"/>
      <c r="U333" s="150"/>
      <c r="V333" s="150"/>
      <c r="W333" s="150"/>
      <c r="X333" s="150"/>
      <c r="Y333" s="150"/>
      <c r="Z333" s="150"/>
    </row>
    <row r="334">
      <c r="A334" s="150"/>
      <c r="B334" s="155"/>
      <c r="C334" s="155"/>
      <c r="D334" s="155"/>
      <c r="E334" s="155"/>
      <c r="F334" s="150"/>
      <c r="G334" s="150"/>
      <c r="H334" s="150"/>
      <c r="I334" s="150"/>
      <c r="J334" s="150"/>
      <c r="K334" s="150"/>
      <c r="L334" s="150"/>
      <c r="M334" s="150"/>
      <c r="N334" s="150"/>
      <c r="O334" s="150"/>
      <c r="P334" s="150"/>
      <c r="Q334" s="150"/>
      <c r="R334" s="150"/>
      <c r="S334" s="150"/>
      <c r="T334" s="150"/>
      <c r="U334" s="150"/>
      <c r="V334" s="150"/>
      <c r="W334" s="150"/>
      <c r="X334" s="150"/>
      <c r="Y334" s="150"/>
      <c r="Z334" s="150"/>
    </row>
    <row r="335">
      <c r="A335" s="150"/>
      <c r="B335" s="155"/>
      <c r="C335" s="155"/>
      <c r="D335" s="155"/>
      <c r="E335" s="155"/>
      <c r="F335" s="150"/>
      <c r="G335" s="150"/>
      <c r="H335" s="150"/>
      <c r="I335" s="150"/>
      <c r="J335" s="150"/>
      <c r="K335" s="150"/>
      <c r="L335" s="150"/>
      <c r="M335" s="150"/>
      <c r="N335" s="150"/>
      <c r="O335" s="150"/>
      <c r="P335" s="150"/>
      <c r="Q335" s="150"/>
      <c r="R335" s="150"/>
      <c r="S335" s="150"/>
      <c r="T335" s="150"/>
      <c r="U335" s="150"/>
      <c r="V335" s="150"/>
      <c r="W335" s="150"/>
      <c r="X335" s="150"/>
      <c r="Y335" s="150"/>
      <c r="Z335" s="150"/>
    </row>
    <row r="336">
      <c r="A336" s="150"/>
      <c r="B336" s="155"/>
      <c r="C336" s="155"/>
      <c r="D336" s="155"/>
      <c r="E336" s="155"/>
      <c r="F336" s="150"/>
      <c r="G336" s="150"/>
      <c r="H336" s="150"/>
      <c r="I336" s="150"/>
      <c r="J336" s="150"/>
      <c r="K336" s="150"/>
      <c r="L336" s="150"/>
      <c r="M336" s="150"/>
      <c r="N336" s="150"/>
      <c r="O336" s="150"/>
      <c r="P336" s="150"/>
      <c r="Q336" s="150"/>
      <c r="R336" s="150"/>
      <c r="S336" s="150"/>
      <c r="T336" s="150"/>
      <c r="U336" s="150"/>
      <c r="V336" s="150"/>
      <c r="W336" s="150"/>
      <c r="X336" s="150"/>
      <c r="Y336" s="150"/>
      <c r="Z336" s="150"/>
    </row>
    <row r="337">
      <c r="A337" s="150"/>
      <c r="B337" s="155"/>
      <c r="C337" s="155"/>
      <c r="D337" s="155"/>
      <c r="E337" s="155"/>
      <c r="F337" s="150"/>
      <c r="G337" s="150"/>
      <c r="H337" s="150"/>
      <c r="I337" s="150"/>
      <c r="J337" s="150"/>
      <c r="K337" s="150"/>
      <c r="L337" s="150"/>
      <c r="M337" s="150"/>
      <c r="N337" s="150"/>
      <c r="O337" s="150"/>
      <c r="P337" s="150"/>
      <c r="Q337" s="150"/>
      <c r="R337" s="150"/>
      <c r="S337" s="150"/>
      <c r="T337" s="150"/>
      <c r="U337" s="150"/>
      <c r="V337" s="150"/>
      <c r="W337" s="150"/>
      <c r="X337" s="150"/>
      <c r="Y337" s="150"/>
      <c r="Z337" s="150"/>
    </row>
    <row r="338">
      <c r="A338" s="150"/>
      <c r="B338" s="155"/>
      <c r="C338" s="155"/>
      <c r="D338" s="155"/>
      <c r="E338" s="155"/>
      <c r="F338" s="150"/>
      <c r="G338" s="150"/>
      <c r="H338" s="150"/>
      <c r="I338" s="150"/>
      <c r="J338" s="150"/>
      <c r="K338" s="150"/>
      <c r="L338" s="150"/>
      <c r="M338" s="150"/>
      <c r="N338" s="150"/>
      <c r="O338" s="150"/>
      <c r="P338" s="150"/>
      <c r="Q338" s="150"/>
      <c r="R338" s="150"/>
      <c r="S338" s="150"/>
      <c r="T338" s="150"/>
      <c r="U338" s="150"/>
      <c r="V338" s="150"/>
      <c r="W338" s="150"/>
      <c r="X338" s="150"/>
      <c r="Y338" s="150"/>
      <c r="Z338" s="150"/>
    </row>
    <row r="339">
      <c r="A339" s="150"/>
      <c r="B339" s="155"/>
      <c r="C339" s="155"/>
      <c r="D339" s="155"/>
      <c r="E339" s="155"/>
      <c r="F339" s="150"/>
      <c r="G339" s="150"/>
      <c r="H339" s="150"/>
      <c r="I339" s="150"/>
      <c r="J339" s="150"/>
      <c r="K339" s="150"/>
      <c r="L339" s="150"/>
      <c r="M339" s="150"/>
      <c r="N339" s="150"/>
      <c r="O339" s="150"/>
      <c r="P339" s="150"/>
      <c r="Q339" s="150"/>
      <c r="R339" s="150"/>
      <c r="S339" s="150"/>
      <c r="T339" s="150"/>
      <c r="U339" s="150"/>
      <c r="V339" s="150"/>
      <c r="W339" s="150"/>
      <c r="X339" s="150"/>
      <c r="Y339" s="150"/>
      <c r="Z339" s="150"/>
    </row>
    <row r="340">
      <c r="A340" s="150"/>
      <c r="B340" s="155"/>
      <c r="C340" s="155"/>
      <c r="D340" s="155"/>
      <c r="E340" s="155"/>
      <c r="F340" s="150"/>
      <c r="G340" s="150"/>
      <c r="H340" s="150"/>
      <c r="I340" s="150"/>
      <c r="J340" s="150"/>
      <c r="K340" s="150"/>
      <c r="L340" s="150"/>
      <c r="M340" s="150"/>
      <c r="N340" s="150"/>
      <c r="O340" s="150"/>
      <c r="P340" s="150"/>
      <c r="Q340" s="150"/>
      <c r="R340" s="150"/>
      <c r="S340" s="150"/>
      <c r="T340" s="150"/>
      <c r="U340" s="150"/>
      <c r="V340" s="150"/>
      <c r="W340" s="150"/>
      <c r="X340" s="150"/>
      <c r="Y340" s="150"/>
      <c r="Z340" s="150"/>
    </row>
    <row r="341">
      <c r="A341" s="150"/>
      <c r="B341" s="155"/>
      <c r="C341" s="155"/>
      <c r="D341" s="155"/>
      <c r="E341" s="155"/>
      <c r="F341" s="150"/>
      <c r="G341" s="150"/>
      <c r="H341" s="150"/>
      <c r="I341" s="150"/>
      <c r="J341" s="150"/>
      <c r="K341" s="150"/>
      <c r="L341" s="150"/>
      <c r="M341" s="150"/>
      <c r="N341" s="150"/>
      <c r="O341" s="150"/>
      <c r="P341" s="150"/>
      <c r="Q341" s="150"/>
      <c r="R341" s="150"/>
      <c r="S341" s="150"/>
      <c r="T341" s="150"/>
      <c r="U341" s="150"/>
      <c r="V341" s="150"/>
      <c r="W341" s="150"/>
      <c r="X341" s="150"/>
      <c r="Y341" s="150"/>
      <c r="Z341" s="150"/>
    </row>
    <row r="342">
      <c r="A342" s="150"/>
      <c r="B342" s="155"/>
      <c r="C342" s="155"/>
      <c r="D342" s="155"/>
      <c r="E342" s="155"/>
      <c r="F342" s="150"/>
      <c r="G342" s="150"/>
      <c r="H342" s="150"/>
      <c r="I342" s="150"/>
      <c r="J342" s="150"/>
      <c r="K342" s="150"/>
      <c r="L342" s="150"/>
      <c r="M342" s="150"/>
      <c r="N342" s="150"/>
      <c r="O342" s="150"/>
      <c r="P342" s="150"/>
      <c r="Q342" s="150"/>
      <c r="R342" s="150"/>
      <c r="S342" s="150"/>
      <c r="T342" s="150"/>
      <c r="U342" s="150"/>
      <c r="V342" s="150"/>
      <c r="W342" s="150"/>
      <c r="X342" s="150"/>
      <c r="Y342" s="150"/>
      <c r="Z342" s="150"/>
    </row>
    <row r="343">
      <c r="A343" s="150"/>
      <c r="B343" s="155"/>
      <c r="C343" s="155"/>
      <c r="D343" s="155"/>
      <c r="E343" s="155"/>
      <c r="F343" s="150"/>
      <c r="G343" s="150"/>
      <c r="H343" s="150"/>
      <c r="I343" s="150"/>
      <c r="J343" s="150"/>
      <c r="K343" s="150"/>
      <c r="L343" s="150"/>
      <c r="M343" s="150"/>
      <c r="N343" s="150"/>
      <c r="O343" s="150"/>
      <c r="P343" s="150"/>
      <c r="Q343" s="150"/>
      <c r="R343" s="150"/>
      <c r="S343" s="150"/>
      <c r="T343" s="150"/>
      <c r="U343" s="150"/>
      <c r="V343" s="150"/>
      <c r="W343" s="150"/>
      <c r="X343" s="150"/>
      <c r="Y343" s="150"/>
      <c r="Z343" s="150"/>
    </row>
    <row r="344">
      <c r="A344" s="150"/>
      <c r="B344" s="155"/>
      <c r="C344" s="155"/>
      <c r="D344" s="155"/>
      <c r="E344" s="155"/>
      <c r="F344" s="150"/>
      <c r="G344" s="150"/>
      <c r="H344" s="150"/>
      <c r="I344" s="150"/>
      <c r="J344" s="150"/>
      <c r="K344" s="150"/>
      <c r="L344" s="150"/>
      <c r="M344" s="150"/>
      <c r="N344" s="150"/>
      <c r="O344" s="150"/>
      <c r="P344" s="150"/>
      <c r="Q344" s="150"/>
      <c r="R344" s="150"/>
      <c r="S344" s="150"/>
      <c r="T344" s="150"/>
      <c r="U344" s="150"/>
      <c r="V344" s="150"/>
      <c r="W344" s="150"/>
      <c r="X344" s="150"/>
      <c r="Y344" s="150"/>
      <c r="Z344" s="150"/>
    </row>
    <row r="345">
      <c r="A345" s="150"/>
      <c r="B345" s="155"/>
      <c r="C345" s="155"/>
      <c r="D345" s="155"/>
      <c r="E345" s="155"/>
      <c r="F345" s="150"/>
      <c r="G345" s="150"/>
      <c r="H345" s="150"/>
      <c r="I345" s="150"/>
      <c r="J345" s="150"/>
      <c r="K345" s="150"/>
      <c r="L345" s="150"/>
      <c r="M345" s="150"/>
      <c r="N345" s="150"/>
      <c r="O345" s="150"/>
      <c r="P345" s="150"/>
      <c r="Q345" s="150"/>
      <c r="R345" s="150"/>
      <c r="S345" s="150"/>
      <c r="T345" s="150"/>
      <c r="U345" s="150"/>
      <c r="V345" s="150"/>
      <c r="W345" s="150"/>
      <c r="X345" s="150"/>
      <c r="Y345" s="150"/>
      <c r="Z345" s="150"/>
    </row>
    <row r="346">
      <c r="A346" s="150"/>
      <c r="B346" s="155"/>
      <c r="C346" s="155"/>
      <c r="D346" s="155"/>
      <c r="E346" s="155"/>
      <c r="F346" s="150"/>
      <c r="G346" s="150"/>
      <c r="H346" s="150"/>
      <c r="I346" s="150"/>
      <c r="J346" s="150"/>
      <c r="K346" s="150"/>
      <c r="L346" s="150"/>
      <c r="M346" s="150"/>
      <c r="N346" s="150"/>
      <c r="O346" s="150"/>
      <c r="P346" s="150"/>
      <c r="Q346" s="150"/>
      <c r="R346" s="150"/>
      <c r="S346" s="150"/>
      <c r="T346" s="150"/>
      <c r="U346" s="150"/>
      <c r="V346" s="150"/>
      <c r="W346" s="150"/>
      <c r="X346" s="150"/>
      <c r="Y346" s="150"/>
      <c r="Z346" s="150"/>
    </row>
    <row r="347">
      <c r="A347" s="150"/>
      <c r="B347" s="155"/>
      <c r="C347" s="155"/>
      <c r="D347" s="155"/>
      <c r="E347" s="155"/>
      <c r="F347" s="150"/>
      <c r="G347" s="150"/>
      <c r="H347" s="150"/>
      <c r="I347" s="150"/>
      <c r="J347" s="150"/>
      <c r="K347" s="150"/>
      <c r="L347" s="150"/>
      <c r="M347" s="150"/>
      <c r="N347" s="150"/>
      <c r="O347" s="150"/>
      <c r="P347" s="150"/>
      <c r="Q347" s="150"/>
      <c r="R347" s="150"/>
      <c r="S347" s="150"/>
      <c r="T347" s="150"/>
      <c r="U347" s="150"/>
      <c r="V347" s="150"/>
      <c r="W347" s="150"/>
      <c r="X347" s="150"/>
      <c r="Y347" s="150"/>
      <c r="Z347" s="150"/>
    </row>
    <row r="348">
      <c r="A348" s="150"/>
      <c r="B348" s="155"/>
      <c r="C348" s="155"/>
      <c r="D348" s="155"/>
      <c r="E348" s="155"/>
      <c r="F348" s="150"/>
      <c r="G348" s="150"/>
      <c r="H348" s="150"/>
      <c r="I348" s="150"/>
      <c r="J348" s="150"/>
      <c r="K348" s="150"/>
      <c r="L348" s="150"/>
      <c r="M348" s="150"/>
      <c r="N348" s="150"/>
      <c r="O348" s="150"/>
      <c r="P348" s="150"/>
      <c r="Q348" s="150"/>
      <c r="R348" s="150"/>
      <c r="S348" s="150"/>
      <c r="T348" s="150"/>
      <c r="U348" s="150"/>
      <c r="V348" s="150"/>
      <c r="W348" s="150"/>
      <c r="X348" s="150"/>
      <c r="Y348" s="150"/>
      <c r="Z348" s="150"/>
    </row>
    <row r="349">
      <c r="A349" s="150"/>
      <c r="B349" s="155"/>
      <c r="C349" s="155"/>
      <c r="D349" s="155"/>
      <c r="E349" s="155"/>
      <c r="F349" s="150"/>
      <c r="G349" s="150"/>
      <c r="H349" s="150"/>
      <c r="I349" s="150"/>
      <c r="J349" s="150"/>
      <c r="K349" s="150"/>
      <c r="L349" s="150"/>
      <c r="M349" s="150"/>
      <c r="N349" s="150"/>
      <c r="O349" s="150"/>
      <c r="P349" s="150"/>
      <c r="Q349" s="150"/>
      <c r="R349" s="150"/>
      <c r="S349" s="150"/>
      <c r="T349" s="150"/>
      <c r="U349" s="150"/>
      <c r="V349" s="150"/>
      <c r="W349" s="150"/>
      <c r="X349" s="150"/>
      <c r="Y349" s="150"/>
      <c r="Z349" s="150"/>
    </row>
    <row r="350">
      <c r="A350" s="150"/>
      <c r="B350" s="155"/>
      <c r="C350" s="155"/>
      <c r="D350" s="155"/>
      <c r="E350" s="155"/>
      <c r="F350" s="150"/>
      <c r="G350" s="150"/>
      <c r="H350" s="150"/>
      <c r="I350" s="150"/>
      <c r="J350" s="150"/>
      <c r="K350" s="150"/>
      <c r="L350" s="150"/>
      <c r="M350" s="150"/>
      <c r="N350" s="150"/>
      <c r="O350" s="150"/>
      <c r="P350" s="150"/>
      <c r="Q350" s="150"/>
      <c r="R350" s="150"/>
      <c r="S350" s="150"/>
      <c r="T350" s="150"/>
      <c r="U350" s="150"/>
      <c r="V350" s="150"/>
      <c r="W350" s="150"/>
      <c r="X350" s="150"/>
      <c r="Y350" s="150"/>
      <c r="Z350" s="150"/>
    </row>
    <row r="351">
      <c r="A351" s="150"/>
      <c r="B351" s="155"/>
      <c r="C351" s="155"/>
      <c r="D351" s="155"/>
      <c r="E351" s="155"/>
      <c r="F351" s="150"/>
      <c r="G351" s="150"/>
      <c r="H351" s="150"/>
      <c r="I351" s="150"/>
      <c r="J351" s="150"/>
      <c r="K351" s="150"/>
      <c r="L351" s="150"/>
      <c r="M351" s="150"/>
      <c r="N351" s="150"/>
      <c r="O351" s="150"/>
      <c r="P351" s="150"/>
      <c r="Q351" s="150"/>
      <c r="R351" s="150"/>
      <c r="S351" s="150"/>
      <c r="T351" s="150"/>
      <c r="U351" s="150"/>
      <c r="V351" s="150"/>
      <c r="W351" s="150"/>
      <c r="X351" s="150"/>
      <c r="Y351" s="150"/>
      <c r="Z351" s="150"/>
    </row>
    <row r="352">
      <c r="A352" s="150"/>
      <c r="B352" s="155"/>
      <c r="C352" s="155"/>
      <c r="D352" s="155"/>
      <c r="E352" s="155"/>
      <c r="F352" s="150"/>
      <c r="G352" s="150"/>
      <c r="H352" s="150"/>
      <c r="I352" s="150"/>
      <c r="J352" s="150"/>
      <c r="K352" s="150"/>
      <c r="L352" s="150"/>
      <c r="M352" s="150"/>
      <c r="N352" s="150"/>
      <c r="O352" s="150"/>
      <c r="P352" s="150"/>
      <c r="Q352" s="150"/>
      <c r="R352" s="150"/>
      <c r="S352" s="150"/>
      <c r="T352" s="150"/>
      <c r="U352" s="150"/>
      <c r="V352" s="150"/>
      <c r="W352" s="150"/>
      <c r="X352" s="150"/>
      <c r="Y352" s="150"/>
      <c r="Z352" s="150"/>
    </row>
    <row r="353">
      <c r="A353" s="150"/>
      <c r="B353" s="155"/>
      <c r="C353" s="155"/>
      <c r="D353" s="155"/>
      <c r="E353" s="155"/>
      <c r="F353" s="150"/>
      <c r="G353" s="150"/>
      <c r="H353" s="150"/>
      <c r="I353" s="150"/>
      <c r="J353" s="150"/>
      <c r="K353" s="150"/>
      <c r="L353" s="150"/>
      <c r="M353" s="150"/>
      <c r="N353" s="150"/>
      <c r="O353" s="150"/>
      <c r="P353" s="150"/>
      <c r="Q353" s="150"/>
      <c r="R353" s="150"/>
      <c r="S353" s="150"/>
      <c r="T353" s="150"/>
      <c r="U353" s="150"/>
      <c r="V353" s="150"/>
      <c r="W353" s="150"/>
      <c r="X353" s="150"/>
      <c r="Y353" s="150"/>
      <c r="Z353" s="150"/>
    </row>
    <row r="354">
      <c r="A354" s="150"/>
      <c r="B354" s="155"/>
      <c r="C354" s="155"/>
      <c r="D354" s="155"/>
      <c r="E354" s="155"/>
      <c r="F354" s="150"/>
      <c r="G354" s="150"/>
      <c r="H354" s="150"/>
      <c r="I354" s="150"/>
      <c r="J354" s="150"/>
      <c r="K354" s="150"/>
      <c r="L354" s="150"/>
      <c r="M354" s="150"/>
      <c r="N354" s="150"/>
      <c r="O354" s="150"/>
      <c r="P354" s="150"/>
      <c r="Q354" s="150"/>
      <c r="R354" s="150"/>
      <c r="S354" s="150"/>
      <c r="T354" s="150"/>
      <c r="U354" s="150"/>
      <c r="V354" s="150"/>
      <c r="W354" s="150"/>
      <c r="X354" s="150"/>
      <c r="Y354" s="150"/>
      <c r="Z354" s="150"/>
    </row>
    <row r="355">
      <c r="A355" s="150"/>
      <c r="B355" s="155"/>
      <c r="C355" s="155"/>
      <c r="D355" s="155"/>
      <c r="E355" s="155"/>
      <c r="F355" s="150"/>
      <c r="G355" s="150"/>
      <c r="H355" s="150"/>
      <c r="I355" s="150"/>
      <c r="J355" s="150"/>
      <c r="K355" s="150"/>
      <c r="L355" s="150"/>
      <c r="M355" s="150"/>
      <c r="N355" s="150"/>
      <c r="O355" s="150"/>
      <c r="P355" s="150"/>
      <c r="Q355" s="150"/>
      <c r="R355" s="150"/>
      <c r="S355" s="150"/>
      <c r="T355" s="150"/>
      <c r="U355" s="150"/>
      <c r="V355" s="150"/>
      <c r="W355" s="150"/>
      <c r="X355" s="150"/>
      <c r="Y355" s="150"/>
      <c r="Z355" s="150"/>
    </row>
    <row r="356">
      <c r="A356" s="150"/>
      <c r="B356" s="155"/>
      <c r="C356" s="155"/>
      <c r="D356" s="155"/>
      <c r="E356" s="155"/>
      <c r="F356" s="150"/>
      <c r="G356" s="150"/>
      <c r="H356" s="150"/>
      <c r="I356" s="150"/>
      <c r="J356" s="150"/>
      <c r="K356" s="150"/>
      <c r="L356" s="150"/>
      <c r="M356" s="150"/>
      <c r="N356" s="150"/>
      <c r="O356" s="150"/>
      <c r="P356" s="150"/>
      <c r="Q356" s="150"/>
      <c r="R356" s="150"/>
      <c r="S356" s="150"/>
      <c r="T356" s="150"/>
      <c r="U356" s="150"/>
      <c r="V356" s="150"/>
      <c r="W356" s="150"/>
      <c r="X356" s="150"/>
      <c r="Y356" s="150"/>
      <c r="Z356" s="150"/>
    </row>
    <row r="357">
      <c r="A357" s="150"/>
      <c r="B357" s="155"/>
      <c r="C357" s="155"/>
      <c r="D357" s="155"/>
      <c r="E357" s="155"/>
      <c r="F357" s="150"/>
      <c r="G357" s="150"/>
      <c r="H357" s="150"/>
      <c r="I357" s="150"/>
      <c r="J357" s="150"/>
      <c r="K357" s="150"/>
      <c r="L357" s="150"/>
      <c r="M357" s="150"/>
      <c r="N357" s="150"/>
      <c r="O357" s="150"/>
      <c r="P357" s="150"/>
      <c r="Q357" s="150"/>
      <c r="R357" s="150"/>
      <c r="S357" s="150"/>
      <c r="T357" s="150"/>
      <c r="U357" s="150"/>
      <c r="V357" s="150"/>
      <c r="W357" s="150"/>
      <c r="X357" s="150"/>
      <c r="Y357" s="150"/>
      <c r="Z357" s="150"/>
    </row>
    <row r="358">
      <c r="A358" s="150"/>
      <c r="B358" s="155"/>
      <c r="C358" s="155"/>
      <c r="D358" s="155"/>
      <c r="E358" s="155"/>
      <c r="F358" s="150"/>
      <c r="G358" s="150"/>
      <c r="H358" s="150"/>
      <c r="I358" s="150"/>
      <c r="J358" s="150"/>
      <c r="K358" s="150"/>
      <c r="L358" s="150"/>
      <c r="M358" s="150"/>
      <c r="N358" s="150"/>
      <c r="O358" s="150"/>
      <c r="P358" s="150"/>
      <c r="Q358" s="150"/>
      <c r="R358" s="150"/>
      <c r="S358" s="150"/>
      <c r="T358" s="150"/>
      <c r="U358" s="150"/>
      <c r="V358" s="150"/>
      <c r="W358" s="150"/>
      <c r="X358" s="150"/>
      <c r="Y358" s="150"/>
      <c r="Z358" s="150"/>
    </row>
    <row r="359">
      <c r="A359" s="150"/>
      <c r="B359" s="155"/>
      <c r="C359" s="155"/>
      <c r="D359" s="155"/>
      <c r="E359" s="155"/>
      <c r="F359" s="150"/>
      <c r="G359" s="150"/>
      <c r="H359" s="150"/>
      <c r="I359" s="150"/>
      <c r="J359" s="150"/>
      <c r="K359" s="150"/>
      <c r="L359" s="150"/>
      <c r="M359" s="150"/>
      <c r="N359" s="150"/>
      <c r="O359" s="150"/>
      <c r="P359" s="150"/>
      <c r="Q359" s="150"/>
      <c r="R359" s="150"/>
      <c r="S359" s="150"/>
      <c r="T359" s="150"/>
      <c r="U359" s="150"/>
      <c r="V359" s="150"/>
      <c r="W359" s="150"/>
      <c r="X359" s="150"/>
      <c r="Y359" s="150"/>
      <c r="Z359" s="150"/>
    </row>
    <row r="360">
      <c r="A360" s="150"/>
      <c r="B360" s="155"/>
      <c r="C360" s="155"/>
      <c r="D360" s="155"/>
      <c r="E360" s="155"/>
      <c r="F360" s="150"/>
      <c r="G360" s="150"/>
      <c r="H360" s="150"/>
      <c r="I360" s="150"/>
      <c r="J360" s="150"/>
      <c r="K360" s="150"/>
      <c r="L360" s="150"/>
      <c r="M360" s="150"/>
      <c r="N360" s="150"/>
      <c r="O360" s="150"/>
      <c r="P360" s="150"/>
      <c r="Q360" s="150"/>
      <c r="R360" s="150"/>
      <c r="S360" s="150"/>
      <c r="T360" s="150"/>
      <c r="U360" s="150"/>
      <c r="V360" s="150"/>
      <c r="W360" s="150"/>
      <c r="X360" s="150"/>
      <c r="Y360" s="150"/>
      <c r="Z360" s="150"/>
    </row>
    <row r="361">
      <c r="A361" s="150"/>
      <c r="B361" s="155"/>
      <c r="C361" s="155"/>
      <c r="D361" s="155"/>
      <c r="E361" s="155"/>
      <c r="F361" s="150"/>
      <c r="G361" s="150"/>
      <c r="H361" s="150"/>
      <c r="I361" s="150"/>
      <c r="J361" s="150"/>
      <c r="K361" s="150"/>
      <c r="L361" s="150"/>
      <c r="M361" s="150"/>
      <c r="N361" s="150"/>
      <c r="O361" s="150"/>
      <c r="P361" s="150"/>
      <c r="Q361" s="150"/>
      <c r="R361" s="150"/>
      <c r="S361" s="150"/>
      <c r="T361" s="150"/>
      <c r="U361" s="150"/>
      <c r="V361" s="150"/>
      <c r="W361" s="150"/>
      <c r="X361" s="150"/>
      <c r="Y361" s="150"/>
      <c r="Z361" s="150"/>
    </row>
    <row r="362">
      <c r="A362" s="150"/>
      <c r="B362" s="155"/>
      <c r="C362" s="155"/>
      <c r="D362" s="155"/>
      <c r="E362" s="155"/>
      <c r="F362" s="150"/>
      <c r="G362" s="150"/>
      <c r="H362" s="150"/>
      <c r="I362" s="150"/>
      <c r="J362" s="150"/>
      <c r="K362" s="150"/>
      <c r="L362" s="150"/>
      <c r="M362" s="150"/>
      <c r="N362" s="150"/>
      <c r="O362" s="150"/>
      <c r="P362" s="150"/>
      <c r="Q362" s="150"/>
      <c r="R362" s="150"/>
      <c r="S362" s="150"/>
      <c r="T362" s="150"/>
      <c r="U362" s="150"/>
      <c r="V362" s="150"/>
      <c r="W362" s="150"/>
      <c r="X362" s="150"/>
      <c r="Y362" s="150"/>
      <c r="Z362" s="150"/>
    </row>
    <row r="363">
      <c r="A363" s="150"/>
      <c r="B363" s="155"/>
      <c r="C363" s="155"/>
      <c r="D363" s="155"/>
      <c r="E363" s="155"/>
      <c r="F363" s="150"/>
      <c r="G363" s="150"/>
      <c r="H363" s="150"/>
      <c r="I363" s="150"/>
      <c r="J363" s="150"/>
      <c r="K363" s="150"/>
      <c r="L363" s="150"/>
      <c r="M363" s="150"/>
      <c r="N363" s="150"/>
      <c r="O363" s="150"/>
      <c r="P363" s="150"/>
      <c r="Q363" s="150"/>
      <c r="R363" s="150"/>
      <c r="S363" s="150"/>
      <c r="T363" s="150"/>
      <c r="U363" s="150"/>
      <c r="V363" s="150"/>
      <c r="W363" s="150"/>
      <c r="X363" s="150"/>
      <c r="Y363" s="150"/>
      <c r="Z363" s="150"/>
    </row>
    <row r="364">
      <c r="A364" s="150"/>
      <c r="B364" s="155"/>
      <c r="C364" s="155"/>
      <c r="D364" s="155"/>
      <c r="E364" s="155"/>
      <c r="F364" s="150"/>
      <c r="G364" s="150"/>
      <c r="H364" s="150"/>
      <c r="I364" s="150"/>
      <c r="J364" s="150"/>
      <c r="K364" s="150"/>
      <c r="L364" s="150"/>
      <c r="M364" s="150"/>
      <c r="N364" s="150"/>
      <c r="O364" s="150"/>
      <c r="P364" s="150"/>
      <c r="Q364" s="150"/>
      <c r="R364" s="150"/>
      <c r="S364" s="150"/>
      <c r="T364" s="150"/>
      <c r="U364" s="150"/>
      <c r="V364" s="150"/>
      <c r="W364" s="150"/>
      <c r="X364" s="150"/>
      <c r="Y364" s="150"/>
      <c r="Z364" s="150"/>
    </row>
    <row r="365">
      <c r="A365" s="150"/>
      <c r="B365" s="155"/>
      <c r="C365" s="155"/>
      <c r="D365" s="155"/>
      <c r="E365" s="155"/>
      <c r="F365" s="150"/>
      <c r="G365" s="150"/>
      <c r="H365" s="150"/>
      <c r="I365" s="150"/>
      <c r="J365" s="150"/>
      <c r="K365" s="150"/>
      <c r="L365" s="150"/>
      <c r="M365" s="150"/>
      <c r="N365" s="150"/>
      <c r="O365" s="150"/>
      <c r="P365" s="150"/>
      <c r="Q365" s="150"/>
      <c r="R365" s="150"/>
      <c r="S365" s="150"/>
      <c r="T365" s="150"/>
      <c r="U365" s="150"/>
      <c r="V365" s="150"/>
      <c r="W365" s="150"/>
      <c r="X365" s="150"/>
      <c r="Y365" s="150"/>
      <c r="Z365" s="150"/>
    </row>
    <row r="366">
      <c r="A366" s="150"/>
      <c r="B366" s="155"/>
      <c r="C366" s="155"/>
      <c r="D366" s="155"/>
      <c r="E366" s="155"/>
      <c r="F366" s="150"/>
      <c r="G366" s="150"/>
      <c r="H366" s="150"/>
      <c r="I366" s="150"/>
      <c r="J366" s="150"/>
      <c r="K366" s="150"/>
      <c r="L366" s="150"/>
      <c r="M366" s="150"/>
      <c r="N366" s="150"/>
      <c r="O366" s="150"/>
      <c r="P366" s="150"/>
      <c r="Q366" s="150"/>
      <c r="R366" s="150"/>
      <c r="S366" s="150"/>
      <c r="T366" s="150"/>
      <c r="U366" s="150"/>
      <c r="V366" s="150"/>
      <c r="W366" s="150"/>
      <c r="X366" s="150"/>
      <c r="Y366" s="150"/>
      <c r="Z366" s="150"/>
    </row>
    <row r="367">
      <c r="A367" s="150"/>
      <c r="B367" s="155"/>
      <c r="C367" s="155"/>
      <c r="D367" s="155"/>
      <c r="E367" s="155"/>
      <c r="F367" s="150"/>
      <c r="G367" s="150"/>
      <c r="H367" s="150"/>
      <c r="I367" s="150"/>
      <c r="J367" s="150"/>
      <c r="K367" s="150"/>
      <c r="L367" s="150"/>
      <c r="M367" s="150"/>
      <c r="N367" s="150"/>
      <c r="O367" s="150"/>
      <c r="P367" s="150"/>
      <c r="Q367" s="150"/>
      <c r="R367" s="150"/>
      <c r="S367" s="150"/>
      <c r="T367" s="150"/>
      <c r="U367" s="150"/>
      <c r="V367" s="150"/>
      <c r="W367" s="150"/>
      <c r="X367" s="150"/>
      <c r="Y367" s="150"/>
      <c r="Z367" s="150"/>
    </row>
    <row r="368">
      <c r="A368" s="150"/>
      <c r="B368" s="155"/>
      <c r="C368" s="155"/>
      <c r="D368" s="155"/>
      <c r="E368" s="155"/>
      <c r="F368" s="150"/>
      <c r="G368" s="150"/>
      <c r="H368" s="150"/>
      <c r="I368" s="150"/>
      <c r="J368" s="150"/>
      <c r="K368" s="150"/>
      <c r="L368" s="150"/>
      <c r="M368" s="150"/>
      <c r="N368" s="150"/>
      <c r="O368" s="150"/>
      <c r="P368" s="150"/>
      <c r="Q368" s="150"/>
      <c r="R368" s="150"/>
      <c r="S368" s="150"/>
      <c r="T368" s="150"/>
      <c r="U368" s="150"/>
      <c r="V368" s="150"/>
      <c r="W368" s="150"/>
      <c r="X368" s="150"/>
      <c r="Y368" s="150"/>
      <c r="Z368" s="150"/>
    </row>
    <row r="369">
      <c r="A369" s="150"/>
      <c r="B369" s="155"/>
      <c r="C369" s="155"/>
      <c r="D369" s="155"/>
      <c r="E369" s="155"/>
      <c r="F369" s="150"/>
      <c r="G369" s="150"/>
      <c r="H369" s="150"/>
      <c r="I369" s="150"/>
      <c r="J369" s="150"/>
      <c r="K369" s="150"/>
      <c r="L369" s="150"/>
      <c r="M369" s="150"/>
      <c r="N369" s="150"/>
      <c r="O369" s="150"/>
      <c r="P369" s="150"/>
      <c r="Q369" s="150"/>
      <c r="R369" s="150"/>
      <c r="S369" s="150"/>
      <c r="T369" s="150"/>
      <c r="U369" s="150"/>
      <c r="V369" s="150"/>
      <c r="W369" s="150"/>
      <c r="X369" s="150"/>
      <c r="Y369" s="150"/>
      <c r="Z369" s="150"/>
    </row>
    <row r="370">
      <c r="A370" s="150"/>
      <c r="B370" s="155"/>
      <c r="C370" s="155"/>
      <c r="D370" s="155"/>
      <c r="E370" s="155"/>
      <c r="F370" s="150"/>
      <c r="G370" s="150"/>
      <c r="H370" s="150"/>
      <c r="I370" s="150"/>
      <c r="J370" s="150"/>
      <c r="K370" s="150"/>
      <c r="L370" s="150"/>
      <c r="M370" s="150"/>
      <c r="N370" s="150"/>
      <c r="O370" s="150"/>
      <c r="P370" s="150"/>
      <c r="Q370" s="150"/>
      <c r="R370" s="150"/>
      <c r="S370" s="150"/>
      <c r="T370" s="150"/>
      <c r="U370" s="150"/>
      <c r="V370" s="150"/>
      <c r="W370" s="150"/>
      <c r="X370" s="150"/>
      <c r="Y370" s="150"/>
      <c r="Z370" s="150"/>
    </row>
    <row r="371">
      <c r="A371" s="150"/>
      <c r="B371" s="155"/>
      <c r="C371" s="155"/>
      <c r="D371" s="155"/>
      <c r="E371" s="155"/>
      <c r="F371" s="150"/>
      <c r="G371" s="150"/>
      <c r="H371" s="150"/>
      <c r="I371" s="150"/>
      <c r="J371" s="150"/>
      <c r="K371" s="150"/>
      <c r="L371" s="150"/>
      <c r="M371" s="150"/>
      <c r="N371" s="150"/>
      <c r="O371" s="150"/>
      <c r="P371" s="150"/>
      <c r="Q371" s="150"/>
      <c r="R371" s="150"/>
      <c r="S371" s="150"/>
      <c r="T371" s="150"/>
      <c r="U371" s="150"/>
      <c r="V371" s="150"/>
      <c r="W371" s="150"/>
      <c r="X371" s="150"/>
      <c r="Y371" s="150"/>
      <c r="Z371" s="150"/>
    </row>
    <row r="372">
      <c r="A372" s="150"/>
      <c r="B372" s="155"/>
      <c r="C372" s="155"/>
      <c r="D372" s="155"/>
      <c r="E372" s="155"/>
      <c r="F372" s="150"/>
      <c r="G372" s="150"/>
      <c r="H372" s="150"/>
      <c r="I372" s="150"/>
      <c r="J372" s="150"/>
      <c r="K372" s="150"/>
      <c r="L372" s="150"/>
      <c r="M372" s="150"/>
      <c r="N372" s="150"/>
      <c r="O372" s="150"/>
      <c r="P372" s="150"/>
      <c r="Q372" s="150"/>
      <c r="R372" s="150"/>
      <c r="S372" s="150"/>
      <c r="T372" s="150"/>
      <c r="U372" s="150"/>
      <c r="V372" s="150"/>
      <c r="W372" s="150"/>
      <c r="X372" s="150"/>
      <c r="Y372" s="150"/>
      <c r="Z372" s="150"/>
    </row>
    <row r="373">
      <c r="A373" s="150"/>
      <c r="B373" s="155"/>
      <c r="C373" s="155"/>
      <c r="D373" s="155"/>
      <c r="E373" s="155"/>
      <c r="F373" s="150"/>
      <c r="G373" s="150"/>
      <c r="H373" s="150"/>
      <c r="I373" s="150"/>
      <c r="J373" s="150"/>
      <c r="K373" s="150"/>
      <c r="L373" s="150"/>
      <c r="M373" s="150"/>
      <c r="N373" s="150"/>
      <c r="O373" s="150"/>
      <c r="P373" s="150"/>
      <c r="Q373" s="150"/>
      <c r="R373" s="150"/>
      <c r="S373" s="150"/>
      <c r="T373" s="150"/>
      <c r="U373" s="150"/>
      <c r="V373" s="150"/>
      <c r="W373" s="150"/>
      <c r="X373" s="150"/>
      <c r="Y373" s="150"/>
      <c r="Z373" s="150"/>
    </row>
    <row r="374">
      <c r="A374" s="150"/>
      <c r="B374" s="155"/>
      <c r="C374" s="155"/>
      <c r="D374" s="155"/>
      <c r="E374" s="155"/>
      <c r="F374" s="150"/>
      <c r="G374" s="150"/>
      <c r="H374" s="150"/>
      <c r="I374" s="150"/>
      <c r="J374" s="150"/>
      <c r="K374" s="150"/>
      <c r="L374" s="150"/>
      <c r="M374" s="150"/>
      <c r="N374" s="150"/>
      <c r="O374" s="150"/>
      <c r="P374" s="150"/>
      <c r="Q374" s="150"/>
      <c r="R374" s="150"/>
      <c r="S374" s="150"/>
      <c r="T374" s="150"/>
      <c r="U374" s="150"/>
      <c r="V374" s="150"/>
      <c r="W374" s="150"/>
      <c r="X374" s="150"/>
      <c r="Y374" s="150"/>
      <c r="Z374" s="150"/>
    </row>
    <row r="375">
      <c r="A375" s="150"/>
      <c r="B375" s="155"/>
      <c r="C375" s="155"/>
      <c r="D375" s="155"/>
      <c r="E375" s="155"/>
      <c r="F375" s="150"/>
      <c r="G375" s="150"/>
      <c r="H375" s="150"/>
      <c r="I375" s="150"/>
      <c r="J375" s="150"/>
      <c r="K375" s="150"/>
      <c r="L375" s="150"/>
      <c r="M375" s="150"/>
      <c r="N375" s="150"/>
      <c r="O375" s="150"/>
      <c r="P375" s="150"/>
      <c r="Q375" s="150"/>
      <c r="R375" s="150"/>
      <c r="S375" s="150"/>
      <c r="T375" s="150"/>
      <c r="U375" s="150"/>
      <c r="V375" s="150"/>
      <c r="W375" s="150"/>
      <c r="X375" s="150"/>
      <c r="Y375" s="150"/>
      <c r="Z375" s="150"/>
    </row>
    <row r="376">
      <c r="A376" s="150"/>
      <c r="B376" s="155"/>
      <c r="C376" s="155"/>
      <c r="D376" s="155"/>
      <c r="E376" s="155"/>
      <c r="F376" s="150"/>
      <c r="G376" s="150"/>
      <c r="H376" s="150"/>
      <c r="I376" s="150"/>
      <c r="J376" s="150"/>
      <c r="K376" s="150"/>
      <c r="L376" s="150"/>
      <c r="M376" s="150"/>
      <c r="N376" s="150"/>
      <c r="O376" s="150"/>
      <c r="P376" s="150"/>
      <c r="Q376" s="150"/>
      <c r="R376" s="150"/>
      <c r="S376" s="150"/>
      <c r="T376" s="150"/>
      <c r="U376" s="150"/>
      <c r="V376" s="150"/>
      <c r="W376" s="150"/>
      <c r="X376" s="150"/>
      <c r="Y376" s="150"/>
      <c r="Z376" s="150"/>
    </row>
    <row r="377">
      <c r="A377" s="150"/>
      <c r="B377" s="155"/>
      <c r="C377" s="155"/>
      <c r="D377" s="155"/>
      <c r="E377" s="155"/>
      <c r="F377" s="150"/>
      <c r="G377" s="150"/>
      <c r="H377" s="150"/>
      <c r="I377" s="150"/>
      <c r="J377" s="150"/>
      <c r="K377" s="150"/>
      <c r="L377" s="150"/>
      <c r="M377" s="150"/>
      <c r="N377" s="150"/>
      <c r="O377" s="150"/>
      <c r="P377" s="150"/>
      <c r="Q377" s="150"/>
      <c r="R377" s="150"/>
      <c r="S377" s="150"/>
      <c r="T377" s="150"/>
      <c r="U377" s="150"/>
      <c r="V377" s="150"/>
      <c r="W377" s="150"/>
      <c r="X377" s="150"/>
      <c r="Y377" s="150"/>
      <c r="Z377" s="150"/>
    </row>
    <row r="378">
      <c r="A378" s="150"/>
      <c r="B378" s="155"/>
      <c r="C378" s="155"/>
      <c r="D378" s="155"/>
      <c r="E378" s="155"/>
      <c r="F378" s="150"/>
      <c r="G378" s="150"/>
      <c r="H378" s="150"/>
      <c r="I378" s="150"/>
      <c r="J378" s="150"/>
      <c r="K378" s="150"/>
      <c r="L378" s="150"/>
      <c r="M378" s="150"/>
      <c r="N378" s="150"/>
      <c r="O378" s="150"/>
      <c r="P378" s="150"/>
      <c r="Q378" s="150"/>
      <c r="R378" s="150"/>
      <c r="S378" s="150"/>
      <c r="T378" s="150"/>
      <c r="U378" s="150"/>
      <c r="V378" s="150"/>
      <c r="W378" s="150"/>
      <c r="X378" s="150"/>
      <c r="Y378" s="150"/>
      <c r="Z378" s="150"/>
    </row>
    <row r="379">
      <c r="A379" s="150"/>
      <c r="B379" s="155"/>
      <c r="C379" s="155"/>
      <c r="D379" s="155"/>
      <c r="E379" s="155"/>
      <c r="F379" s="150"/>
      <c r="G379" s="150"/>
      <c r="H379" s="150"/>
      <c r="I379" s="150"/>
      <c r="J379" s="150"/>
      <c r="K379" s="150"/>
      <c r="L379" s="150"/>
      <c r="M379" s="150"/>
      <c r="N379" s="150"/>
      <c r="O379" s="150"/>
      <c r="P379" s="150"/>
      <c r="Q379" s="150"/>
      <c r="R379" s="150"/>
      <c r="S379" s="150"/>
      <c r="T379" s="150"/>
      <c r="U379" s="150"/>
      <c r="V379" s="150"/>
      <c r="W379" s="150"/>
      <c r="X379" s="150"/>
      <c r="Y379" s="150"/>
      <c r="Z379" s="150"/>
    </row>
    <row r="380">
      <c r="A380" s="150"/>
      <c r="B380" s="155"/>
      <c r="C380" s="155"/>
      <c r="D380" s="155"/>
      <c r="E380" s="155"/>
      <c r="F380" s="150"/>
      <c r="G380" s="150"/>
      <c r="H380" s="150"/>
      <c r="I380" s="150"/>
      <c r="J380" s="150"/>
      <c r="K380" s="150"/>
      <c r="L380" s="150"/>
      <c r="M380" s="150"/>
      <c r="N380" s="150"/>
      <c r="O380" s="150"/>
      <c r="P380" s="150"/>
      <c r="Q380" s="150"/>
      <c r="R380" s="150"/>
      <c r="S380" s="150"/>
      <c r="T380" s="150"/>
      <c r="U380" s="150"/>
      <c r="V380" s="150"/>
      <c r="W380" s="150"/>
      <c r="X380" s="150"/>
      <c r="Y380" s="150"/>
      <c r="Z380" s="150"/>
    </row>
    <row r="381">
      <c r="A381" s="150"/>
      <c r="B381" s="155"/>
      <c r="C381" s="155"/>
      <c r="D381" s="155"/>
      <c r="E381" s="155"/>
      <c r="F381" s="150"/>
      <c r="G381" s="150"/>
      <c r="H381" s="150"/>
      <c r="I381" s="150"/>
      <c r="J381" s="150"/>
      <c r="K381" s="150"/>
      <c r="L381" s="150"/>
      <c r="M381" s="150"/>
      <c r="N381" s="150"/>
      <c r="O381" s="150"/>
      <c r="P381" s="150"/>
      <c r="Q381" s="150"/>
      <c r="R381" s="150"/>
      <c r="S381" s="150"/>
      <c r="T381" s="150"/>
      <c r="U381" s="150"/>
      <c r="V381" s="150"/>
      <c r="W381" s="150"/>
      <c r="X381" s="150"/>
      <c r="Y381" s="150"/>
      <c r="Z381" s="150"/>
    </row>
    <row r="382">
      <c r="A382" s="150"/>
      <c r="B382" s="155"/>
      <c r="C382" s="155"/>
      <c r="D382" s="155"/>
      <c r="E382" s="155"/>
      <c r="F382" s="150"/>
      <c r="G382" s="150"/>
      <c r="H382" s="150"/>
      <c r="I382" s="150"/>
      <c r="J382" s="150"/>
      <c r="K382" s="150"/>
      <c r="L382" s="150"/>
      <c r="M382" s="150"/>
      <c r="N382" s="150"/>
      <c r="O382" s="150"/>
      <c r="P382" s="150"/>
      <c r="Q382" s="150"/>
      <c r="R382" s="150"/>
      <c r="S382" s="150"/>
      <c r="T382" s="150"/>
      <c r="U382" s="150"/>
      <c r="V382" s="150"/>
      <c r="W382" s="150"/>
      <c r="X382" s="150"/>
      <c r="Y382" s="150"/>
      <c r="Z382" s="150"/>
    </row>
    <row r="383">
      <c r="A383" s="150"/>
      <c r="B383" s="155"/>
      <c r="C383" s="155"/>
      <c r="D383" s="155"/>
      <c r="E383" s="155"/>
      <c r="F383" s="150"/>
      <c r="G383" s="150"/>
      <c r="H383" s="150"/>
      <c r="I383" s="150"/>
      <c r="J383" s="150"/>
      <c r="K383" s="150"/>
      <c r="L383" s="150"/>
      <c r="M383" s="150"/>
      <c r="N383" s="150"/>
      <c r="O383" s="150"/>
      <c r="P383" s="150"/>
      <c r="Q383" s="150"/>
      <c r="R383" s="150"/>
      <c r="S383" s="150"/>
      <c r="T383" s="150"/>
      <c r="U383" s="150"/>
      <c r="V383" s="150"/>
      <c r="W383" s="150"/>
      <c r="X383" s="150"/>
      <c r="Y383" s="150"/>
      <c r="Z383" s="150"/>
    </row>
    <row r="384">
      <c r="A384" s="150"/>
      <c r="B384" s="155"/>
      <c r="C384" s="155"/>
      <c r="D384" s="155"/>
      <c r="E384" s="155"/>
      <c r="F384" s="150"/>
      <c r="G384" s="150"/>
      <c r="H384" s="150"/>
      <c r="I384" s="150"/>
      <c r="J384" s="150"/>
      <c r="K384" s="150"/>
      <c r="L384" s="150"/>
      <c r="M384" s="150"/>
      <c r="N384" s="150"/>
      <c r="O384" s="150"/>
      <c r="P384" s="150"/>
      <c r="Q384" s="150"/>
      <c r="R384" s="150"/>
      <c r="S384" s="150"/>
      <c r="T384" s="150"/>
      <c r="U384" s="150"/>
      <c r="V384" s="150"/>
      <c r="W384" s="150"/>
      <c r="X384" s="150"/>
      <c r="Y384" s="150"/>
      <c r="Z384" s="150"/>
    </row>
    <row r="385">
      <c r="A385" s="150"/>
      <c r="B385" s="155"/>
      <c r="C385" s="155"/>
      <c r="D385" s="155"/>
      <c r="E385" s="155"/>
      <c r="F385" s="150"/>
      <c r="G385" s="150"/>
      <c r="H385" s="150"/>
      <c r="I385" s="150"/>
      <c r="J385" s="150"/>
      <c r="K385" s="150"/>
      <c r="L385" s="150"/>
      <c r="M385" s="150"/>
      <c r="N385" s="150"/>
      <c r="O385" s="150"/>
      <c r="P385" s="150"/>
      <c r="Q385" s="150"/>
      <c r="R385" s="150"/>
      <c r="S385" s="150"/>
      <c r="T385" s="150"/>
      <c r="U385" s="150"/>
      <c r="V385" s="150"/>
      <c r="W385" s="150"/>
      <c r="X385" s="150"/>
      <c r="Y385" s="150"/>
      <c r="Z385" s="150"/>
    </row>
    <row r="386">
      <c r="A386" s="150"/>
      <c r="B386" s="155"/>
      <c r="C386" s="155"/>
      <c r="D386" s="155"/>
      <c r="E386" s="155"/>
      <c r="F386" s="150"/>
      <c r="G386" s="150"/>
      <c r="H386" s="150"/>
      <c r="I386" s="150"/>
      <c r="J386" s="150"/>
      <c r="K386" s="150"/>
      <c r="L386" s="150"/>
      <c r="M386" s="150"/>
      <c r="N386" s="150"/>
      <c r="O386" s="150"/>
      <c r="P386" s="150"/>
      <c r="Q386" s="150"/>
      <c r="R386" s="150"/>
      <c r="S386" s="150"/>
      <c r="T386" s="150"/>
      <c r="U386" s="150"/>
      <c r="V386" s="150"/>
      <c r="W386" s="150"/>
      <c r="X386" s="150"/>
      <c r="Y386" s="150"/>
      <c r="Z386" s="150"/>
    </row>
    <row r="387">
      <c r="A387" s="150"/>
      <c r="B387" s="155"/>
      <c r="C387" s="155"/>
      <c r="D387" s="155"/>
      <c r="E387" s="155"/>
      <c r="F387" s="150"/>
      <c r="G387" s="150"/>
      <c r="H387" s="150"/>
      <c r="I387" s="150"/>
      <c r="J387" s="150"/>
      <c r="K387" s="150"/>
      <c r="L387" s="150"/>
      <c r="M387" s="150"/>
      <c r="N387" s="150"/>
      <c r="O387" s="150"/>
      <c r="P387" s="150"/>
      <c r="Q387" s="150"/>
      <c r="R387" s="150"/>
      <c r="S387" s="150"/>
      <c r="T387" s="150"/>
      <c r="U387" s="150"/>
      <c r="V387" s="150"/>
      <c r="W387" s="150"/>
      <c r="X387" s="150"/>
      <c r="Y387" s="150"/>
      <c r="Z387" s="150"/>
    </row>
    <row r="388">
      <c r="A388" s="150"/>
      <c r="B388" s="155"/>
      <c r="C388" s="155"/>
      <c r="D388" s="155"/>
      <c r="E388" s="155"/>
      <c r="F388" s="150"/>
      <c r="G388" s="150"/>
      <c r="H388" s="150"/>
      <c r="I388" s="150"/>
      <c r="J388" s="150"/>
      <c r="K388" s="150"/>
      <c r="L388" s="150"/>
      <c r="M388" s="150"/>
      <c r="N388" s="150"/>
      <c r="O388" s="150"/>
      <c r="P388" s="150"/>
      <c r="Q388" s="150"/>
      <c r="R388" s="150"/>
      <c r="S388" s="150"/>
      <c r="T388" s="150"/>
      <c r="U388" s="150"/>
      <c r="V388" s="150"/>
      <c r="W388" s="150"/>
      <c r="X388" s="150"/>
      <c r="Y388" s="150"/>
      <c r="Z388" s="150"/>
    </row>
    <row r="389">
      <c r="A389" s="150"/>
      <c r="B389" s="155"/>
      <c r="C389" s="155"/>
      <c r="D389" s="155"/>
      <c r="E389" s="155"/>
      <c r="F389" s="150"/>
      <c r="G389" s="150"/>
      <c r="H389" s="150"/>
      <c r="I389" s="150"/>
      <c r="J389" s="150"/>
      <c r="K389" s="150"/>
      <c r="L389" s="150"/>
      <c r="M389" s="150"/>
      <c r="N389" s="150"/>
      <c r="O389" s="150"/>
      <c r="P389" s="150"/>
      <c r="Q389" s="150"/>
      <c r="R389" s="150"/>
      <c r="S389" s="150"/>
      <c r="T389" s="150"/>
      <c r="U389" s="150"/>
      <c r="V389" s="150"/>
      <c r="W389" s="150"/>
      <c r="X389" s="150"/>
      <c r="Y389" s="150"/>
      <c r="Z389" s="150"/>
    </row>
    <row r="390">
      <c r="A390" s="150"/>
      <c r="B390" s="155"/>
      <c r="C390" s="155"/>
      <c r="D390" s="155"/>
      <c r="E390" s="155"/>
      <c r="F390" s="150"/>
      <c r="G390" s="150"/>
      <c r="H390" s="150"/>
      <c r="I390" s="150"/>
      <c r="J390" s="150"/>
      <c r="K390" s="150"/>
      <c r="L390" s="150"/>
      <c r="M390" s="150"/>
      <c r="N390" s="150"/>
      <c r="O390" s="150"/>
      <c r="P390" s="150"/>
      <c r="Q390" s="150"/>
      <c r="R390" s="150"/>
      <c r="S390" s="150"/>
      <c r="T390" s="150"/>
      <c r="U390" s="150"/>
      <c r="V390" s="150"/>
      <c r="W390" s="150"/>
      <c r="X390" s="150"/>
      <c r="Y390" s="150"/>
      <c r="Z390" s="150"/>
    </row>
    <row r="391">
      <c r="A391" s="150"/>
      <c r="B391" s="155"/>
      <c r="C391" s="155"/>
      <c r="D391" s="155"/>
      <c r="E391" s="155"/>
      <c r="F391" s="150"/>
      <c r="G391" s="150"/>
      <c r="H391" s="150"/>
      <c r="I391" s="150"/>
      <c r="J391" s="150"/>
      <c r="K391" s="150"/>
      <c r="L391" s="150"/>
      <c r="M391" s="150"/>
      <c r="N391" s="150"/>
      <c r="O391" s="150"/>
      <c r="P391" s="150"/>
      <c r="Q391" s="150"/>
      <c r="R391" s="150"/>
      <c r="S391" s="150"/>
      <c r="T391" s="150"/>
      <c r="U391" s="150"/>
      <c r="V391" s="150"/>
      <c r="W391" s="150"/>
      <c r="X391" s="150"/>
      <c r="Y391" s="150"/>
      <c r="Z391" s="150"/>
    </row>
    <row r="392">
      <c r="A392" s="150"/>
      <c r="B392" s="155"/>
      <c r="C392" s="155"/>
      <c r="D392" s="155"/>
      <c r="E392" s="155"/>
      <c r="F392" s="150"/>
      <c r="G392" s="150"/>
      <c r="H392" s="150"/>
      <c r="I392" s="150"/>
      <c r="J392" s="150"/>
      <c r="K392" s="150"/>
      <c r="L392" s="150"/>
      <c r="M392" s="150"/>
      <c r="N392" s="150"/>
      <c r="O392" s="150"/>
      <c r="P392" s="150"/>
      <c r="Q392" s="150"/>
      <c r="R392" s="150"/>
      <c r="S392" s="150"/>
      <c r="T392" s="150"/>
      <c r="U392" s="150"/>
      <c r="V392" s="150"/>
      <c r="W392" s="150"/>
      <c r="X392" s="150"/>
      <c r="Y392" s="150"/>
      <c r="Z392" s="150"/>
    </row>
    <row r="393">
      <c r="A393" s="150"/>
      <c r="B393" s="155"/>
      <c r="C393" s="155"/>
      <c r="D393" s="155"/>
      <c r="E393" s="155"/>
      <c r="F393" s="150"/>
      <c r="G393" s="150"/>
      <c r="H393" s="150"/>
      <c r="I393" s="150"/>
      <c r="J393" s="150"/>
      <c r="K393" s="150"/>
      <c r="L393" s="150"/>
      <c r="M393" s="150"/>
      <c r="N393" s="150"/>
      <c r="O393" s="150"/>
      <c r="P393" s="150"/>
      <c r="Q393" s="150"/>
      <c r="R393" s="150"/>
      <c r="S393" s="150"/>
      <c r="T393" s="150"/>
      <c r="U393" s="150"/>
      <c r="V393" s="150"/>
      <c r="W393" s="150"/>
      <c r="X393" s="150"/>
      <c r="Y393" s="150"/>
      <c r="Z393" s="150"/>
    </row>
    <row r="394">
      <c r="A394" s="150"/>
      <c r="B394" s="155"/>
      <c r="C394" s="155"/>
      <c r="D394" s="155"/>
      <c r="E394" s="155"/>
      <c r="F394" s="150"/>
      <c r="G394" s="150"/>
      <c r="H394" s="150"/>
      <c r="I394" s="150"/>
      <c r="J394" s="150"/>
      <c r="K394" s="150"/>
      <c r="L394" s="150"/>
      <c r="M394" s="150"/>
      <c r="N394" s="150"/>
      <c r="O394" s="150"/>
      <c r="P394" s="150"/>
      <c r="Q394" s="150"/>
      <c r="R394" s="150"/>
      <c r="S394" s="150"/>
      <c r="T394" s="150"/>
      <c r="U394" s="150"/>
      <c r="V394" s="150"/>
      <c r="W394" s="150"/>
      <c r="X394" s="150"/>
      <c r="Y394" s="150"/>
      <c r="Z394" s="150"/>
    </row>
    <row r="395">
      <c r="A395" s="150"/>
      <c r="B395" s="155"/>
      <c r="C395" s="155"/>
      <c r="D395" s="155"/>
      <c r="E395" s="155"/>
      <c r="F395" s="150"/>
      <c r="G395" s="150"/>
      <c r="H395" s="150"/>
      <c r="I395" s="150"/>
      <c r="J395" s="150"/>
      <c r="K395" s="150"/>
      <c r="L395" s="150"/>
      <c r="M395" s="150"/>
      <c r="N395" s="150"/>
      <c r="O395" s="150"/>
      <c r="P395" s="150"/>
      <c r="Q395" s="150"/>
      <c r="R395" s="150"/>
      <c r="S395" s="150"/>
      <c r="T395" s="150"/>
      <c r="U395" s="150"/>
      <c r="V395" s="150"/>
      <c r="W395" s="150"/>
      <c r="X395" s="150"/>
      <c r="Y395" s="150"/>
      <c r="Z395" s="150"/>
    </row>
    <row r="396">
      <c r="A396" s="150"/>
      <c r="B396" s="155"/>
      <c r="C396" s="155"/>
      <c r="D396" s="155"/>
      <c r="E396" s="155"/>
      <c r="F396" s="150"/>
      <c r="G396" s="150"/>
      <c r="H396" s="150"/>
      <c r="I396" s="150"/>
      <c r="J396" s="150"/>
      <c r="K396" s="150"/>
      <c r="L396" s="150"/>
      <c r="M396" s="150"/>
      <c r="N396" s="150"/>
      <c r="O396" s="150"/>
      <c r="P396" s="150"/>
      <c r="Q396" s="150"/>
      <c r="R396" s="150"/>
      <c r="S396" s="150"/>
      <c r="T396" s="150"/>
      <c r="U396" s="150"/>
      <c r="V396" s="150"/>
      <c r="W396" s="150"/>
      <c r="X396" s="150"/>
      <c r="Y396" s="150"/>
      <c r="Z396" s="150"/>
    </row>
    <row r="397">
      <c r="A397" s="150"/>
      <c r="B397" s="155"/>
      <c r="C397" s="155"/>
      <c r="D397" s="155"/>
      <c r="E397" s="155"/>
      <c r="F397" s="150"/>
      <c r="G397" s="150"/>
      <c r="H397" s="150"/>
      <c r="I397" s="150"/>
      <c r="J397" s="150"/>
      <c r="K397" s="150"/>
      <c r="L397" s="150"/>
      <c r="M397" s="150"/>
      <c r="N397" s="150"/>
      <c r="O397" s="150"/>
      <c r="P397" s="150"/>
      <c r="Q397" s="150"/>
      <c r="R397" s="150"/>
      <c r="S397" s="150"/>
      <c r="T397" s="150"/>
      <c r="U397" s="150"/>
      <c r="V397" s="150"/>
      <c r="W397" s="150"/>
      <c r="X397" s="150"/>
      <c r="Y397" s="150"/>
      <c r="Z397" s="150"/>
    </row>
    <row r="398">
      <c r="A398" s="150"/>
      <c r="B398" s="155"/>
      <c r="C398" s="155"/>
      <c r="D398" s="155"/>
      <c r="E398" s="155"/>
      <c r="F398" s="150"/>
      <c r="G398" s="150"/>
      <c r="H398" s="150"/>
      <c r="I398" s="150"/>
      <c r="J398" s="150"/>
      <c r="K398" s="150"/>
      <c r="L398" s="150"/>
      <c r="M398" s="150"/>
      <c r="N398" s="150"/>
      <c r="O398" s="150"/>
      <c r="P398" s="150"/>
      <c r="Q398" s="150"/>
      <c r="R398" s="150"/>
      <c r="S398" s="150"/>
      <c r="T398" s="150"/>
      <c r="U398" s="150"/>
      <c r="V398" s="150"/>
      <c r="W398" s="150"/>
      <c r="X398" s="150"/>
      <c r="Y398" s="150"/>
      <c r="Z398" s="150"/>
    </row>
    <row r="399">
      <c r="A399" s="150"/>
      <c r="B399" s="155"/>
      <c r="C399" s="155"/>
      <c r="D399" s="155"/>
      <c r="E399" s="155"/>
      <c r="F399" s="150"/>
      <c r="G399" s="150"/>
      <c r="H399" s="150"/>
      <c r="I399" s="150"/>
      <c r="J399" s="150"/>
      <c r="K399" s="150"/>
      <c r="L399" s="150"/>
      <c r="M399" s="150"/>
      <c r="N399" s="150"/>
      <c r="O399" s="150"/>
      <c r="P399" s="150"/>
      <c r="Q399" s="150"/>
      <c r="R399" s="150"/>
      <c r="S399" s="150"/>
      <c r="T399" s="150"/>
      <c r="U399" s="150"/>
      <c r="V399" s="150"/>
      <c r="W399" s="150"/>
      <c r="X399" s="150"/>
      <c r="Y399" s="150"/>
      <c r="Z399" s="150"/>
    </row>
    <row r="400">
      <c r="A400" s="150"/>
      <c r="B400" s="155"/>
      <c r="C400" s="155"/>
      <c r="D400" s="155"/>
      <c r="E400" s="155"/>
      <c r="F400" s="150"/>
      <c r="G400" s="150"/>
      <c r="H400" s="150"/>
      <c r="I400" s="150"/>
      <c r="J400" s="150"/>
      <c r="K400" s="150"/>
      <c r="L400" s="150"/>
      <c r="M400" s="150"/>
      <c r="N400" s="150"/>
      <c r="O400" s="150"/>
      <c r="P400" s="150"/>
      <c r="Q400" s="150"/>
      <c r="R400" s="150"/>
      <c r="S400" s="150"/>
      <c r="T400" s="150"/>
      <c r="U400" s="150"/>
      <c r="V400" s="150"/>
      <c r="W400" s="150"/>
      <c r="X400" s="150"/>
      <c r="Y400" s="150"/>
      <c r="Z400" s="150"/>
    </row>
    <row r="401">
      <c r="A401" s="150"/>
      <c r="B401" s="155"/>
      <c r="C401" s="155"/>
      <c r="D401" s="155"/>
      <c r="E401" s="155"/>
      <c r="F401" s="150"/>
      <c r="G401" s="150"/>
      <c r="H401" s="150"/>
      <c r="I401" s="150"/>
      <c r="J401" s="150"/>
      <c r="K401" s="150"/>
      <c r="L401" s="150"/>
      <c r="M401" s="150"/>
      <c r="N401" s="150"/>
      <c r="O401" s="150"/>
      <c r="P401" s="150"/>
      <c r="Q401" s="150"/>
      <c r="R401" s="150"/>
      <c r="S401" s="150"/>
      <c r="T401" s="150"/>
      <c r="U401" s="150"/>
      <c r="V401" s="150"/>
      <c r="W401" s="150"/>
      <c r="X401" s="150"/>
      <c r="Y401" s="150"/>
      <c r="Z401" s="150"/>
    </row>
    <row r="402">
      <c r="A402" s="150"/>
      <c r="B402" s="155"/>
      <c r="C402" s="155"/>
      <c r="D402" s="155"/>
      <c r="E402" s="155"/>
      <c r="F402" s="150"/>
      <c r="G402" s="150"/>
      <c r="H402" s="150"/>
      <c r="I402" s="150"/>
      <c r="J402" s="150"/>
      <c r="K402" s="150"/>
      <c r="L402" s="150"/>
      <c r="M402" s="150"/>
      <c r="N402" s="150"/>
      <c r="O402" s="150"/>
      <c r="P402" s="150"/>
      <c r="Q402" s="150"/>
      <c r="R402" s="150"/>
      <c r="S402" s="150"/>
      <c r="T402" s="150"/>
      <c r="U402" s="150"/>
      <c r="V402" s="150"/>
      <c r="W402" s="150"/>
      <c r="X402" s="150"/>
      <c r="Y402" s="150"/>
      <c r="Z402" s="150"/>
    </row>
    <row r="403">
      <c r="A403" s="150"/>
      <c r="B403" s="155"/>
      <c r="C403" s="155"/>
      <c r="D403" s="155"/>
      <c r="E403" s="155"/>
      <c r="F403" s="150"/>
      <c r="G403" s="150"/>
      <c r="H403" s="150"/>
      <c r="I403" s="150"/>
      <c r="J403" s="150"/>
      <c r="K403" s="150"/>
      <c r="L403" s="150"/>
      <c r="M403" s="150"/>
      <c r="N403" s="150"/>
      <c r="O403" s="150"/>
      <c r="P403" s="150"/>
      <c r="Q403" s="150"/>
      <c r="R403" s="150"/>
      <c r="S403" s="150"/>
      <c r="T403" s="150"/>
      <c r="U403" s="150"/>
      <c r="V403" s="150"/>
      <c r="W403" s="150"/>
      <c r="X403" s="150"/>
      <c r="Y403" s="150"/>
      <c r="Z403" s="150"/>
    </row>
    <row r="404">
      <c r="A404" s="150"/>
      <c r="B404" s="155"/>
      <c r="C404" s="155"/>
      <c r="D404" s="155"/>
      <c r="E404" s="155"/>
      <c r="F404" s="150"/>
      <c r="G404" s="150"/>
      <c r="H404" s="150"/>
      <c r="I404" s="150"/>
      <c r="J404" s="150"/>
      <c r="K404" s="150"/>
      <c r="L404" s="150"/>
      <c r="M404" s="150"/>
      <c r="N404" s="150"/>
      <c r="O404" s="150"/>
      <c r="P404" s="150"/>
      <c r="Q404" s="150"/>
      <c r="R404" s="150"/>
      <c r="S404" s="150"/>
      <c r="T404" s="150"/>
      <c r="U404" s="150"/>
      <c r="V404" s="150"/>
      <c r="W404" s="150"/>
      <c r="X404" s="150"/>
      <c r="Y404" s="150"/>
      <c r="Z404" s="150"/>
    </row>
    <row r="405">
      <c r="A405" s="150"/>
      <c r="B405" s="155"/>
      <c r="C405" s="155"/>
      <c r="D405" s="155"/>
      <c r="E405" s="155"/>
      <c r="F405" s="150"/>
      <c r="G405" s="150"/>
      <c r="H405" s="150"/>
      <c r="I405" s="150"/>
      <c r="J405" s="150"/>
      <c r="K405" s="150"/>
      <c r="L405" s="150"/>
      <c r="M405" s="150"/>
      <c r="N405" s="150"/>
      <c r="O405" s="150"/>
      <c r="P405" s="150"/>
      <c r="Q405" s="150"/>
      <c r="R405" s="150"/>
      <c r="S405" s="150"/>
      <c r="T405" s="150"/>
      <c r="U405" s="150"/>
      <c r="V405" s="150"/>
      <c r="W405" s="150"/>
      <c r="X405" s="150"/>
      <c r="Y405" s="150"/>
      <c r="Z405" s="150"/>
    </row>
    <row r="406">
      <c r="A406" s="150"/>
      <c r="B406" s="155"/>
      <c r="C406" s="155"/>
      <c r="D406" s="155"/>
      <c r="E406" s="155"/>
      <c r="F406" s="150"/>
      <c r="G406" s="150"/>
      <c r="H406" s="150"/>
      <c r="I406" s="150"/>
      <c r="J406" s="150"/>
      <c r="K406" s="150"/>
      <c r="L406" s="150"/>
      <c r="M406" s="150"/>
      <c r="N406" s="150"/>
      <c r="O406" s="150"/>
      <c r="P406" s="150"/>
      <c r="Q406" s="150"/>
      <c r="R406" s="150"/>
      <c r="S406" s="150"/>
      <c r="T406" s="150"/>
      <c r="U406" s="150"/>
      <c r="V406" s="150"/>
      <c r="W406" s="150"/>
      <c r="X406" s="150"/>
      <c r="Y406" s="150"/>
      <c r="Z406" s="150"/>
    </row>
    <row r="407">
      <c r="A407" s="150"/>
      <c r="B407" s="155"/>
      <c r="C407" s="155"/>
      <c r="D407" s="155"/>
      <c r="E407" s="155"/>
      <c r="F407" s="150"/>
      <c r="G407" s="150"/>
      <c r="H407" s="150"/>
      <c r="I407" s="150"/>
      <c r="J407" s="150"/>
      <c r="K407" s="150"/>
      <c r="L407" s="150"/>
      <c r="M407" s="150"/>
      <c r="N407" s="150"/>
      <c r="O407" s="150"/>
      <c r="P407" s="150"/>
      <c r="Q407" s="150"/>
      <c r="R407" s="150"/>
      <c r="S407" s="150"/>
      <c r="T407" s="150"/>
      <c r="U407" s="150"/>
      <c r="V407" s="150"/>
      <c r="W407" s="150"/>
      <c r="X407" s="150"/>
      <c r="Y407" s="150"/>
      <c r="Z407" s="150"/>
    </row>
    <row r="408">
      <c r="A408" s="150"/>
      <c r="B408" s="155"/>
      <c r="C408" s="155"/>
      <c r="D408" s="155"/>
      <c r="E408" s="155"/>
      <c r="F408" s="150"/>
      <c r="G408" s="150"/>
      <c r="H408" s="150"/>
      <c r="I408" s="150"/>
      <c r="J408" s="150"/>
      <c r="K408" s="150"/>
      <c r="L408" s="150"/>
      <c r="M408" s="150"/>
      <c r="N408" s="150"/>
      <c r="O408" s="150"/>
      <c r="P408" s="150"/>
      <c r="Q408" s="150"/>
      <c r="R408" s="150"/>
      <c r="S408" s="150"/>
      <c r="T408" s="150"/>
      <c r="U408" s="150"/>
      <c r="V408" s="150"/>
      <c r="W408" s="150"/>
      <c r="X408" s="150"/>
      <c r="Y408" s="150"/>
      <c r="Z408" s="150"/>
    </row>
    <row r="409">
      <c r="A409" s="150"/>
      <c r="B409" s="155"/>
      <c r="C409" s="155"/>
      <c r="D409" s="155"/>
      <c r="E409" s="155"/>
      <c r="F409" s="150"/>
      <c r="G409" s="150"/>
      <c r="H409" s="150"/>
      <c r="I409" s="150"/>
      <c r="J409" s="150"/>
      <c r="K409" s="150"/>
      <c r="L409" s="150"/>
      <c r="M409" s="150"/>
      <c r="N409" s="150"/>
      <c r="O409" s="150"/>
      <c r="P409" s="150"/>
      <c r="Q409" s="150"/>
      <c r="R409" s="150"/>
      <c r="S409" s="150"/>
      <c r="T409" s="150"/>
      <c r="U409" s="150"/>
      <c r="V409" s="150"/>
      <c r="W409" s="150"/>
      <c r="X409" s="150"/>
      <c r="Y409" s="150"/>
      <c r="Z409" s="150"/>
    </row>
    <row r="410">
      <c r="A410" s="150"/>
      <c r="B410" s="155"/>
      <c r="C410" s="155"/>
      <c r="D410" s="155"/>
      <c r="E410" s="155"/>
      <c r="F410" s="150"/>
      <c r="G410" s="150"/>
      <c r="H410" s="150"/>
      <c r="I410" s="150"/>
      <c r="J410" s="150"/>
      <c r="K410" s="150"/>
      <c r="L410" s="150"/>
      <c r="M410" s="150"/>
      <c r="N410" s="150"/>
      <c r="O410" s="150"/>
      <c r="P410" s="150"/>
      <c r="Q410" s="150"/>
      <c r="R410" s="150"/>
      <c r="S410" s="150"/>
      <c r="T410" s="150"/>
      <c r="U410" s="150"/>
      <c r="V410" s="150"/>
      <c r="W410" s="150"/>
      <c r="X410" s="150"/>
      <c r="Y410" s="150"/>
      <c r="Z410" s="150"/>
    </row>
    <row r="411">
      <c r="A411" s="150"/>
      <c r="B411" s="155"/>
      <c r="C411" s="155"/>
      <c r="D411" s="155"/>
      <c r="E411" s="155"/>
      <c r="F411" s="150"/>
      <c r="G411" s="150"/>
      <c r="H411" s="150"/>
      <c r="I411" s="150"/>
      <c r="J411" s="150"/>
      <c r="K411" s="150"/>
      <c r="L411" s="150"/>
      <c r="M411" s="150"/>
      <c r="N411" s="150"/>
      <c r="O411" s="150"/>
      <c r="P411" s="150"/>
      <c r="Q411" s="150"/>
      <c r="R411" s="150"/>
      <c r="S411" s="150"/>
      <c r="T411" s="150"/>
      <c r="U411" s="150"/>
      <c r="V411" s="150"/>
      <c r="W411" s="150"/>
      <c r="X411" s="150"/>
      <c r="Y411" s="150"/>
      <c r="Z411" s="150"/>
    </row>
    <row r="412">
      <c r="A412" s="150"/>
      <c r="B412" s="155"/>
      <c r="C412" s="155"/>
      <c r="D412" s="155"/>
      <c r="E412" s="155"/>
      <c r="F412" s="150"/>
      <c r="G412" s="150"/>
      <c r="H412" s="150"/>
      <c r="I412" s="150"/>
      <c r="J412" s="150"/>
      <c r="K412" s="150"/>
      <c r="L412" s="150"/>
      <c r="M412" s="150"/>
      <c r="N412" s="150"/>
      <c r="O412" s="150"/>
      <c r="P412" s="150"/>
      <c r="Q412" s="150"/>
      <c r="R412" s="150"/>
      <c r="S412" s="150"/>
      <c r="T412" s="150"/>
      <c r="U412" s="150"/>
      <c r="V412" s="150"/>
      <c r="W412" s="150"/>
      <c r="X412" s="150"/>
      <c r="Y412" s="150"/>
      <c r="Z412" s="150"/>
    </row>
    <row r="413">
      <c r="A413" s="150"/>
      <c r="B413" s="155"/>
      <c r="C413" s="155"/>
      <c r="D413" s="155"/>
      <c r="E413" s="155"/>
      <c r="F413" s="150"/>
      <c r="G413" s="150"/>
      <c r="H413" s="150"/>
      <c r="I413" s="150"/>
      <c r="J413" s="150"/>
      <c r="K413" s="150"/>
      <c r="L413" s="150"/>
      <c r="M413" s="150"/>
      <c r="N413" s="150"/>
      <c r="O413" s="150"/>
      <c r="P413" s="150"/>
      <c r="Q413" s="150"/>
      <c r="R413" s="150"/>
      <c r="S413" s="150"/>
      <c r="T413" s="150"/>
      <c r="U413" s="150"/>
      <c r="V413" s="150"/>
      <c r="W413" s="150"/>
      <c r="X413" s="150"/>
      <c r="Y413" s="150"/>
      <c r="Z413" s="150"/>
    </row>
    <row r="414">
      <c r="A414" s="150"/>
      <c r="B414" s="155"/>
      <c r="C414" s="155"/>
      <c r="D414" s="155"/>
      <c r="E414" s="155"/>
      <c r="F414" s="150"/>
      <c r="G414" s="150"/>
      <c r="H414" s="150"/>
      <c r="I414" s="150"/>
      <c r="J414" s="150"/>
      <c r="K414" s="150"/>
      <c r="L414" s="150"/>
      <c r="M414" s="150"/>
      <c r="N414" s="150"/>
      <c r="O414" s="150"/>
      <c r="P414" s="150"/>
      <c r="Q414" s="150"/>
      <c r="R414" s="150"/>
      <c r="S414" s="150"/>
      <c r="T414" s="150"/>
      <c r="U414" s="150"/>
      <c r="V414" s="150"/>
      <c r="W414" s="150"/>
      <c r="X414" s="150"/>
      <c r="Y414" s="150"/>
      <c r="Z414" s="150"/>
    </row>
    <row r="415">
      <c r="A415" s="150"/>
      <c r="B415" s="155"/>
      <c r="C415" s="155"/>
      <c r="D415" s="155"/>
      <c r="E415" s="155"/>
      <c r="F415" s="150"/>
      <c r="G415" s="150"/>
      <c r="H415" s="150"/>
      <c r="I415" s="150"/>
      <c r="J415" s="150"/>
      <c r="K415" s="150"/>
      <c r="L415" s="150"/>
      <c r="M415" s="150"/>
      <c r="N415" s="150"/>
      <c r="O415" s="150"/>
      <c r="P415" s="150"/>
      <c r="Q415" s="150"/>
      <c r="R415" s="150"/>
      <c r="S415" s="150"/>
      <c r="T415" s="150"/>
      <c r="U415" s="150"/>
      <c r="V415" s="150"/>
      <c r="W415" s="150"/>
      <c r="X415" s="150"/>
      <c r="Y415" s="150"/>
      <c r="Z415" s="150"/>
    </row>
    <row r="416">
      <c r="A416" s="150"/>
      <c r="B416" s="155"/>
      <c r="C416" s="155"/>
      <c r="D416" s="155"/>
      <c r="E416" s="155"/>
      <c r="F416" s="150"/>
      <c r="G416" s="150"/>
      <c r="H416" s="150"/>
      <c r="I416" s="150"/>
      <c r="J416" s="150"/>
      <c r="K416" s="150"/>
      <c r="L416" s="150"/>
      <c r="M416" s="150"/>
      <c r="N416" s="150"/>
      <c r="O416" s="150"/>
      <c r="P416" s="150"/>
      <c r="Q416" s="150"/>
      <c r="R416" s="150"/>
      <c r="S416" s="150"/>
      <c r="T416" s="150"/>
      <c r="U416" s="150"/>
      <c r="V416" s="150"/>
      <c r="W416" s="150"/>
      <c r="X416" s="150"/>
      <c r="Y416" s="150"/>
      <c r="Z416" s="150"/>
    </row>
    <row r="417">
      <c r="A417" s="150"/>
      <c r="B417" s="155"/>
      <c r="C417" s="155"/>
      <c r="D417" s="155"/>
      <c r="E417" s="155"/>
      <c r="F417" s="150"/>
      <c r="G417" s="150"/>
      <c r="H417" s="150"/>
      <c r="I417" s="150"/>
      <c r="J417" s="150"/>
      <c r="K417" s="150"/>
      <c r="L417" s="150"/>
      <c r="M417" s="150"/>
      <c r="N417" s="150"/>
      <c r="O417" s="150"/>
      <c r="P417" s="150"/>
      <c r="Q417" s="150"/>
      <c r="R417" s="150"/>
      <c r="S417" s="150"/>
      <c r="T417" s="150"/>
      <c r="U417" s="150"/>
      <c r="V417" s="150"/>
      <c r="W417" s="150"/>
      <c r="X417" s="150"/>
      <c r="Y417" s="150"/>
      <c r="Z417" s="150"/>
    </row>
    <row r="418">
      <c r="A418" s="150"/>
      <c r="B418" s="155"/>
      <c r="C418" s="155"/>
      <c r="D418" s="155"/>
      <c r="E418" s="155"/>
      <c r="F418" s="150"/>
      <c r="G418" s="150"/>
      <c r="H418" s="150"/>
      <c r="I418" s="150"/>
      <c r="J418" s="150"/>
      <c r="K418" s="150"/>
      <c r="L418" s="150"/>
      <c r="M418" s="150"/>
      <c r="N418" s="150"/>
      <c r="O418" s="150"/>
      <c r="P418" s="150"/>
      <c r="Q418" s="150"/>
      <c r="R418" s="150"/>
      <c r="S418" s="150"/>
      <c r="T418" s="150"/>
      <c r="U418" s="150"/>
      <c r="V418" s="150"/>
      <c r="W418" s="150"/>
      <c r="X418" s="150"/>
      <c r="Y418" s="150"/>
      <c r="Z418" s="150"/>
    </row>
    <row r="419">
      <c r="A419" s="150"/>
      <c r="B419" s="155"/>
      <c r="C419" s="155"/>
      <c r="D419" s="155"/>
      <c r="E419" s="155"/>
      <c r="F419" s="150"/>
      <c r="G419" s="150"/>
      <c r="H419" s="150"/>
      <c r="I419" s="150"/>
      <c r="J419" s="150"/>
      <c r="K419" s="150"/>
      <c r="L419" s="150"/>
      <c r="M419" s="150"/>
      <c r="N419" s="150"/>
      <c r="O419" s="150"/>
      <c r="P419" s="150"/>
      <c r="Q419" s="150"/>
      <c r="R419" s="150"/>
      <c r="S419" s="150"/>
      <c r="T419" s="150"/>
      <c r="U419" s="150"/>
      <c r="V419" s="150"/>
      <c r="W419" s="150"/>
      <c r="X419" s="150"/>
      <c r="Y419" s="150"/>
      <c r="Z419" s="150"/>
    </row>
    <row r="420">
      <c r="A420" s="150"/>
      <c r="B420" s="155"/>
      <c r="C420" s="155"/>
      <c r="D420" s="155"/>
      <c r="E420" s="155"/>
      <c r="F420" s="150"/>
      <c r="G420" s="150"/>
      <c r="H420" s="150"/>
      <c r="I420" s="150"/>
      <c r="J420" s="150"/>
      <c r="K420" s="150"/>
      <c r="L420" s="150"/>
      <c r="M420" s="150"/>
      <c r="N420" s="150"/>
      <c r="O420" s="150"/>
      <c r="P420" s="150"/>
      <c r="Q420" s="150"/>
      <c r="R420" s="150"/>
      <c r="S420" s="150"/>
      <c r="T420" s="150"/>
      <c r="U420" s="150"/>
      <c r="V420" s="150"/>
      <c r="W420" s="150"/>
      <c r="X420" s="150"/>
      <c r="Y420" s="150"/>
      <c r="Z420" s="150"/>
    </row>
    <row r="421">
      <c r="A421" s="150"/>
      <c r="B421" s="155"/>
      <c r="C421" s="155"/>
      <c r="D421" s="155"/>
      <c r="E421" s="155"/>
      <c r="F421" s="150"/>
      <c r="G421" s="150"/>
      <c r="H421" s="150"/>
      <c r="I421" s="150"/>
      <c r="J421" s="150"/>
      <c r="K421" s="150"/>
      <c r="L421" s="150"/>
      <c r="M421" s="150"/>
      <c r="N421" s="150"/>
      <c r="O421" s="150"/>
      <c r="P421" s="150"/>
      <c r="Q421" s="150"/>
      <c r="R421" s="150"/>
      <c r="S421" s="150"/>
      <c r="T421" s="150"/>
      <c r="U421" s="150"/>
      <c r="V421" s="150"/>
      <c r="W421" s="150"/>
      <c r="X421" s="150"/>
      <c r="Y421" s="150"/>
      <c r="Z421" s="150"/>
    </row>
    <row r="422">
      <c r="A422" s="150"/>
      <c r="B422" s="155"/>
      <c r="C422" s="155"/>
      <c r="D422" s="155"/>
      <c r="E422" s="155"/>
      <c r="F422" s="150"/>
      <c r="G422" s="150"/>
      <c r="H422" s="150"/>
      <c r="I422" s="150"/>
      <c r="J422" s="150"/>
      <c r="K422" s="150"/>
      <c r="L422" s="150"/>
      <c r="M422" s="150"/>
      <c r="N422" s="150"/>
      <c r="O422" s="150"/>
      <c r="P422" s="150"/>
      <c r="Q422" s="150"/>
      <c r="R422" s="150"/>
      <c r="S422" s="150"/>
      <c r="T422" s="150"/>
      <c r="U422" s="150"/>
      <c r="V422" s="150"/>
      <c r="W422" s="150"/>
      <c r="X422" s="150"/>
      <c r="Y422" s="150"/>
      <c r="Z422" s="150"/>
    </row>
    <row r="423">
      <c r="A423" s="150"/>
      <c r="B423" s="155"/>
      <c r="C423" s="155"/>
      <c r="D423" s="155"/>
      <c r="E423" s="155"/>
      <c r="F423" s="150"/>
      <c r="G423" s="150"/>
      <c r="H423" s="150"/>
      <c r="I423" s="150"/>
      <c r="J423" s="150"/>
      <c r="K423" s="150"/>
      <c r="L423" s="150"/>
      <c r="M423" s="150"/>
      <c r="N423" s="150"/>
      <c r="O423" s="150"/>
      <c r="P423" s="150"/>
      <c r="Q423" s="150"/>
      <c r="R423" s="150"/>
      <c r="S423" s="150"/>
      <c r="T423" s="150"/>
      <c r="U423" s="150"/>
      <c r="V423" s="150"/>
      <c r="W423" s="150"/>
      <c r="X423" s="150"/>
      <c r="Y423" s="150"/>
      <c r="Z423" s="150"/>
    </row>
    <row r="424">
      <c r="A424" s="150"/>
      <c r="B424" s="155"/>
      <c r="C424" s="155"/>
      <c r="D424" s="155"/>
      <c r="E424" s="155"/>
      <c r="F424" s="150"/>
      <c r="G424" s="150"/>
      <c r="H424" s="150"/>
      <c r="I424" s="150"/>
      <c r="J424" s="150"/>
      <c r="K424" s="150"/>
      <c r="L424" s="150"/>
      <c r="M424" s="150"/>
      <c r="N424" s="150"/>
      <c r="O424" s="150"/>
      <c r="P424" s="150"/>
      <c r="Q424" s="150"/>
      <c r="R424" s="150"/>
      <c r="S424" s="150"/>
      <c r="T424" s="150"/>
      <c r="U424" s="150"/>
      <c r="V424" s="150"/>
      <c r="W424" s="150"/>
      <c r="X424" s="150"/>
      <c r="Y424" s="150"/>
      <c r="Z424" s="150"/>
    </row>
    <row r="425">
      <c r="A425" s="150"/>
      <c r="B425" s="155"/>
      <c r="C425" s="155"/>
      <c r="D425" s="155"/>
      <c r="E425" s="155"/>
      <c r="F425" s="150"/>
      <c r="G425" s="150"/>
      <c r="H425" s="150"/>
      <c r="I425" s="150"/>
      <c r="J425" s="150"/>
      <c r="K425" s="150"/>
      <c r="L425" s="150"/>
      <c r="M425" s="150"/>
      <c r="N425" s="150"/>
      <c r="O425" s="150"/>
      <c r="P425" s="150"/>
      <c r="Q425" s="150"/>
      <c r="R425" s="150"/>
      <c r="S425" s="150"/>
      <c r="T425" s="150"/>
      <c r="U425" s="150"/>
      <c r="V425" s="150"/>
      <c r="W425" s="150"/>
      <c r="X425" s="150"/>
      <c r="Y425" s="150"/>
      <c r="Z425" s="150"/>
    </row>
    <row r="426">
      <c r="A426" s="150"/>
      <c r="B426" s="155"/>
      <c r="C426" s="155"/>
      <c r="D426" s="155"/>
      <c r="E426" s="155"/>
      <c r="F426" s="150"/>
      <c r="G426" s="150"/>
      <c r="H426" s="150"/>
      <c r="I426" s="150"/>
      <c r="J426" s="150"/>
      <c r="K426" s="150"/>
      <c r="L426" s="150"/>
      <c r="M426" s="150"/>
      <c r="N426" s="150"/>
      <c r="O426" s="150"/>
      <c r="P426" s="150"/>
      <c r="Q426" s="150"/>
      <c r="R426" s="150"/>
      <c r="S426" s="150"/>
      <c r="T426" s="150"/>
      <c r="U426" s="150"/>
      <c r="V426" s="150"/>
      <c r="W426" s="150"/>
      <c r="X426" s="150"/>
      <c r="Y426" s="150"/>
      <c r="Z426" s="150"/>
    </row>
    <row r="427">
      <c r="A427" s="150"/>
      <c r="B427" s="155"/>
      <c r="C427" s="155"/>
      <c r="D427" s="155"/>
      <c r="E427" s="155"/>
      <c r="F427" s="150"/>
      <c r="G427" s="150"/>
      <c r="H427" s="150"/>
      <c r="I427" s="150"/>
      <c r="J427" s="150"/>
      <c r="K427" s="150"/>
      <c r="L427" s="150"/>
      <c r="M427" s="150"/>
      <c r="N427" s="150"/>
      <c r="O427" s="150"/>
      <c r="P427" s="150"/>
      <c r="Q427" s="150"/>
      <c r="R427" s="150"/>
      <c r="S427" s="150"/>
      <c r="T427" s="150"/>
      <c r="U427" s="150"/>
      <c r="V427" s="150"/>
      <c r="W427" s="150"/>
      <c r="X427" s="150"/>
      <c r="Y427" s="150"/>
      <c r="Z427" s="150"/>
    </row>
    <row r="428">
      <c r="A428" s="150"/>
      <c r="B428" s="155"/>
      <c r="C428" s="155"/>
      <c r="D428" s="155"/>
      <c r="E428" s="155"/>
      <c r="F428" s="150"/>
      <c r="G428" s="150"/>
      <c r="H428" s="150"/>
      <c r="I428" s="150"/>
      <c r="J428" s="150"/>
      <c r="K428" s="150"/>
      <c r="L428" s="150"/>
      <c r="M428" s="150"/>
      <c r="N428" s="150"/>
      <c r="O428" s="150"/>
      <c r="P428" s="150"/>
      <c r="Q428" s="150"/>
      <c r="R428" s="150"/>
      <c r="S428" s="150"/>
      <c r="T428" s="150"/>
      <c r="U428" s="150"/>
      <c r="V428" s="150"/>
      <c r="W428" s="150"/>
      <c r="X428" s="150"/>
      <c r="Y428" s="150"/>
      <c r="Z428" s="150"/>
    </row>
    <row r="429">
      <c r="A429" s="150"/>
      <c r="B429" s="155"/>
      <c r="C429" s="155"/>
      <c r="D429" s="155"/>
      <c r="E429" s="155"/>
      <c r="F429" s="150"/>
      <c r="G429" s="150"/>
      <c r="H429" s="150"/>
      <c r="I429" s="150"/>
      <c r="J429" s="150"/>
      <c r="K429" s="150"/>
      <c r="L429" s="150"/>
      <c r="M429" s="150"/>
      <c r="N429" s="150"/>
      <c r="O429" s="150"/>
      <c r="P429" s="150"/>
      <c r="Q429" s="150"/>
      <c r="R429" s="150"/>
      <c r="S429" s="150"/>
      <c r="T429" s="150"/>
      <c r="U429" s="150"/>
      <c r="V429" s="150"/>
      <c r="W429" s="150"/>
      <c r="X429" s="150"/>
      <c r="Y429" s="150"/>
      <c r="Z429" s="150"/>
    </row>
    <row r="430">
      <c r="A430" s="150"/>
      <c r="B430" s="155"/>
      <c r="C430" s="155"/>
      <c r="D430" s="155"/>
      <c r="E430" s="155"/>
      <c r="F430" s="150"/>
      <c r="G430" s="150"/>
      <c r="H430" s="150"/>
      <c r="I430" s="150"/>
      <c r="J430" s="150"/>
      <c r="K430" s="150"/>
      <c r="L430" s="150"/>
      <c r="M430" s="150"/>
      <c r="N430" s="150"/>
      <c r="O430" s="150"/>
      <c r="P430" s="150"/>
      <c r="Q430" s="150"/>
      <c r="R430" s="150"/>
      <c r="S430" s="150"/>
      <c r="T430" s="150"/>
      <c r="U430" s="150"/>
      <c r="V430" s="150"/>
      <c r="W430" s="150"/>
      <c r="X430" s="150"/>
      <c r="Y430" s="150"/>
      <c r="Z430" s="150"/>
    </row>
    <row r="431">
      <c r="A431" s="150"/>
      <c r="B431" s="155"/>
      <c r="C431" s="155"/>
      <c r="D431" s="155"/>
      <c r="E431" s="155"/>
      <c r="F431" s="150"/>
      <c r="G431" s="150"/>
      <c r="H431" s="150"/>
      <c r="I431" s="150"/>
      <c r="J431" s="150"/>
      <c r="K431" s="150"/>
      <c r="L431" s="150"/>
      <c r="M431" s="150"/>
      <c r="N431" s="150"/>
      <c r="O431" s="150"/>
      <c r="P431" s="150"/>
      <c r="Q431" s="150"/>
      <c r="R431" s="150"/>
      <c r="S431" s="150"/>
      <c r="T431" s="150"/>
      <c r="U431" s="150"/>
      <c r="V431" s="150"/>
      <c r="W431" s="150"/>
      <c r="X431" s="150"/>
      <c r="Y431" s="150"/>
      <c r="Z431" s="150"/>
    </row>
    <row r="432">
      <c r="A432" s="150"/>
      <c r="B432" s="155"/>
      <c r="C432" s="155"/>
      <c r="D432" s="155"/>
      <c r="E432" s="155"/>
      <c r="F432" s="150"/>
      <c r="G432" s="150"/>
      <c r="H432" s="150"/>
      <c r="I432" s="150"/>
      <c r="J432" s="150"/>
      <c r="K432" s="150"/>
      <c r="L432" s="150"/>
      <c r="M432" s="150"/>
      <c r="N432" s="150"/>
      <c r="O432" s="150"/>
      <c r="P432" s="150"/>
      <c r="Q432" s="150"/>
      <c r="R432" s="150"/>
      <c r="S432" s="150"/>
      <c r="T432" s="150"/>
      <c r="U432" s="150"/>
      <c r="V432" s="150"/>
      <c r="W432" s="150"/>
      <c r="X432" s="150"/>
      <c r="Y432" s="150"/>
      <c r="Z432" s="150"/>
    </row>
    <row r="433">
      <c r="A433" s="150"/>
      <c r="B433" s="155"/>
      <c r="C433" s="155"/>
      <c r="D433" s="155"/>
      <c r="E433" s="155"/>
      <c r="F433" s="150"/>
      <c r="G433" s="150"/>
      <c r="H433" s="150"/>
      <c r="I433" s="150"/>
      <c r="J433" s="150"/>
      <c r="K433" s="150"/>
      <c r="L433" s="150"/>
      <c r="M433" s="150"/>
      <c r="N433" s="150"/>
      <c r="O433" s="150"/>
      <c r="P433" s="150"/>
      <c r="Q433" s="150"/>
      <c r="R433" s="150"/>
      <c r="S433" s="150"/>
      <c r="T433" s="150"/>
      <c r="U433" s="150"/>
      <c r="V433" s="150"/>
      <c r="W433" s="150"/>
      <c r="X433" s="150"/>
      <c r="Y433" s="150"/>
      <c r="Z433" s="150"/>
    </row>
    <row r="434">
      <c r="A434" s="150"/>
      <c r="B434" s="155"/>
      <c r="C434" s="155"/>
      <c r="D434" s="155"/>
      <c r="E434" s="155"/>
      <c r="F434" s="150"/>
      <c r="G434" s="150"/>
      <c r="H434" s="150"/>
      <c r="I434" s="150"/>
      <c r="J434" s="150"/>
      <c r="K434" s="150"/>
      <c r="L434" s="150"/>
      <c r="M434" s="150"/>
      <c r="N434" s="150"/>
      <c r="O434" s="150"/>
      <c r="P434" s="150"/>
      <c r="Q434" s="150"/>
      <c r="R434" s="150"/>
      <c r="S434" s="150"/>
      <c r="T434" s="150"/>
      <c r="U434" s="150"/>
      <c r="V434" s="150"/>
      <c r="W434" s="150"/>
      <c r="X434" s="150"/>
      <c r="Y434" s="150"/>
      <c r="Z434" s="150"/>
    </row>
    <row r="435">
      <c r="A435" s="150"/>
      <c r="B435" s="155"/>
      <c r="C435" s="155"/>
      <c r="D435" s="155"/>
      <c r="E435" s="155"/>
      <c r="F435" s="150"/>
      <c r="G435" s="150"/>
      <c r="H435" s="150"/>
      <c r="I435" s="150"/>
      <c r="J435" s="150"/>
      <c r="K435" s="150"/>
      <c r="L435" s="150"/>
      <c r="M435" s="150"/>
      <c r="N435" s="150"/>
      <c r="O435" s="150"/>
      <c r="P435" s="150"/>
      <c r="Q435" s="150"/>
      <c r="R435" s="150"/>
      <c r="S435" s="150"/>
      <c r="T435" s="150"/>
      <c r="U435" s="150"/>
      <c r="V435" s="150"/>
      <c r="W435" s="150"/>
      <c r="X435" s="150"/>
      <c r="Y435" s="150"/>
      <c r="Z435" s="150"/>
    </row>
    <row r="436">
      <c r="A436" s="150"/>
      <c r="B436" s="155"/>
      <c r="C436" s="155"/>
      <c r="D436" s="155"/>
      <c r="E436" s="155"/>
      <c r="F436" s="150"/>
      <c r="G436" s="150"/>
      <c r="H436" s="150"/>
      <c r="I436" s="150"/>
      <c r="J436" s="150"/>
      <c r="K436" s="150"/>
      <c r="L436" s="150"/>
      <c r="M436" s="150"/>
      <c r="N436" s="150"/>
      <c r="O436" s="150"/>
      <c r="P436" s="150"/>
      <c r="Q436" s="150"/>
      <c r="R436" s="150"/>
      <c r="S436" s="150"/>
      <c r="T436" s="150"/>
      <c r="U436" s="150"/>
      <c r="V436" s="150"/>
      <c r="W436" s="150"/>
      <c r="X436" s="150"/>
      <c r="Y436" s="150"/>
      <c r="Z436" s="150"/>
    </row>
    <row r="437">
      <c r="A437" s="150"/>
      <c r="B437" s="155"/>
      <c r="C437" s="155"/>
      <c r="D437" s="155"/>
      <c r="E437" s="155"/>
      <c r="F437" s="150"/>
      <c r="G437" s="150"/>
      <c r="H437" s="150"/>
      <c r="I437" s="150"/>
      <c r="J437" s="150"/>
      <c r="K437" s="150"/>
      <c r="L437" s="150"/>
      <c r="M437" s="150"/>
      <c r="N437" s="150"/>
      <c r="O437" s="150"/>
      <c r="P437" s="150"/>
      <c r="Q437" s="150"/>
      <c r="R437" s="150"/>
      <c r="S437" s="150"/>
      <c r="T437" s="150"/>
      <c r="U437" s="150"/>
      <c r="V437" s="150"/>
      <c r="W437" s="150"/>
      <c r="X437" s="150"/>
      <c r="Y437" s="150"/>
      <c r="Z437" s="150"/>
    </row>
    <row r="438">
      <c r="A438" s="150"/>
      <c r="B438" s="155"/>
      <c r="C438" s="155"/>
      <c r="D438" s="155"/>
      <c r="E438" s="155"/>
      <c r="F438" s="150"/>
      <c r="G438" s="150"/>
      <c r="H438" s="150"/>
      <c r="I438" s="150"/>
      <c r="J438" s="150"/>
      <c r="K438" s="150"/>
      <c r="L438" s="150"/>
      <c r="M438" s="150"/>
      <c r="N438" s="150"/>
      <c r="O438" s="150"/>
      <c r="P438" s="150"/>
      <c r="Q438" s="150"/>
      <c r="R438" s="150"/>
      <c r="S438" s="150"/>
      <c r="T438" s="150"/>
      <c r="U438" s="150"/>
      <c r="V438" s="150"/>
      <c r="W438" s="150"/>
      <c r="X438" s="150"/>
      <c r="Y438" s="150"/>
      <c r="Z438" s="150"/>
    </row>
    <row r="439">
      <c r="A439" s="150"/>
      <c r="B439" s="155"/>
      <c r="C439" s="155"/>
      <c r="D439" s="155"/>
      <c r="E439" s="155"/>
      <c r="F439" s="150"/>
      <c r="G439" s="150"/>
      <c r="H439" s="150"/>
      <c r="I439" s="150"/>
      <c r="J439" s="150"/>
      <c r="K439" s="150"/>
      <c r="L439" s="150"/>
      <c r="M439" s="150"/>
      <c r="N439" s="150"/>
      <c r="O439" s="150"/>
      <c r="P439" s="150"/>
      <c r="Q439" s="150"/>
      <c r="R439" s="150"/>
      <c r="S439" s="150"/>
      <c r="T439" s="150"/>
      <c r="U439" s="150"/>
      <c r="V439" s="150"/>
      <c r="W439" s="150"/>
      <c r="X439" s="150"/>
      <c r="Y439" s="150"/>
      <c r="Z439" s="150"/>
    </row>
    <row r="440">
      <c r="A440" s="150"/>
      <c r="B440" s="155"/>
      <c r="C440" s="155"/>
      <c r="D440" s="155"/>
      <c r="E440" s="155"/>
      <c r="F440" s="150"/>
      <c r="G440" s="150"/>
      <c r="H440" s="150"/>
      <c r="I440" s="150"/>
      <c r="J440" s="150"/>
      <c r="K440" s="150"/>
      <c r="L440" s="150"/>
      <c r="M440" s="150"/>
      <c r="N440" s="150"/>
      <c r="O440" s="150"/>
      <c r="P440" s="150"/>
      <c r="Q440" s="150"/>
      <c r="R440" s="150"/>
      <c r="S440" s="150"/>
      <c r="T440" s="150"/>
      <c r="U440" s="150"/>
      <c r="V440" s="150"/>
      <c r="W440" s="150"/>
      <c r="X440" s="150"/>
      <c r="Y440" s="150"/>
      <c r="Z440" s="150"/>
    </row>
    <row r="441">
      <c r="A441" s="150"/>
      <c r="B441" s="155"/>
      <c r="C441" s="155"/>
      <c r="D441" s="155"/>
      <c r="E441" s="155"/>
      <c r="F441" s="150"/>
      <c r="G441" s="150"/>
      <c r="H441" s="150"/>
      <c r="I441" s="150"/>
      <c r="J441" s="150"/>
      <c r="K441" s="150"/>
      <c r="L441" s="150"/>
      <c r="M441" s="150"/>
      <c r="N441" s="150"/>
      <c r="O441" s="150"/>
      <c r="P441" s="150"/>
      <c r="Q441" s="150"/>
      <c r="R441" s="150"/>
      <c r="S441" s="150"/>
      <c r="T441" s="150"/>
      <c r="U441" s="150"/>
      <c r="V441" s="150"/>
      <c r="W441" s="150"/>
      <c r="X441" s="150"/>
      <c r="Y441" s="150"/>
      <c r="Z441" s="150"/>
    </row>
    <row r="442">
      <c r="A442" s="150"/>
      <c r="B442" s="155"/>
      <c r="C442" s="155"/>
      <c r="D442" s="155"/>
      <c r="E442" s="155"/>
      <c r="F442" s="150"/>
      <c r="G442" s="150"/>
      <c r="H442" s="150"/>
      <c r="I442" s="150"/>
      <c r="J442" s="150"/>
      <c r="K442" s="150"/>
      <c r="L442" s="150"/>
      <c r="M442" s="150"/>
      <c r="N442" s="150"/>
      <c r="O442" s="150"/>
      <c r="P442" s="150"/>
      <c r="Q442" s="150"/>
      <c r="R442" s="150"/>
      <c r="S442" s="150"/>
      <c r="T442" s="150"/>
      <c r="U442" s="150"/>
      <c r="V442" s="150"/>
      <c r="W442" s="150"/>
      <c r="X442" s="150"/>
      <c r="Y442" s="150"/>
      <c r="Z442" s="150"/>
    </row>
    <row r="443">
      <c r="A443" s="150"/>
      <c r="B443" s="155"/>
      <c r="C443" s="155"/>
      <c r="D443" s="155"/>
      <c r="E443" s="155"/>
      <c r="F443" s="150"/>
      <c r="G443" s="150"/>
      <c r="H443" s="150"/>
      <c r="I443" s="150"/>
      <c r="J443" s="150"/>
      <c r="K443" s="150"/>
      <c r="L443" s="150"/>
      <c r="M443" s="150"/>
      <c r="N443" s="150"/>
      <c r="O443" s="150"/>
      <c r="P443" s="150"/>
      <c r="Q443" s="150"/>
      <c r="R443" s="150"/>
      <c r="S443" s="150"/>
      <c r="T443" s="150"/>
      <c r="U443" s="150"/>
      <c r="V443" s="150"/>
      <c r="W443" s="150"/>
      <c r="X443" s="150"/>
      <c r="Y443" s="150"/>
      <c r="Z443" s="150"/>
    </row>
    <row r="444">
      <c r="A444" s="150"/>
      <c r="B444" s="155"/>
      <c r="C444" s="155"/>
      <c r="D444" s="155"/>
      <c r="E444" s="155"/>
      <c r="F444" s="150"/>
      <c r="G444" s="150"/>
      <c r="H444" s="150"/>
      <c r="I444" s="150"/>
      <c r="J444" s="150"/>
      <c r="K444" s="150"/>
      <c r="L444" s="150"/>
      <c r="M444" s="150"/>
      <c r="N444" s="150"/>
      <c r="O444" s="150"/>
      <c r="P444" s="150"/>
      <c r="Q444" s="150"/>
      <c r="R444" s="150"/>
      <c r="S444" s="150"/>
      <c r="T444" s="150"/>
      <c r="U444" s="150"/>
      <c r="V444" s="150"/>
      <c r="W444" s="150"/>
      <c r="X444" s="150"/>
      <c r="Y444" s="150"/>
      <c r="Z444" s="150"/>
    </row>
    <row r="445">
      <c r="A445" s="150"/>
      <c r="B445" s="155"/>
      <c r="C445" s="155"/>
      <c r="D445" s="155"/>
      <c r="E445" s="155"/>
      <c r="F445" s="150"/>
      <c r="G445" s="150"/>
      <c r="H445" s="150"/>
      <c r="I445" s="150"/>
      <c r="J445" s="150"/>
      <c r="K445" s="150"/>
      <c r="L445" s="150"/>
      <c r="M445" s="150"/>
      <c r="N445" s="150"/>
      <c r="O445" s="150"/>
      <c r="P445" s="150"/>
      <c r="Q445" s="150"/>
      <c r="R445" s="150"/>
      <c r="S445" s="150"/>
      <c r="T445" s="150"/>
      <c r="U445" s="150"/>
      <c r="V445" s="150"/>
      <c r="W445" s="150"/>
      <c r="X445" s="150"/>
      <c r="Y445" s="150"/>
      <c r="Z445" s="150"/>
    </row>
    <row r="446">
      <c r="A446" s="150"/>
      <c r="B446" s="155"/>
      <c r="C446" s="155"/>
      <c r="D446" s="155"/>
      <c r="E446" s="155"/>
      <c r="F446" s="150"/>
      <c r="G446" s="150"/>
      <c r="H446" s="150"/>
      <c r="I446" s="150"/>
      <c r="J446" s="150"/>
      <c r="K446" s="150"/>
      <c r="L446" s="150"/>
      <c r="M446" s="150"/>
      <c r="N446" s="150"/>
      <c r="O446" s="150"/>
      <c r="P446" s="150"/>
      <c r="Q446" s="150"/>
      <c r="R446" s="150"/>
      <c r="S446" s="150"/>
      <c r="T446" s="150"/>
      <c r="U446" s="150"/>
      <c r="V446" s="150"/>
      <c r="W446" s="150"/>
      <c r="X446" s="150"/>
      <c r="Y446" s="150"/>
      <c r="Z446" s="150"/>
    </row>
    <row r="447">
      <c r="A447" s="150"/>
      <c r="B447" s="155"/>
      <c r="C447" s="155"/>
      <c r="D447" s="155"/>
      <c r="E447" s="155"/>
      <c r="F447" s="150"/>
      <c r="G447" s="150"/>
      <c r="H447" s="150"/>
      <c r="I447" s="150"/>
      <c r="J447" s="150"/>
      <c r="K447" s="150"/>
      <c r="L447" s="150"/>
      <c r="M447" s="150"/>
      <c r="N447" s="150"/>
      <c r="O447" s="150"/>
      <c r="P447" s="150"/>
      <c r="Q447" s="150"/>
      <c r="R447" s="150"/>
      <c r="S447" s="150"/>
      <c r="T447" s="150"/>
      <c r="U447" s="150"/>
      <c r="V447" s="150"/>
      <c r="W447" s="150"/>
      <c r="X447" s="150"/>
      <c r="Y447" s="150"/>
      <c r="Z447" s="150"/>
    </row>
    <row r="448">
      <c r="A448" s="150"/>
      <c r="B448" s="155"/>
      <c r="C448" s="155"/>
      <c r="D448" s="155"/>
      <c r="E448" s="155"/>
      <c r="F448" s="150"/>
      <c r="G448" s="150"/>
      <c r="H448" s="150"/>
      <c r="I448" s="150"/>
      <c r="J448" s="150"/>
      <c r="K448" s="150"/>
      <c r="L448" s="150"/>
      <c r="M448" s="150"/>
      <c r="N448" s="150"/>
      <c r="O448" s="150"/>
      <c r="P448" s="150"/>
      <c r="Q448" s="150"/>
      <c r="R448" s="150"/>
      <c r="S448" s="150"/>
      <c r="T448" s="150"/>
      <c r="U448" s="150"/>
      <c r="V448" s="150"/>
      <c r="W448" s="150"/>
      <c r="X448" s="150"/>
      <c r="Y448" s="150"/>
      <c r="Z448" s="150"/>
    </row>
    <row r="449">
      <c r="A449" s="150"/>
      <c r="B449" s="155"/>
      <c r="C449" s="155"/>
      <c r="D449" s="155"/>
      <c r="E449" s="155"/>
      <c r="F449" s="150"/>
      <c r="G449" s="150"/>
      <c r="H449" s="150"/>
      <c r="I449" s="150"/>
      <c r="J449" s="150"/>
      <c r="K449" s="150"/>
      <c r="L449" s="150"/>
      <c r="M449" s="150"/>
      <c r="N449" s="150"/>
      <c r="O449" s="150"/>
      <c r="P449" s="150"/>
      <c r="Q449" s="150"/>
      <c r="R449" s="150"/>
      <c r="S449" s="150"/>
      <c r="T449" s="150"/>
      <c r="U449" s="150"/>
      <c r="V449" s="150"/>
      <c r="W449" s="150"/>
      <c r="X449" s="150"/>
      <c r="Y449" s="150"/>
      <c r="Z449" s="150"/>
    </row>
    <row r="450">
      <c r="A450" s="150"/>
      <c r="B450" s="155"/>
      <c r="C450" s="155"/>
      <c r="D450" s="155"/>
      <c r="E450" s="155"/>
      <c r="F450" s="150"/>
      <c r="G450" s="150"/>
      <c r="H450" s="150"/>
      <c r="I450" s="150"/>
      <c r="J450" s="150"/>
      <c r="K450" s="150"/>
      <c r="L450" s="150"/>
      <c r="M450" s="150"/>
      <c r="N450" s="150"/>
      <c r="O450" s="150"/>
      <c r="P450" s="150"/>
      <c r="Q450" s="150"/>
      <c r="R450" s="150"/>
      <c r="S450" s="150"/>
      <c r="T450" s="150"/>
      <c r="U450" s="150"/>
      <c r="V450" s="150"/>
      <c r="W450" s="150"/>
      <c r="X450" s="150"/>
      <c r="Y450" s="150"/>
      <c r="Z450" s="150"/>
    </row>
    <row r="451">
      <c r="A451" s="150"/>
      <c r="B451" s="155"/>
      <c r="C451" s="155"/>
      <c r="D451" s="155"/>
      <c r="E451" s="155"/>
      <c r="F451" s="150"/>
      <c r="G451" s="150"/>
      <c r="H451" s="150"/>
      <c r="I451" s="150"/>
      <c r="J451" s="150"/>
      <c r="K451" s="150"/>
      <c r="L451" s="150"/>
      <c r="M451" s="150"/>
      <c r="N451" s="150"/>
      <c r="O451" s="150"/>
      <c r="P451" s="150"/>
      <c r="Q451" s="150"/>
      <c r="R451" s="150"/>
      <c r="S451" s="150"/>
      <c r="T451" s="150"/>
      <c r="U451" s="150"/>
      <c r="V451" s="150"/>
      <c r="W451" s="150"/>
      <c r="X451" s="150"/>
      <c r="Y451" s="150"/>
      <c r="Z451" s="150"/>
    </row>
    <row r="452">
      <c r="A452" s="150"/>
      <c r="B452" s="155"/>
      <c r="C452" s="155"/>
      <c r="D452" s="155"/>
      <c r="E452" s="155"/>
      <c r="F452" s="150"/>
      <c r="G452" s="150"/>
      <c r="H452" s="150"/>
      <c r="I452" s="150"/>
      <c r="J452" s="150"/>
      <c r="K452" s="150"/>
      <c r="L452" s="150"/>
      <c r="M452" s="150"/>
      <c r="N452" s="150"/>
      <c r="O452" s="150"/>
      <c r="P452" s="150"/>
      <c r="Q452" s="150"/>
      <c r="R452" s="150"/>
      <c r="S452" s="150"/>
      <c r="T452" s="150"/>
      <c r="U452" s="150"/>
      <c r="V452" s="150"/>
      <c r="W452" s="150"/>
      <c r="X452" s="150"/>
      <c r="Y452" s="150"/>
      <c r="Z452" s="150"/>
    </row>
    <row r="453">
      <c r="A453" s="150"/>
      <c r="B453" s="155"/>
      <c r="C453" s="155"/>
      <c r="D453" s="155"/>
      <c r="E453" s="155"/>
      <c r="F453" s="150"/>
      <c r="G453" s="150"/>
      <c r="H453" s="150"/>
      <c r="I453" s="150"/>
      <c r="J453" s="150"/>
      <c r="K453" s="150"/>
      <c r="L453" s="150"/>
      <c r="M453" s="150"/>
      <c r="N453" s="150"/>
      <c r="O453" s="150"/>
      <c r="P453" s="150"/>
      <c r="Q453" s="150"/>
      <c r="R453" s="150"/>
      <c r="S453" s="150"/>
      <c r="T453" s="150"/>
      <c r="U453" s="150"/>
      <c r="V453" s="150"/>
      <c r="W453" s="150"/>
      <c r="X453" s="150"/>
      <c r="Y453" s="150"/>
      <c r="Z453" s="150"/>
    </row>
    <row r="454">
      <c r="A454" s="150"/>
      <c r="B454" s="155"/>
      <c r="C454" s="155"/>
      <c r="D454" s="155"/>
      <c r="E454" s="155"/>
      <c r="F454" s="150"/>
      <c r="G454" s="150"/>
      <c r="H454" s="150"/>
      <c r="I454" s="150"/>
      <c r="J454" s="150"/>
      <c r="K454" s="150"/>
      <c r="L454" s="150"/>
      <c r="M454" s="150"/>
      <c r="N454" s="150"/>
      <c r="O454" s="150"/>
      <c r="P454" s="150"/>
      <c r="Q454" s="150"/>
      <c r="R454" s="150"/>
      <c r="S454" s="150"/>
      <c r="T454" s="150"/>
      <c r="U454" s="150"/>
      <c r="V454" s="150"/>
      <c r="W454" s="150"/>
      <c r="X454" s="150"/>
      <c r="Y454" s="150"/>
      <c r="Z454" s="150"/>
    </row>
    <row r="455">
      <c r="A455" s="150"/>
      <c r="B455" s="155"/>
      <c r="C455" s="155"/>
      <c r="D455" s="155"/>
      <c r="E455" s="155"/>
      <c r="F455" s="150"/>
      <c r="G455" s="150"/>
      <c r="H455" s="150"/>
      <c r="I455" s="150"/>
      <c r="J455" s="150"/>
      <c r="K455" s="150"/>
      <c r="L455" s="150"/>
      <c r="M455" s="150"/>
      <c r="N455" s="150"/>
      <c r="O455" s="150"/>
      <c r="P455" s="150"/>
      <c r="Q455" s="150"/>
      <c r="R455" s="150"/>
      <c r="S455" s="150"/>
      <c r="T455" s="150"/>
      <c r="U455" s="150"/>
      <c r="V455" s="150"/>
      <c r="W455" s="150"/>
      <c r="X455" s="150"/>
      <c r="Y455" s="150"/>
      <c r="Z455" s="150"/>
    </row>
    <row r="456">
      <c r="A456" s="150"/>
      <c r="B456" s="155"/>
      <c r="C456" s="155"/>
      <c r="D456" s="155"/>
      <c r="E456" s="155"/>
      <c r="F456" s="150"/>
      <c r="G456" s="150"/>
      <c r="H456" s="150"/>
      <c r="I456" s="150"/>
      <c r="J456" s="150"/>
      <c r="K456" s="150"/>
      <c r="L456" s="150"/>
      <c r="M456" s="150"/>
      <c r="N456" s="150"/>
      <c r="O456" s="150"/>
      <c r="P456" s="150"/>
      <c r="Q456" s="150"/>
      <c r="R456" s="150"/>
      <c r="S456" s="150"/>
      <c r="T456" s="150"/>
      <c r="U456" s="150"/>
      <c r="V456" s="150"/>
      <c r="W456" s="150"/>
      <c r="X456" s="150"/>
      <c r="Y456" s="150"/>
      <c r="Z456" s="150"/>
    </row>
    <row r="457">
      <c r="A457" s="150"/>
      <c r="B457" s="155"/>
      <c r="C457" s="155"/>
      <c r="D457" s="155"/>
      <c r="E457" s="155"/>
      <c r="F457" s="150"/>
      <c r="G457" s="150"/>
      <c r="H457" s="150"/>
      <c r="I457" s="150"/>
      <c r="J457" s="150"/>
      <c r="K457" s="150"/>
      <c r="L457" s="150"/>
      <c r="M457" s="150"/>
      <c r="N457" s="150"/>
      <c r="O457" s="150"/>
      <c r="P457" s="150"/>
      <c r="Q457" s="150"/>
      <c r="R457" s="150"/>
      <c r="S457" s="150"/>
      <c r="T457" s="150"/>
      <c r="U457" s="150"/>
      <c r="V457" s="150"/>
      <c r="W457" s="150"/>
      <c r="X457" s="150"/>
      <c r="Y457" s="150"/>
      <c r="Z457" s="150"/>
    </row>
    <row r="458">
      <c r="A458" s="150"/>
      <c r="B458" s="155"/>
      <c r="C458" s="155"/>
      <c r="D458" s="155"/>
      <c r="E458" s="155"/>
      <c r="F458" s="150"/>
      <c r="G458" s="150"/>
      <c r="H458" s="150"/>
      <c r="I458" s="150"/>
      <c r="J458" s="150"/>
      <c r="K458" s="150"/>
      <c r="L458" s="150"/>
      <c r="M458" s="150"/>
      <c r="N458" s="150"/>
      <c r="O458" s="150"/>
      <c r="P458" s="150"/>
      <c r="Q458" s="150"/>
      <c r="R458" s="150"/>
      <c r="S458" s="150"/>
      <c r="T458" s="150"/>
      <c r="U458" s="150"/>
      <c r="V458" s="150"/>
      <c r="W458" s="150"/>
      <c r="X458" s="150"/>
      <c r="Y458" s="150"/>
      <c r="Z458" s="150"/>
    </row>
    <row r="459">
      <c r="A459" s="150"/>
      <c r="B459" s="155"/>
      <c r="C459" s="155"/>
      <c r="D459" s="155"/>
      <c r="E459" s="155"/>
      <c r="F459" s="150"/>
      <c r="G459" s="150"/>
      <c r="H459" s="150"/>
      <c r="I459" s="150"/>
      <c r="J459" s="150"/>
      <c r="K459" s="150"/>
      <c r="L459" s="150"/>
      <c r="M459" s="150"/>
      <c r="N459" s="150"/>
      <c r="O459" s="150"/>
      <c r="P459" s="150"/>
      <c r="Q459" s="150"/>
      <c r="R459" s="150"/>
      <c r="S459" s="150"/>
      <c r="T459" s="150"/>
      <c r="U459" s="150"/>
      <c r="V459" s="150"/>
      <c r="W459" s="150"/>
      <c r="X459" s="150"/>
      <c r="Y459" s="150"/>
      <c r="Z459" s="150"/>
    </row>
    <row r="460">
      <c r="A460" s="150"/>
      <c r="B460" s="155"/>
      <c r="C460" s="155"/>
      <c r="D460" s="155"/>
      <c r="E460" s="155"/>
      <c r="F460" s="150"/>
      <c r="G460" s="150"/>
      <c r="H460" s="150"/>
      <c r="I460" s="150"/>
      <c r="J460" s="150"/>
      <c r="K460" s="150"/>
      <c r="L460" s="150"/>
      <c r="M460" s="150"/>
      <c r="N460" s="150"/>
      <c r="O460" s="150"/>
      <c r="P460" s="150"/>
      <c r="Q460" s="150"/>
      <c r="R460" s="150"/>
      <c r="S460" s="150"/>
      <c r="T460" s="150"/>
      <c r="U460" s="150"/>
      <c r="V460" s="150"/>
      <c r="W460" s="150"/>
      <c r="X460" s="150"/>
      <c r="Y460" s="150"/>
      <c r="Z460" s="150"/>
    </row>
    <row r="461">
      <c r="A461" s="150"/>
      <c r="B461" s="155"/>
      <c r="C461" s="155"/>
      <c r="D461" s="155"/>
      <c r="E461" s="155"/>
      <c r="F461" s="150"/>
      <c r="G461" s="150"/>
      <c r="H461" s="150"/>
      <c r="I461" s="150"/>
      <c r="J461" s="150"/>
      <c r="K461" s="150"/>
      <c r="L461" s="150"/>
      <c r="M461" s="150"/>
      <c r="N461" s="150"/>
      <c r="O461" s="150"/>
      <c r="P461" s="150"/>
      <c r="Q461" s="150"/>
      <c r="R461" s="150"/>
      <c r="S461" s="150"/>
      <c r="T461" s="150"/>
      <c r="U461" s="150"/>
      <c r="V461" s="150"/>
      <c r="W461" s="150"/>
      <c r="X461" s="150"/>
      <c r="Y461" s="150"/>
      <c r="Z461" s="150"/>
    </row>
    <row r="462">
      <c r="A462" s="150"/>
      <c r="B462" s="155"/>
      <c r="C462" s="155"/>
      <c r="D462" s="155"/>
      <c r="E462" s="155"/>
      <c r="F462" s="150"/>
      <c r="G462" s="150"/>
      <c r="H462" s="150"/>
      <c r="I462" s="150"/>
      <c r="J462" s="150"/>
      <c r="K462" s="150"/>
      <c r="L462" s="150"/>
      <c r="M462" s="150"/>
      <c r="N462" s="150"/>
      <c r="O462" s="150"/>
      <c r="P462" s="150"/>
      <c r="Q462" s="150"/>
      <c r="R462" s="150"/>
      <c r="S462" s="150"/>
      <c r="T462" s="150"/>
      <c r="U462" s="150"/>
      <c r="V462" s="150"/>
      <c r="W462" s="150"/>
      <c r="X462" s="150"/>
      <c r="Y462" s="150"/>
      <c r="Z462" s="150"/>
    </row>
    <row r="463">
      <c r="A463" s="150"/>
      <c r="B463" s="155"/>
      <c r="C463" s="155"/>
      <c r="D463" s="155"/>
      <c r="E463" s="155"/>
      <c r="F463" s="150"/>
      <c r="G463" s="150"/>
      <c r="H463" s="150"/>
      <c r="I463" s="150"/>
      <c r="J463" s="150"/>
      <c r="K463" s="150"/>
      <c r="L463" s="150"/>
      <c r="M463" s="150"/>
      <c r="N463" s="150"/>
      <c r="O463" s="150"/>
      <c r="P463" s="150"/>
      <c r="Q463" s="150"/>
      <c r="R463" s="150"/>
      <c r="S463" s="150"/>
      <c r="T463" s="150"/>
      <c r="U463" s="150"/>
      <c r="V463" s="150"/>
      <c r="W463" s="150"/>
      <c r="X463" s="150"/>
      <c r="Y463" s="150"/>
      <c r="Z463" s="150"/>
    </row>
    <row r="464">
      <c r="A464" s="150"/>
      <c r="B464" s="155"/>
      <c r="C464" s="155"/>
      <c r="D464" s="155"/>
      <c r="E464" s="155"/>
      <c r="F464" s="150"/>
      <c r="G464" s="150"/>
      <c r="H464" s="150"/>
      <c r="I464" s="150"/>
      <c r="J464" s="150"/>
      <c r="K464" s="150"/>
      <c r="L464" s="150"/>
      <c r="M464" s="150"/>
      <c r="N464" s="150"/>
      <c r="O464" s="150"/>
      <c r="P464" s="150"/>
      <c r="Q464" s="150"/>
      <c r="R464" s="150"/>
      <c r="S464" s="150"/>
      <c r="T464" s="150"/>
      <c r="U464" s="150"/>
      <c r="V464" s="150"/>
      <c r="W464" s="150"/>
      <c r="X464" s="150"/>
      <c r="Y464" s="150"/>
      <c r="Z464" s="150"/>
    </row>
    <row r="465">
      <c r="A465" s="150"/>
      <c r="B465" s="155"/>
      <c r="C465" s="155"/>
      <c r="D465" s="155"/>
      <c r="E465" s="155"/>
      <c r="F465" s="150"/>
      <c r="G465" s="150"/>
      <c r="H465" s="150"/>
      <c r="I465" s="150"/>
      <c r="J465" s="150"/>
      <c r="K465" s="150"/>
      <c r="L465" s="150"/>
      <c r="M465" s="150"/>
      <c r="N465" s="150"/>
      <c r="O465" s="150"/>
      <c r="P465" s="150"/>
      <c r="Q465" s="150"/>
      <c r="R465" s="150"/>
      <c r="S465" s="150"/>
      <c r="T465" s="150"/>
      <c r="U465" s="150"/>
      <c r="V465" s="150"/>
      <c r="W465" s="150"/>
      <c r="X465" s="150"/>
      <c r="Y465" s="150"/>
      <c r="Z465" s="150"/>
    </row>
    <row r="466">
      <c r="A466" s="150"/>
      <c r="B466" s="155"/>
      <c r="C466" s="155"/>
      <c r="D466" s="155"/>
      <c r="E466" s="155"/>
      <c r="F466" s="150"/>
      <c r="G466" s="150"/>
      <c r="H466" s="150"/>
      <c r="I466" s="150"/>
      <c r="J466" s="150"/>
      <c r="K466" s="150"/>
      <c r="L466" s="150"/>
      <c r="M466" s="150"/>
      <c r="N466" s="150"/>
      <c r="O466" s="150"/>
      <c r="P466" s="150"/>
      <c r="Q466" s="150"/>
      <c r="R466" s="150"/>
      <c r="S466" s="150"/>
      <c r="T466" s="150"/>
      <c r="U466" s="150"/>
      <c r="V466" s="150"/>
      <c r="W466" s="150"/>
      <c r="X466" s="150"/>
      <c r="Y466" s="150"/>
      <c r="Z466" s="150"/>
    </row>
    <row r="467">
      <c r="A467" s="150"/>
      <c r="B467" s="155"/>
      <c r="C467" s="155"/>
      <c r="D467" s="155"/>
      <c r="E467" s="155"/>
      <c r="F467" s="150"/>
      <c r="G467" s="150"/>
      <c r="H467" s="150"/>
      <c r="I467" s="150"/>
      <c r="J467" s="150"/>
      <c r="K467" s="150"/>
      <c r="L467" s="150"/>
      <c r="M467" s="150"/>
      <c r="N467" s="150"/>
      <c r="O467" s="150"/>
      <c r="P467" s="150"/>
      <c r="Q467" s="150"/>
      <c r="R467" s="150"/>
      <c r="S467" s="150"/>
      <c r="T467" s="150"/>
      <c r="U467" s="150"/>
      <c r="V467" s="150"/>
      <c r="W467" s="150"/>
      <c r="X467" s="150"/>
      <c r="Y467" s="150"/>
      <c r="Z467" s="150"/>
    </row>
    <row r="468">
      <c r="A468" s="150"/>
      <c r="B468" s="155"/>
      <c r="C468" s="155"/>
      <c r="D468" s="155"/>
      <c r="E468" s="155"/>
      <c r="F468" s="150"/>
      <c r="G468" s="150"/>
      <c r="H468" s="150"/>
      <c r="I468" s="150"/>
      <c r="J468" s="150"/>
      <c r="K468" s="150"/>
      <c r="L468" s="150"/>
      <c r="M468" s="150"/>
      <c r="N468" s="150"/>
      <c r="O468" s="150"/>
      <c r="P468" s="150"/>
      <c r="Q468" s="150"/>
      <c r="R468" s="150"/>
      <c r="S468" s="150"/>
      <c r="T468" s="150"/>
      <c r="U468" s="150"/>
      <c r="V468" s="150"/>
      <c r="W468" s="150"/>
      <c r="X468" s="150"/>
      <c r="Y468" s="150"/>
      <c r="Z468" s="150"/>
    </row>
    <row r="469">
      <c r="A469" s="150"/>
      <c r="B469" s="155"/>
      <c r="C469" s="155"/>
      <c r="D469" s="155"/>
      <c r="E469" s="155"/>
      <c r="F469" s="150"/>
      <c r="G469" s="150"/>
      <c r="H469" s="150"/>
      <c r="I469" s="150"/>
      <c r="J469" s="150"/>
      <c r="K469" s="150"/>
      <c r="L469" s="150"/>
      <c r="M469" s="150"/>
      <c r="N469" s="150"/>
      <c r="O469" s="150"/>
      <c r="P469" s="150"/>
      <c r="Q469" s="150"/>
      <c r="R469" s="150"/>
      <c r="S469" s="150"/>
      <c r="T469" s="150"/>
      <c r="U469" s="150"/>
      <c r="V469" s="150"/>
      <c r="W469" s="150"/>
      <c r="X469" s="150"/>
      <c r="Y469" s="150"/>
      <c r="Z469" s="150"/>
    </row>
    <row r="470">
      <c r="A470" s="150"/>
      <c r="B470" s="155"/>
      <c r="C470" s="155"/>
      <c r="D470" s="155"/>
      <c r="E470" s="155"/>
      <c r="F470" s="150"/>
      <c r="G470" s="150"/>
      <c r="H470" s="150"/>
      <c r="I470" s="150"/>
      <c r="J470" s="150"/>
      <c r="K470" s="150"/>
      <c r="L470" s="150"/>
      <c r="M470" s="150"/>
      <c r="N470" s="150"/>
      <c r="O470" s="150"/>
      <c r="P470" s="150"/>
      <c r="Q470" s="150"/>
      <c r="R470" s="150"/>
      <c r="S470" s="150"/>
      <c r="T470" s="150"/>
      <c r="U470" s="150"/>
      <c r="V470" s="150"/>
      <c r="W470" s="150"/>
      <c r="X470" s="150"/>
      <c r="Y470" s="150"/>
      <c r="Z470" s="150"/>
    </row>
    <row r="471">
      <c r="A471" s="150"/>
      <c r="B471" s="155"/>
      <c r="C471" s="155"/>
      <c r="D471" s="155"/>
      <c r="E471" s="155"/>
      <c r="F471" s="150"/>
      <c r="G471" s="150"/>
      <c r="H471" s="150"/>
      <c r="I471" s="150"/>
      <c r="J471" s="150"/>
      <c r="K471" s="150"/>
      <c r="L471" s="150"/>
      <c r="M471" s="150"/>
      <c r="N471" s="150"/>
      <c r="O471" s="150"/>
      <c r="P471" s="150"/>
      <c r="Q471" s="150"/>
      <c r="R471" s="150"/>
      <c r="S471" s="150"/>
      <c r="T471" s="150"/>
      <c r="U471" s="150"/>
      <c r="V471" s="150"/>
      <c r="W471" s="150"/>
      <c r="X471" s="150"/>
      <c r="Y471" s="150"/>
      <c r="Z471" s="150"/>
    </row>
    <row r="472">
      <c r="A472" s="150"/>
      <c r="B472" s="155"/>
      <c r="C472" s="155"/>
      <c r="D472" s="155"/>
      <c r="E472" s="155"/>
      <c r="F472" s="150"/>
      <c r="G472" s="150"/>
      <c r="H472" s="150"/>
      <c r="I472" s="150"/>
      <c r="J472" s="150"/>
      <c r="K472" s="150"/>
      <c r="L472" s="150"/>
      <c r="M472" s="150"/>
      <c r="N472" s="150"/>
      <c r="O472" s="150"/>
      <c r="P472" s="150"/>
      <c r="Q472" s="150"/>
      <c r="R472" s="150"/>
      <c r="S472" s="150"/>
      <c r="T472" s="150"/>
      <c r="U472" s="150"/>
      <c r="V472" s="150"/>
      <c r="W472" s="150"/>
      <c r="X472" s="150"/>
      <c r="Y472" s="150"/>
      <c r="Z472" s="150"/>
    </row>
    <row r="473">
      <c r="A473" s="150"/>
      <c r="B473" s="155"/>
      <c r="C473" s="155"/>
      <c r="D473" s="155"/>
      <c r="E473" s="155"/>
      <c r="F473" s="150"/>
      <c r="G473" s="150"/>
      <c r="H473" s="150"/>
      <c r="I473" s="150"/>
      <c r="J473" s="150"/>
      <c r="K473" s="150"/>
      <c r="L473" s="150"/>
      <c r="M473" s="150"/>
      <c r="N473" s="150"/>
      <c r="O473" s="150"/>
      <c r="P473" s="150"/>
      <c r="Q473" s="150"/>
      <c r="R473" s="150"/>
      <c r="S473" s="150"/>
      <c r="T473" s="150"/>
      <c r="U473" s="150"/>
      <c r="V473" s="150"/>
      <c r="W473" s="150"/>
      <c r="X473" s="150"/>
      <c r="Y473" s="150"/>
      <c r="Z473" s="150"/>
    </row>
    <row r="474">
      <c r="A474" s="150"/>
      <c r="B474" s="155"/>
      <c r="C474" s="155"/>
      <c r="D474" s="155"/>
      <c r="E474" s="155"/>
      <c r="F474" s="150"/>
      <c r="G474" s="150"/>
      <c r="H474" s="150"/>
      <c r="I474" s="150"/>
      <c r="J474" s="150"/>
      <c r="K474" s="150"/>
      <c r="L474" s="150"/>
      <c r="M474" s="150"/>
      <c r="N474" s="150"/>
      <c r="O474" s="150"/>
      <c r="P474" s="150"/>
      <c r="Q474" s="150"/>
      <c r="R474" s="150"/>
      <c r="S474" s="150"/>
      <c r="T474" s="150"/>
      <c r="U474" s="150"/>
      <c r="V474" s="150"/>
      <c r="W474" s="150"/>
      <c r="X474" s="150"/>
      <c r="Y474" s="150"/>
      <c r="Z474" s="150"/>
    </row>
    <row r="475">
      <c r="A475" s="150"/>
      <c r="B475" s="155"/>
      <c r="C475" s="155"/>
      <c r="D475" s="155"/>
      <c r="E475" s="155"/>
      <c r="F475" s="150"/>
      <c r="G475" s="150"/>
      <c r="H475" s="150"/>
      <c r="I475" s="150"/>
      <c r="J475" s="150"/>
      <c r="K475" s="150"/>
      <c r="L475" s="150"/>
      <c r="M475" s="150"/>
      <c r="N475" s="150"/>
      <c r="O475" s="150"/>
      <c r="P475" s="150"/>
      <c r="Q475" s="150"/>
      <c r="R475" s="150"/>
      <c r="S475" s="150"/>
      <c r="T475" s="150"/>
      <c r="U475" s="150"/>
      <c r="V475" s="150"/>
      <c r="W475" s="150"/>
      <c r="X475" s="150"/>
      <c r="Y475" s="150"/>
      <c r="Z475" s="150"/>
    </row>
    <row r="476">
      <c r="A476" s="150"/>
      <c r="B476" s="155"/>
      <c r="C476" s="155"/>
      <c r="D476" s="155"/>
      <c r="E476" s="155"/>
      <c r="F476" s="150"/>
      <c r="G476" s="150"/>
      <c r="H476" s="150"/>
      <c r="I476" s="150"/>
      <c r="J476" s="150"/>
      <c r="K476" s="150"/>
      <c r="L476" s="150"/>
      <c r="M476" s="150"/>
      <c r="N476" s="150"/>
      <c r="O476" s="150"/>
      <c r="P476" s="150"/>
      <c r="Q476" s="150"/>
      <c r="R476" s="150"/>
      <c r="S476" s="150"/>
      <c r="T476" s="150"/>
      <c r="U476" s="150"/>
      <c r="V476" s="150"/>
      <c r="W476" s="150"/>
      <c r="X476" s="150"/>
      <c r="Y476" s="150"/>
      <c r="Z476" s="150"/>
    </row>
    <row r="477">
      <c r="A477" s="150"/>
      <c r="B477" s="155"/>
      <c r="C477" s="155"/>
      <c r="D477" s="155"/>
      <c r="E477" s="155"/>
      <c r="F477" s="150"/>
      <c r="G477" s="150"/>
      <c r="H477" s="150"/>
      <c r="I477" s="150"/>
      <c r="J477" s="150"/>
      <c r="K477" s="150"/>
      <c r="L477" s="150"/>
      <c r="M477" s="150"/>
      <c r="N477" s="150"/>
      <c r="O477" s="150"/>
      <c r="P477" s="150"/>
      <c r="Q477" s="150"/>
      <c r="R477" s="150"/>
      <c r="S477" s="150"/>
      <c r="T477" s="150"/>
      <c r="U477" s="150"/>
      <c r="V477" s="150"/>
      <c r="W477" s="150"/>
      <c r="X477" s="150"/>
      <c r="Y477" s="150"/>
      <c r="Z477" s="150"/>
    </row>
    <row r="478">
      <c r="A478" s="150"/>
      <c r="B478" s="155"/>
      <c r="C478" s="155"/>
      <c r="D478" s="155"/>
      <c r="E478" s="155"/>
      <c r="F478" s="150"/>
      <c r="G478" s="150"/>
      <c r="H478" s="150"/>
      <c r="I478" s="150"/>
      <c r="J478" s="150"/>
      <c r="K478" s="150"/>
      <c r="L478" s="150"/>
      <c r="M478" s="150"/>
      <c r="N478" s="150"/>
      <c r="O478" s="150"/>
      <c r="P478" s="150"/>
      <c r="Q478" s="150"/>
      <c r="R478" s="150"/>
      <c r="S478" s="150"/>
      <c r="T478" s="150"/>
      <c r="U478" s="150"/>
      <c r="V478" s="150"/>
      <c r="W478" s="150"/>
      <c r="X478" s="150"/>
      <c r="Y478" s="150"/>
      <c r="Z478" s="150"/>
    </row>
    <row r="479">
      <c r="A479" s="150"/>
      <c r="B479" s="155"/>
      <c r="C479" s="155"/>
      <c r="D479" s="155"/>
      <c r="E479" s="155"/>
      <c r="F479" s="150"/>
      <c r="G479" s="150"/>
      <c r="H479" s="150"/>
      <c r="I479" s="150"/>
      <c r="J479" s="150"/>
      <c r="K479" s="150"/>
      <c r="L479" s="150"/>
      <c r="M479" s="150"/>
      <c r="N479" s="150"/>
      <c r="O479" s="150"/>
      <c r="P479" s="150"/>
      <c r="Q479" s="150"/>
      <c r="R479" s="150"/>
      <c r="S479" s="150"/>
      <c r="T479" s="150"/>
      <c r="U479" s="150"/>
      <c r="V479" s="150"/>
      <c r="W479" s="150"/>
      <c r="X479" s="150"/>
      <c r="Y479" s="150"/>
      <c r="Z479" s="150"/>
    </row>
    <row r="480">
      <c r="A480" s="150"/>
      <c r="B480" s="155"/>
      <c r="C480" s="155"/>
      <c r="D480" s="155"/>
      <c r="E480" s="155"/>
      <c r="F480" s="150"/>
      <c r="G480" s="150"/>
      <c r="H480" s="150"/>
      <c r="I480" s="150"/>
      <c r="J480" s="150"/>
      <c r="K480" s="150"/>
      <c r="L480" s="150"/>
      <c r="M480" s="150"/>
      <c r="N480" s="150"/>
      <c r="O480" s="150"/>
      <c r="P480" s="150"/>
      <c r="Q480" s="150"/>
      <c r="R480" s="150"/>
      <c r="S480" s="150"/>
      <c r="T480" s="150"/>
      <c r="U480" s="150"/>
      <c r="V480" s="150"/>
      <c r="W480" s="150"/>
      <c r="X480" s="150"/>
      <c r="Y480" s="150"/>
      <c r="Z480" s="150"/>
    </row>
    <row r="481">
      <c r="A481" s="150"/>
      <c r="B481" s="155"/>
      <c r="C481" s="155"/>
      <c r="D481" s="155"/>
      <c r="E481" s="155"/>
      <c r="F481" s="150"/>
      <c r="G481" s="150"/>
      <c r="H481" s="150"/>
      <c r="I481" s="150"/>
      <c r="J481" s="150"/>
      <c r="K481" s="150"/>
      <c r="L481" s="150"/>
      <c r="M481" s="150"/>
      <c r="N481" s="150"/>
      <c r="O481" s="150"/>
      <c r="P481" s="150"/>
      <c r="Q481" s="150"/>
      <c r="R481" s="150"/>
      <c r="S481" s="150"/>
      <c r="T481" s="150"/>
      <c r="U481" s="150"/>
      <c r="V481" s="150"/>
      <c r="W481" s="150"/>
      <c r="X481" s="150"/>
      <c r="Y481" s="150"/>
      <c r="Z481" s="150"/>
    </row>
    <row r="482">
      <c r="A482" s="150"/>
      <c r="B482" s="155"/>
      <c r="C482" s="155"/>
      <c r="D482" s="155"/>
      <c r="E482" s="155"/>
      <c r="F482" s="150"/>
      <c r="G482" s="150"/>
      <c r="H482" s="150"/>
      <c r="I482" s="150"/>
      <c r="J482" s="150"/>
      <c r="K482" s="150"/>
      <c r="L482" s="150"/>
      <c r="M482" s="150"/>
      <c r="N482" s="150"/>
      <c r="O482" s="150"/>
      <c r="P482" s="150"/>
      <c r="Q482" s="150"/>
      <c r="R482" s="150"/>
      <c r="S482" s="150"/>
      <c r="T482" s="150"/>
      <c r="U482" s="150"/>
      <c r="V482" s="150"/>
      <c r="W482" s="150"/>
      <c r="X482" s="150"/>
      <c r="Y482" s="150"/>
      <c r="Z482" s="150"/>
    </row>
    <row r="483">
      <c r="A483" s="150"/>
      <c r="B483" s="155"/>
      <c r="C483" s="155"/>
      <c r="D483" s="155"/>
      <c r="E483" s="155"/>
      <c r="F483" s="150"/>
      <c r="G483" s="150"/>
      <c r="H483" s="150"/>
      <c r="I483" s="150"/>
      <c r="J483" s="150"/>
      <c r="K483" s="150"/>
      <c r="L483" s="150"/>
      <c r="M483" s="150"/>
      <c r="N483" s="150"/>
      <c r="O483" s="150"/>
      <c r="P483" s="150"/>
      <c r="Q483" s="150"/>
      <c r="R483" s="150"/>
      <c r="S483" s="150"/>
      <c r="T483" s="150"/>
      <c r="U483" s="150"/>
      <c r="V483" s="150"/>
      <c r="W483" s="150"/>
      <c r="X483" s="150"/>
      <c r="Y483" s="150"/>
      <c r="Z483" s="150"/>
    </row>
    <row r="484">
      <c r="A484" s="150"/>
      <c r="B484" s="155"/>
      <c r="C484" s="155"/>
      <c r="D484" s="155"/>
      <c r="E484" s="155"/>
      <c r="F484" s="150"/>
      <c r="G484" s="150"/>
      <c r="H484" s="150"/>
      <c r="I484" s="150"/>
      <c r="J484" s="150"/>
      <c r="K484" s="150"/>
      <c r="L484" s="150"/>
      <c r="M484" s="150"/>
      <c r="N484" s="150"/>
      <c r="O484" s="150"/>
      <c r="P484" s="150"/>
      <c r="Q484" s="150"/>
      <c r="R484" s="150"/>
      <c r="S484" s="150"/>
      <c r="T484" s="150"/>
      <c r="U484" s="150"/>
      <c r="V484" s="150"/>
      <c r="W484" s="150"/>
      <c r="X484" s="150"/>
      <c r="Y484" s="150"/>
      <c r="Z484" s="150"/>
    </row>
    <row r="485">
      <c r="A485" s="150"/>
      <c r="B485" s="155"/>
      <c r="C485" s="155"/>
      <c r="D485" s="155"/>
      <c r="E485" s="155"/>
      <c r="F485" s="150"/>
      <c r="G485" s="150"/>
      <c r="H485" s="150"/>
      <c r="I485" s="150"/>
      <c r="J485" s="150"/>
      <c r="K485" s="150"/>
      <c r="L485" s="150"/>
      <c r="M485" s="150"/>
      <c r="N485" s="150"/>
      <c r="O485" s="150"/>
      <c r="P485" s="150"/>
      <c r="Q485" s="150"/>
      <c r="R485" s="150"/>
      <c r="S485" s="150"/>
      <c r="T485" s="150"/>
      <c r="U485" s="150"/>
      <c r="V485" s="150"/>
      <c r="W485" s="150"/>
      <c r="X485" s="150"/>
      <c r="Y485" s="150"/>
      <c r="Z485" s="150"/>
    </row>
    <row r="486">
      <c r="A486" s="150"/>
      <c r="B486" s="155"/>
      <c r="C486" s="155"/>
      <c r="D486" s="155"/>
      <c r="E486" s="155"/>
      <c r="F486" s="150"/>
      <c r="G486" s="150"/>
      <c r="H486" s="150"/>
      <c r="I486" s="150"/>
      <c r="J486" s="150"/>
      <c r="K486" s="150"/>
      <c r="L486" s="150"/>
      <c r="M486" s="150"/>
      <c r="N486" s="150"/>
      <c r="O486" s="150"/>
      <c r="P486" s="150"/>
      <c r="Q486" s="150"/>
      <c r="R486" s="150"/>
      <c r="S486" s="150"/>
      <c r="T486" s="150"/>
      <c r="U486" s="150"/>
      <c r="V486" s="150"/>
      <c r="W486" s="150"/>
      <c r="X486" s="150"/>
      <c r="Y486" s="150"/>
      <c r="Z486" s="150"/>
    </row>
    <row r="487">
      <c r="A487" s="150"/>
      <c r="B487" s="155"/>
      <c r="C487" s="155"/>
      <c r="D487" s="155"/>
      <c r="E487" s="155"/>
      <c r="F487" s="150"/>
      <c r="G487" s="150"/>
      <c r="H487" s="150"/>
      <c r="I487" s="150"/>
      <c r="J487" s="150"/>
      <c r="K487" s="150"/>
      <c r="L487" s="150"/>
      <c r="M487" s="150"/>
      <c r="N487" s="150"/>
      <c r="O487" s="150"/>
      <c r="P487" s="150"/>
      <c r="Q487" s="150"/>
      <c r="R487" s="150"/>
      <c r="S487" s="150"/>
      <c r="T487" s="150"/>
      <c r="U487" s="150"/>
      <c r="V487" s="150"/>
      <c r="W487" s="150"/>
      <c r="X487" s="150"/>
      <c r="Y487" s="150"/>
      <c r="Z487" s="150"/>
    </row>
    <row r="488">
      <c r="A488" s="150"/>
      <c r="B488" s="155"/>
      <c r="C488" s="155"/>
      <c r="D488" s="155"/>
      <c r="E488" s="155"/>
      <c r="F488" s="150"/>
      <c r="G488" s="150"/>
      <c r="H488" s="150"/>
      <c r="I488" s="150"/>
      <c r="J488" s="150"/>
      <c r="K488" s="150"/>
      <c r="L488" s="150"/>
      <c r="M488" s="150"/>
      <c r="N488" s="150"/>
      <c r="O488" s="150"/>
      <c r="P488" s="150"/>
      <c r="Q488" s="150"/>
      <c r="R488" s="150"/>
      <c r="S488" s="150"/>
      <c r="T488" s="150"/>
      <c r="U488" s="150"/>
      <c r="V488" s="150"/>
      <c r="W488" s="150"/>
      <c r="X488" s="150"/>
      <c r="Y488" s="150"/>
      <c r="Z488" s="150"/>
    </row>
    <row r="489">
      <c r="A489" s="150"/>
      <c r="B489" s="155"/>
      <c r="C489" s="155"/>
      <c r="D489" s="155"/>
      <c r="E489" s="155"/>
      <c r="F489" s="150"/>
      <c r="G489" s="150"/>
      <c r="H489" s="150"/>
      <c r="I489" s="150"/>
      <c r="J489" s="150"/>
      <c r="K489" s="150"/>
      <c r="L489" s="150"/>
      <c r="M489" s="150"/>
      <c r="N489" s="150"/>
      <c r="O489" s="150"/>
      <c r="P489" s="150"/>
      <c r="Q489" s="150"/>
      <c r="R489" s="150"/>
      <c r="S489" s="150"/>
      <c r="T489" s="150"/>
      <c r="U489" s="150"/>
      <c r="V489" s="150"/>
      <c r="W489" s="150"/>
      <c r="X489" s="150"/>
      <c r="Y489" s="150"/>
      <c r="Z489" s="150"/>
    </row>
    <row r="490">
      <c r="A490" s="150"/>
      <c r="B490" s="155"/>
      <c r="C490" s="155"/>
      <c r="D490" s="155"/>
      <c r="E490" s="155"/>
      <c r="F490" s="150"/>
      <c r="G490" s="150"/>
      <c r="H490" s="150"/>
      <c r="I490" s="150"/>
      <c r="J490" s="150"/>
      <c r="K490" s="150"/>
      <c r="L490" s="150"/>
      <c r="M490" s="150"/>
      <c r="N490" s="150"/>
      <c r="O490" s="150"/>
      <c r="P490" s="150"/>
      <c r="Q490" s="150"/>
      <c r="R490" s="150"/>
      <c r="S490" s="150"/>
      <c r="T490" s="150"/>
      <c r="U490" s="150"/>
      <c r="V490" s="150"/>
      <c r="W490" s="150"/>
      <c r="X490" s="150"/>
      <c r="Y490" s="150"/>
      <c r="Z490" s="150"/>
    </row>
    <row r="491">
      <c r="A491" s="150"/>
      <c r="B491" s="155"/>
      <c r="C491" s="155"/>
      <c r="D491" s="155"/>
      <c r="E491" s="155"/>
      <c r="F491" s="150"/>
      <c r="G491" s="150"/>
      <c r="H491" s="150"/>
      <c r="I491" s="150"/>
      <c r="J491" s="150"/>
      <c r="K491" s="150"/>
      <c r="L491" s="150"/>
      <c r="M491" s="150"/>
      <c r="N491" s="150"/>
      <c r="O491" s="150"/>
      <c r="P491" s="150"/>
      <c r="Q491" s="150"/>
      <c r="R491" s="150"/>
      <c r="S491" s="150"/>
      <c r="T491" s="150"/>
      <c r="U491" s="150"/>
      <c r="V491" s="150"/>
      <c r="W491" s="150"/>
      <c r="X491" s="150"/>
      <c r="Y491" s="150"/>
      <c r="Z491" s="150"/>
    </row>
    <row r="492">
      <c r="A492" s="150"/>
      <c r="B492" s="155"/>
      <c r="C492" s="155"/>
      <c r="D492" s="155"/>
      <c r="E492" s="155"/>
      <c r="F492" s="150"/>
      <c r="G492" s="150"/>
      <c r="H492" s="150"/>
      <c r="I492" s="150"/>
      <c r="J492" s="150"/>
      <c r="K492" s="150"/>
      <c r="L492" s="150"/>
      <c r="M492" s="150"/>
      <c r="N492" s="150"/>
      <c r="O492" s="150"/>
      <c r="P492" s="150"/>
      <c r="Q492" s="150"/>
      <c r="R492" s="150"/>
      <c r="S492" s="150"/>
      <c r="T492" s="150"/>
      <c r="U492" s="150"/>
      <c r="V492" s="150"/>
      <c r="W492" s="150"/>
      <c r="X492" s="150"/>
      <c r="Y492" s="150"/>
      <c r="Z492" s="150"/>
    </row>
    <row r="493">
      <c r="A493" s="150"/>
      <c r="B493" s="155"/>
      <c r="C493" s="155"/>
      <c r="D493" s="155"/>
      <c r="E493" s="155"/>
      <c r="F493" s="150"/>
      <c r="G493" s="150"/>
      <c r="H493" s="150"/>
      <c r="I493" s="150"/>
      <c r="J493" s="150"/>
      <c r="K493" s="150"/>
      <c r="L493" s="150"/>
      <c r="M493" s="150"/>
      <c r="N493" s="150"/>
      <c r="O493" s="150"/>
      <c r="P493" s="150"/>
      <c r="Q493" s="150"/>
      <c r="R493" s="150"/>
      <c r="S493" s="150"/>
      <c r="T493" s="150"/>
      <c r="U493" s="150"/>
      <c r="V493" s="150"/>
      <c r="W493" s="150"/>
      <c r="X493" s="150"/>
      <c r="Y493" s="150"/>
      <c r="Z493" s="150"/>
    </row>
    <row r="494">
      <c r="A494" s="150"/>
      <c r="B494" s="155"/>
      <c r="C494" s="155"/>
      <c r="D494" s="155"/>
      <c r="E494" s="155"/>
      <c r="F494" s="150"/>
      <c r="G494" s="150"/>
      <c r="H494" s="150"/>
      <c r="I494" s="150"/>
      <c r="J494" s="150"/>
      <c r="K494" s="150"/>
      <c r="L494" s="150"/>
      <c r="M494" s="150"/>
      <c r="N494" s="150"/>
      <c r="O494" s="150"/>
      <c r="P494" s="150"/>
      <c r="Q494" s="150"/>
      <c r="R494" s="150"/>
      <c r="S494" s="150"/>
      <c r="T494" s="150"/>
      <c r="U494" s="150"/>
      <c r="V494" s="150"/>
      <c r="W494" s="150"/>
      <c r="X494" s="150"/>
      <c r="Y494" s="150"/>
      <c r="Z494" s="150"/>
    </row>
    <row r="495">
      <c r="A495" s="150"/>
      <c r="B495" s="155"/>
      <c r="C495" s="155"/>
      <c r="D495" s="155"/>
      <c r="E495" s="155"/>
      <c r="F495" s="150"/>
      <c r="G495" s="150"/>
      <c r="H495" s="150"/>
      <c r="I495" s="150"/>
      <c r="J495" s="150"/>
      <c r="K495" s="150"/>
      <c r="L495" s="150"/>
      <c r="M495" s="150"/>
      <c r="N495" s="150"/>
      <c r="O495" s="150"/>
      <c r="P495" s="150"/>
      <c r="Q495" s="150"/>
      <c r="R495" s="150"/>
      <c r="S495" s="150"/>
      <c r="T495" s="150"/>
      <c r="U495" s="150"/>
      <c r="V495" s="150"/>
      <c r="W495" s="150"/>
      <c r="X495" s="150"/>
      <c r="Y495" s="150"/>
      <c r="Z495" s="150"/>
    </row>
    <row r="496">
      <c r="A496" s="150"/>
      <c r="B496" s="155"/>
      <c r="C496" s="155"/>
      <c r="D496" s="155"/>
      <c r="E496" s="155"/>
      <c r="F496" s="150"/>
      <c r="G496" s="150"/>
      <c r="H496" s="150"/>
      <c r="I496" s="150"/>
      <c r="J496" s="150"/>
      <c r="K496" s="150"/>
      <c r="L496" s="150"/>
      <c r="M496" s="150"/>
      <c r="N496" s="150"/>
      <c r="O496" s="150"/>
      <c r="P496" s="150"/>
      <c r="Q496" s="150"/>
      <c r="R496" s="150"/>
      <c r="S496" s="150"/>
      <c r="T496" s="150"/>
      <c r="U496" s="150"/>
      <c r="V496" s="150"/>
      <c r="W496" s="150"/>
      <c r="X496" s="150"/>
      <c r="Y496" s="150"/>
      <c r="Z496" s="150"/>
    </row>
    <row r="497">
      <c r="A497" s="150"/>
      <c r="B497" s="155"/>
      <c r="C497" s="155"/>
      <c r="D497" s="155"/>
      <c r="E497" s="155"/>
      <c r="F497" s="150"/>
      <c r="G497" s="150"/>
      <c r="H497" s="150"/>
      <c r="I497" s="150"/>
      <c r="J497" s="150"/>
      <c r="K497" s="150"/>
      <c r="L497" s="150"/>
      <c r="M497" s="150"/>
      <c r="N497" s="150"/>
      <c r="O497" s="150"/>
      <c r="P497" s="150"/>
      <c r="Q497" s="150"/>
      <c r="R497" s="150"/>
      <c r="S497" s="150"/>
      <c r="T497" s="150"/>
      <c r="U497" s="150"/>
      <c r="V497" s="150"/>
      <c r="W497" s="150"/>
      <c r="X497" s="150"/>
      <c r="Y497" s="150"/>
      <c r="Z497" s="150"/>
    </row>
    <row r="498">
      <c r="A498" s="150"/>
      <c r="B498" s="155"/>
      <c r="C498" s="155"/>
      <c r="D498" s="155"/>
      <c r="E498" s="155"/>
      <c r="F498" s="150"/>
      <c r="G498" s="150"/>
      <c r="H498" s="150"/>
      <c r="I498" s="150"/>
      <c r="J498" s="150"/>
      <c r="K498" s="150"/>
      <c r="L498" s="150"/>
      <c r="M498" s="150"/>
      <c r="N498" s="150"/>
      <c r="O498" s="150"/>
      <c r="P498" s="150"/>
      <c r="Q498" s="150"/>
      <c r="R498" s="150"/>
      <c r="S498" s="150"/>
      <c r="T498" s="150"/>
      <c r="U498" s="150"/>
      <c r="V498" s="150"/>
      <c r="W498" s="150"/>
      <c r="X498" s="150"/>
      <c r="Y498" s="150"/>
      <c r="Z498" s="150"/>
    </row>
    <row r="499">
      <c r="A499" s="150"/>
      <c r="B499" s="155"/>
      <c r="C499" s="155"/>
      <c r="D499" s="155"/>
      <c r="E499" s="155"/>
      <c r="F499" s="150"/>
      <c r="G499" s="150"/>
      <c r="H499" s="150"/>
      <c r="I499" s="150"/>
      <c r="J499" s="150"/>
      <c r="K499" s="150"/>
      <c r="L499" s="150"/>
      <c r="M499" s="150"/>
      <c r="N499" s="150"/>
      <c r="O499" s="150"/>
      <c r="P499" s="150"/>
      <c r="Q499" s="150"/>
      <c r="R499" s="150"/>
      <c r="S499" s="150"/>
      <c r="T499" s="150"/>
      <c r="U499" s="150"/>
      <c r="V499" s="150"/>
      <c r="W499" s="150"/>
      <c r="X499" s="150"/>
      <c r="Y499" s="150"/>
      <c r="Z499" s="150"/>
    </row>
    <row r="500">
      <c r="A500" s="150"/>
      <c r="B500" s="155"/>
      <c r="C500" s="155"/>
      <c r="D500" s="155"/>
      <c r="E500" s="155"/>
      <c r="F500" s="150"/>
      <c r="G500" s="150"/>
      <c r="H500" s="150"/>
      <c r="I500" s="150"/>
      <c r="J500" s="150"/>
      <c r="K500" s="150"/>
      <c r="L500" s="150"/>
      <c r="M500" s="150"/>
      <c r="N500" s="150"/>
      <c r="O500" s="150"/>
      <c r="P500" s="150"/>
      <c r="Q500" s="150"/>
      <c r="R500" s="150"/>
      <c r="S500" s="150"/>
      <c r="T500" s="150"/>
      <c r="U500" s="150"/>
      <c r="V500" s="150"/>
      <c r="W500" s="150"/>
      <c r="X500" s="150"/>
      <c r="Y500" s="150"/>
      <c r="Z500" s="150"/>
    </row>
    <row r="501">
      <c r="A501" s="150"/>
      <c r="B501" s="155"/>
      <c r="C501" s="155"/>
      <c r="D501" s="155"/>
      <c r="E501" s="155"/>
      <c r="F501" s="150"/>
      <c r="G501" s="150"/>
      <c r="H501" s="150"/>
      <c r="I501" s="150"/>
      <c r="J501" s="150"/>
      <c r="K501" s="150"/>
      <c r="L501" s="150"/>
      <c r="M501" s="150"/>
      <c r="N501" s="150"/>
      <c r="O501" s="150"/>
      <c r="P501" s="150"/>
      <c r="Q501" s="150"/>
      <c r="R501" s="150"/>
      <c r="S501" s="150"/>
      <c r="T501" s="150"/>
      <c r="U501" s="150"/>
      <c r="V501" s="150"/>
      <c r="W501" s="150"/>
      <c r="X501" s="150"/>
      <c r="Y501" s="150"/>
      <c r="Z501" s="150"/>
    </row>
    <row r="502">
      <c r="A502" s="150"/>
      <c r="B502" s="155"/>
      <c r="C502" s="155"/>
      <c r="D502" s="155"/>
      <c r="E502" s="155"/>
      <c r="F502" s="150"/>
      <c r="G502" s="150"/>
      <c r="H502" s="150"/>
      <c r="I502" s="150"/>
      <c r="J502" s="150"/>
      <c r="K502" s="150"/>
      <c r="L502" s="150"/>
      <c r="M502" s="150"/>
      <c r="N502" s="150"/>
      <c r="O502" s="150"/>
      <c r="P502" s="150"/>
      <c r="Q502" s="150"/>
      <c r="R502" s="150"/>
      <c r="S502" s="150"/>
      <c r="T502" s="150"/>
      <c r="U502" s="150"/>
      <c r="V502" s="150"/>
      <c r="W502" s="150"/>
      <c r="X502" s="150"/>
      <c r="Y502" s="150"/>
      <c r="Z502" s="150"/>
    </row>
    <row r="503">
      <c r="A503" s="150"/>
      <c r="B503" s="155"/>
      <c r="C503" s="155"/>
      <c r="D503" s="155"/>
      <c r="E503" s="155"/>
      <c r="F503" s="150"/>
      <c r="G503" s="150"/>
      <c r="H503" s="150"/>
      <c r="I503" s="150"/>
      <c r="J503" s="150"/>
      <c r="K503" s="150"/>
      <c r="L503" s="150"/>
      <c r="M503" s="150"/>
      <c r="N503" s="150"/>
      <c r="O503" s="150"/>
      <c r="P503" s="150"/>
      <c r="Q503" s="150"/>
      <c r="R503" s="150"/>
      <c r="S503" s="150"/>
      <c r="T503" s="150"/>
      <c r="U503" s="150"/>
      <c r="V503" s="150"/>
      <c r="W503" s="150"/>
      <c r="X503" s="150"/>
      <c r="Y503" s="150"/>
      <c r="Z503" s="150"/>
    </row>
    <row r="504">
      <c r="A504" s="150"/>
      <c r="B504" s="155"/>
      <c r="C504" s="155"/>
      <c r="D504" s="155"/>
      <c r="E504" s="155"/>
      <c r="F504" s="150"/>
      <c r="G504" s="150"/>
      <c r="H504" s="150"/>
      <c r="I504" s="150"/>
      <c r="J504" s="150"/>
      <c r="K504" s="150"/>
      <c r="L504" s="150"/>
      <c r="M504" s="150"/>
      <c r="N504" s="150"/>
      <c r="O504" s="150"/>
      <c r="P504" s="150"/>
      <c r="Q504" s="150"/>
      <c r="R504" s="150"/>
      <c r="S504" s="150"/>
      <c r="T504" s="150"/>
      <c r="U504" s="150"/>
      <c r="V504" s="150"/>
      <c r="W504" s="150"/>
      <c r="X504" s="150"/>
      <c r="Y504" s="150"/>
      <c r="Z504" s="150"/>
    </row>
    <row r="505">
      <c r="A505" s="150"/>
      <c r="B505" s="155"/>
      <c r="C505" s="155"/>
      <c r="D505" s="155"/>
      <c r="E505" s="155"/>
      <c r="F505" s="150"/>
      <c r="G505" s="150"/>
      <c r="H505" s="150"/>
      <c r="I505" s="150"/>
      <c r="J505" s="150"/>
      <c r="K505" s="150"/>
      <c r="L505" s="150"/>
      <c r="M505" s="150"/>
      <c r="N505" s="150"/>
      <c r="O505" s="150"/>
      <c r="P505" s="150"/>
      <c r="Q505" s="150"/>
      <c r="R505" s="150"/>
      <c r="S505" s="150"/>
      <c r="T505" s="150"/>
      <c r="U505" s="150"/>
      <c r="V505" s="150"/>
      <c r="W505" s="150"/>
      <c r="X505" s="150"/>
      <c r="Y505" s="150"/>
      <c r="Z505" s="150"/>
    </row>
    <row r="506">
      <c r="A506" s="150"/>
      <c r="B506" s="155"/>
      <c r="C506" s="155"/>
      <c r="D506" s="155"/>
      <c r="E506" s="155"/>
      <c r="F506" s="150"/>
      <c r="G506" s="150"/>
      <c r="H506" s="150"/>
      <c r="I506" s="150"/>
      <c r="J506" s="150"/>
      <c r="K506" s="150"/>
      <c r="L506" s="150"/>
      <c r="M506" s="150"/>
      <c r="N506" s="150"/>
      <c r="O506" s="150"/>
      <c r="P506" s="150"/>
      <c r="Q506" s="150"/>
      <c r="R506" s="150"/>
      <c r="S506" s="150"/>
      <c r="T506" s="150"/>
      <c r="U506" s="150"/>
      <c r="V506" s="150"/>
      <c r="W506" s="150"/>
      <c r="X506" s="150"/>
      <c r="Y506" s="150"/>
      <c r="Z506" s="150"/>
    </row>
    <row r="507">
      <c r="A507" s="150"/>
      <c r="B507" s="155"/>
      <c r="C507" s="155"/>
      <c r="D507" s="155"/>
      <c r="E507" s="155"/>
      <c r="F507" s="150"/>
      <c r="G507" s="150"/>
      <c r="H507" s="150"/>
      <c r="I507" s="150"/>
      <c r="J507" s="150"/>
      <c r="K507" s="150"/>
      <c r="L507" s="150"/>
      <c r="M507" s="150"/>
      <c r="N507" s="150"/>
      <c r="O507" s="150"/>
      <c r="P507" s="150"/>
      <c r="Q507" s="150"/>
      <c r="R507" s="150"/>
      <c r="S507" s="150"/>
      <c r="T507" s="150"/>
      <c r="U507" s="150"/>
      <c r="V507" s="150"/>
      <c r="W507" s="150"/>
      <c r="X507" s="150"/>
      <c r="Y507" s="150"/>
      <c r="Z507" s="150"/>
    </row>
    <row r="508">
      <c r="A508" s="150"/>
      <c r="B508" s="155"/>
      <c r="C508" s="155"/>
      <c r="D508" s="155"/>
      <c r="E508" s="155"/>
      <c r="F508" s="150"/>
      <c r="G508" s="150"/>
      <c r="H508" s="150"/>
      <c r="I508" s="150"/>
      <c r="J508" s="150"/>
      <c r="K508" s="150"/>
      <c r="L508" s="150"/>
      <c r="M508" s="150"/>
      <c r="N508" s="150"/>
      <c r="O508" s="150"/>
      <c r="P508" s="150"/>
      <c r="Q508" s="150"/>
      <c r="R508" s="150"/>
      <c r="S508" s="150"/>
      <c r="T508" s="150"/>
      <c r="U508" s="150"/>
      <c r="V508" s="150"/>
      <c r="W508" s="150"/>
      <c r="X508" s="150"/>
      <c r="Y508" s="150"/>
      <c r="Z508" s="150"/>
    </row>
    <row r="509">
      <c r="A509" s="150"/>
      <c r="B509" s="155"/>
      <c r="C509" s="155"/>
      <c r="D509" s="155"/>
      <c r="E509" s="155"/>
      <c r="F509" s="150"/>
      <c r="G509" s="150"/>
      <c r="H509" s="150"/>
      <c r="I509" s="150"/>
      <c r="J509" s="150"/>
      <c r="K509" s="150"/>
      <c r="L509" s="150"/>
      <c r="M509" s="150"/>
      <c r="N509" s="150"/>
      <c r="O509" s="150"/>
      <c r="P509" s="150"/>
      <c r="Q509" s="150"/>
      <c r="R509" s="150"/>
      <c r="S509" s="150"/>
      <c r="T509" s="150"/>
      <c r="U509" s="150"/>
      <c r="V509" s="150"/>
      <c r="W509" s="150"/>
      <c r="X509" s="150"/>
      <c r="Y509" s="150"/>
      <c r="Z509" s="150"/>
    </row>
    <row r="510">
      <c r="A510" s="150"/>
      <c r="B510" s="155"/>
      <c r="C510" s="155"/>
      <c r="D510" s="155"/>
      <c r="E510" s="155"/>
      <c r="F510" s="150"/>
      <c r="G510" s="150"/>
      <c r="H510" s="150"/>
      <c r="I510" s="150"/>
      <c r="J510" s="150"/>
      <c r="K510" s="150"/>
      <c r="L510" s="150"/>
      <c r="M510" s="150"/>
      <c r="N510" s="150"/>
      <c r="O510" s="150"/>
      <c r="P510" s="150"/>
      <c r="Q510" s="150"/>
      <c r="R510" s="150"/>
      <c r="S510" s="150"/>
      <c r="T510" s="150"/>
      <c r="U510" s="150"/>
      <c r="V510" s="150"/>
      <c r="W510" s="150"/>
      <c r="X510" s="150"/>
      <c r="Y510" s="150"/>
      <c r="Z510" s="150"/>
    </row>
    <row r="511">
      <c r="A511" s="150"/>
      <c r="B511" s="155"/>
      <c r="C511" s="155"/>
      <c r="D511" s="155"/>
      <c r="E511" s="155"/>
      <c r="F511" s="150"/>
      <c r="G511" s="150"/>
      <c r="H511" s="150"/>
      <c r="I511" s="150"/>
      <c r="J511" s="150"/>
      <c r="K511" s="150"/>
      <c r="L511" s="150"/>
      <c r="M511" s="150"/>
      <c r="N511" s="150"/>
      <c r="O511" s="150"/>
      <c r="P511" s="150"/>
      <c r="Q511" s="150"/>
      <c r="R511" s="150"/>
      <c r="S511" s="150"/>
      <c r="T511" s="150"/>
      <c r="U511" s="150"/>
      <c r="V511" s="150"/>
      <c r="W511" s="150"/>
      <c r="X511" s="150"/>
      <c r="Y511" s="150"/>
      <c r="Z511" s="150"/>
    </row>
    <row r="512">
      <c r="A512" s="150"/>
      <c r="B512" s="155"/>
      <c r="C512" s="155"/>
      <c r="D512" s="155"/>
      <c r="E512" s="155"/>
      <c r="F512" s="150"/>
      <c r="G512" s="150"/>
      <c r="H512" s="150"/>
      <c r="I512" s="150"/>
      <c r="J512" s="150"/>
      <c r="K512" s="150"/>
      <c r="L512" s="150"/>
      <c r="M512" s="150"/>
      <c r="N512" s="150"/>
      <c r="O512" s="150"/>
      <c r="P512" s="150"/>
      <c r="Q512" s="150"/>
      <c r="R512" s="150"/>
      <c r="S512" s="150"/>
      <c r="T512" s="150"/>
      <c r="U512" s="150"/>
      <c r="V512" s="150"/>
      <c r="W512" s="150"/>
      <c r="X512" s="150"/>
      <c r="Y512" s="150"/>
      <c r="Z512" s="150"/>
    </row>
    <row r="513">
      <c r="A513" s="150"/>
      <c r="B513" s="155"/>
      <c r="C513" s="155"/>
      <c r="D513" s="155"/>
      <c r="E513" s="155"/>
      <c r="F513" s="150"/>
      <c r="G513" s="150"/>
      <c r="H513" s="150"/>
      <c r="I513" s="150"/>
      <c r="J513" s="150"/>
      <c r="K513" s="150"/>
      <c r="L513" s="150"/>
      <c r="M513" s="150"/>
      <c r="N513" s="150"/>
      <c r="O513" s="150"/>
      <c r="P513" s="150"/>
      <c r="Q513" s="150"/>
      <c r="R513" s="150"/>
      <c r="S513" s="150"/>
      <c r="T513" s="150"/>
      <c r="U513" s="150"/>
      <c r="V513" s="150"/>
      <c r="W513" s="150"/>
      <c r="X513" s="150"/>
      <c r="Y513" s="150"/>
      <c r="Z513" s="150"/>
    </row>
    <row r="514">
      <c r="A514" s="150"/>
      <c r="B514" s="155"/>
      <c r="C514" s="155"/>
      <c r="D514" s="155"/>
      <c r="E514" s="155"/>
      <c r="F514" s="150"/>
      <c r="G514" s="150"/>
      <c r="H514" s="150"/>
      <c r="I514" s="150"/>
      <c r="J514" s="150"/>
      <c r="K514" s="150"/>
      <c r="L514" s="150"/>
      <c r="M514" s="150"/>
      <c r="N514" s="150"/>
      <c r="O514" s="150"/>
      <c r="P514" s="150"/>
      <c r="Q514" s="150"/>
      <c r="R514" s="150"/>
      <c r="S514" s="150"/>
      <c r="T514" s="150"/>
      <c r="U514" s="150"/>
      <c r="V514" s="150"/>
      <c r="W514" s="150"/>
      <c r="X514" s="150"/>
      <c r="Y514" s="150"/>
      <c r="Z514" s="150"/>
    </row>
    <row r="515">
      <c r="A515" s="150"/>
      <c r="B515" s="155"/>
      <c r="C515" s="155"/>
      <c r="D515" s="155"/>
      <c r="E515" s="155"/>
      <c r="F515" s="150"/>
      <c r="G515" s="150"/>
      <c r="H515" s="150"/>
      <c r="I515" s="150"/>
      <c r="J515" s="150"/>
      <c r="K515" s="150"/>
      <c r="L515" s="150"/>
      <c r="M515" s="150"/>
      <c r="N515" s="150"/>
      <c r="O515" s="150"/>
      <c r="P515" s="150"/>
      <c r="Q515" s="150"/>
      <c r="R515" s="150"/>
      <c r="S515" s="150"/>
      <c r="T515" s="150"/>
      <c r="U515" s="150"/>
      <c r="V515" s="150"/>
      <c r="W515" s="150"/>
      <c r="X515" s="150"/>
      <c r="Y515" s="150"/>
      <c r="Z515" s="150"/>
    </row>
    <row r="516">
      <c r="A516" s="150"/>
      <c r="B516" s="155"/>
      <c r="C516" s="155"/>
      <c r="D516" s="155"/>
      <c r="E516" s="155"/>
      <c r="F516" s="150"/>
      <c r="G516" s="150"/>
      <c r="H516" s="150"/>
      <c r="I516" s="150"/>
      <c r="J516" s="150"/>
      <c r="K516" s="150"/>
      <c r="L516" s="150"/>
      <c r="M516" s="150"/>
      <c r="N516" s="150"/>
      <c r="O516" s="150"/>
      <c r="P516" s="150"/>
      <c r="Q516" s="150"/>
      <c r="R516" s="150"/>
      <c r="S516" s="150"/>
      <c r="T516" s="150"/>
      <c r="U516" s="150"/>
      <c r="V516" s="150"/>
      <c r="W516" s="150"/>
      <c r="X516" s="150"/>
      <c r="Y516" s="150"/>
      <c r="Z516" s="150"/>
    </row>
    <row r="517">
      <c r="A517" s="150"/>
      <c r="B517" s="155"/>
      <c r="C517" s="155"/>
      <c r="D517" s="155"/>
      <c r="E517" s="155"/>
      <c r="F517" s="150"/>
      <c r="G517" s="150"/>
      <c r="H517" s="150"/>
      <c r="I517" s="150"/>
      <c r="J517" s="150"/>
      <c r="K517" s="150"/>
      <c r="L517" s="150"/>
      <c r="M517" s="150"/>
      <c r="N517" s="150"/>
      <c r="O517" s="150"/>
      <c r="P517" s="150"/>
      <c r="Q517" s="150"/>
      <c r="R517" s="150"/>
      <c r="S517" s="150"/>
      <c r="T517" s="150"/>
      <c r="U517" s="150"/>
      <c r="V517" s="150"/>
      <c r="W517" s="150"/>
      <c r="X517" s="150"/>
      <c r="Y517" s="150"/>
      <c r="Z517" s="150"/>
    </row>
    <row r="518">
      <c r="A518" s="150"/>
      <c r="B518" s="155"/>
      <c r="C518" s="155"/>
      <c r="D518" s="155"/>
      <c r="E518" s="155"/>
      <c r="F518" s="150"/>
      <c r="G518" s="150"/>
      <c r="H518" s="150"/>
      <c r="I518" s="150"/>
      <c r="J518" s="150"/>
      <c r="K518" s="150"/>
      <c r="L518" s="150"/>
      <c r="M518" s="150"/>
      <c r="N518" s="150"/>
      <c r="O518" s="150"/>
      <c r="P518" s="150"/>
      <c r="Q518" s="150"/>
      <c r="R518" s="150"/>
      <c r="S518" s="150"/>
      <c r="T518" s="150"/>
      <c r="U518" s="150"/>
      <c r="V518" s="150"/>
      <c r="W518" s="150"/>
      <c r="X518" s="150"/>
      <c r="Y518" s="150"/>
      <c r="Z518" s="150"/>
    </row>
    <row r="519">
      <c r="A519" s="150"/>
      <c r="B519" s="155"/>
      <c r="C519" s="155"/>
      <c r="D519" s="155"/>
      <c r="E519" s="155"/>
      <c r="F519" s="150"/>
      <c r="G519" s="150"/>
      <c r="H519" s="150"/>
      <c r="I519" s="150"/>
      <c r="J519" s="150"/>
      <c r="K519" s="150"/>
      <c r="L519" s="150"/>
      <c r="M519" s="150"/>
      <c r="N519" s="150"/>
      <c r="O519" s="150"/>
      <c r="P519" s="150"/>
      <c r="Q519" s="150"/>
      <c r="R519" s="150"/>
      <c r="S519" s="150"/>
      <c r="T519" s="150"/>
      <c r="U519" s="150"/>
      <c r="V519" s="150"/>
      <c r="W519" s="150"/>
      <c r="X519" s="150"/>
      <c r="Y519" s="150"/>
      <c r="Z519" s="150"/>
    </row>
    <row r="520">
      <c r="A520" s="150"/>
      <c r="B520" s="155"/>
      <c r="C520" s="155"/>
      <c r="D520" s="155"/>
      <c r="E520" s="155"/>
      <c r="F520" s="150"/>
      <c r="G520" s="150"/>
      <c r="H520" s="150"/>
      <c r="I520" s="150"/>
      <c r="J520" s="150"/>
      <c r="K520" s="150"/>
      <c r="L520" s="150"/>
      <c r="M520" s="150"/>
      <c r="N520" s="150"/>
      <c r="O520" s="150"/>
      <c r="P520" s="150"/>
      <c r="Q520" s="150"/>
      <c r="R520" s="150"/>
      <c r="S520" s="150"/>
      <c r="T520" s="150"/>
      <c r="U520" s="150"/>
      <c r="V520" s="150"/>
      <c r="W520" s="150"/>
      <c r="X520" s="150"/>
      <c r="Y520" s="150"/>
      <c r="Z520" s="150"/>
    </row>
    <row r="521">
      <c r="A521" s="150"/>
      <c r="B521" s="155"/>
      <c r="C521" s="155"/>
      <c r="D521" s="155"/>
      <c r="E521" s="155"/>
      <c r="F521" s="150"/>
      <c r="G521" s="150"/>
      <c r="H521" s="150"/>
      <c r="I521" s="150"/>
      <c r="J521" s="150"/>
      <c r="K521" s="150"/>
      <c r="L521" s="150"/>
      <c r="M521" s="150"/>
      <c r="N521" s="150"/>
      <c r="O521" s="150"/>
      <c r="P521" s="150"/>
      <c r="Q521" s="150"/>
      <c r="R521" s="150"/>
      <c r="S521" s="150"/>
      <c r="T521" s="150"/>
      <c r="U521" s="150"/>
      <c r="V521" s="150"/>
      <c r="W521" s="150"/>
      <c r="X521" s="150"/>
      <c r="Y521" s="150"/>
      <c r="Z521" s="150"/>
    </row>
    <row r="522">
      <c r="A522" s="150"/>
      <c r="B522" s="155"/>
      <c r="C522" s="155"/>
      <c r="D522" s="155"/>
      <c r="E522" s="155"/>
      <c r="F522" s="150"/>
      <c r="G522" s="150"/>
      <c r="H522" s="150"/>
      <c r="I522" s="150"/>
      <c r="J522" s="150"/>
      <c r="K522" s="150"/>
      <c r="L522" s="150"/>
      <c r="M522" s="150"/>
      <c r="N522" s="150"/>
      <c r="O522" s="150"/>
      <c r="P522" s="150"/>
      <c r="Q522" s="150"/>
      <c r="R522" s="150"/>
      <c r="S522" s="150"/>
      <c r="T522" s="150"/>
      <c r="U522" s="150"/>
      <c r="V522" s="150"/>
      <c r="W522" s="150"/>
      <c r="X522" s="150"/>
      <c r="Y522" s="150"/>
      <c r="Z522" s="150"/>
    </row>
    <row r="523">
      <c r="A523" s="150"/>
      <c r="B523" s="155"/>
      <c r="C523" s="155"/>
      <c r="D523" s="155"/>
      <c r="E523" s="155"/>
      <c r="F523" s="150"/>
      <c r="G523" s="150"/>
      <c r="H523" s="150"/>
      <c r="I523" s="150"/>
      <c r="J523" s="150"/>
      <c r="K523" s="150"/>
      <c r="L523" s="150"/>
      <c r="M523" s="150"/>
      <c r="N523" s="150"/>
      <c r="O523" s="150"/>
      <c r="P523" s="150"/>
      <c r="Q523" s="150"/>
      <c r="R523" s="150"/>
      <c r="S523" s="150"/>
      <c r="T523" s="150"/>
      <c r="U523" s="150"/>
      <c r="V523" s="150"/>
      <c r="W523" s="150"/>
      <c r="X523" s="150"/>
      <c r="Y523" s="150"/>
      <c r="Z523" s="150"/>
    </row>
    <row r="524">
      <c r="A524" s="150"/>
      <c r="B524" s="155"/>
      <c r="C524" s="155"/>
      <c r="D524" s="155"/>
      <c r="E524" s="155"/>
      <c r="F524" s="150"/>
      <c r="G524" s="150"/>
      <c r="H524" s="150"/>
      <c r="I524" s="150"/>
      <c r="J524" s="150"/>
      <c r="K524" s="150"/>
      <c r="L524" s="150"/>
      <c r="M524" s="150"/>
      <c r="N524" s="150"/>
      <c r="O524" s="150"/>
      <c r="P524" s="150"/>
      <c r="Q524" s="150"/>
      <c r="R524" s="150"/>
      <c r="S524" s="150"/>
      <c r="T524" s="150"/>
      <c r="U524" s="150"/>
      <c r="V524" s="150"/>
      <c r="W524" s="150"/>
      <c r="X524" s="150"/>
      <c r="Y524" s="150"/>
      <c r="Z524" s="150"/>
    </row>
    <row r="525">
      <c r="A525" s="150"/>
      <c r="B525" s="155"/>
      <c r="C525" s="155"/>
      <c r="D525" s="155"/>
      <c r="E525" s="155"/>
      <c r="F525" s="150"/>
      <c r="G525" s="150"/>
      <c r="H525" s="150"/>
      <c r="I525" s="150"/>
      <c r="J525" s="150"/>
      <c r="K525" s="150"/>
      <c r="L525" s="150"/>
      <c r="M525" s="150"/>
      <c r="N525" s="150"/>
      <c r="O525" s="150"/>
      <c r="P525" s="150"/>
      <c r="Q525" s="150"/>
      <c r="R525" s="150"/>
      <c r="S525" s="150"/>
      <c r="T525" s="150"/>
      <c r="U525" s="150"/>
      <c r="V525" s="150"/>
      <c r="W525" s="150"/>
      <c r="X525" s="150"/>
      <c r="Y525" s="150"/>
      <c r="Z525" s="150"/>
    </row>
    <row r="526">
      <c r="A526" s="150"/>
      <c r="B526" s="155"/>
      <c r="C526" s="155"/>
      <c r="D526" s="155"/>
      <c r="E526" s="155"/>
      <c r="F526" s="150"/>
      <c r="G526" s="150"/>
      <c r="H526" s="150"/>
      <c r="I526" s="150"/>
      <c r="J526" s="150"/>
      <c r="K526" s="150"/>
      <c r="L526" s="150"/>
      <c r="M526" s="150"/>
      <c r="N526" s="150"/>
      <c r="O526" s="150"/>
      <c r="P526" s="150"/>
      <c r="Q526" s="150"/>
      <c r="R526" s="150"/>
      <c r="S526" s="150"/>
      <c r="T526" s="150"/>
      <c r="U526" s="150"/>
      <c r="V526" s="150"/>
      <c r="W526" s="150"/>
      <c r="X526" s="150"/>
      <c r="Y526" s="150"/>
      <c r="Z526" s="150"/>
    </row>
    <row r="527">
      <c r="A527" s="150"/>
      <c r="B527" s="155"/>
      <c r="C527" s="155"/>
      <c r="D527" s="155"/>
      <c r="E527" s="155"/>
      <c r="F527" s="150"/>
      <c r="G527" s="150"/>
      <c r="H527" s="150"/>
      <c r="I527" s="150"/>
      <c r="J527" s="150"/>
      <c r="K527" s="150"/>
      <c r="L527" s="150"/>
      <c r="M527" s="150"/>
      <c r="N527" s="150"/>
      <c r="O527" s="150"/>
      <c r="P527" s="150"/>
      <c r="Q527" s="150"/>
      <c r="R527" s="150"/>
      <c r="S527" s="150"/>
      <c r="T527" s="150"/>
      <c r="U527" s="150"/>
      <c r="V527" s="150"/>
      <c r="W527" s="150"/>
      <c r="X527" s="150"/>
      <c r="Y527" s="150"/>
      <c r="Z527" s="150"/>
    </row>
    <row r="528">
      <c r="A528" s="150"/>
      <c r="B528" s="155"/>
      <c r="C528" s="155"/>
      <c r="D528" s="155"/>
      <c r="E528" s="155"/>
      <c r="F528" s="150"/>
      <c r="G528" s="150"/>
      <c r="H528" s="150"/>
      <c r="I528" s="150"/>
      <c r="J528" s="150"/>
      <c r="K528" s="150"/>
      <c r="L528" s="150"/>
      <c r="M528" s="150"/>
      <c r="N528" s="150"/>
      <c r="O528" s="150"/>
      <c r="P528" s="150"/>
      <c r="Q528" s="150"/>
      <c r="R528" s="150"/>
      <c r="S528" s="150"/>
      <c r="T528" s="150"/>
      <c r="U528" s="150"/>
      <c r="V528" s="150"/>
      <c r="W528" s="150"/>
      <c r="X528" s="150"/>
      <c r="Y528" s="150"/>
      <c r="Z528" s="150"/>
    </row>
    <row r="529">
      <c r="A529" s="150"/>
      <c r="B529" s="155"/>
      <c r="C529" s="155"/>
      <c r="D529" s="155"/>
      <c r="E529" s="155"/>
      <c r="F529" s="150"/>
      <c r="G529" s="150"/>
      <c r="H529" s="150"/>
      <c r="I529" s="150"/>
      <c r="J529" s="150"/>
      <c r="K529" s="150"/>
      <c r="L529" s="150"/>
      <c r="M529" s="150"/>
      <c r="N529" s="150"/>
      <c r="O529" s="150"/>
      <c r="P529" s="150"/>
      <c r="Q529" s="150"/>
      <c r="R529" s="150"/>
      <c r="S529" s="150"/>
      <c r="T529" s="150"/>
      <c r="U529" s="150"/>
      <c r="V529" s="150"/>
      <c r="W529" s="150"/>
      <c r="X529" s="150"/>
      <c r="Y529" s="150"/>
      <c r="Z529" s="150"/>
    </row>
    <row r="530">
      <c r="A530" s="150"/>
      <c r="B530" s="155"/>
      <c r="C530" s="155"/>
      <c r="D530" s="155"/>
      <c r="E530" s="155"/>
      <c r="F530" s="150"/>
      <c r="G530" s="150"/>
      <c r="H530" s="150"/>
      <c r="I530" s="150"/>
      <c r="J530" s="150"/>
      <c r="K530" s="150"/>
      <c r="L530" s="150"/>
      <c r="M530" s="150"/>
      <c r="N530" s="150"/>
      <c r="O530" s="150"/>
      <c r="P530" s="150"/>
      <c r="Q530" s="150"/>
      <c r="R530" s="150"/>
      <c r="S530" s="150"/>
      <c r="T530" s="150"/>
      <c r="U530" s="150"/>
      <c r="V530" s="150"/>
      <c r="W530" s="150"/>
      <c r="X530" s="150"/>
      <c r="Y530" s="150"/>
      <c r="Z530" s="150"/>
    </row>
    <row r="531">
      <c r="A531" s="150"/>
      <c r="B531" s="155"/>
      <c r="C531" s="155"/>
      <c r="D531" s="155"/>
      <c r="E531" s="155"/>
      <c r="F531" s="150"/>
      <c r="G531" s="150"/>
      <c r="H531" s="150"/>
      <c r="I531" s="150"/>
      <c r="J531" s="150"/>
      <c r="K531" s="150"/>
      <c r="L531" s="150"/>
      <c r="M531" s="150"/>
      <c r="N531" s="150"/>
      <c r="O531" s="150"/>
      <c r="P531" s="150"/>
      <c r="Q531" s="150"/>
      <c r="R531" s="150"/>
      <c r="S531" s="150"/>
      <c r="T531" s="150"/>
      <c r="U531" s="150"/>
      <c r="V531" s="150"/>
      <c r="W531" s="150"/>
      <c r="X531" s="150"/>
      <c r="Y531" s="150"/>
      <c r="Z531" s="150"/>
    </row>
    <row r="532">
      <c r="A532" s="150"/>
      <c r="B532" s="155"/>
      <c r="C532" s="155"/>
      <c r="D532" s="155"/>
      <c r="E532" s="155"/>
      <c r="F532" s="150"/>
      <c r="G532" s="150"/>
      <c r="H532" s="150"/>
      <c r="I532" s="150"/>
      <c r="J532" s="150"/>
      <c r="K532" s="150"/>
      <c r="L532" s="150"/>
      <c r="M532" s="150"/>
      <c r="N532" s="150"/>
      <c r="O532" s="150"/>
      <c r="P532" s="150"/>
      <c r="Q532" s="150"/>
      <c r="R532" s="150"/>
      <c r="S532" s="150"/>
      <c r="T532" s="150"/>
      <c r="U532" s="150"/>
      <c r="V532" s="150"/>
      <c r="W532" s="150"/>
      <c r="X532" s="150"/>
      <c r="Y532" s="150"/>
      <c r="Z532" s="150"/>
    </row>
    <row r="533">
      <c r="A533" s="150"/>
      <c r="B533" s="155"/>
      <c r="C533" s="155"/>
      <c r="D533" s="155"/>
      <c r="E533" s="155"/>
      <c r="F533" s="150"/>
      <c r="G533" s="150"/>
      <c r="H533" s="150"/>
      <c r="I533" s="150"/>
      <c r="J533" s="150"/>
      <c r="K533" s="150"/>
      <c r="L533" s="150"/>
      <c r="M533" s="150"/>
      <c r="N533" s="150"/>
      <c r="O533" s="150"/>
      <c r="P533" s="150"/>
      <c r="Q533" s="150"/>
      <c r="R533" s="150"/>
      <c r="S533" s="150"/>
      <c r="T533" s="150"/>
      <c r="U533" s="150"/>
      <c r="V533" s="150"/>
      <c r="W533" s="150"/>
      <c r="X533" s="150"/>
      <c r="Y533" s="150"/>
      <c r="Z533" s="150"/>
    </row>
    <row r="534">
      <c r="A534" s="150"/>
      <c r="B534" s="155"/>
      <c r="C534" s="155"/>
      <c r="D534" s="155"/>
      <c r="E534" s="155"/>
      <c r="F534" s="150"/>
      <c r="G534" s="150"/>
      <c r="H534" s="150"/>
      <c r="I534" s="150"/>
      <c r="J534" s="150"/>
      <c r="K534" s="150"/>
      <c r="L534" s="150"/>
      <c r="M534" s="150"/>
      <c r="N534" s="150"/>
      <c r="O534" s="150"/>
      <c r="P534" s="150"/>
      <c r="Q534" s="150"/>
      <c r="R534" s="150"/>
      <c r="S534" s="150"/>
      <c r="T534" s="150"/>
      <c r="U534" s="150"/>
      <c r="V534" s="150"/>
      <c r="W534" s="150"/>
      <c r="X534" s="150"/>
      <c r="Y534" s="150"/>
      <c r="Z534" s="150"/>
    </row>
    <row r="535">
      <c r="A535" s="150"/>
      <c r="B535" s="155"/>
      <c r="C535" s="155"/>
      <c r="D535" s="155"/>
      <c r="E535" s="155"/>
      <c r="F535" s="150"/>
      <c r="G535" s="150"/>
      <c r="H535" s="150"/>
      <c r="I535" s="150"/>
      <c r="J535" s="150"/>
      <c r="K535" s="150"/>
      <c r="L535" s="150"/>
      <c r="M535" s="150"/>
      <c r="N535" s="150"/>
      <c r="O535" s="150"/>
      <c r="P535" s="150"/>
      <c r="Q535" s="150"/>
      <c r="R535" s="150"/>
      <c r="S535" s="150"/>
      <c r="T535" s="150"/>
      <c r="U535" s="150"/>
      <c r="V535" s="150"/>
      <c r="W535" s="150"/>
      <c r="X535" s="150"/>
      <c r="Y535" s="150"/>
      <c r="Z535" s="150"/>
    </row>
    <row r="536">
      <c r="A536" s="150"/>
      <c r="B536" s="155"/>
      <c r="C536" s="155"/>
      <c r="D536" s="155"/>
      <c r="E536" s="155"/>
      <c r="F536" s="150"/>
      <c r="G536" s="150"/>
      <c r="H536" s="150"/>
      <c r="I536" s="150"/>
      <c r="J536" s="150"/>
      <c r="K536" s="150"/>
      <c r="L536" s="150"/>
      <c r="M536" s="150"/>
      <c r="N536" s="150"/>
      <c r="O536" s="150"/>
      <c r="P536" s="150"/>
      <c r="Q536" s="150"/>
      <c r="R536" s="150"/>
      <c r="S536" s="150"/>
      <c r="T536" s="150"/>
      <c r="U536" s="150"/>
      <c r="V536" s="150"/>
      <c r="W536" s="150"/>
      <c r="X536" s="150"/>
      <c r="Y536" s="150"/>
      <c r="Z536" s="150"/>
    </row>
    <row r="537">
      <c r="A537" s="150"/>
      <c r="B537" s="155"/>
      <c r="C537" s="155"/>
      <c r="D537" s="155"/>
      <c r="E537" s="155"/>
      <c r="F537" s="150"/>
      <c r="G537" s="150"/>
      <c r="H537" s="150"/>
      <c r="I537" s="150"/>
      <c r="J537" s="150"/>
      <c r="K537" s="150"/>
      <c r="L537" s="150"/>
      <c r="M537" s="150"/>
      <c r="N537" s="150"/>
      <c r="O537" s="150"/>
      <c r="P537" s="150"/>
      <c r="Q537" s="150"/>
      <c r="R537" s="150"/>
      <c r="S537" s="150"/>
      <c r="T537" s="150"/>
      <c r="U537" s="150"/>
      <c r="V537" s="150"/>
      <c r="W537" s="150"/>
      <c r="X537" s="150"/>
      <c r="Y537" s="150"/>
      <c r="Z537" s="150"/>
    </row>
    <row r="538">
      <c r="A538" s="150"/>
      <c r="B538" s="155"/>
      <c r="C538" s="155"/>
      <c r="D538" s="155"/>
      <c r="E538" s="155"/>
      <c r="F538" s="150"/>
      <c r="G538" s="150"/>
      <c r="H538" s="150"/>
      <c r="I538" s="150"/>
      <c r="J538" s="150"/>
      <c r="K538" s="150"/>
      <c r="L538" s="150"/>
      <c r="M538" s="150"/>
      <c r="N538" s="150"/>
      <c r="O538" s="150"/>
      <c r="P538" s="150"/>
      <c r="Q538" s="150"/>
      <c r="R538" s="150"/>
      <c r="S538" s="150"/>
      <c r="T538" s="150"/>
      <c r="U538" s="150"/>
      <c r="V538" s="150"/>
      <c r="W538" s="150"/>
      <c r="X538" s="150"/>
      <c r="Y538" s="150"/>
      <c r="Z538" s="150"/>
    </row>
    <row r="539">
      <c r="A539" s="150"/>
      <c r="B539" s="155"/>
      <c r="C539" s="155"/>
      <c r="D539" s="155"/>
      <c r="E539" s="155"/>
      <c r="F539" s="150"/>
      <c r="G539" s="150"/>
      <c r="H539" s="150"/>
      <c r="I539" s="150"/>
      <c r="J539" s="150"/>
      <c r="K539" s="150"/>
      <c r="L539" s="150"/>
      <c r="M539" s="150"/>
      <c r="N539" s="150"/>
      <c r="O539" s="150"/>
      <c r="P539" s="150"/>
      <c r="Q539" s="150"/>
      <c r="R539" s="150"/>
      <c r="S539" s="150"/>
      <c r="T539" s="150"/>
      <c r="U539" s="150"/>
      <c r="V539" s="150"/>
      <c r="W539" s="150"/>
      <c r="X539" s="150"/>
      <c r="Y539" s="150"/>
      <c r="Z539" s="150"/>
    </row>
    <row r="540">
      <c r="A540" s="150"/>
      <c r="B540" s="155"/>
      <c r="C540" s="155"/>
      <c r="D540" s="155"/>
      <c r="E540" s="155"/>
      <c r="F540" s="150"/>
      <c r="G540" s="150"/>
      <c r="H540" s="150"/>
      <c r="I540" s="150"/>
      <c r="J540" s="150"/>
      <c r="K540" s="150"/>
      <c r="L540" s="150"/>
      <c r="M540" s="150"/>
      <c r="N540" s="150"/>
      <c r="O540" s="150"/>
      <c r="P540" s="150"/>
      <c r="Q540" s="150"/>
      <c r="R540" s="150"/>
      <c r="S540" s="150"/>
      <c r="T540" s="150"/>
      <c r="U540" s="150"/>
      <c r="V540" s="150"/>
      <c r="W540" s="150"/>
      <c r="X540" s="150"/>
      <c r="Y540" s="150"/>
      <c r="Z540" s="150"/>
    </row>
    <row r="541">
      <c r="A541" s="150"/>
      <c r="B541" s="155"/>
      <c r="C541" s="155"/>
      <c r="D541" s="155"/>
      <c r="E541" s="155"/>
      <c r="F541" s="150"/>
      <c r="G541" s="150"/>
      <c r="H541" s="150"/>
      <c r="I541" s="150"/>
      <c r="J541" s="150"/>
      <c r="K541" s="150"/>
      <c r="L541" s="150"/>
      <c r="M541" s="150"/>
      <c r="N541" s="150"/>
      <c r="O541" s="150"/>
      <c r="P541" s="150"/>
      <c r="Q541" s="150"/>
      <c r="R541" s="150"/>
      <c r="S541" s="150"/>
      <c r="T541" s="150"/>
      <c r="U541" s="150"/>
      <c r="V541" s="150"/>
      <c r="W541" s="150"/>
      <c r="X541" s="150"/>
      <c r="Y541" s="150"/>
      <c r="Z541" s="150"/>
    </row>
    <row r="542">
      <c r="A542" s="150"/>
      <c r="B542" s="155"/>
      <c r="C542" s="155"/>
      <c r="D542" s="155"/>
      <c r="E542" s="155"/>
      <c r="F542" s="150"/>
      <c r="G542" s="150"/>
      <c r="H542" s="150"/>
      <c r="I542" s="150"/>
      <c r="J542" s="150"/>
      <c r="K542" s="150"/>
      <c r="L542" s="150"/>
      <c r="M542" s="150"/>
      <c r="N542" s="150"/>
      <c r="O542" s="150"/>
      <c r="P542" s="150"/>
      <c r="Q542" s="150"/>
      <c r="R542" s="150"/>
      <c r="S542" s="150"/>
      <c r="T542" s="150"/>
      <c r="U542" s="150"/>
      <c r="V542" s="150"/>
      <c r="W542" s="150"/>
      <c r="X542" s="150"/>
      <c r="Y542" s="150"/>
      <c r="Z542" s="150"/>
    </row>
    <row r="543">
      <c r="A543" s="150"/>
      <c r="B543" s="155"/>
      <c r="C543" s="155"/>
      <c r="D543" s="155"/>
      <c r="E543" s="155"/>
      <c r="F543" s="150"/>
      <c r="G543" s="150"/>
      <c r="H543" s="150"/>
      <c r="I543" s="150"/>
      <c r="J543" s="150"/>
      <c r="K543" s="150"/>
      <c r="L543" s="150"/>
      <c r="M543" s="150"/>
      <c r="N543" s="150"/>
      <c r="O543" s="150"/>
      <c r="P543" s="150"/>
      <c r="Q543" s="150"/>
      <c r="R543" s="150"/>
      <c r="S543" s="150"/>
      <c r="T543" s="150"/>
      <c r="U543" s="150"/>
      <c r="V543" s="150"/>
      <c r="W543" s="150"/>
      <c r="X543" s="150"/>
      <c r="Y543" s="150"/>
      <c r="Z543" s="150"/>
    </row>
    <row r="544">
      <c r="A544" s="150"/>
      <c r="B544" s="155"/>
      <c r="C544" s="155"/>
      <c r="D544" s="155"/>
      <c r="E544" s="155"/>
      <c r="F544" s="150"/>
      <c r="G544" s="150"/>
      <c r="H544" s="150"/>
      <c r="I544" s="150"/>
      <c r="J544" s="150"/>
      <c r="K544" s="150"/>
      <c r="L544" s="150"/>
      <c r="M544" s="150"/>
      <c r="N544" s="150"/>
      <c r="O544" s="150"/>
      <c r="P544" s="150"/>
      <c r="Q544" s="150"/>
      <c r="R544" s="150"/>
      <c r="S544" s="150"/>
      <c r="T544" s="150"/>
      <c r="U544" s="150"/>
      <c r="V544" s="150"/>
      <c r="W544" s="150"/>
      <c r="X544" s="150"/>
      <c r="Y544" s="150"/>
      <c r="Z544" s="150"/>
    </row>
    <row r="545">
      <c r="A545" s="150"/>
      <c r="B545" s="155"/>
      <c r="C545" s="155"/>
      <c r="D545" s="155"/>
      <c r="E545" s="155"/>
      <c r="F545" s="150"/>
      <c r="G545" s="150"/>
      <c r="H545" s="150"/>
      <c r="I545" s="150"/>
      <c r="J545" s="150"/>
      <c r="K545" s="150"/>
      <c r="L545" s="150"/>
      <c r="M545" s="150"/>
      <c r="N545" s="150"/>
      <c r="O545" s="150"/>
      <c r="P545" s="150"/>
      <c r="Q545" s="150"/>
      <c r="R545" s="150"/>
      <c r="S545" s="150"/>
      <c r="T545" s="150"/>
      <c r="U545" s="150"/>
      <c r="V545" s="150"/>
      <c r="W545" s="150"/>
      <c r="X545" s="150"/>
      <c r="Y545" s="150"/>
      <c r="Z545" s="150"/>
    </row>
    <row r="546">
      <c r="A546" s="150"/>
      <c r="B546" s="155"/>
      <c r="C546" s="155"/>
      <c r="D546" s="155"/>
      <c r="E546" s="155"/>
      <c r="F546" s="150"/>
      <c r="G546" s="150"/>
      <c r="H546" s="150"/>
      <c r="I546" s="150"/>
      <c r="J546" s="150"/>
      <c r="K546" s="150"/>
      <c r="L546" s="150"/>
      <c r="M546" s="150"/>
      <c r="N546" s="150"/>
      <c r="O546" s="150"/>
      <c r="P546" s="150"/>
      <c r="Q546" s="150"/>
      <c r="R546" s="150"/>
      <c r="S546" s="150"/>
      <c r="T546" s="150"/>
      <c r="U546" s="150"/>
      <c r="V546" s="150"/>
      <c r="W546" s="150"/>
      <c r="X546" s="150"/>
      <c r="Y546" s="150"/>
      <c r="Z546" s="150"/>
    </row>
    <row r="547">
      <c r="A547" s="150"/>
      <c r="B547" s="155"/>
      <c r="C547" s="155"/>
      <c r="D547" s="155"/>
      <c r="E547" s="155"/>
      <c r="F547" s="150"/>
      <c r="G547" s="150"/>
      <c r="H547" s="150"/>
      <c r="I547" s="150"/>
      <c r="J547" s="150"/>
      <c r="K547" s="150"/>
      <c r="L547" s="150"/>
      <c r="M547" s="150"/>
      <c r="N547" s="150"/>
      <c r="O547" s="150"/>
      <c r="P547" s="150"/>
      <c r="Q547" s="150"/>
      <c r="R547" s="150"/>
      <c r="S547" s="150"/>
      <c r="T547" s="150"/>
      <c r="U547" s="150"/>
      <c r="V547" s="150"/>
      <c r="W547" s="150"/>
      <c r="X547" s="150"/>
      <c r="Y547" s="150"/>
      <c r="Z547" s="150"/>
    </row>
    <row r="548">
      <c r="A548" s="150"/>
      <c r="B548" s="155"/>
      <c r="C548" s="155"/>
      <c r="D548" s="155"/>
      <c r="E548" s="155"/>
      <c r="F548" s="150"/>
      <c r="G548" s="150"/>
      <c r="H548" s="150"/>
      <c r="I548" s="150"/>
      <c r="J548" s="150"/>
      <c r="K548" s="150"/>
      <c r="L548" s="150"/>
      <c r="M548" s="150"/>
      <c r="N548" s="150"/>
      <c r="O548" s="150"/>
      <c r="P548" s="150"/>
      <c r="Q548" s="150"/>
      <c r="R548" s="150"/>
      <c r="S548" s="150"/>
      <c r="T548" s="150"/>
      <c r="U548" s="150"/>
      <c r="V548" s="150"/>
      <c r="W548" s="150"/>
      <c r="X548" s="150"/>
      <c r="Y548" s="150"/>
      <c r="Z548" s="150"/>
    </row>
    <row r="549">
      <c r="A549" s="150"/>
      <c r="B549" s="155"/>
      <c r="C549" s="155"/>
      <c r="D549" s="155"/>
      <c r="E549" s="155"/>
      <c r="F549" s="150"/>
      <c r="G549" s="150"/>
      <c r="H549" s="150"/>
      <c r="I549" s="150"/>
      <c r="J549" s="150"/>
      <c r="K549" s="150"/>
      <c r="L549" s="150"/>
      <c r="M549" s="150"/>
      <c r="N549" s="150"/>
      <c r="O549" s="150"/>
      <c r="P549" s="150"/>
      <c r="Q549" s="150"/>
      <c r="R549" s="150"/>
      <c r="S549" s="150"/>
      <c r="T549" s="150"/>
      <c r="U549" s="150"/>
      <c r="V549" s="150"/>
      <c r="W549" s="150"/>
      <c r="X549" s="150"/>
      <c r="Y549" s="150"/>
      <c r="Z549" s="150"/>
    </row>
    <row r="550">
      <c r="A550" s="150"/>
      <c r="B550" s="155"/>
      <c r="C550" s="155"/>
      <c r="D550" s="155"/>
      <c r="E550" s="155"/>
      <c r="F550" s="150"/>
      <c r="G550" s="150"/>
      <c r="H550" s="150"/>
      <c r="I550" s="150"/>
      <c r="J550" s="150"/>
      <c r="K550" s="150"/>
      <c r="L550" s="150"/>
      <c r="M550" s="150"/>
      <c r="N550" s="150"/>
      <c r="O550" s="150"/>
      <c r="P550" s="150"/>
      <c r="Q550" s="150"/>
      <c r="R550" s="150"/>
      <c r="S550" s="150"/>
      <c r="T550" s="150"/>
      <c r="U550" s="150"/>
      <c r="V550" s="150"/>
      <c r="W550" s="150"/>
      <c r="X550" s="150"/>
      <c r="Y550" s="150"/>
      <c r="Z550" s="150"/>
    </row>
    <row r="551">
      <c r="A551" s="150"/>
      <c r="B551" s="155"/>
      <c r="C551" s="155"/>
      <c r="D551" s="155"/>
      <c r="E551" s="155"/>
      <c r="F551" s="150"/>
      <c r="G551" s="150"/>
      <c r="H551" s="150"/>
      <c r="I551" s="150"/>
      <c r="J551" s="150"/>
      <c r="K551" s="150"/>
      <c r="L551" s="150"/>
      <c r="M551" s="150"/>
      <c r="N551" s="150"/>
      <c r="O551" s="150"/>
      <c r="P551" s="150"/>
      <c r="Q551" s="150"/>
      <c r="R551" s="150"/>
      <c r="S551" s="150"/>
      <c r="T551" s="150"/>
      <c r="U551" s="150"/>
      <c r="V551" s="150"/>
      <c r="W551" s="150"/>
      <c r="X551" s="150"/>
      <c r="Y551" s="150"/>
      <c r="Z551" s="150"/>
    </row>
    <row r="552">
      <c r="A552" s="150"/>
      <c r="B552" s="155"/>
      <c r="C552" s="155"/>
      <c r="D552" s="155"/>
      <c r="E552" s="155"/>
      <c r="F552" s="150"/>
      <c r="G552" s="150"/>
      <c r="H552" s="150"/>
      <c r="I552" s="150"/>
      <c r="J552" s="150"/>
      <c r="K552" s="150"/>
      <c r="L552" s="150"/>
      <c r="M552" s="150"/>
      <c r="N552" s="150"/>
      <c r="O552" s="150"/>
      <c r="P552" s="150"/>
      <c r="Q552" s="150"/>
      <c r="R552" s="150"/>
      <c r="S552" s="150"/>
      <c r="T552" s="150"/>
      <c r="U552" s="150"/>
      <c r="V552" s="150"/>
      <c r="W552" s="150"/>
      <c r="X552" s="150"/>
      <c r="Y552" s="150"/>
      <c r="Z552" s="150"/>
    </row>
    <row r="553">
      <c r="A553" s="150"/>
      <c r="B553" s="155"/>
      <c r="C553" s="155"/>
      <c r="D553" s="155"/>
      <c r="E553" s="155"/>
      <c r="F553" s="150"/>
      <c r="G553" s="150"/>
      <c r="H553" s="150"/>
      <c r="I553" s="150"/>
      <c r="J553" s="150"/>
      <c r="K553" s="150"/>
      <c r="L553" s="150"/>
      <c r="M553" s="150"/>
      <c r="N553" s="150"/>
      <c r="O553" s="150"/>
      <c r="P553" s="150"/>
      <c r="Q553" s="150"/>
      <c r="R553" s="150"/>
      <c r="S553" s="150"/>
      <c r="T553" s="150"/>
      <c r="U553" s="150"/>
      <c r="V553" s="150"/>
      <c r="W553" s="150"/>
      <c r="X553" s="150"/>
      <c r="Y553" s="150"/>
      <c r="Z553" s="150"/>
    </row>
    <row r="554">
      <c r="A554" s="150"/>
      <c r="B554" s="155"/>
      <c r="C554" s="155"/>
      <c r="D554" s="155"/>
      <c r="E554" s="155"/>
      <c r="F554" s="150"/>
      <c r="G554" s="150"/>
      <c r="H554" s="150"/>
      <c r="I554" s="150"/>
      <c r="J554" s="150"/>
      <c r="K554" s="150"/>
      <c r="L554" s="150"/>
      <c r="M554" s="150"/>
      <c r="N554" s="150"/>
      <c r="O554" s="150"/>
      <c r="P554" s="150"/>
      <c r="Q554" s="150"/>
      <c r="R554" s="150"/>
      <c r="S554" s="150"/>
      <c r="T554" s="150"/>
      <c r="U554" s="150"/>
      <c r="V554" s="150"/>
      <c r="W554" s="150"/>
      <c r="X554" s="150"/>
      <c r="Y554" s="150"/>
      <c r="Z554" s="150"/>
    </row>
    <row r="555">
      <c r="A555" s="150"/>
      <c r="B555" s="155"/>
      <c r="C555" s="155"/>
      <c r="D555" s="155"/>
      <c r="E555" s="155"/>
      <c r="F555" s="150"/>
      <c r="G555" s="150"/>
      <c r="H555" s="150"/>
      <c r="I555" s="150"/>
      <c r="J555" s="150"/>
      <c r="K555" s="150"/>
      <c r="L555" s="150"/>
      <c r="M555" s="150"/>
      <c r="N555" s="150"/>
      <c r="O555" s="150"/>
      <c r="P555" s="150"/>
      <c r="Q555" s="150"/>
      <c r="R555" s="150"/>
      <c r="S555" s="150"/>
      <c r="T555" s="150"/>
      <c r="U555" s="150"/>
      <c r="V555" s="150"/>
      <c r="W555" s="150"/>
      <c r="X555" s="150"/>
      <c r="Y555" s="150"/>
      <c r="Z555" s="150"/>
    </row>
    <row r="556">
      <c r="A556" s="150"/>
      <c r="B556" s="155"/>
      <c r="C556" s="155"/>
      <c r="D556" s="155"/>
      <c r="E556" s="155"/>
      <c r="F556" s="150"/>
      <c r="G556" s="150"/>
      <c r="H556" s="150"/>
      <c r="I556" s="150"/>
      <c r="J556" s="150"/>
      <c r="K556" s="150"/>
      <c r="L556" s="150"/>
      <c r="M556" s="150"/>
      <c r="N556" s="150"/>
      <c r="O556" s="150"/>
      <c r="P556" s="150"/>
      <c r="Q556" s="150"/>
      <c r="R556" s="150"/>
      <c r="S556" s="150"/>
      <c r="T556" s="150"/>
      <c r="U556" s="150"/>
      <c r="V556" s="150"/>
      <c r="W556" s="150"/>
      <c r="X556" s="150"/>
      <c r="Y556" s="150"/>
      <c r="Z556" s="150"/>
    </row>
    <row r="557">
      <c r="A557" s="150"/>
      <c r="B557" s="155"/>
      <c r="C557" s="155"/>
      <c r="D557" s="155"/>
      <c r="E557" s="155"/>
      <c r="F557" s="150"/>
      <c r="G557" s="150"/>
      <c r="H557" s="150"/>
      <c r="I557" s="150"/>
      <c r="J557" s="150"/>
      <c r="K557" s="150"/>
      <c r="L557" s="150"/>
      <c r="M557" s="150"/>
      <c r="N557" s="150"/>
      <c r="O557" s="150"/>
      <c r="P557" s="150"/>
      <c r="Q557" s="150"/>
      <c r="R557" s="150"/>
      <c r="S557" s="150"/>
      <c r="T557" s="150"/>
      <c r="U557" s="150"/>
      <c r="V557" s="150"/>
      <c r="W557" s="150"/>
      <c r="X557" s="150"/>
      <c r="Y557" s="150"/>
      <c r="Z557" s="150"/>
    </row>
    <row r="558">
      <c r="A558" s="150"/>
      <c r="B558" s="155"/>
      <c r="C558" s="155"/>
      <c r="D558" s="155"/>
      <c r="E558" s="155"/>
      <c r="F558" s="150"/>
      <c r="G558" s="150"/>
      <c r="H558" s="150"/>
      <c r="I558" s="150"/>
      <c r="J558" s="150"/>
      <c r="K558" s="150"/>
      <c r="L558" s="150"/>
      <c r="M558" s="150"/>
      <c r="N558" s="150"/>
      <c r="O558" s="150"/>
      <c r="P558" s="150"/>
      <c r="Q558" s="150"/>
      <c r="R558" s="150"/>
      <c r="S558" s="150"/>
      <c r="T558" s="150"/>
      <c r="U558" s="150"/>
      <c r="V558" s="150"/>
      <c r="W558" s="150"/>
      <c r="X558" s="150"/>
      <c r="Y558" s="150"/>
      <c r="Z558" s="150"/>
    </row>
    <row r="559">
      <c r="A559" s="150"/>
      <c r="B559" s="155"/>
      <c r="C559" s="155"/>
      <c r="D559" s="155"/>
      <c r="E559" s="155"/>
      <c r="F559" s="150"/>
      <c r="G559" s="150"/>
      <c r="H559" s="150"/>
      <c r="I559" s="150"/>
      <c r="J559" s="150"/>
      <c r="K559" s="150"/>
      <c r="L559" s="150"/>
      <c r="M559" s="150"/>
      <c r="N559" s="150"/>
      <c r="O559" s="150"/>
      <c r="P559" s="150"/>
      <c r="Q559" s="150"/>
      <c r="R559" s="150"/>
      <c r="S559" s="150"/>
      <c r="T559" s="150"/>
      <c r="U559" s="150"/>
      <c r="V559" s="150"/>
      <c r="W559" s="150"/>
      <c r="X559" s="150"/>
      <c r="Y559" s="150"/>
      <c r="Z559" s="150"/>
    </row>
    <row r="560">
      <c r="A560" s="150"/>
      <c r="B560" s="155"/>
      <c r="C560" s="155"/>
      <c r="D560" s="155"/>
      <c r="E560" s="155"/>
      <c r="F560" s="150"/>
      <c r="G560" s="150"/>
      <c r="H560" s="150"/>
      <c r="I560" s="150"/>
      <c r="J560" s="150"/>
      <c r="K560" s="150"/>
      <c r="L560" s="150"/>
      <c r="M560" s="150"/>
      <c r="N560" s="150"/>
      <c r="O560" s="150"/>
      <c r="P560" s="150"/>
      <c r="Q560" s="150"/>
      <c r="R560" s="150"/>
      <c r="S560" s="150"/>
      <c r="T560" s="150"/>
      <c r="U560" s="150"/>
      <c r="V560" s="150"/>
      <c r="W560" s="150"/>
      <c r="X560" s="150"/>
      <c r="Y560" s="150"/>
      <c r="Z560" s="150"/>
    </row>
    <row r="561">
      <c r="A561" s="150"/>
      <c r="B561" s="155"/>
      <c r="C561" s="155"/>
      <c r="D561" s="155"/>
      <c r="E561" s="155"/>
      <c r="F561" s="150"/>
      <c r="G561" s="150"/>
      <c r="H561" s="150"/>
      <c r="I561" s="150"/>
      <c r="J561" s="150"/>
      <c r="K561" s="150"/>
      <c r="L561" s="150"/>
      <c r="M561" s="150"/>
      <c r="N561" s="150"/>
      <c r="O561" s="150"/>
      <c r="P561" s="150"/>
      <c r="Q561" s="150"/>
      <c r="R561" s="150"/>
      <c r="S561" s="150"/>
      <c r="T561" s="150"/>
      <c r="U561" s="150"/>
      <c r="V561" s="150"/>
      <c r="W561" s="150"/>
      <c r="X561" s="150"/>
      <c r="Y561" s="150"/>
      <c r="Z561" s="150"/>
    </row>
    <row r="562">
      <c r="A562" s="150"/>
      <c r="B562" s="155"/>
      <c r="C562" s="155"/>
      <c r="D562" s="155"/>
      <c r="E562" s="155"/>
      <c r="F562" s="150"/>
      <c r="G562" s="150"/>
      <c r="H562" s="150"/>
      <c r="I562" s="150"/>
      <c r="J562" s="150"/>
      <c r="K562" s="150"/>
      <c r="L562" s="150"/>
      <c r="M562" s="150"/>
      <c r="N562" s="150"/>
      <c r="O562" s="150"/>
      <c r="P562" s="150"/>
      <c r="Q562" s="150"/>
      <c r="R562" s="150"/>
      <c r="S562" s="150"/>
      <c r="T562" s="150"/>
      <c r="U562" s="150"/>
      <c r="V562" s="150"/>
      <c r="W562" s="150"/>
      <c r="X562" s="150"/>
      <c r="Y562" s="150"/>
      <c r="Z562" s="150"/>
    </row>
    <row r="563">
      <c r="A563" s="150"/>
      <c r="B563" s="155"/>
      <c r="C563" s="155"/>
      <c r="D563" s="155"/>
      <c r="E563" s="155"/>
      <c r="F563" s="150"/>
      <c r="G563" s="150"/>
      <c r="H563" s="150"/>
      <c r="I563" s="150"/>
      <c r="J563" s="150"/>
      <c r="K563" s="150"/>
      <c r="L563" s="150"/>
      <c r="M563" s="150"/>
      <c r="N563" s="150"/>
      <c r="O563" s="150"/>
      <c r="P563" s="150"/>
      <c r="Q563" s="150"/>
      <c r="R563" s="150"/>
      <c r="S563" s="150"/>
      <c r="T563" s="150"/>
      <c r="U563" s="150"/>
      <c r="V563" s="150"/>
      <c r="W563" s="150"/>
      <c r="X563" s="150"/>
      <c r="Y563" s="150"/>
      <c r="Z563" s="150"/>
    </row>
    <row r="564">
      <c r="A564" s="150"/>
      <c r="B564" s="155"/>
      <c r="C564" s="155"/>
      <c r="D564" s="155"/>
      <c r="E564" s="155"/>
      <c r="F564" s="150"/>
      <c r="G564" s="150"/>
      <c r="H564" s="150"/>
      <c r="I564" s="150"/>
      <c r="J564" s="150"/>
      <c r="K564" s="150"/>
      <c r="L564" s="150"/>
      <c r="M564" s="150"/>
      <c r="N564" s="150"/>
      <c r="O564" s="150"/>
      <c r="P564" s="150"/>
      <c r="Q564" s="150"/>
      <c r="R564" s="150"/>
      <c r="S564" s="150"/>
      <c r="T564" s="150"/>
      <c r="U564" s="150"/>
      <c r="V564" s="150"/>
      <c r="W564" s="150"/>
      <c r="X564" s="150"/>
      <c r="Y564" s="150"/>
      <c r="Z564" s="150"/>
    </row>
    <row r="565">
      <c r="A565" s="150"/>
      <c r="B565" s="155"/>
      <c r="C565" s="155"/>
      <c r="D565" s="155"/>
      <c r="E565" s="155"/>
      <c r="F565" s="150"/>
      <c r="G565" s="150"/>
      <c r="H565" s="150"/>
      <c r="I565" s="150"/>
      <c r="J565" s="150"/>
      <c r="K565" s="150"/>
      <c r="L565" s="150"/>
      <c r="M565" s="150"/>
      <c r="N565" s="150"/>
      <c r="O565" s="150"/>
      <c r="P565" s="150"/>
      <c r="Q565" s="150"/>
      <c r="R565" s="150"/>
      <c r="S565" s="150"/>
      <c r="T565" s="150"/>
      <c r="U565" s="150"/>
      <c r="V565" s="150"/>
      <c r="W565" s="150"/>
      <c r="X565" s="150"/>
      <c r="Y565" s="150"/>
      <c r="Z565" s="150"/>
    </row>
    <row r="566">
      <c r="A566" s="150"/>
      <c r="B566" s="155"/>
      <c r="C566" s="155"/>
      <c r="D566" s="155"/>
      <c r="E566" s="155"/>
      <c r="F566" s="150"/>
      <c r="G566" s="150"/>
      <c r="H566" s="150"/>
      <c r="I566" s="150"/>
      <c r="J566" s="150"/>
      <c r="K566" s="150"/>
      <c r="L566" s="150"/>
      <c r="M566" s="150"/>
      <c r="N566" s="150"/>
      <c r="O566" s="150"/>
      <c r="P566" s="150"/>
      <c r="Q566" s="150"/>
      <c r="R566" s="150"/>
      <c r="S566" s="150"/>
      <c r="T566" s="150"/>
      <c r="U566" s="150"/>
      <c r="V566" s="150"/>
      <c r="W566" s="150"/>
      <c r="X566" s="150"/>
      <c r="Y566" s="150"/>
      <c r="Z566" s="150"/>
    </row>
    <row r="567">
      <c r="A567" s="150"/>
      <c r="B567" s="155"/>
      <c r="C567" s="155"/>
      <c r="D567" s="155"/>
      <c r="E567" s="155"/>
      <c r="F567" s="150"/>
      <c r="G567" s="150"/>
      <c r="H567" s="150"/>
      <c r="I567" s="150"/>
      <c r="J567" s="150"/>
      <c r="K567" s="150"/>
      <c r="L567" s="150"/>
      <c r="M567" s="150"/>
      <c r="N567" s="150"/>
      <c r="O567" s="150"/>
      <c r="P567" s="150"/>
      <c r="Q567" s="150"/>
      <c r="R567" s="150"/>
      <c r="S567" s="150"/>
      <c r="T567" s="150"/>
      <c r="U567" s="150"/>
      <c r="V567" s="150"/>
      <c r="W567" s="150"/>
      <c r="X567" s="150"/>
      <c r="Y567" s="150"/>
      <c r="Z567" s="150"/>
    </row>
    <row r="568">
      <c r="A568" s="150"/>
      <c r="B568" s="155"/>
      <c r="C568" s="155"/>
      <c r="D568" s="155"/>
      <c r="E568" s="155"/>
      <c r="F568" s="150"/>
      <c r="G568" s="150"/>
      <c r="H568" s="150"/>
      <c r="I568" s="150"/>
      <c r="J568" s="150"/>
      <c r="K568" s="150"/>
      <c r="L568" s="150"/>
      <c r="M568" s="150"/>
      <c r="N568" s="150"/>
      <c r="O568" s="150"/>
      <c r="P568" s="150"/>
      <c r="Q568" s="150"/>
      <c r="R568" s="150"/>
      <c r="S568" s="150"/>
      <c r="T568" s="150"/>
      <c r="U568" s="150"/>
      <c r="V568" s="150"/>
      <c r="W568" s="150"/>
      <c r="X568" s="150"/>
      <c r="Y568" s="150"/>
      <c r="Z568" s="150"/>
    </row>
    <row r="569">
      <c r="A569" s="150"/>
      <c r="B569" s="155"/>
      <c r="C569" s="155"/>
      <c r="D569" s="155"/>
      <c r="E569" s="155"/>
      <c r="F569" s="150"/>
      <c r="G569" s="150"/>
      <c r="H569" s="150"/>
      <c r="I569" s="150"/>
      <c r="J569" s="150"/>
      <c r="K569" s="150"/>
      <c r="L569" s="150"/>
      <c r="M569" s="150"/>
      <c r="N569" s="150"/>
      <c r="O569" s="150"/>
      <c r="P569" s="150"/>
      <c r="Q569" s="150"/>
      <c r="R569" s="150"/>
      <c r="S569" s="150"/>
      <c r="T569" s="150"/>
      <c r="U569" s="150"/>
      <c r="V569" s="150"/>
      <c r="W569" s="150"/>
      <c r="X569" s="150"/>
      <c r="Y569" s="150"/>
      <c r="Z569" s="150"/>
    </row>
    <row r="570">
      <c r="A570" s="150"/>
      <c r="B570" s="155"/>
      <c r="C570" s="155"/>
      <c r="D570" s="155"/>
      <c r="E570" s="155"/>
      <c r="F570" s="150"/>
      <c r="G570" s="150"/>
      <c r="H570" s="150"/>
      <c r="I570" s="150"/>
      <c r="J570" s="150"/>
      <c r="K570" s="150"/>
      <c r="L570" s="150"/>
      <c r="M570" s="150"/>
      <c r="N570" s="150"/>
      <c r="O570" s="150"/>
      <c r="P570" s="150"/>
      <c r="Q570" s="150"/>
      <c r="R570" s="150"/>
      <c r="S570" s="150"/>
      <c r="T570" s="150"/>
      <c r="U570" s="150"/>
      <c r="V570" s="150"/>
      <c r="W570" s="150"/>
      <c r="X570" s="150"/>
      <c r="Y570" s="150"/>
      <c r="Z570" s="150"/>
    </row>
    <row r="571">
      <c r="A571" s="150"/>
      <c r="B571" s="155"/>
      <c r="C571" s="155"/>
      <c r="D571" s="155"/>
      <c r="E571" s="155"/>
      <c r="F571" s="150"/>
      <c r="G571" s="150"/>
      <c r="H571" s="150"/>
      <c r="I571" s="150"/>
      <c r="J571" s="150"/>
      <c r="K571" s="150"/>
      <c r="L571" s="150"/>
      <c r="M571" s="150"/>
      <c r="N571" s="150"/>
      <c r="O571" s="150"/>
      <c r="P571" s="150"/>
      <c r="Q571" s="150"/>
      <c r="R571" s="150"/>
      <c r="S571" s="150"/>
      <c r="T571" s="150"/>
      <c r="U571" s="150"/>
      <c r="V571" s="150"/>
      <c r="W571" s="150"/>
      <c r="X571" s="150"/>
      <c r="Y571" s="150"/>
      <c r="Z571" s="150"/>
    </row>
    <row r="572">
      <c r="A572" s="150"/>
      <c r="B572" s="155"/>
      <c r="C572" s="155"/>
      <c r="D572" s="155"/>
      <c r="E572" s="155"/>
      <c r="F572" s="150"/>
      <c r="G572" s="150"/>
      <c r="H572" s="150"/>
      <c r="I572" s="150"/>
      <c r="J572" s="150"/>
      <c r="K572" s="150"/>
      <c r="L572" s="150"/>
      <c r="M572" s="150"/>
      <c r="N572" s="150"/>
      <c r="O572" s="150"/>
      <c r="P572" s="150"/>
      <c r="Q572" s="150"/>
      <c r="R572" s="150"/>
      <c r="S572" s="150"/>
      <c r="T572" s="150"/>
      <c r="U572" s="150"/>
      <c r="V572" s="150"/>
      <c r="W572" s="150"/>
      <c r="X572" s="150"/>
      <c r="Y572" s="150"/>
      <c r="Z572" s="150"/>
    </row>
    <row r="573">
      <c r="A573" s="150"/>
      <c r="B573" s="155"/>
      <c r="C573" s="155"/>
      <c r="D573" s="155"/>
      <c r="E573" s="155"/>
      <c r="F573" s="150"/>
      <c r="G573" s="150"/>
      <c r="H573" s="150"/>
      <c r="I573" s="150"/>
      <c r="J573" s="150"/>
      <c r="K573" s="150"/>
      <c r="L573" s="150"/>
      <c r="M573" s="150"/>
      <c r="N573" s="150"/>
      <c r="O573" s="150"/>
      <c r="P573" s="150"/>
      <c r="Q573" s="150"/>
      <c r="R573" s="150"/>
      <c r="S573" s="150"/>
      <c r="T573" s="150"/>
      <c r="U573" s="150"/>
      <c r="V573" s="150"/>
      <c r="W573" s="150"/>
      <c r="X573" s="150"/>
      <c r="Y573" s="150"/>
      <c r="Z573" s="150"/>
    </row>
    <row r="574">
      <c r="A574" s="150"/>
      <c r="B574" s="155"/>
      <c r="C574" s="155"/>
      <c r="D574" s="155"/>
      <c r="E574" s="155"/>
      <c r="F574" s="150"/>
      <c r="G574" s="150"/>
      <c r="H574" s="150"/>
      <c r="I574" s="150"/>
      <c r="J574" s="150"/>
      <c r="K574" s="150"/>
      <c r="L574" s="150"/>
      <c r="M574" s="150"/>
      <c r="N574" s="150"/>
      <c r="O574" s="150"/>
      <c r="P574" s="150"/>
      <c r="Q574" s="150"/>
      <c r="R574" s="150"/>
      <c r="S574" s="150"/>
      <c r="T574" s="150"/>
      <c r="U574" s="150"/>
      <c r="V574" s="150"/>
      <c r="W574" s="150"/>
      <c r="X574" s="150"/>
      <c r="Y574" s="150"/>
      <c r="Z574" s="150"/>
    </row>
    <row r="575">
      <c r="A575" s="150"/>
      <c r="B575" s="155"/>
      <c r="C575" s="155"/>
      <c r="D575" s="155"/>
      <c r="E575" s="155"/>
      <c r="F575" s="150"/>
      <c r="G575" s="150"/>
      <c r="H575" s="150"/>
      <c r="I575" s="150"/>
      <c r="J575" s="150"/>
      <c r="K575" s="150"/>
      <c r="L575" s="150"/>
      <c r="M575" s="150"/>
      <c r="N575" s="150"/>
      <c r="O575" s="150"/>
      <c r="P575" s="150"/>
      <c r="Q575" s="150"/>
      <c r="R575" s="150"/>
      <c r="S575" s="150"/>
      <c r="T575" s="150"/>
      <c r="U575" s="150"/>
      <c r="V575" s="150"/>
      <c r="W575" s="150"/>
      <c r="X575" s="150"/>
      <c r="Y575" s="150"/>
      <c r="Z575" s="150"/>
    </row>
    <row r="576">
      <c r="A576" s="150"/>
      <c r="B576" s="155"/>
      <c r="C576" s="155"/>
      <c r="D576" s="155"/>
      <c r="E576" s="155"/>
      <c r="F576" s="150"/>
      <c r="G576" s="150"/>
      <c r="H576" s="150"/>
      <c r="I576" s="150"/>
      <c r="J576" s="150"/>
      <c r="K576" s="150"/>
      <c r="L576" s="150"/>
      <c r="M576" s="150"/>
      <c r="N576" s="150"/>
      <c r="O576" s="150"/>
      <c r="P576" s="150"/>
      <c r="Q576" s="150"/>
      <c r="R576" s="150"/>
      <c r="S576" s="150"/>
      <c r="T576" s="150"/>
      <c r="U576" s="150"/>
      <c r="V576" s="150"/>
      <c r="W576" s="150"/>
      <c r="X576" s="150"/>
      <c r="Y576" s="150"/>
      <c r="Z576" s="150"/>
    </row>
    <row r="577">
      <c r="A577" s="150"/>
      <c r="B577" s="155"/>
      <c r="C577" s="155"/>
      <c r="D577" s="155"/>
      <c r="E577" s="155"/>
      <c r="F577" s="150"/>
      <c r="G577" s="150"/>
      <c r="H577" s="150"/>
      <c r="I577" s="150"/>
      <c r="J577" s="150"/>
      <c r="K577" s="150"/>
      <c r="L577" s="150"/>
      <c r="M577" s="150"/>
      <c r="N577" s="150"/>
      <c r="O577" s="150"/>
      <c r="P577" s="150"/>
      <c r="Q577" s="150"/>
      <c r="R577" s="150"/>
      <c r="S577" s="150"/>
      <c r="T577" s="150"/>
      <c r="U577" s="150"/>
      <c r="V577" s="150"/>
      <c r="W577" s="150"/>
      <c r="X577" s="150"/>
      <c r="Y577" s="150"/>
      <c r="Z577" s="150"/>
    </row>
    <row r="578">
      <c r="A578" s="150"/>
      <c r="B578" s="155"/>
      <c r="C578" s="155"/>
      <c r="D578" s="155"/>
      <c r="E578" s="155"/>
      <c r="F578" s="150"/>
      <c r="G578" s="150"/>
      <c r="H578" s="150"/>
      <c r="I578" s="150"/>
      <c r="J578" s="150"/>
      <c r="K578" s="150"/>
      <c r="L578" s="150"/>
      <c r="M578" s="150"/>
      <c r="N578" s="150"/>
      <c r="O578" s="150"/>
      <c r="P578" s="150"/>
      <c r="Q578" s="150"/>
      <c r="R578" s="150"/>
      <c r="S578" s="150"/>
      <c r="T578" s="150"/>
      <c r="U578" s="150"/>
      <c r="V578" s="150"/>
      <c r="W578" s="150"/>
      <c r="X578" s="150"/>
      <c r="Y578" s="150"/>
      <c r="Z578" s="150"/>
    </row>
    <row r="579">
      <c r="A579" s="150"/>
      <c r="B579" s="155"/>
      <c r="C579" s="155"/>
      <c r="D579" s="155"/>
      <c r="E579" s="155"/>
      <c r="F579" s="150"/>
      <c r="G579" s="150"/>
      <c r="H579" s="150"/>
      <c r="I579" s="150"/>
      <c r="J579" s="150"/>
      <c r="K579" s="150"/>
      <c r="L579" s="150"/>
      <c r="M579" s="150"/>
      <c r="N579" s="150"/>
      <c r="O579" s="150"/>
      <c r="P579" s="150"/>
      <c r="Q579" s="150"/>
      <c r="R579" s="150"/>
      <c r="S579" s="150"/>
      <c r="T579" s="150"/>
      <c r="U579" s="150"/>
      <c r="V579" s="150"/>
      <c r="W579" s="150"/>
      <c r="X579" s="150"/>
      <c r="Y579" s="150"/>
      <c r="Z579" s="150"/>
    </row>
    <row r="580">
      <c r="A580" s="150"/>
      <c r="B580" s="155"/>
      <c r="C580" s="155"/>
      <c r="D580" s="155"/>
      <c r="E580" s="155"/>
      <c r="F580" s="150"/>
      <c r="G580" s="150"/>
      <c r="H580" s="150"/>
      <c r="I580" s="150"/>
      <c r="J580" s="150"/>
      <c r="K580" s="150"/>
      <c r="L580" s="150"/>
      <c r="M580" s="150"/>
      <c r="N580" s="150"/>
      <c r="O580" s="150"/>
      <c r="P580" s="150"/>
      <c r="Q580" s="150"/>
      <c r="R580" s="150"/>
      <c r="S580" s="150"/>
      <c r="T580" s="150"/>
      <c r="U580" s="150"/>
      <c r="V580" s="150"/>
      <c r="W580" s="150"/>
      <c r="X580" s="150"/>
      <c r="Y580" s="150"/>
      <c r="Z580" s="150"/>
    </row>
    <row r="581">
      <c r="A581" s="150"/>
      <c r="B581" s="155"/>
      <c r="C581" s="155"/>
      <c r="D581" s="155"/>
      <c r="E581" s="155"/>
      <c r="F581" s="150"/>
      <c r="G581" s="150"/>
      <c r="H581" s="150"/>
      <c r="I581" s="150"/>
      <c r="J581" s="150"/>
      <c r="K581" s="150"/>
      <c r="L581" s="150"/>
      <c r="M581" s="150"/>
      <c r="N581" s="150"/>
      <c r="O581" s="150"/>
      <c r="P581" s="150"/>
      <c r="Q581" s="150"/>
      <c r="R581" s="150"/>
      <c r="S581" s="150"/>
      <c r="T581" s="150"/>
      <c r="U581" s="150"/>
      <c r="V581" s="150"/>
      <c r="W581" s="150"/>
      <c r="X581" s="150"/>
      <c r="Y581" s="150"/>
      <c r="Z581" s="150"/>
    </row>
    <row r="582">
      <c r="A582" s="150"/>
      <c r="B582" s="155"/>
      <c r="C582" s="155"/>
      <c r="D582" s="155"/>
      <c r="E582" s="155"/>
      <c r="F582" s="150"/>
      <c r="G582" s="150"/>
      <c r="H582" s="150"/>
      <c r="I582" s="150"/>
      <c r="J582" s="150"/>
      <c r="K582" s="150"/>
      <c r="L582" s="150"/>
      <c r="M582" s="150"/>
      <c r="N582" s="150"/>
      <c r="O582" s="150"/>
      <c r="P582" s="150"/>
      <c r="Q582" s="150"/>
      <c r="R582" s="150"/>
      <c r="S582" s="150"/>
      <c r="T582" s="150"/>
      <c r="U582" s="150"/>
      <c r="V582" s="150"/>
      <c r="W582" s="150"/>
      <c r="X582" s="150"/>
      <c r="Y582" s="150"/>
      <c r="Z582" s="150"/>
    </row>
    <row r="583">
      <c r="A583" s="150"/>
      <c r="B583" s="155"/>
      <c r="C583" s="155"/>
      <c r="D583" s="155"/>
      <c r="E583" s="155"/>
      <c r="F583" s="150"/>
      <c r="G583" s="150"/>
      <c r="H583" s="150"/>
      <c r="I583" s="150"/>
      <c r="J583" s="150"/>
      <c r="K583" s="150"/>
      <c r="L583" s="150"/>
      <c r="M583" s="150"/>
      <c r="N583" s="150"/>
      <c r="O583" s="150"/>
      <c r="P583" s="150"/>
      <c r="Q583" s="150"/>
      <c r="R583" s="150"/>
      <c r="S583" s="150"/>
      <c r="T583" s="150"/>
      <c r="U583" s="150"/>
      <c r="V583" s="150"/>
      <c r="W583" s="150"/>
      <c r="X583" s="150"/>
      <c r="Y583" s="150"/>
      <c r="Z583" s="150"/>
    </row>
    <row r="584">
      <c r="A584" s="150"/>
      <c r="B584" s="155"/>
      <c r="C584" s="155"/>
      <c r="D584" s="155"/>
      <c r="E584" s="155"/>
      <c r="F584" s="150"/>
      <c r="G584" s="150"/>
      <c r="H584" s="150"/>
      <c r="I584" s="150"/>
      <c r="J584" s="150"/>
      <c r="K584" s="150"/>
      <c r="L584" s="150"/>
      <c r="M584" s="150"/>
      <c r="N584" s="150"/>
      <c r="O584" s="150"/>
      <c r="P584" s="150"/>
      <c r="Q584" s="150"/>
      <c r="R584" s="150"/>
      <c r="S584" s="150"/>
      <c r="T584" s="150"/>
      <c r="U584" s="150"/>
      <c r="V584" s="150"/>
      <c r="W584" s="150"/>
      <c r="X584" s="150"/>
      <c r="Y584" s="150"/>
      <c r="Z584" s="150"/>
    </row>
    <row r="585">
      <c r="A585" s="150"/>
      <c r="B585" s="155"/>
      <c r="C585" s="155"/>
      <c r="D585" s="155"/>
      <c r="E585" s="155"/>
      <c r="F585" s="150"/>
      <c r="G585" s="150"/>
      <c r="H585" s="150"/>
      <c r="I585" s="150"/>
      <c r="J585" s="150"/>
      <c r="K585" s="150"/>
      <c r="L585" s="150"/>
      <c r="M585" s="150"/>
      <c r="N585" s="150"/>
      <c r="O585" s="150"/>
      <c r="P585" s="150"/>
      <c r="Q585" s="150"/>
      <c r="R585" s="150"/>
      <c r="S585" s="150"/>
      <c r="T585" s="150"/>
      <c r="U585" s="150"/>
      <c r="V585" s="150"/>
      <c r="W585" s="150"/>
      <c r="X585" s="150"/>
      <c r="Y585" s="150"/>
      <c r="Z585" s="150"/>
    </row>
    <row r="586">
      <c r="A586" s="150"/>
      <c r="B586" s="155"/>
      <c r="C586" s="155"/>
      <c r="D586" s="155"/>
      <c r="E586" s="155"/>
      <c r="F586" s="150"/>
      <c r="G586" s="150"/>
      <c r="H586" s="150"/>
      <c r="I586" s="150"/>
      <c r="J586" s="150"/>
      <c r="K586" s="150"/>
      <c r="L586" s="150"/>
      <c r="M586" s="150"/>
      <c r="N586" s="150"/>
      <c r="O586" s="150"/>
      <c r="P586" s="150"/>
      <c r="Q586" s="150"/>
      <c r="R586" s="150"/>
      <c r="S586" s="150"/>
      <c r="T586" s="150"/>
      <c r="U586" s="150"/>
      <c r="V586" s="150"/>
      <c r="W586" s="150"/>
      <c r="X586" s="150"/>
      <c r="Y586" s="150"/>
      <c r="Z586" s="150"/>
    </row>
    <row r="587">
      <c r="A587" s="150"/>
      <c r="B587" s="155"/>
      <c r="C587" s="155"/>
      <c r="D587" s="155"/>
      <c r="E587" s="155"/>
      <c r="F587" s="150"/>
      <c r="G587" s="150"/>
      <c r="H587" s="150"/>
      <c r="I587" s="150"/>
      <c r="J587" s="150"/>
      <c r="K587" s="150"/>
      <c r="L587" s="150"/>
      <c r="M587" s="150"/>
      <c r="N587" s="150"/>
      <c r="O587" s="150"/>
      <c r="P587" s="150"/>
      <c r="Q587" s="150"/>
      <c r="R587" s="150"/>
      <c r="S587" s="150"/>
      <c r="T587" s="150"/>
      <c r="U587" s="150"/>
      <c r="V587" s="150"/>
      <c r="W587" s="150"/>
      <c r="X587" s="150"/>
      <c r="Y587" s="150"/>
      <c r="Z587" s="150"/>
    </row>
    <row r="588">
      <c r="A588" s="150"/>
      <c r="B588" s="155"/>
      <c r="C588" s="155"/>
      <c r="D588" s="155"/>
      <c r="E588" s="155"/>
      <c r="F588" s="150"/>
      <c r="G588" s="150"/>
      <c r="H588" s="150"/>
      <c r="I588" s="150"/>
      <c r="J588" s="150"/>
      <c r="K588" s="150"/>
      <c r="L588" s="150"/>
      <c r="M588" s="150"/>
      <c r="N588" s="150"/>
      <c r="O588" s="150"/>
      <c r="P588" s="150"/>
      <c r="Q588" s="150"/>
      <c r="R588" s="150"/>
      <c r="S588" s="150"/>
      <c r="T588" s="150"/>
      <c r="U588" s="150"/>
      <c r="V588" s="150"/>
      <c r="W588" s="150"/>
      <c r="X588" s="150"/>
      <c r="Y588" s="150"/>
      <c r="Z588" s="150"/>
    </row>
    <row r="589">
      <c r="A589" s="150"/>
      <c r="B589" s="155"/>
      <c r="C589" s="155"/>
      <c r="D589" s="155"/>
      <c r="E589" s="155"/>
      <c r="F589" s="150"/>
      <c r="G589" s="150"/>
      <c r="H589" s="150"/>
      <c r="I589" s="150"/>
      <c r="J589" s="150"/>
      <c r="K589" s="150"/>
      <c r="L589" s="150"/>
      <c r="M589" s="150"/>
      <c r="N589" s="150"/>
      <c r="O589" s="150"/>
      <c r="P589" s="150"/>
      <c r="Q589" s="150"/>
      <c r="R589" s="150"/>
      <c r="S589" s="150"/>
      <c r="T589" s="150"/>
      <c r="U589" s="150"/>
      <c r="V589" s="150"/>
      <c r="W589" s="150"/>
      <c r="X589" s="150"/>
      <c r="Y589" s="150"/>
      <c r="Z589" s="150"/>
    </row>
    <row r="590">
      <c r="A590" s="150"/>
      <c r="B590" s="155"/>
      <c r="C590" s="155"/>
      <c r="D590" s="155"/>
      <c r="E590" s="155"/>
      <c r="F590" s="150"/>
      <c r="G590" s="150"/>
      <c r="H590" s="150"/>
      <c r="I590" s="150"/>
      <c r="J590" s="150"/>
      <c r="K590" s="150"/>
      <c r="L590" s="150"/>
      <c r="M590" s="150"/>
      <c r="N590" s="150"/>
      <c r="O590" s="150"/>
      <c r="P590" s="150"/>
      <c r="Q590" s="150"/>
      <c r="R590" s="150"/>
      <c r="S590" s="150"/>
      <c r="T590" s="150"/>
      <c r="U590" s="150"/>
      <c r="V590" s="150"/>
      <c r="W590" s="150"/>
      <c r="X590" s="150"/>
      <c r="Y590" s="150"/>
      <c r="Z590" s="150"/>
    </row>
    <row r="591">
      <c r="A591" s="150"/>
      <c r="B591" s="155"/>
      <c r="C591" s="155"/>
      <c r="D591" s="155"/>
      <c r="E591" s="155"/>
      <c r="F591" s="150"/>
      <c r="G591" s="150"/>
      <c r="H591" s="150"/>
      <c r="I591" s="150"/>
      <c r="J591" s="150"/>
      <c r="K591" s="150"/>
      <c r="L591" s="150"/>
      <c r="M591" s="150"/>
      <c r="N591" s="150"/>
      <c r="O591" s="150"/>
      <c r="P591" s="150"/>
      <c r="Q591" s="150"/>
      <c r="R591" s="150"/>
      <c r="S591" s="150"/>
      <c r="T591" s="150"/>
      <c r="U591" s="150"/>
      <c r="V591" s="150"/>
      <c r="W591" s="150"/>
      <c r="X591" s="150"/>
      <c r="Y591" s="150"/>
      <c r="Z591" s="150"/>
    </row>
    <row r="592">
      <c r="A592" s="150"/>
      <c r="B592" s="155"/>
      <c r="C592" s="155"/>
      <c r="D592" s="155"/>
      <c r="E592" s="155"/>
      <c r="F592" s="150"/>
      <c r="G592" s="150"/>
      <c r="H592" s="150"/>
      <c r="I592" s="150"/>
      <c r="J592" s="150"/>
      <c r="K592" s="150"/>
      <c r="L592" s="150"/>
      <c r="M592" s="150"/>
      <c r="N592" s="150"/>
      <c r="O592" s="150"/>
      <c r="P592" s="150"/>
      <c r="Q592" s="150"/>
      <c r="R592" s="150"/>
      <c r="S592" s="150"/>
      <c r="T592" s="150"/>
      <c r="U592" s="150"/>
      <c r="V592" s="150"/>
      <c r="W592" s="150"/>
      <c r="X592" s="150"/>
      <c r="Y592" s="150"/>
      <c r="Z592" s="150"/>
    </row>
    <row r="593">
      <c r="A593" s="150"/>
      <c r="B593" s="155"/>
      <c r="C593" s="155"/>
      <c r="D593" s="155"/>
      <c r="E593" s="155"/>
      <c r="F593" s="150"/>
      <c r="G593" s="150"/>
      <c r="H593" s="150"/>
      <c r="I593" s="150"/>
      <c r="J593" s="150"/>
      <c r="K593" s="150"/>
      <c r="L593" s="150"/>
      <c r="M593" s="150"/>
      <c r="N593" s="150"/>
      <c r="O593" s="150"/>
      <c r="P593" s="150"/>
      <c r="Q593" s="150"/>
      <c r="R593" s="150"/>
      <c r="S593" s="150"/>
      <c r="T593" s="150"/>
      <c r="U593" s="150"/>
      <c r="V593" s="150"/>
      <c r="W593" s="150"/>
      <c r="X593" s="150"/>
      <c r="Y593" s="150"/>
      <c r="Z593" s="150"/>
    </row>
    <row r="594">
      <c r="A594" s="150"/>
      <c r="B594" s="155"/>
      <c r="C594" s="155"/>
      <c r="D594" s="155"/>
      <c r="E594" s="155"/>
      <c r="F594" s="150"/>
      <c r="G594" s="150"/>
      <c r="H594" s="150"/>
      <c r="I594" s="150"/>
      <c r="J594" s="150"/>
      <c r="K594" s="150"/>
      <c r="L594" s="150"/>
      <c r="M594" s="150"/>
      <c r="N594" s="150"/>
      <c r="O594" s="150"/>
      <c r="P594" s="150"/>
      <c r="Q594" s="150"/>
      <c r="R594" s="150"/>
      <c r="S594" s="150"/>
      <c r="T594" s="150"/>
      <c r="U594" s="150"/>
      <c r="V594" s="150"/>
      <c r="W594" s="150"/>
      <c r="X594" s="150"/>
      <c r="Y594" s="150"/>
      <c r="Z594" s="150"/>
    </row>
    <row r="595">
      <c r="A595" s="150"/>
      <c r="B595" s="155"/>
      <c r="C595" s="155"/>
      <c r="D595" s="155"/>
      <c r="E595" s="155"/>
      <c r="F595" s="150"/>
      <c r="G595" s="150"/>
      <c r="H595" s="150"/>
      <c r="I595" s="150"/>
      <c r="J595" s="150"/>
      <c r="K595" s="150"/>
      <c r="L595" s="150"/>
      <c r="M595" s="150"/>
      <c r="N595" s="150"/>
      <c r="O595" s="150"/>
      <c r="P595" s="150"/>
      <c r="Q595" s="150"/>
      <c r="R595" s="150"/>
      <c r="S595" s="150"/>
      <c r="T595" s="150"/>
      <c r="U595" s="150"/>
      <c r="V595" s="150"/>
      <c r="W595" s="150"/>
      <c r="X595" s="150"/>
      <c r="Y595" s="150"/>
      <c r="Z595" s="150"/>
    </row>
    <row r="596">
      <c r="A596" s="150"/>
      <c r="B596" s="155"/>
      <c r="C596" s="155"/>
      <c r="D596" s="155"/>
      <c r="E596" s="155"/>
      <c r="F596" s="150"/>
      <c r="G596" s="150"/>
      <c r="H596" s="150"/>
      <c r="I596" s="150"/>
      <c r="J596" s="150"/>
      <c r="K596" s="150"/>
      <c r="L596" s="150"/>
      <c r="M596" s="150"/>
      <c r="N596" s="150"/>
      <c r="O596" s="150"/>
      <c r="P596" s="150"/>
      <c r="Q596" s="150"/>
      <c r="R596" s="150"/>
      <c r="S596" s="150"/>
      <c r="T596" s="150"/>
      <c r="U596" s="150"/>
      <c r="V596" s="150"/>
      <c r="W596" s="150"/>
      <c r="X596" s="150"/>
      <c r="Y596" s="150"/>
      <c r="Z596" s="150"/>
    </row>
    <row r="597">
      <c r="A597" s="150"/>
      <c r="B597" s="155"/>
      <c r="C597" s="155"/>
      <c r="D597" s="155"/>
      <c r="E597" s="155"/>
      <c r="F597" s="150"/>
      <c r="G597" s="150"/>
      <c r="H597" s="150"/>
      <c r="I597" s="150"/>
      <c r="J597" s="150"/>
      <c r="K597" s="150"/>
      <c r="L597" s="150"/>
      <c r="M597" s="150"/>
      <c r="N597" s="150"/>
      <c r="O597" s="150"/>
      <c r="P597" s="150"/>
      <c r="Q597" s="150"/>
      <c r="R597" s="150"/>
      <c r="S597" s="150"/>
      <c r="T597" s="150"/>
      <c r="U597" s="150"/>
      <c r="V597" s="150"/>
      <c r="W597" s="150"/>
      <c r="X597" s="150"/>
      <c r="Y597" s="150"/>
      <c r="Z597" s="150"/>
    </row>
    <row r="598">
      <c r="A598" s="150"/>
      <c r="B598" s="155"/>
      <c r="C598" s="155"/>
      <c r="D598" s="155"/>
      <c r="E598" s="155"/>
      <c r="F598" s="150"/>
      <c r="G598" s="150"/>
      <c r="H598" s="150"/>
      <c r="I598" s="150"/>
      <c r="J598" s="150"/>
      <c r="K598" s="150"/>
      <c r="L598" s="150"/>
      <c r="M598" s="150"/>
      <c r="N598" s="150"/>
      <c r="O598" s="150"/>
      <c r="P598" s="150"/>
      <c r="Q598" s="150"/>
      <c r="R598" s="150"/>
      <c r="S598" s="150"/>
      <c r="T598" s="150"/>
      <c r="U598" s="150"/>
      <c r="V598" s="150"/>
      <c r="W598" s="150"/>
      <c r="X598" s="150"/>
      <c r="Y598" s="150"/>
      <c r="Z598" s="150"/>
    </row>
    <row r="599">
      <c r="A599" s="150"/>
      <c r="B599" s="155"/>
      <c r="C599" s="155"/>
      <c r="D599" s="155"/>
      <c r="E599" s="155"/>
      <c r="F599" s="150"/>
      <c r="G599" s="150"/>
      <c r="H599" s="150"/>
      <c r="I599" s="150"/>
      <c r="J599" s="150"/>
      <c r="K599" s="150"/>
      <c r="L599" s="150"/>
      <c r="M599" s="150"/>
      <c r="N599" s="150"/>
      <c r="O599" s="150"/>
      <c r="P599" s="150"/>
      <c r="Q599" s="150"/>
      <c r="R599" s="150"/>
      <c r="S599" s="150"/>
      <c r="T599" s="150"/>
      <c r="U599" s="150"/>
      <c r="V599" s="150"/>
      <c r="W599" s="150"/>
      <c r="X599" s="150"/>
      <c r="Y599" s="150"/>
      <c r="Z599" s="150"/>
    </row>
    <row r="600">
      <c r="A600" s="150"/>
      <c r="B600" s="155"/>
      <c r="C600" s="155"/>
      <c r="D600" s="155"/>
      <c r="E600" s="155"/>
      <c r="F600" s="150"/>
      <c r="G600" s="150"/>
      <c r="H600" s="150"/>
      <c r="I600" s="150"/>
      <c r="J600" s="150"/>
      <c r="K600" s="150"/>
      <c r="L600" s="150"/>
      <c r="M600" s="150"/>
      <c r="N600" s="150"/>
      <c r="O600" s="150"/>
      <c r="P600" s="150"/>
      <c r="Q600" s="150"/>
      <c r="R600" s="150"/>
      <c r="S600" s="150"/>
      <c r="T600" s="150"/>
      <c r="U600" s="150"/>
      <c r="V600" s="150"/>
      <c r="W600" s="150"/>
      <c r="X600" s="150"/>
      <c r="Y600" s="150"/>
      <c r="Z600" s="150"/>
    </row>
    <row r="601">
      <c r="A601" s="150"/>
      <c r="B601" s="155"/>
      <c r="C601" s="155"/>
      <c r="D601" s="155"/>
      <c r="E601" s="155"/>
      <c r="F601" s="150"/>
      <c r="G601" s="150"/>
      <c r="H601" s="150"/>
      <c r="I601" s="150"/>
      <c r="J601" s="150"/>
      <c r="K601" s="150"/>
      <c r="L601" s="150"/>
      <c r="M601" s="150"/>
      <c r="N601" s="150"/>
      <c r="O601" s="150"/>
      <c r="P601" s="150"/>
      <c r="Q601" s="150"/>
      <c r="R601" s="150"/>
      <c r="S601" s="150"/>
      <c r="T601" s="150"/>
      <c r="U601" s="150"/>
      <c r="V601" s="150"/>
      <c r="W601" s="150"/>
      <c r="X601" s="150"/>
      <c r="Y601" s="150"/>
      <c r="Z601" s="150"/>
    </row>
    <row r="602">
      <c r="A602" s="150"/>
      <c r="B602" s="155"/>
      <c r="C602" s="155"/>
      <c r="D602" s="155"/>
      <c r="E602" s="155"/>
      <c r="F602" s="150"/>
      <c r="G602" s="150"/>
      <c r="H602" s="150"/>
      <c r="I602" s="150"/>
      <c r="J602" s="150"/>
      <c r="K602" s="150"/>
      <c r="L602" s="150"/>
      <c r="M602" s="150"/>
      <c r="N602" s="150"/>
      <c r="O602" s="150"/>
      <c r="P602" s="150"/>
      <c r="Q602" s="150"/>
      <c r="R602" s="150"/>
      <c r="S602" s="150"/>
      <c r="T602" s="150"/>
      <c r="U602" s="150"/>
      <c r="V602" s="150"/>
      <c r="W602" s="150"/>
      <c r="X602" s="150"/>
      <c r="Y602" s="150"/>
      <c r="Z602" s="150"/>
    </row>
    <row r="603">
      <c r="A603" s="150"/>
      <c r="B603" s="155"/>
      <c r="C603" s="155"/>
      <c r="D603" s="155"/>
      <c r="E603" s="155"/>
      <c r="F603" s="150"/>
      <c r="G603" s="150"/>
      <c r="H603" s="150"/>
      <c r="I603" s="150"/>
      <c r="J603" s="150"/>
      <c r="K603" s="150"/>
      <c r="L603" s="150"/>
      <c r="M603" s="150"/>
      <c r="N603" s="150"/>
      <c r="O603" s="150"/>
      <c r="P603" s="150"/>
      <c r="Q603" s="150"/>
      <c r="R603" s="150"/>
      <c r="S603" s="150"/>
      <c r="T603" s="150"/>
      <c r="U603" s="150"/>
      <c r="V603" s="150"/>
      <c r="W603" s="150"/>
      <c r="X603" s="150"/>
      <c r="Y603" s="150"/>
      <c r="Z603" s="150"/>
    </row>
    <row r="604">
      <c r="A604" s="150"/>
      <c r="B604" s="155"/>
      <c r="C604" s="155"/>
      <c r="D604" s="155"/>
      <c r="E604" s="155"/>
      <c r="F604" s="150"/>
      <c r="G604" s="150"/>
      <c r="H604" s="150"/>
      <c r="I604" s="150"/>
      <c r="J604" s="150"/>
      <c r="K604" s="150"/>
      <c r="L604" s="150"/>
      <c r="M604" s="150"/>
      <c r="N604" s="150"/>
      <c r="O604" s="150"/>
      <c r="P604" s="150"/>
      <c r="Q604" s="150"/>
      <c r="R604" s="150"/>
      <c r="S604" s="150"/>
      <c r="T604" s="150"/>
      <c r="U604" s="150"/>
      <c r="V604" s="150"/>
      <c r="W604" s="150"/>
      <c r="X604" s="150"/>
      <c r="Y604" s="150"/>
      <c r="Z604" s="150"/>
    </row>
    <row r="605">
      <c r="A605" s="150"/>
      <c r="B605" s="155"/>
      <c r="C605" s="155"/>
      <c r="D605" s="155"/>
      <c r="E605" s="155"/>
      <c r="F605" s="150"/>
      <c r="G605" s="150"/>
      <c r="H605" s="150"/>
      <c r="I605" s="150"/>
      <c r="J605" s="150"/>
      <c r="K605" s="150"/>
      <c r="L605" s="150"/>
      <c r="M605" s="150"/>
      <c r="N605" s="150"/>
      <c r="O605" s="150"/>
      <c r="P605" s="150"/>
      <c r="Q605" s="150"/>
      <c r="R605" s="150"/>
      <c r="S605" s="150"/>
      <c r="T605" s="150"/>
      <c r="U605" s="150"/>
      <c r="V605" s="150"/>
      <c r="W605" s="150"/>
      <c r="X605" s="150"/>
      <c r="Y605" s="150"/>
      <c r="Z605" s="150"/>
    </row>
    <row r="606">
      <c r="A606" s="150"/>
      <c r="B606" s="155"/>
      <c r="C606" s="155"/>
      <c r="D606" s="155"/>
      <c r="E606" s="155"/>
      <c r="F606" s="150"/>
      <c r="G606" s="150"/>
      <c r="H606" s="150"/>
      <c r="I606" s="150"/>
      <c r="J606" s="150"/>
      <c r="K606" s="150"/>
      <c r="L606" s="150"/>
      <c r="M606" s="150"/>
      <c r="N606" s="150"/>
      <c r="O606" s="150"/>
      <c r="P606" s="150"/>
      <c r="Q606" s="150"/>
      <c r="R606" s="150"/>
      <c r="S606" s="150"/>
      <c r="T606" s="150"/>
      <c r="U606" s="150"/>
      <c r="V606" s="150"/>
      <c r="W606" s="150"/>
      <c r="X606" s="150"/>
      <c r="Y606" s="150"/>
      <c r="Z606" s="150"/>
    </row>
    <row r="607">
      <c r="A607" s="150"/>
      <c r="B607" s="155"/>
      <c r="C607" s="155"/>
      <c r="D607" s="155"/>
      <c r="E607" s="155"/>
      <c r="F607" s="150"/>
      <c r="G607" s="150"/>
      <c r="H607" s="150"/>
      <c r="I607" s="150"/>
      <c r="J607" s="150"/>
      <c r="K607" s="150"/>
      <c r="L607" s="150"/>
      <c r="M607" s="150"/>
      <c r="N607" s="150"/>
      <c r="O607" s="150"/>
      <c r="P607" s="150"/>
      <c r="Q607" s="150"/>
      <c r="R607" s="150"/>
      <c r="S607" s="150"/>
      <c r="T607" s="150"/>
      <c r="U607" s="150"/>
      <c r="V607" s="150"/>
      <c r="W607" s="150"/>
      <c r="X607" s="150"/>
      <c r="Y607" s="150"/>
      <c r="Z607" s="150"/>
    </row>
    <row r="608">
      <c r="A608" s="150"/>
      <c r="B608" s="155"/>
      <c r="C608" s="155"/>
      <c r="D608" s="155"/>
      <c r="E608" s="155"/>
      <c r="F608" s="150"/>
      <c r="G608" s="150"/>
      <c r="H608" s="150"/>
      <c r="I608" s="150"/>
      <c r="J608" s="150"/>
      <c r="K608" s="150"/>
      <c r="L608" s="150"/>
      <c r="M608" s="150"/>
      <c r="N608" s="150"/>
      <c r="O608" s="150"/>
      <c r="P608" s="150"/>
      <c r="Q608" s="150"/>
      <c r="R608" s="150"/>
      <c r="S608" s="150"/>
      <c r="T608" s="150"/>
      <c r="U608" s="150"/>
      <c r="V608" s="150"/>
      <c r="W608" s="150"/>
      <c r="X608" s="150"/>
      <c r="Y608" s="150"/>
      <c r="Z608" s="150"/>
    </row>
    <row r="609">
      <c r="A609" s="150"/>
      <c r="B609" s="155"/>
      <c r="C609" s="155"/>
      <c r="D609" s="155"/>
      <c r="E609" s="155"/>
      <c r="F609" s="150"/>
      <c r="G609" s="150"/>
      <c r="H609" s="150"/>
      <c r="I609" s="150"/>
      <c r="J609" s="150"/>
      <c r="K609" s="150"/>
      <c r="L609" s="150"/>
      <c r="M609" s="150"/>
      <c r="N609" s="150"/>
      <c r="O609" s="150"/>
      <c r="P609" s="150"/>
      <c r="Q609" s="150"/>
      <c r="R609" s="150"/>
      <c r="S609" s="150"/>
      <c r="T609" s="150"/>
      <c r="U609" s="150"/>
      <c r="V609" s="150"/>
      <c r="W609" s="150"/>
      <c r="X609" s="150"/>
      <c r="Y609" s="150"/>
      <c r="Z609" s="150"/>
    </row>
    <row r="610">
      <c r="A610" s="150"/>
      <c r="B610" s="155"/>
      <c r="C610" s="155"/>
      <c r="D610" s="155"/>
      <c r="E610" s="155"/>
      <c r="F610" s="150"/>
      <c r="G610" s="150"/>
      <c r="H610" s="150"/>
      <c r="I610" s="150"/>
      <c r="J610" s="150"/>
      <c r="K610" s="150"/>
      <c r="L610" s="150"/>
      <c r="M610" s="150"/>
      <c r="N610" s="150"/>
      <c r="O610" s="150"/>
      <c r="P610" s="150"/>
      <c r="Q610" s="150"/>
      <c r="R610" s="150"/>
      <c r="S610" s="150"/>
      <c r="T610" s="150"/>
      <c r="U610" s="150"/>
      <c r="V610" s="150"/>
      <c r="W610" s="150"/>
      <c r="X610" s="150"/>
      <c r="Y610" s="150"/>
      <c r="Z610" s="150"/>
    </row>
    <row r="611">
      <c r="A611" s="150"/>
      <c r="B611" s="155"/>
      <c r="C611" s="155"/>
      <c r="D611" s="155"/>
      <c r="E611" s="155"/>
      <c r="F611" s="150"/>
      <c r="G611" s="150"/>
      <c r="H611" s="150"/>
      <c r="I611" s="150"/>
      <c r="J611" s="150"/>
      <c r="K611" s="150"/>
      <c r="L611" s="150"/>
      <c r="M611" s="150"/>
      <c r="N611" s="150"/>
      <c r="O611" s="150"/>
      <c r="P611" s="150"/>
      <c r="Q611" s="150"/>
      <c r="R611" s="150"/>
      <c r="S611" s="150"/>
      <c r="T611" s="150"/>
      <c r="U611" s="150"/>
      <c r="V611" s="150"/>
      <c r="W611" s="150"/>
      <c r="X611" s="150"/>
      <c r="Y611" s="150"/>
      <c r="Z611" s="150"/>
    </row>
    <row r="612">
      <c r="A612" s="150"/>
      <c r="B612" s="155"/>
      <c r="C612" s="155"/>
      <c r="D612" s="155"/>
      <c r="E612" s="155"/>
      <c r="F612" s="150"/>
      <c r="G612" s="150"/>
      <c r="H612" s="150"/>
      <c r="I612" s="150"/>
      <c r="J612" s="150"/>
      <c r="K612" s="150"/>
      <c r="L612" s="150"/>
      <c r="M612" s="150"/>
      <c r="N612" s="150"/>
      <c r="O612" s="150"/>
      <c r="P612" s="150"/>
      <c r="Q612" s="150"/>
      <c r="R612" s="150"/>
      <c r="S612" s="150"/>
      <c r="T612" s="150"/>
      <c r="U612" s="150"/>
      <c r="V612" s="150"/>
      <c r="W612" s="150"/>
      <c r="X612" s="150"/>
      <c r="Y612" s="150"/>
      <c r="Z612" s="150"/>
    </row>
    <row r="613">
      <c r="A613" s="150"/>
      <c r="B613" s="155"/>
      <c r="C613" s="155"/>
      <c r="D613" s="155"/>
      <c r="E613" s="155"/>
      <c r="F613" s="150"/>
      <c r="G613" s="150"/>
      <c r="H613" s="150"/>
      <c r="I613" s="150"/>
      <c r="J613" s="150"/>
      <c r="K613" s="150"/>
      <c r="L613" s="150"/>
      <c r="M613" s="150"/>
      <c r="N613" s="150"/>
      <c r="O613" s="150"/>
      <c r="P613" s="150"/>
      <c r="Q613" s="150"/>
      <c r="R613" s="150"/>
      <c r="S613" s="150"/>
      <c r="T613" s="150"/>
      <c r="U613" s="150"/>
      <c r="V613" s="150"/>
      <c r="W613" s="150"/>
      <c r="X613" s="150"/>
      <c r="Y613" s="150"/>
      <c r="Z613" s="150"/>
    </row>
    <row r="614">
      <c r="A614" s="150"/>
      <c r="B614" s="155"/>
      <c r="C614" s="155"/>
      <c r="D614" s="155"/>
      <c r="E614" s="155"/>
      <c r="F614" s="150"/>
      <c r="G614" s="150"/>
      <c r="H614" s="150"/>
      <c r="I614" s="150"/>
      <c r="J614" s="150"/>
      <c r="K614" s="150"/>
      <c r="L614" s="150"/>
      <c r="M614" s="150"/>
      <c r="N614" s="150"/>
      <c r="O614" s="150"/>
      <c r="P614" s="150"/>
      <c r="Q614" s="150"/>
      <c r="R614" s="150"/>
      <c r="S614" s="150"/>
      <c r="T614" s="150"/>
      <c r="U614" s="150"/>
      <c r="V614" s="150"/>
      <c r="W614" s="150"/>
      <c r="X614" s="150"/>
      <c r="Y614" s="150"/>
      <c r="Z614" s="150"/>
    </row>
    <row r="615">
      <c r="A615" s="150"/>
      <c r="B615" s="155"/>
      <c r="C615" s="155"/>
      <c r="D615" s="155"/>
      <c r="E615" s="155"/>
      <c r="F615" s="150"/>
      <c r="G615" s="150"/>
      <c r="H615" s="150"/>
      <c r="I615" s="150"/>
      <c r="J615" s="150"/>
      <c r="K615" s="150"/>
      <c r="L615" s="150"/>
      <c r="M615" s="150"/>
      <c r="N615" s="150"/>
      <c r="O615" s="150"/>
      <c r="P615" s="150"/>
      <c r="Q615" s="150"/>
      <c r="R615" s="150"/>
      <c r="S615" s="150"/>
      <c r="T615" s="150"/>
      <c r="U615" s="150"/>
      <c r="V615" s="150"/>
      <c r="W615" s="150"/>
      <c r="X615" s="150"/>
      <c r="Y615" s="150"/>
      <c r="Z615" s="150"/>
    </row>
    <row r="616">
      <c r="A616" s="150"/>
      <c r="B616" s="155"/>
      <c r="C616" s="155"/>
      <c r="D616" s="155"/>
      <c r="E616" s="155"/>
      <c r="F616" s="150"/>
      <c r="G616" s="150"/>
      <c r="H616" s="150"/>
      <c r="I616" s="150"/>
      <c r="J616" s="150"/>
      <c r="K616" s="150"/>
      <c r="L616" s="150"/>
      <c r="M616" s="150"/>
      <c r="N616" s="150"/>
      <c r="O616" s="150"/>
      <c r="P616" s="150"/>
      <c r="Q616" s="150"/>
      <c r="R616" s="150"/>
      <c r="S616" s="150"/>
      <c r="T616" s="150"/>
      <c r="U616" s="150"/>
      <c r="V616" s="150"/>
      <c r="W616" s="150"/>
      <c r="X616" s="150"/>
      <c r="Y616" s="150"/>
      <c r="Z616" s="150"/>
    </row>
    <row r="617">
      <c r="A617" s="150"/>
      <c r="B617" s="155"/>
      <c r="C617" s="155"/>
      <c r="D617" s="155"/>
      <c r="E617" s="155"/>
      <c r="F617" s="150"/>
      <c r="G617" s="150"/>
      <c r="H617" s="150"/>
      <c r="I617" s="150"/>
      <c r="J617" s="150"/>
      <c r="K617" s="150"/>
      <c r="L617" s="150"/>
      <c r="M617" s="150"/>
      <c r="N617" s="150"/>
      <c r="O617" s="150"/>
      <c r="P617" s="150"/>
      <c r="Q617" s="150"/>
      <c r="R617" s="150"/>
      <c r="S617" s="150"/>
      <c r="T617" s="150"/>
      <c r="U617" s="150"/>
      <c r="V617" s="150"/>
      <c r="W617" s="150"/>
      <c r="X617" s="150"/>
      <c r="Y617" s="150"/>
      <c r="Z617" s="150"/>
    </row>
    <row r="618">
      <c r="A618" s="150"/>
      <c r="B618" s="155"/>
      <c r="C618" s="155"/>
      <c r="D618" s="155"/>
      <c r="E618" s="155"/>
      <c r="F618" s="150"/>
      <c r="G618" s="150"/>
      <c r="H618" s="150"/>
      <c r="I618" s="150"/>
      <c r="J618" s="150"/>
      <c r="K618" s="150"/>
      <c r="L618" s="150"/>
      <c r="M618" s="150"/>
      <c r="N618" s="150"/>
      <c r="O618" s="150"/>
      <c r="P618" s="150"/>
      <c r="Q618" s="150"/>
      <c r="R618" s="150"/>
      <c r="S618" s="150"/>
      <c r="T618" s="150"/>
      <c r="U618" s="150"/>
      <c r="V618" s="150"/>
      <c r="W618" s="150"/>
      <c r="X618" s="150"/>
      <c r="Y618" s="150"/>
      <c r="Z618" s="150"/>
    </row>
    <row r="619">
      <c r="A619" s="150"/>
      <c r="B619" s="155"/>
      <c r="C619" s="155"/>
      <c r="D619" s="155"/>
      <c r="E619" s="155"/>
      <c r="F619" s="150"/>
      <c r="G619" s="150"/>
      <c r="H619" s="150"/>
      <c r="I619" s="150"/>
      <c r="J619" s="150"/>
      <c r="K619" s="150"/>
      <c r="L619" s="150"/>
      <c r="M619" s="150"/>
      <c r="N619" s="150"/>
      <c r="O619" s="150"/>
      <c r="P619" s="150"/>
      <c r="Q619" s="150"/>
      <c r="R619" s="150"/>
      <c r="S619" s="150"/>
      <c r="T619" s="150"/>
      <c r="U619" s="150"/>
      <c r="V619" s="150"/>
      <c r="W619" s="150"/>
      <c r="X619" s="150"/>
      <c r="Y619" s="150"/>
      <c r="Z619" s="150"/>
    </row>
    <row r="620">
      <c r="A620" s="150"/>
      <c r="B620" s="155"/>
      <c r="C620" s="155"/>
      <c r="D620" s="155"/>
      <c r="E620" s="155"/>
      <c r="F620" s="150"/>
      <c r="G620" s="150"/>
      <c r="H620" s="150"/>
      <c r="I620" s="150"/>
      <c r="J620" s="150"/>
      <c r="K620" s="150"/>
      <c r="L620" s="150"/>
      <c r="M620" s="150"/>
      <c r="N620" s="150"/>
      <c r="O620" s="150"/>
      <c r="P620" s="150"/>
      <c r="Q620" s="150"/>
      <c r="R620" s="150"/>
      <c r="S620" s="150"/>
      <c r="T620" s="150"/>
      <c r="U620" s="150"/>
      <c r="V620" s="150"/>
      <c r="W620" s="150"/>
      <c r="X620" s="150"/>
      <c r="Y620" s="150"/>
      <c r="Z620" s="150"/>
    </row>
    <row r="621">
      <c r="A621" s="150"/>
      <c r="B621" s="155"/>
      <c r="C621" s="155"/>
      <c r="D621" s="155"/>
      <c r="E621" s="155"/>
      <c r="F621" s="150"/>
      <c r="G621" s="150"/>
      <c r="H621" s="150"/>
      <c r="I621" s="150"/>
      <c r="J621" s="150"/>
      <c r="K621" s="150"/>
      <c r="L621" s="150"/>
      <c r="M621" s="150"/>
      <c r="N621" s="150"/>
      <c r="O621" s="150"/>
      <c r="P621" s="150"/>
      <c r="Q621" s="150"/>
      <c r="R621" s="150"/>
      <c r="S621" s="150"/>
      <c r="T621" s="150"/>
      <c r="U621" s="150"/>
      <c r="V621" s="150"/>
      <c r="W621" s="150"/>
      <c r="X621" s="150"/>
      <c r="Y621" s="150"/>
      <c r="Z621" s="150"/>
    </row>
    <row r="622">
      <c r="A622" s="150"/>
      <c r="B622" s="155"/>
      <c r="C622" s="155"/>
      <c r="D622" s="155"/>
      <c r="E622" s="155"/>
      <c r="F622" s="150"/>
      <c r="G622" s="150"/>
      <c r="H622" s="150"/>
      <c r="I622" s="150"/>
      <c r="J622" s="150"/>
      <c r="K622" s="150"/>
      <c r="L622" s="150"/>
      <c r="M622" s="150"/>
      <c r="N622" s="150"/>
      <c r="O622" s="150"/>
      <c r="P622" s="150"/>
      <c r="Q622" s="150"/>
      <c r="R622" s="150"/>
      <c r="S622" s="150"/>
      <c r="T622" s="150"/>
      <c r="U622" s="150"/>
      <c r="V622" s="150"/>
      <c r="W622" s="150"/>
      <c r="X622" s="150"/>
      <c r="Y622" s="150"/>
      <c r="Z622" s="150"/>
    </row>
    <row r="623">
      <c r="A623" s="150"/>
      <c r="B623" s="155"/>
      <c r="C623" s="155"/>
      <c r="D623" s="155"/>
      <c r="E623" s="155"/>
      <c r="F623" s="150"/>
      <c r="G623" s="150"/>
      <c r="H623" s="150"/>
      <c r="I623" s="150"/>
      <c r="J623" s="150"/>
      <c r="K623" s="150"/>
      <c r="L623" s="150"/>
      <c r="M623" s="150"/>
      <c r="N623" s="150"/>
      <c r="O623" s="150"/>
      <c r="P623" s="150"/>
      <c r="Q623" s="150"/>
      <c r="R623" s="150"/>
      <c r="S623" s="150"/>
      <c r="T623" s="150"/>
      <c r="U623" s="150"/>
      <c r="V623" s="150"/>
      <c r="W623" s="150"/>
      <c r="X623" s="150"/>
      <c r="Y623" s="150"/>
      <c r="Z623" s="150"/>
    </row>
    <row r="624">
      <c r="A624" s="150"/>
      <c r="B624" s="155"/>
      <c r="C624" s="155"/>
      <c r="D624" s="155"/>
      <c r="E624" s="155"/>
      <c r="F624" s="150"/>
      <c r="G624" s="150"/>
      <c r="H624" s="150"/>
      <c r="I624" s="150"/>
      <c r="J624" s="150"/>
      <c r="K624" s="150"/>
      <c r="L624" s="150"/>
      <c r="M624" s="150"/>
      <c r="N624" s="150"/>
      <c r="O624" s="150"/>
      <c r="P624" s="150"/>
      <c r="Q624" s="150"/>
      <c r="R624" s="150"/>
      <c r="S624" s="150"/>
      <c r="T624" s="150"/>
      <c r="U624" s="150"/>
      <c r="V624" s="150"/>
      <c r="W624" s="150"/>
      <c r="X624" s="150"/>
      <c r="Y624" s="150"/>
      <c r="Z624" s="150"/>
    </row>
    <row r="625">
      <c r="A625" s="150"/>
      <c r="B625" s="155"/>
      <c r="C625" s="155"/>
      <c r="D625" s="155"/>
      <c r="E625" s="155"/>
      <c r="F625" s="150"/>
      <c r="G625" s="150"/>
      <c r="H625" s="150"/>
      <c r="I625" s="150"/>
      <c r="J625" s="150"/>
      <c r="K625" s="150"/>
      <c r="L625" s="150"/>
      <c r="M625" s="150"/>
      <c r="N625" s="150"/>
      <c r="O625" s="150"/>
      <c r="P625" s="150"/>
      <c r="Q625" s="150"/>
      <c r="R625" s="150"/>
      <c r="S625" s="150"/>
      <c r="T625" s="150"/>
      <c r="U625" s="150"/>
      <c r="V625" s="150"/>
      <c r="W625" s="150"/>
      <c r="X625" s="150"/>
      <c r="Y625" s="150"/>
      <c r="Z625" s="150"/>
    </row>
    <row r="626">
      <c r="A626" s="150"/>
      <c r="B626" s="155"/>
      <c r="C626" s="155"/>
      <c r="D626" s="155"/>
      <c r="E626" s="155"/>
      <c r="F626" s="150"/>
      <c r="G626" s="150"/>
      <c r="H626" s="150"/>
      <c r="I626" s="150"/>
      <c r="J626" s="150"/>
      <c r="K626" s="150"/>
      <c r="L626" s="150"/>
      <c r="M626" s="150"/>
      <c r="N626" s="150"/>
      <c r="O626" s="150"/>
      <c r="P626" s="150"/>
      <c r="Q626" s="150"/>
      <c r="R626" s="150"/>
      <c r="S626" s="150"/>
      <c r="T626" s="150"/>
      <c r="U626" s="150"/>
      <c r="V626" s="150"/>
      <c r="W626" s="150"/>
      <c r="X626" s="150"/>
      <c r="Y626" s="150"/>
      <c r="Z626" s="150"/>
    </row>
    <row r="627">
      <c r="A627" s="150"/>
      <c r="B627" s="155"/>
      <c r="C627" s="155"/>
      <c r="D627" s="155"/>
      <c r="E627" s="155"/>
      <c r="F627" s="150"/>
      <c r="G627" s="150"/>
      <c r="H627" s="150"/>
      <c r="I627" s="150"/>
      <c r="J627" s="150"/>
      <c r="K627" s="150"/>
      <c r="L627" s="150"/>
      <c r="M627" s="150"/>
      <c r="N627" s="150"/>
      <c r="O627" s="150"/>
      <c r="P627" s="150"/>
      <c r="Q627" s="150"/>
      <c r="R627" s="150"/>
      <c r="S627" s="150"/>
      <c r="T627" s="150"/>
      <c r="U627" s="150"/>
      <c r="V627" s="150"/>
      <c r="W627" s="150"/>
      <c r="X627" s="150"/>
      <c r="Y627" s="150"/>
      <c r="Z627" s="150"/>
    </row>
    <row r="628">
      <c r="A628" s="150"/>
      <c r="B628" s="155"/>
      <c r="C628" s="155"/>
      <c r="D628" s="155"/>
      <c r="E628" s="155"/>
      <c r="F628" s="150"/>
      <c r="G628" s="150"/>
      <c r="H628" s="150"/>
      <c r="I628" s="150"/>
      <c r="J628" s="150"/>
      <c r="K628" s="150"/>
      <c r="L628" s="150"/>
      <c r="M628" s="150"/>
      <c r="N628" s="150"/>
      <c r="O628" s="150"/>
      <c r="P628" s="150"/>
      <c r="Q628" s="150"/>
      <c r="R628" s="150"/>
      <c r="S628" s="150"/>
      <c r="T628" s="150"/>
      <c r="U628" s="150"/>
      <c r="V628" s="150"/>
      <c r="W628" s="150"/>
      <c r="X628" s="150"/>
      <c r="Y628" s="150"/>
      <c r="Z628" s="150"/>
    </row>
    <row r="629">
      <c r="A629" s="150"/>
      <c r="B629" s="155"/>
      <c r="C629" s="155"/>
      <c r="D629" s="155"/>
      <c r="E629" s="155"/>
      <c r="F629" s="150"/>
      <c r="G629" s="150"/>
      <c r="H629" s="150"/>
      <c r="I629" s="150"/>
      <c r="J629" s="150"/>
      <c r="K629" s="150"/>
      <c r="L629" s="150"/>
      <c r="M629" s="150"/>
      <c r="N629" s="150"/>
      <c r="O629" s="150"/>
      <c r="P629" s="150"/>
      <c r="Q629" s="150"/>
      <c r="R629" s="150"/>
      <c r="S629" s="150"/>
      <c r="T629" s="150"/>
      <c r="U629" s="150"/>
      <c r="V629" s="150"/>
      <c r="W629" s="150"/>
      <c r="X629" s="150"/>
      <c r="Y629" s="150"/>
      <c r="Z629" s="150"/>
    </row>
    <row r="630">
      <c r="A630" s="150"/>
      <c r="B630" s="155"/>
      <c r="C630" s="155"/>
      <c r="D630" s="155"/>
      <c r="E630" s="155"/>
      <c r="F630" s="150"/>
      <c r="G630" s="150"/>
      <c r="H630" s="150"/>
      <c r="I630" s="150"/>
      <c r="J630" s="150"/>
      <c r="K630" s="150"/>
      <c r="L630" s="150"/>
      <c r="M630" s="150"/>
      <c r="N630" s="150"/>
      <c r="O630" s="150"/>
      <c r="P630" s="150"/>
      <c r="Q630" s="150"/>
      <c r="R630" s="150"/>
      <c r="S630" s="150"/>
      <c r="T630" s="150"/>
      <c r="U630" s="150"/>
      <c r="V630" s="150"/>
      <c r="W630" s="150"/>
      <c r="X630" s="150"/>
      <c r="Y630" s="150"/>
      <c r="Z630" s="150"/>
    </row>
    <row r="631">
      <c r="A631" s="150"/>
      <c r="B631" s="155"/>
      <c r="C631" s="155"/>
      <c r="D631" s="155"/>
      <c r="E631" s="155"/>
      <c r="F631" s="150"/>
      <c r="G631" s="150"/>
      <c r="H631" s="150"/>
      <c r="I631" s="150"/>
      <c r="J631" s="150"/>
      <c r="K631" s="150"/>
      <c r="L631" s="150"/>
      <c r="M631" s="150"/>
      <c r="N631" s="150"/>
      <c r="O631" s="150"/>
      <c r="P631" s="150"/>
      <c r="Q631" s="150"/>
      <c r="R631" s="150"/>
      <c r="S631" s="150"/>
      <c r="T631" s="150"/>
      <c r="U631" s="150"/>
      <c r="V631" s="150"/>
      <c r="W631" s="150"/>
      <c r="X631" s="150"/>
      <c r="Y631" s="150"/>
      <c r="Z631" s="150"/>
    </row>
    <row r="632">
      <c r="A632" s="150"/>
      <c r="B632" s="155"/>
      <c r="C632" s="155"/>
      <c r="D632" s="155"/>
      <c r="E632" s="155"/>
      <c r="F632" s="150"/>
      <c r="G632" s="150"/>
      <c r="H632" s="150"/>
      <c r="I632" s="150"/>
      <c r="J632" s="150"/>
      <c r="K632" s="150"/>
      <c r="L632" s="150"/>
      <c r="M632" s="150"/>
      <c r="N632" s="150"/>
      <c r="O632" s="150"/>
      <c r="P632" s="150"/>
      <c r="Q632" s="150"/>
      <c r="R632" s="150"/>
      <c r="S632" s="150"/>
      <c r="T632" s="150"/>
      <c r="U632" s="150"/>
      <c r="V632" s="150"/>
      <c r="W632" s="150"/>
      <c r="X632" s="150"/>
      <c r="Y632" s="150"/>
      <c r="Z632" s="150"/>
    </row>
    <row r="633">
      <c r="A633" s="150"/>
      <c r="B633" s="155"/>
      <c r="C633" s="155"/>
      <c r="D633" s="155"/>
      <c r="E633" s="155"/>
      <c r="F633" s="150"/>
      <c r="G633" s="150"/>
      <c r="H633" s="150"/>
      <c r="I633" s="150"/>
      <c r="J633" s="150"/>
      <c r="K633" s="150"/>
      <c r="L633" s="150"/>
      <c r="M633" s="150"/>
      <c r="N633" s="150"/>
      <c r="O633" s="150"/>
      <c r="P633" s="150"/>
      <c r="Q633" s="150"/>
      <c r="R633" s="150"/>
      <c r="S633" s="150"/>
      <c r="T633" s="150"/>
      <c r="U633" s="150"/>
      <c r="V633" s="150"/>
      <c r="W633" s="150"/>
      <c r="X633" s="150"/>
      <c r="Y633" s="150"/>
      <c r="Z633" s="150"/>
    </row>
    <row r="634">
      <c r="A634" s="150"/>
      <c r="B634" s="155"/>
      <c r="C634" s="155"/>
      <c r="D634" s="155"/>
      <c r="E634" s="155"/>
      <c r="F634" s="150"/>
      <c r="G634" s="150"/>
      <c r="H634" s="150"/>
      <c r="I634" s="150"/>
      <c r="J634" s="150"/>
      <c r="K634" s="150"/>
      <c r="L634" s="150"/>
      <c r="M634" s="150"/>
      <c r="N634" s="150"/>
      <c r="O634" s="150"/>
      <c r="P634" s="150"/>
      <c r="Q634" s="150"/>
      <c r="R634" s="150"/>
      <c r="S634" s="150"/>
      <c r="T634" s="150"/>
      <c r="U634" s="150"/>
      <c r="V634" s="150"/>
      <c r="W634" s="150"/>
      <c r="X634" s="150"/>
      <c r="Y634" s="150"/>
      <c r="Z634" s="150"/>
    </row>
    <row r="635">
      <c r="A635" s="150"/>
      <c r="B635" s="155"/>
      <c r="C635" s="155"/>
      <c r="D635" s="155"/>
      <c r="E635" s="155"/>
      <c r="F635" s="150"/>
      <c r="G635" s="150"/>
      <c r="H635" s="150"/>
      <c r="I635" s="150"/>
      <c r="J635" s="150"/>
      <c r="K635" s="150"/>
      <c r="L635" s="150"/>
      <c r="M635" s="150"/>
      <c r="N635" s="150"/>
      <c r="O635" s="150"/>
      <c r="P635" s="150"/>
      <c r="Q635" s="150"/>
      <c r="R635" s="150"/>
      <c r="S635" s="150"/>
      <c r="T635" s="150"/>
      <c r="U635" s="150"/>
      <c r="V635" s="150"/>
      <c r="W635" s="150"/>
      <c r="X635" s="150"/>
      <c r="Y635" s="150"/>
      <c r="Z635" s="150"/>
    </row>
    <row r="636">
      <c r="A636" s="150"/>
      <c r="B636" s="155"/>
      <c r="C636" s="155"/>
      <c r="D636" s="155"/>
      <c r="E636" s="155"/>
      <c r="F636" s="150"/>
      <c r="G636" s="150"/>
      <c r="H636" s="150"/>
      <c r="I636" s="150"/>
      <c r="J636" s="150"/>
      <c r="K636" s="150"/>
      <c r="L636" s="150"/>
      <c r="M636" s="150"/>
      <c r="N636" s="150"/>
      <c r="O636" s="150"/>
      <c r="P636" s="150"/>
      <c r="Q636" s="150"/>
      <c r="R636" s="150"/>
      <c r="S636" s="150"/>
      <c r="T636" s="150"/>
      <c r="U636" s="150"/>
      <c r="V636" s="150"/>
      <c r="W636" s="150"/>
      <c r="X636" s="150"/>
      <c r="Y636" s="150"/>
      <c r="Z636" s="150"/>
    </row>
    <row r="637">
      <c r="A637" s="150"/>
      <c r="B637" s="155"/>
      <c r="C637" s="155"/>
      <c r="D637" s="155"/>
      <c r="E637" s="155"/>
      <c r="F637" s="150"/>
      <c r="G637" s="150"/>
      <c r="H637" s="150"/>
      <c r="I637" s="150"/>
      <c r="J637" s="150"/>
      <c r="K637" s="150"/>
      <c r="L637" s="150"/>
      <c r="M637" s="150"/>
      <c r="N637" s="150"/>
      <c r="O637" s="150"/>
      <c r="P637" s="150"/>
      <c r="Q637" s="150"/>
      <c r="R637" s="150"/>
      <c r="S637" s="150"/>
      <c r="T637" s="150"/>
      <c r="U637" s="150"/>
      <c r="V637" s="150"/>
      <c r="W637" s="150"/>
      <c r="X637" s="150"/>
      <c r="Y637" s="150"/>
      <c r="Z637" s="150"/>
    </row>
    <row r="638">
      <c r="A638" s="150"/>
      <c r="B638" s="155"/>
      <c r="C638" s="155"/>
      <c r="D638" s="155"/>
      <c r="E638" s="155"/>
      <c r="F638" s="150"/>
      <c r="G638" s="150"/>
      <c r="H638" s="150"/>
      <c r="I638" s="150"/>
      <c r="J638" s="150"/>
      <c r="K638" s="150"/>
      <c r="L638" s="150"/>
      <c r="M638" s="150"/>
      <c r="N638" s="150"/>
      <c r="O638" s="150"/>
      <c r="P638" s="150"/>
      <c r="Q638" s="150"/>
      <c r="R638" s="150"/>
      <c r="S638" s="150"/>
      <c r="T638" s="150"/>
      <c r="U638" s="150"/>
      <c r="V638" s="150"/>
      <c r="W638" s="150"/>
      <c r="X638" s="150"/>
      <c r="Y638" s="150"/>
      <c r="Z638" s="150"/>
    </row>
    <row r="639">
      <c r="A639" s="150"/>
      <c r="B639" s="155"/>
      <c r="C639" s="155"/>
      <c r="D639" s="155"/>
      <c r="E639" s="155"/>
      <c r="F639" s="150"/>
      <c r="G639" s="150"/>
      <c r="H639" s="150"/>
      <c r="I639" s="150"/>
      <c r="J639" s="150"/>
      <c r="K639" s="150"/>
      <c r="L639" s="150"/>
      <c r="M639" s="150"/>
      <c r="N639" s="150"/>
      <c r="O639" s="150"/>
      <c r="P639" s="150"/>
      <c r="Q639" s="150"/>
      <c r="R639" s="150"/>
      <c r="S639" s="150"/>
      <c r="T639" s="150"/>
      <c r="U639" s="150"/>
      <c r="V639" s="150"/>
      <c r="W639" s="150"/>
      <c r="X639" s="150"/>
      <c r="Y639" s="150"/>
      <c r="Z639" s="150"/>
    </row>
    <row r="640">
      <c r="A640" s="150"/>
      <c r="B640" s="155"/>
      <c r="C640" s="155"/>
      <c r="D640" s="155"/>
      <c r="E640" s="155"/>
      <c r="F640" s="150"/>
      <c r="G640" s="150"/>
      <c r="H640" s="150"/>
      <c r="I640" s="150"/>
      <c r="J640" s="150"/>
      <c r="K640" s="150"/>
      <c r="L640" s="150"/>
      <c r="M640" s="150"/>
      <c r="N640" s="150"/>
      <c r="O640" s="150"/>
      <c r="P640" s="150"/>
      <c r="Q640" s="150"/>
      <c r="R640" s="150"/>
      <c r="S640" s="150"/>
      <c r="T640" s="150"/>
      <c r="U640" s="150"/>
      <c r="V640" s="150"/>
      <c r="W640" s="150"/>
      <c r="X640" s="150"/>
      <c r="Y640" s="150"/>
      <c r="Z640" s="150"/>
    </row>
    <row r="641">
      <c r="A641" s="150"/>
      <c r="B641" s="155"/>
      <c r="C641" s="155"/>
      <c r="D641" s="155"/>
      <c r="E641" s="155"/>
      <c r="F641" s="150"/>
      <c r="G641" s="150"/>
      <c r="H641" s="150"/>
      <c r="I641" s="150"/>
      <c r="J641" s="150"/>
      <c r="K641" s="150"/>
      <c r="L641" s="150"/>
      <c r="M641" s="150"/>
      <c r="N641" s="150"/>
      <c r="O641" s="150"/>
      <c r="P641" s="150"/>
      <c r="Q641" s="150"/>
      <c r="R641" s="150"/>
      <c r="S641" s="150"/>
      <c r="T641" s="150"/>
      <c r="U641" s="150"/>
      <c r="V641" s="150"/>
      <c r="W641" s="150"/>
      <c r="X641" s="150"/>
      <c r="Y641" s="150"/>
      <c r="Z641" s="150"/>
    </row>
    <row r="642">
      <c r="A642" s="150"/>
      <c r="B642" s="155"/>
      <c r="C642" s="155"/>
      <c r="D642" s="155"/>
      <c r="E642" s="155"/>
      <c r="F642" s="150"/>
      <c r="G642" s="150"/>
      <c r="H642" s="150"/>
      <c r="I642" s="150"/>
      <c r="J642" s="150"/>
      <c r="K642" s="150"/>
      <c r="L642" s="150"/>
      <c r="M642" s="150"/>
      <c r="N642" s="150"/>
      <c r="O642" s="150"/>
      <c r="P642" s="150"/>
      <c r="Q642" s="150"/>
      <c r="R642" s="150"/>
      <c r="S642" s="150"/>
      <c r="T642" s="150"/>
      <c r="U642" s="150"/>
      <c r="V642" s="150"/>
      <c r="W642" s="150"/>
      <c r="X642" s="150"/>
      <c r="Y642" s="150"/>
      <c r="Z642" s="150"/>
    </row>
    <row r="643">
      <c r="A643" s="150"/>
      <c r="B643" s="155"/>
      <c r="C643" s="155"/>
      <c r="D643" s="155"/>
      <c r="E643" s="155"/>
      <c r="F643" s="150"/>
      <c r="G643" s="150"/>
      <c r="H643" s="150"/>
      <c r="I643" s="150"/>
      <c r="J643" s="150"/>
      <c r="K643" s="150"/>
      <c r="L643" s="150"/>
      <c r="M643" s="150"/>
      <c r="N643" s="150"/>
      <c r="O643" s="150"/>
      <c r="P643" s="150"/>
      <c r="Q643" s="150"/>
      <c r="R643" s="150"/>
      <c r="S643" s="150"/>
      <c r="T643" s="150"/>
      <c r="U643" s="150"/>
      <c r="V643" s="150"/>
      <c r="W643" s="150"/>
      <c r="X643" s="150"/>
      <c r="Y643" s="150"/>
      <c r="Z643" s="150"/>
    </row>
    <row r="644">
      <c r="A644" s="150"/>
      <c r="B644" s="155"/>
      <c r="C644" s="155"/>
      <c r="D644" s="155"/>
      <c r="E644" s="155"/>
      <c r="F644" s="150"/>
      <c r="G644" s="150"/>
      <c r="H644" s="150"/>
      <c r="I644" s="150"/>
      <c r="J644" s="150"/>
      <c r="K644" s="150"/>
      <c r="L644" s="150"/>
      <c r="M644" s="150"/>
      <c r="N644" s="150"/>
      <c r="O644" s="150"/>
      <c r="P644" s="150"/>
      <c r="Q644" s="150"/>
      <c r="R644" s="150"/>
      <c r="S644" s="150"/>
      <c r="T644" s="150"/>
      <c r="U644" s="150"/>
      <c r="V644" s="150"/>
      <c r="W644" s="150"/>
      <c r="X644" s="150"/>
      <c r="Y644" s="150"/>
      <c r="Z644" s="150"/>
    </row>
    <row r="645">
      <c r="A645" s="150"/>
      <c r="B645" s="155"/>
      <c r="C645" s="155"/>
      <c r="D645" s="155"/>
      <c r="E645" s="155"/>
      <c r="F645" s="150"/>
      <c r="G645" s="150"/>
      <c r="H645" s="150"/>
      <c r="I645" s="150"/>
      <c r="J645" s="150"/>
      <c r="K645" s="150"/>
      <c r="L645" s="150"/>
      <c r="M645" s="150"/>
      <c r="N645" s="150"/>
      <c r="O645" s="150"/>
      <c r="P645" s="150"/>
      <c r="Q645" s="150"/>
      <c r="R645" s="150"/>
      <c r="S645" s="150"/>
      <c r="T645" s="150"/>
      <c r="U645" s="150"/>
      <c r="V645" s="150"/>
      <c r="W645" s="150"/>
      <c r="X645" s="150"/>
      <c r="Y645" s="150"/>
      <c r="Z645" s="150"/>
    </row>
    <row r="646">
      <c r="A646" s="150"/>
      <c r="B646" s="155"/>
      <c r="C646" s="155"/>
      <c r="D646" s="155"/>
      <c r="E646" s="155"/>
      <c r="F646" s="150"/>
      <c r="G646" s="150"/>
      <c r="H646" s="150"/>
      <c r="I646" s="150"/>
      <c r="J646" s="150"/>
      <c r="K646" s="150"/>
      <c r="L646" s="150"/>
      <c r="M646" s="150"/>
      <c r="N646" s="150"/>
      <c r="O646" s="150"/>
      <c r="P646" s="150"/>
      <c r="Q646" s="150"/>
      <c r="R646" s="150"/>
      <c r="S646" s="150"/>
      <c r="T646" s="150"/>
      <c r="U646" s="150"/>
      <c r="V646" s="150"/>
      <c r="W646" s="150"/>
      <c r="X646" s="150"/>
      <c r="Y646" s="150"/>
      <c r="Z646" s="150"/>
    </row>
    <row r="647">
      <c r="A647" s="150"/>
      <c r="B647" s="155"/>
      <c r="C647" s="155"/>
      <c r="D647" s="155"/>
      <c r="E647" s="155"/>
      <c r="F647" s="150"/>
      <c r="G647" s="150"/>
      <c r="H647" s="150"/>
      <c r="I647" s="150"/>
      <c r="J647" s="150"/>
      <c r="K647" s="150"/>
      <c r="L647" s="150"/>
      <c r="M647" s="150"/>
      <c r="N647" s="150"/>
      <c r="O647" s="150"/>
      <c r="P647" s="150"/>
      <c r="Q647" s="150"/>
      <c r="R647" s="150"/>
      <c r="S647" s="150"/>
      <c r="T647" s="150"/>
      <c r="U647" s="150"/>
      <c r="V647" s="150"/>
      <c r="W647" s="150"/>
      <c r="X647" s="150"/>
      <c r="Y647" s="150"/>
      <c r="Z647" s="150"/>
    </row>
    <row r="648">
      <c r="A648" s="150"/>
      <c r="B648" s="155"/>
      <c r="C648" s="155"/>
      <c r="D648" s="155"/>
      <c r="E648" s="155"/>
      <c r="F648" s="150"/>
      <c r="G648" s="150"/>
      <c r="H648" s="150"/>
      <c r="I648" s="150"/>
      <c r="J648" s="150"/>
      <c r="K648" s="150"/>
      <c r="L648" s="150"/>
      <c r="M648" s="150"/>
      <c r="N648" s="150"/>
      <c r="O648" s="150"/>
      <c r="P648" s="150"/>
      <c r="Q648" s="150"/>
      <c r="R648" s="150"/>
      <c r="S648" s="150"/>
      <c r="T648" s="150"/>
      <c r="U648" s="150"/>
      <c r="V648" s="150"/>
      <c r="W648" s="150"/>
      <c r="X648" s="150"/>
      <c r="Y648" s="150"/>
      <c r="Z648" s="150"/>
    </row>
    <row r="649">
      <c r="A649" s="150"/>
      <c r="B649" s="155"/>
      <c r="C649" s="155"/>
      <c r="D649" s="155"/>
      <c r="E649" s="155"/>
      <c r="F649" s="150"/>
      <c r="G649" s="150"/>
      <c r="H649" s="150"/>
      <c r="I649" s="150"/>
      <c r="J649" s="150"/>
      <c r="K649" s="150"/>
      <c r="L649" s="150"/>
      <c r="M649" s="150"/>
      <c r="N649" s="150"/>
      <c r="O649" s="150"/>
      <c r="P649" s="150"/>
      <c r="Q649" s="150"/>
      <c r="R649" s="150"/>
      <c r="S649" s="150"/>
      <c r="T649" s="150"/>
      <c r="U649" s="150"/>
      <c r="V649" s="150"/>
      <c r="W649" s="150"/>
      <c r="X649" s="150"/>
      <c r="Y649" s="150"/>
      <c r="Z649" s="150"/>
    </row>
    <row r="650">
      <c r="A650" s="150"/>
      <c r="B650" s="155"/>
      <c r="C650" s="155"/>
      <c r="D650" s="155"/>
      <c r="E650" s="155"/>
      <c r="F650" s="150"/>
      <c r="G650" s="150"/>
      <c r="H650" s="150"/>
      <c r="I650" s="150"/>
      <c r="J650" s="150"/>
      <c r="K650" s="150"/>
      <c r="L650" s="150"/>
      <c r="M650" s="150"/>
      <c r="N650" s="150"/>
      <c r="O650" s="150"/>
      <c r="P650" s="150"/>
      <c r="Q650" s="150"/>
      <c r="R650" s="150"/>
      <c r="S650" s="150"/>
      <c r="T650" s="150"/>
      <c r="U650" s="150"/>
      <c r="V650" s="150"/>
      <c r="W650" s="150"/>
      <c r="X650" s="150"/>
      <c r="Y650" s="150"/>
      <c r="Z650" s="150"/>
    </row>
    <row r="651">
      <c r="A651" s="150"/>
      <c r="B651" s="155"/>
      <c r="C651" s="155"/>
      <c r="D651" s="155"/>
      <c r="E651" s="155"/>
      <c r="F651" s="150"/>
      <c r="G651" s="150"/>
      <c r="H651" s="150"/>
      <c r="I651" s="150"/>
      <c r="J651" s="150"/>
      <c r="K651" s="150"/>
      <c r="L651" s="150"/>
      <c r="M651" s="150"/>
      <c r="N651" s="150"/>
      <c r="O651" s="150"/>
      <c r="P651" s="150"/>
      <c r="Q651" s="150"/>
      <c r="R651" s="150"/>
      <c r="S651" s="150"/>
      <c r="T651" s="150"/>
      <c r="U651" s="150"/>
      <c r="V651" s="150"/>
      <c r="W651" s="150"/>
      <c r="X651" s="150"/>
      <c r="Y651" s="150"/>
      <c r="Z651" s="150"/>
    </row>
    <row r="652">
      <c r="A652" s="150"/>
      <c r="B652" s="155"/>
      <c r="C652" s="155"/>
      <c r="D652" s="155"/>
      <c r="E652" s="155"/>
      <c r="F652" s="150"/>
      <c r="G652" s="150"/>
      <c r="H652" s="150"/>
      <c r="I652" s="150"/>
      <c r="J652" s="150"/>
      <c r="K652" s="150"/>
      <c r="L652" s="150"/>
      <c r="M652" s="150"/>
      <c r="N652" s="150"/>
      <c r="O652" s="150"/>
      <c r="P652" s="150"/>
      <c r="Q652" s="150"/>
      <c r="R652" s="150"/>
      <c r="S652" s="150"/>
      <c r="T652" s="150"/>
      <c r="U652" s="150"/>
      <c r="V652" s="150"/>
      <c r="W652" s="150"/>
      <c r="X652" s="150"/>
      <c r="Y652" s="150"/>
      <c r="Z652" s="150"/>
    </row>
    <row r="653">
      <c r="A653" s="150"/>
      <c r="B653" s="155"/>
      <c r="C653" s="155"/>
      <c r="D653" s="155"/>
      <c r="E653" s="155"/>
      <c r="F653" s="150"/>
      <c r="G653" s="150"/>
      <c r="H653" s="150"/>
      <c r="I653" s="150"/>
      <c r="J653" s="150"/>
      <c r="K653" s="150"/>
      <c r="L653" s="150"/>
      <c r="M653" s="150"/>
      <c r="N653" s="150"/>
      <c r="O653" s="150"/>
      <c r="P653" s="150"/>
      <c r="Q653" s="150"/>
      <c r="R653" s="150"/>
      <c r="S653" s="150"/>
      <c r="T653" s="150"/>
      <c r="U653" s="150"/>
      <c r="V653" s="150"/>
      <c r="W653" s="150"/>
      <c r="X653" s="150"/>
      <c r="Y653" s="150"/>
      <c r="Z653" s="150"/>
    </row>
    <row r="654">
      <c r="A654" s="150"/>
      <c r="B654" s="155"/>
      <c r="C654" s="155"/>
      <c r="D654" s="155"/>
      <c r="E654" s="155"/>
      <c r="F654" s="150"/>
      <c r="G654" s="150"/>
      <c r="H654" s="150"/>
      <c r="I654" s="150"/>
      <c r="J654" s="150"/>
      <c r="K654" s="150"/>
      <c r="L654" s="150"/>
      <c r="M654" s="150"/>
      <c r="N654" s="150"/>
      <c r="O654" s="150"/>
      <c r="P654" s="150"/>
      <c r="Q654" s="150"/>
      <c r="R654" s="150"/>
      <c r="S654" s="150"/>
      <c r="T654" s="150"/>
      <c r="U654" s="150"/>
      <c r="V654" s="150"/>
      <c r="W654" s="150"/>
      <c r="X654" s="150"/>
      <c r="Y654" s="150"/>
      <c r="Z654" s="150"/>
    </row>
    <row r="655">
      <c r="A655" s="150"/>
      <c r="B655" s="155"/>
      <c r="C655" s="155"/>
      <c r="D655" s="155"/>
      <c r="E655" s="155"/>
      <c r="F655" s="150"/>
      <c r="G655" s="150"/>
      <c r="H655" s="150"/>
      <c r="I655" s="150"/>
      <c r="J655" s="150"/>
      <c r="K655" s="150"/>
      <c r="L655" s="150"/>
      <c r="M655" s="150"/>
      <c r="N655" s="150"/>
      <c r="O655" s="150"/>
      <c r="P655" s="150"/>
      <c r="Q655" s="150"/>
      <c r="R655" s="150"/>
      <c r="S655" s="150"/>
      <c r="T655" s="150"/>
      <c r="U655" s="150"/>
      <c r="V655" s="150"/>
      <c r="W655" s="150"/>
      <c r="X655" s="150"/>
      <c r="Y655" s="150"/>
      <c r="Z655" s="150"/>
    </row>
    <row r="656">
      <c r="A656" s="150"/>
      <c r="B656" s="155"/>
      <c r="C656" s="155"/>
      <c r="D656" s="155"/>
      <c r="E656" s="155"/>
      <c r="F656" s="150"/>
      <c r="G656" s="150"/>
      <c r="H656" s="150"/>
      <c r="I656" s="150"/>
      <c r="J656" s="150"/>
      <c r="K656" s="150"/>
      <c r="L656" s="150"/>
      <c r="M656" s="150"/>
      <c r="N656" s="150"/>
      <c r="O656" s="150"/>
      <c r="P656" s="150"/>
      <c r="Q656" s="150"/>
      <c r="R656" s="150"/>
      <c r="S656" s="150"/>
      <c r="T656" s="150"/>
      <c r="U656" s="150"/>
      <c r="V656" s="150"/>
      <c r="W656" s="150"/>
      <c r="X656" s="150"/>
      <c r="Y656" s="150"/>
      <c r="Z656" s="150"/>
    </row>
    <row r="657">
      <c r="A657" s="150"/>
      <c r="B657" s="155"/>
      <c r="C657" s="155"/>
      <c r="D657" s="155"/>
      <c r="E657" s="155"/>
      <c r="F657" s="150"/>
      <c r="G657" s="150"/>
      <c r="H657" s="150"/>
      <c r="I657" s="150"/>
      <c r="J657" s="150"/>
      <c r="K657" s="150"/>
      <c r="L657" s="150"/>
      <c r="M657" s="150"/>
      <c r="N657" s="150"/>
      <c r="O657" s="150"/>
      <c r="P657" s="150"/>
      <c r="Q657" s="150"/>
      <c r="R657" s="150"/>
      <c r="S657" s="150"/>
      <c r="T657" s="150"/>
      <c r="U657" s="150"/>
      <c r="V657" s="150"/>
      <c r="W657" s="150"/>
      <c r="X657" s="150"/>
      <c r="Y657" s="150"/>
      <c r="Z657" s="150"/>
    </row>
    <row r="658">
      <c r="A658" s="150"/>
      <c r="B658" s="155"/>
      <c r="C658" s="155"/>
      <c r="D658" s="155"/>
      <c r="E658" s="155"/>
      <c r="F658" s="150"/>
      <c r="G658" s="150"/>
      <c r="H658" s="150"/>
      <c r="I658" s="150"/>
      <c r="J658" s="150"/>
      <c r="K658" s="150"/>
      <c r="L658" s="150"/>
      <c r="M658" s="150"/>
      <c r="N658" s="150"/>
      <c r="O658" s="150"/>
      <c r="P658" s="150"/>
      <c r="Q658" s="150"/>
      <c r="R658" s="150"/>
      <c r="S658" s="150"/>
      <c r="T658" s="150"/>
      <c r="U658" s="150"/>
      <c r="V658" s="150"/>
      <c r="W658" s="150"/>
      <c r="X658" s="150"/>
      <c r="Y658" s="150"/>
      <c r="Z658" s="150"/>
    </row>
    <row r="659">
      <c r="A659" s="150"/>
      <c r="B659" s="155"/>
      <c r="C659" s="155"/>
      <c r="D659" s="155"/>
      <c r="E659" s="155"/>
      <c r="F659" s="150"/>
      <c r="G659" s="150"/>
      <c r="H659" s="150"/>
      <c r="I659" s="150"/>
      <c r="J659" s="150"/>
      <c r="K659" s="150"/>
      <c r="L659" s="150"/>
      <c r="M659" s="150"/>
      <c r="N659" s="150"/>
      <c r="O659" s="150"/>
      <c r="P659" s="150"/>
      <c r="Q659" s="150"/>
      <c r="R659" s="150"/>
      <c r="S659" s="150"/>
      <c r="T659" s="150"/>
      <c r="U659" s="150"/>
      <c r="V659" s="150"/>
      <c r="W659" s="150"/>
      <c r="X659" s="150"/>
      <c r="Y659" s="150"/>
      <c r="Z659" s="150"/>
    </row>
    <row r="660">
      <c r="A660" s="150"/>
      <c r="B660" s="155"/>
      <c r="C660" s="155"/>
      <c r="D660" s="155"/>
      <c r="E660" s="155"/>
      <c r="F660" s="150"/>
      <c r="G660" s="150"/>
      <c r="H660" s="150"/>
      <c r="I660" s="150"/>
      <c r="J660" s="150"/>
      <c r="K660" s="150"/>
      <c r="L660" s="150"/>
      <c r="M660" s="150"/>
      <c r="N660" s="150"/>
      <c r="O660" s="150"/>
      <c r="P660" s="150"/>
      <c r="Q660" s="150"/>
      <c r="R660" s="150"/>
      <c r="S660" s="150"/>
      <c r="T660" s="150"/>
      <c r="U660" s="150"/>
      <c r="V660" s="150"/>
      <c r="W660" s="150"/>
      <c r="X660" s="150"/>
      <c r="Y660" s="150"/>
      <c r="Z660" s="150"/>
    </row>
    <row r="661">
      <c r="A661" s="150"/>
      <c r="B661" s="155"/>
      <c r="C661" s="155"/>
      <c r="D661" s="155"/>
      <c r="E661" s="155"/>
      <c r="F661" s="150"/>
      <c r="G661" s="150"/>
      <c r="H661" s="150"/>
      <c r="I661" s="150"/>
      <c r="J661" s="150"/>
      <c r="K661" s="150"/>
      <c r="L661" s="150"/>
      <c r="M661" s="150"/>
      <c r="N661" s="150"/>
      <c r="O661" s="150"/>
      <c r="P661" s="150"/>
      <c r="Q661" s="150"/>
      <c r="R661" s="150"/>
      <c r="S661" s="150"/>
      <c r="T661" s="150"/>
      <c r="U661" s="150"/>
      <c r="V661" s="150"/>
      <c r="W661" s="150"/>
      <c r="X661" s="150"/>
      <c r="Y661" s="150"/>
      <c r="Z661" s="150"/>
    </row>
    <row r="662">
      <c r="A662" s="150"/>
      <c r="B662" s="155"/>
      <c r="C662" s="155"/>
      <c r="D662" s="155"/>
      <c r="E662" s="155"/>
      <c r="F662" s="150"/>
      <c r="G662" s="150"/>
      <c r="H662" s="150"/>
      <c r="I662" s="150"/>
      <c r="J662" s="150"/>
      <c r="K662" s="150"/>
      <c r="L662" s="150"/>
      <c r="M662" s="150"/>
      <c r="N662" s="150"/>
      <c r="O662" s="150"/>
      <c r="P662" s="150"/>
      <c r="Q662" s="150"/>
      <c r="R662" s="150"/>
      <c r="S662" s="150"/>
      <c r="T662" s="150"/>
      <c r="U662" s="150"/>
      <c r="V662" s="150"/>
      <c r="W662" s="150"/>
      <c r="X662" s="150"/>
      <c r="Y662" s="150"/>
      <c r="Z662" s="150"/>
    </row>
    <row r="663">
      <c r="A663" s="150"/>
      <c r="B663" s="155"/>
      <c r="C663" s="155"/>
      <c r="D663" s="155"/>
      <c r="E663" s="155"/>
      <c r="F663" s="150"/>
      <c r="G663" s="150"/>
      <c r="H663" s="150"/>
      <c r="I663" s="150"/>
      <c r="J663" s="150"/>
      <c r="K663" s="150"/>
      <c r="L663" s="150"/>
      <c r="M663" s="150"/>
      <c r="N663" s="150"/>
      <c r="O663" s="150"/>
      <c r="P663" s="150"/>
      <c r="Q663" s="150"/>
      <c r="R663" s="150"/>
      <c r="S663" s="150"/>
      <c r="T663" s="150"/>
      <c r="U663" s="150"/>
      <c r="V663" s="150"/>
      <c r="W663" s="150"/>
      <c r="X663" s="150"/>
      <c r="Y663" s="150"/>
      <c r="Z663" s="150"/>
    </row>
    <row r="664">
      <c r="A664" s="150"/>
      <c r="B664" s="155"/>
      <c r="C664" s="155"/>
      <c r="D664" s="155"/>
      <c r="E664" s="155"/>
      <c r="F664" s="150"/>
      <c r="G664" s="150"/>
      <c r="H664" s="150"/>
      <c r="I664" s="150"/>
      <c r="J664" s="150"/>
      <c r="K664" s="150"/>
      <c r="L664" s="150"/>
      <c r="M664" s="150"/>
      <c r="N664" s="150"/>
      <c r="O664" s="150"/>
      <c r="P664" s="150"/>
      <c r="Q664" s="150"/>
      <c r="R664" s="150"/>
      <c r="S664" s="150"/>
      <c r="T664" s="150"/>
      <c r="U664" s="150"/>
      <c r="V664" s="150"/>
      <c r="W664" s="150"/>
      <c r="X664" s="150"/>
      <c r="Y664" s="150"/>
      <c r="Z664" s="150"/>
    </row>
    <row r="665">
      <c r="A665" s="150"/>
      <c r="B665" s="155"/>
      <c r="C665" s="155"/>
      <c r="D665" s="155"/>
      <c r="E665" s="155"/>
      <c r="F665" s="150"/>
      <c r="G665" s="150"/>
      <c r="H665" s="150"/>
      <c r="I665" s="150"/>
      <c r="J665" s="150"/>
      <c r="K665" s="150"/>
      <c r="L665" s="150"/>
      <c r="M665" s="150"/>
      <c r="N665" s="150"/>
      <c r="O665" s="150"/>
      <c r="P665" s="150"/>
      <c r="Q665" s="150"/>
      <c r="R665" s="150"/>
      <c r="S665" s="150"/>
      <c r="T665" s="150"/>
      <c r="U665" s="150"/>
      <c r="V665" s="150"/>
      <c r="W665" s="150"/>
      <c r="X665" s="150"/>
      <c r="Y665" s="150"/>
      <c r="Z665" s="150"/>
    </row>
    <row r="666">
      <c r="A666" s="150"/>
      <c r="B666" s="155"/>
      <c r="C666" s="155"/>
      <c r="D666" s="155"/>
      <c r="E666" s="155"/>
      <c r="F666" s="150"/>
      <c r="G666" s="150"/>
      <c r="H666" s="150"/>
      <c r="I666" s="150"/>
      <c r="J666" s="150"/>
      <c r="K666" s="150"/>
      <c r="L666" s="150"/>
      <c r="M666" s="150"/>
      <c r="N666" s="150"/>
      <c r="O666" s="150"/>
      <c r="P666" s="150"/>
      <c r="Q666" s="150"/>
      <c r="R666" s="150"/>
      <c r="S666" s="150"/>
      <c r="T666" s="150"/>
      <c r="U666" s="150"/>
      <c r="V666" s="150"/>
      <c r="W666" s="150"/>
      <c r="X666" s="150"/>
      <c r="Y666" s="150"/>
      <c r="Z666" s="150"/>
    </row>
    <row r="667">
      <c r="A667" s="150"/>
      <c r="B667" s="155"/>
      <c r="C667" s="155"/>
      <c r="D667" s="155"/>
      <c r="E667" s="155"/>
      <c r="F667" s="150"/>
      <c r="G667" s="150"/>
      <c r="H667" s="150"/>
      <c r="I667" s="150"/>
      <c r="J667" s="150"/>
      <c r="K667" s="150"/>
      <c r="L667" s="150"/>
      <c r="M667" s="150"/>
      <c r="N667" s="150"/>
      <c r="O667" s="150"/>
      <c r="P667" s="150"/>
      <c r="Q667" s="150"/>
      <c r="R667" s="150"/>
      <c r="S667" s="150"/>
      <c r="T667" s="150"/>
      <c r="U667" s="150"/>
      <c r="V667" s="150"/>
      <c r="W667" s="150"/>
      <c r="X667" s="150"/>
      <c r="Y667" s="150"/>
      <c r="Z667" s="150"/>
    </row>
    <row r="668">
      <c r="A668" s="150"/>
      <c r="B668" s="155"/>
      <c r="C668" s="155"/>
      <c r="D668" s="155"/>
      <c r="E668" s="155"/>
      <c r="F668" s="150"/>
      <c r="G668" s="150"/>
      <c r="H668" s="150"/>
      <c r="I668" s="150"/>
      <c r="J668" s="150"/>
      <c r="K668" s="150"/>
      <c r="L668" s="150"/>
      <c r="M668" s="150"/>
      <c r="N668" s="150"/>
      <c r="O668" s="150"/>
      <c r="P668" s="150"/>
      <c r="Q668" s="150"/>
      <c r="R668" s="150"/>
      <c r="S668" s="150"/>
      <c r="T668" s="150"/>
      <c r="U668" s="150"/>
      <c r="V668" s="150"/>
      <c r="W668" s="150"/>
      <c r="X668" s="150"/>
      <c r="Y668" s="150"/>
      <c r="Z668" s="150"/>
    </row>
    <row r="669">
      <c r="A669" s="150"/>
      <c r="B669" s="155"/>
      <c r="C669" s="155"/>
      <c r="D669" s="155"/>
      <c r="E669" s="155"/>
      <c r="F669" s="150"/>
      <c r="G669" s="150"/>
      <c r="H669" s="150"/>
      <c r="I669" s="150"/>
      <c r="J669" s="150"/>
      <c r="K669" s="150"/>
      <c r="L669" s="150"/>
      <c r="M669" s="150"/>
      <c r="N669" s="150"/>
      <c r="O669" s="150"/>
      <c r="P669" s="150"/>
      <c r="Q669" s="150"/>
      <c r="R669" s="150"/>
      <c r="S669" s="150"/>
      <c r="T669" s="150"/>
      <c r="U669" s="150"/>
      <c r="V669" s="150"/>
      <c r="W669" s="150"/>
      <c r="X669" s="150"/>
      <c r="Y669" s="150"/>
      <c r="Z669" s="150"/>
    </row>
    <row r="670">
      <c r="A670" s="150"/>
      <c r="B670" s="155"/>
      <c r="C670" s="155"/>
      <c r="D670" s="155"/>
      <c r="E670" s="155"/>
      <c r="F670" s="150"/>
      <c r="G670" s="150"/>
      <c r="H670" s="150"/>
      <c r="I670" s="150"/>
      <c r="J670" s="150"/>
      <c r="K670" s="150"/>
      <c r="L670" s="150"/>
      <c r="M670" s="150"/>
      <c r="N670" s="150"/>
      <c r="O670" s="150"/>
      <c r="P670" s="150"/>
      <c r="Q670" s="150"/>
      <c r="R670" s="150"/>
      <c r="S670" s="150"/>
      <c r="T670" s="150"/>
      <c r="U670" s="150"/>
      <c r="V670" s="150"/>
      <c r="W670" s="150"/>
      <c r="X670" s="150"/>
      <c r="Y670" s="150"/>
      <c r="Z670" s="150"/>
    </row>
    <row r="671">
      <c r="A671" s="150"/>
      <c r="B671" s="155"/>
      <c r="C671" s="155"/>
      <c r="D671" s="155"/>
      <c r="E671" s="155"/>
      <c r="F671" s="150"/>
      <c r="G671" s="150"/>
      <c r="H671" s="150"/>
      <c r="I671" s="150"/>
      <c r="J671" s="150"/>
      <c r="K671" s="150"/>
      <c r="L671" s="150"/>
      <c r="M671" s="150"/>
      <c r="N671" s="150"/>
      <c r="O671" s="150"/>
      <c r="P671" s="150"/>
      <c r="Q671" s="150"/>
      <c r="R671" s="150"/>
      <c r="S671" s="150"/>
      <c r="T671" s="150"/>
      <c r="U671" s="150"/>
      <c r="V671" s="150"/>
      <c r="W671" s="150"/>
      <c r="X671" s="150"/>
      <c r="Y671" s="150"/>
      <c r="Z671" s="150"/>
    </row>
    <row r="672">
      <c r="A672" s="150"/>
      <c r="B672" s="155"/>
      <c r="C672" s="155"/>
      <c r="D672" s="155"/>
      <c r="E672" s="155"/>
      <c r="F672" s="150"/>
      <c r="G672" s="150"/>
      <c r="H672" s="150"/>
      <c r="I672" s="150"/>
      <c r="J672" s="150"/>
      <c r="K672" s="150"/>
      <c r="L672" s="150"/>
      <c r="M672" s="150"/>
      <c r="N672" s="150"/>
      <c r="O672" s="150"/>
      <c r="P672" s="150"/>
      <c r="Q672" s="150"/>
      <c r="R672" s="150"/>
      <c r="S672" s="150"/>
      <c r="T672" s="150"/>
      <c r="U672" s="150"/>
      <c r="V672" s="150"/>
      <c r="W672" s="150"/>
      <c r="X672" s="150"/>
      <c r="Y672" s="150"/>
      <c r="Z672" s="150"/>
    </row>
    <row r="673">
      <c r="A673" s="150"/>
      <c r="B673" s="155"/>
      <c r="C673" s="155"/>
      <c r="D673" s="155"/>
      <c r="E673" s="155"/>
      <c r="F673" s="150"/>
      <c r="G673" s="150"/>
      <c r="H673" s="150"/>
      <c r="I673" s="150"/>
      <c r="J673" s="150"/>
      <c r="K673" s="150"/>
      <c r="L673" s="150"/>
      <c r="M673" s="150"/>
      <c r="N673" s="150"/>
      <c r="O673" s="150"/>
      <c r="P673" s="150"/>
      <c r="Q673" s="150"/>
      <c r="R673" s="150"/>
      <c r="S673" s="150"/>
      <c r="T673" s="150"/>
      <c r="U673" s="150"/>
      <c r="V673" s="150"/>
      <c r="W673" s="150"/>
      <c r="X673" s="150"/>
      <c r="Y673" s="150"/>
      <c r="Z673" s="150"/>
    </row>
    <row r="674">
      <c r="A674" s="150"/>
      <c r="B674" s="155"/>
      <c r="C674" s="155"/>
      <c r="D674" s="155"/>
      <c r="E674" s="155"/>
      <c r="F674" s="150"/>
      <c r="G674" s="150"/>
      <c r="H674" s="150"/>
      <c r="I674" s="150"/>
      <c r="J674" s="150"/>
      <c r="K674" s="150"/>
      <c r="L674" s="150"/>
      <c r="M674" s="150"/>
      <c r="N674" s="150"/>
      <c r="O674" s="150"/>
      <c r="P674" s="150"/>
      <c r="Q674" s="150"/>
      <c r="R674" s="150"/>
      <c r="S674" s="150"/>
      <c r="T674" s="150"/>
      <c r="U674" s="150"/>
      <c r="V674" s="150"/>
      <c r="W674" s="150"/>
      <c r="X674" s="150"/>
      <c r="Y674" s="150"/>
      <c r="Z674" s="150"/>
    </row>
    <row r="675">
      <c r="A675" s="150"/>
      <c r="B675" s="155"/>
      <c r="C675" s="155"/>
      <c r="D675" s="155"/>
      <c r="E675" s="155"/>
      <c r="F675" s="150"/>
      <c r="G675" s="150"/>
      <c r="H675" s="150"/>
      <c r="I675" s="150"/>
      <c r="J675" s="150"/>
      <c r="K675" s="150"/>
      <c r="L675" s="150"/>
      <c r="M675" s="150"/>
      <c r="N675" s="150"/>
      <c r="O675" s="150"/>
      <c r="P675" s="150"/>
      <c r="Q675" s="150"/>
      <c r="R675" s="150"/>
      <c r="S675" s="150"/>
      <c r="T675" s="150"/>
      <c r="U675" s="150"/>
      <c r="V675" s="150"/>
      <c r="W675" s="150"/>
      <c r="X675" s="150"/>
      <c r="Y675" s="150"/>
      <c r="Z675" s="150"/>
    </row>
    <row r="676">
      <c r="A676" s="150"/>
      <c r="B676" s="155"/>
      <c r="C676" s="155"/>
      <c r="D676" s="155"/>
      <c r="E676" s="155"/>
      <c r="F676" s="150"/>
      <c r="G676" s="150"/>
      <c r="H676" s="150"/>
      <c r="I676" s="150"/>
      <c r="J676" s="150"/>
      <c r="K676" s="150"/>
      <c r="L676" s="150"/>
      <c r="M676" s="150"/>
      <c r="N676" s="150"/>
      <c r="O676" s="150"/>
      <c r="P676" s="150"/>
      <c r="Q676" s="150"/>
      <c r="R676" s="150"/>
      <c r="S676" s="150"/>
      <c r="T676" s="150"/>
      <c r="U676" s="150"/>
      <c r="V676" s="150"/>
      <c r="W676" s="150"/>
      <c r="X676" s="150"/>
      <c r="Y676" s="150"/>
      <c r="Z676" s="150"/>
    </row>
    <row r="677">
      <c r="A677" s="150"/>
      <c r="B677" s="155"/>
      <c r="C677" s="155"/>
      <c r="D677" s="155"/>
      <c r="E677" s="155"/>
      <c r="F677" s="150"/>
      <c r="G677" s="150"/>
      <c r="H677" s="150"/>
      <c r="I677" s="150"/>
      <c r="J677" s="150"/>
      <c r="K677" s="150"/>
      <c r="L677" s="150"/>
      <c r="M677" s="150"/>
      <c r="N677" s="150"/>
      <c r="O677" s="150"/>
      <c r="P677" s="150"/>
      <c r="Q677" s="150"/>
      <c r="R677" s="150"/>
      <c r="S677" s="150"/>
      <c r="T677" s="150"/>
      <c r="U677" s="150"/>
      <c r="V677" s="150"/>
      <c r="W677" s="150"/>
      <c r="X677" s="150"/>
      <c r="Y677" s="150"/>
      <c r="Z677" s="150"/>
    </row>
    <row r="678">
      <c r="A678" s="150"/>
      <c r="B678" s="155"/>
      <c r="C678" s="155"/>
      <c r="D678" s="155"/>
      <c r="E678" s="155"/>
      <c r="F678" s="150"/>
      <c r="G678" s="150"/>
      <c r="H678" s="150"/>
      <c r="I678" s="150"/>
      <c r="J678" s="150"/>
      <c r="K678" s="150"/>
      <c r="L678" s="150"/>
      <c r="M678" s="150"/>
      <c r="N678" s="150"/>
      <c r="O678" s="150"/>
      <c r="P678" s="150"/>
      <c r="Q678" s="150"/>
      <c r="R678" s="150"/>
      <c r="S678" s="150"/>
      <c r="T678" s="150"/>
      <c r="U678" s="150"/>
      <c r="V678" s="150"/>
      <c r="W678" s="150"/>
      <c r="X678" s="150"/>
      <c r="Y678" s="150"/>
      <c r="Z678" s="150"/>
    </row>
    <row r="679">
      <c r="A679" s="150"/>
      <c r="B679" s="155"/>
      <c r="C679" s="155"/>
      <c r="D679" s="155"/>
      <c r="E679" s="155"/>
      <c r="F679" s="150"/>
      <c r="G679" s="150"/>
      <c r="H679" s="150"/>
      <c r="I679" s="150"/>
      <c r="J679" s="150"/>
      <c r="K679" s="150"/>
      <c r="L679" s="150"/>
      <c r="M679" s="150"/>
      <c r="N679" s="150"/>
      <c r="O679" s="150"/>
      <c r="P679" s="150"/>
      <c r="Q679" s="150"/>
      <c r="R679" s="150"/>
      <c r="S679" s="150"/>
      <c r="T679" s="150"/>
      <c r="U679" s="150"/>
      <c r="V679" s="150"/>
      <c r="W679" s="150"/>
      <c r="X679" s="150"/>
      <c r="Y679" s="150"/>
      <c r="Z679" s="150"/>
    </row>
    <row r="680">
      <c r="A680" s="150"/>
      <c r="B680" s="155"/>
      <c r="C680" s="155"/>
      <c r="D680" s="155"/>
      <c r="E680" s="155"/>
      <c r="F680" s="150"/>
      <c r="G680" s="150"/>
      <c r="H680" s="150"/>
      <c r="I680" s="150"/>
      <c r="J680" s="150"/>
      <c r="K680" s="150"/>
      <c r="L680" s="150"/>
      <c r="M680" s="150"/>
      <c r="N680" s="150"/>
      <c r="O680" s="150"/>
      <c r="P680" s="150"/>
      <c r="Q680" s="150"/>
      <c r="R680" s="150"/>
      <c r="S680" s="150"/>
      <c r="T680" s="150"/>
      <c r="U680" s="150"/>
      <c r="V680" s="150"/>
      <c r="W680" s="150"/>
      <c r="X680" s="150"/>
      <c r="Y680" s="150"/>
      <c r="Z680" s="150"/>
    </row>
    <row r="681">
      <c r="A681" s="150"/>
      <c r="B681" s="155"/>
      <c r="C681" s="155"/>
      <c r="D681" s="155"/>
      <c r="E681" s="155"/>
      <c r="F681" s="150"/>
      <c r="G681" s="150"/>
      <c r="H681" s="150"/>
      <c r="I681" s="150"/>
      <c r="J681" s="150"/>
      <c r="K681" s="150"/>
      <c r="L681" s="150"/>
      <c r="M681" s="150"/>
      <c r="N681" s="150"/>
      <c r="O681" s="150"/>
      <c r="P681" s="150"/>
      <c r="Q681" s="150"/>
      <c r="R681" s="150"/>
      <c r="S681" s="150"/>
      <c r="T681" s="150"/>
      <c r="U681" s="150"/>
      <c r="V681" s="150"/>
      <c r="W681" s="150"/>
      <c r="X681" s="150"/>
      <c r="Y681" s="150"/>
      <c r="Z681" s="150"/>
    </row>
    <row r="682">
      <c r="A682" s="150"/>
      <c r="B682" s="155"/>
      <c r="C682" s="155"/>
      <c r="D682" s="155"/>
      <c r="E682" s="155"/>
      <c r="F682" s="150"/>
      <c r="G682" s="150"/>
      <c r="H682" s="150"/>
      <c r="I682" s="150"/>
      <c r="J682" s="150"/>
      <c r="K682" s="150"/>
      <c r="L682" s="150"/>
      <c r="M682" s="150"/>
      <c r="N682" s="150"/>
      <c r="O682" s="150"/>
      <c r="P682" s="150"/>
      <c r="Q682" s="150"/>
      <c r="R682" s="150"/>
      <c r="S682" s="150"/>
      <c r="T682" s="150"/>
      <c r="U682" s="150"/>
      <c r="V682" s="150"/>
      <c r="W682" s="150"/>
      <c r="X682" s="150"/>
      <c r="Y682" s="150"/>
      <c r="Z682" s="150"/>
    </row>
    <row r="683">
      <c r="A683" s="150"/>
      <c r="B683" s="155"/>
      <c r="C683" s="155"/>
      <c r="D683" s="155"/>
      <c r="E683" s="155"/>
      <c r="F683" s="150"/>
      <c r="G683" s="150"/>
      <c r="H683" s="150"/>
      <c r="I683" s="150"/>
      <c r="J683" s="150"/>
      <c r="K683" s="150"/>
      <c r="L683" s="150"/>
      <c r="M683" s="150"/>
      <c r="N683" s="150"/>
      <c r="O683" s="150"/>
      <c r="P683" s="150"/>
      <c r="Q683" s="150"/>
      <c r="R683" s="150"/>
      <c r="S683" s="150"/>
      <c r="T683" s="150"/>
      <c r="U683" s="150"/>
      <c r="V683" s="150"/>
      <c r="W683" s="150"/>
      <c r="X683" s="150"/>
      <c r="Y683" s="150"/>
      <c r="Z683" s="150"/>
    </row>
    <row r="684">
      <c r="A684" s="150"/>
      <c r="B684" s="155"/>
      <c r="C684" s="155"/>
      <c r="D684" s="155"/>
      <c r="E684" s="155"/>
      <c r="F684" s="150"/>
      <c r="G684" s="150"/>
      <c r="H684" s="150"/>
      <c r="I684" s="150"/>
      <c r="J684" s="150"/>
      <c r="K684" s="150"/>
      <c r="L684" s="150"/>
      <c r="M684" s="150"/>
      <c r="N684" s="150"/>
      <c r="O684" s="150"/>
      <c r="P684" s="150"/>
      <c r="Q684" s="150"/>
      <c r="R684" s="150"/>
      <c r="S684" s="150"/>
      <c r="T684" s="150"/>
      <c r="U684" s="150"/>
      <c r="V684" s="150"/>
      <c r="W684" s="150"/>
      <c r="X684" s="150"/>
      <c r="Y684" s="150"/>
      <c r="Z684" s="150"/>
    </row>
    <row r="685">
      <c r="A685" s="150"/>
      <c r="B685" s="155"/>
      <c r="C685" s="155"/>
      <c r="D685" s="155"/>
      <c r="E685" s="155"/>
      <c r="F685" s="150"/>
      <c r="G685" s="150"/>
      <c r="H685" s="150"/>
      <c r="I685" s="150"/>
      <c r="J685" s="150"/>
      <c r="K685" s="150"/>
      <c r="L685" s="150"/>
      <c r="M685" s="150"/>
      <c r="N685" s="150"/>
      <c r="O685" s="150"/>
      <c r="P685" s="150"/>
      <c r="Q685" s="150"/>
      <c r="R685" s="150"/>
      <c r="S685" s="150"/>
      <c r="T685" s="150"/>
      <c r="U685" s="150"/>
      <c r="V685" s="150"/>
      <c r="W685" s="150"/>
      <c r="X685" s="150"/>
      <c r="Y685" s="150"/>
      <c r="Z685" s="150"/>
    </row>
    <row r="686">
      <c r="A686" s="150"/>
      <c r="B686" s="155"/>
      <c r="C686" s="155"/>
      <c r="D686" s="155"/>
      <c r="E686" s="155"/>
      <c r="F686" s="150"/>
      <c r="G686" s="150"/>
      <c r="H686" s="150"/>
      <c r="I686" s="150"/>
      <c r="J686" s="150"/>
      <c r="K686" s="150"/>
      <c r="L686" s="150"/>
      <c r="M686" s="150"/>
      <c r="N686" s="150"/>
      <c r="O686" s="150"/>
      <c r="P686" s="150"/>
      <c r="Q686" s="150"/>
      <c r="R686" s="150"/>
      <c r="S686" s="150"/>
      <c r="T686" s="150"/>
      <c r="U686" s="150"/>
      <c r="V686" s="150"/>
      <c r="W686" s="150"/>
      <c r="X686" s="150"/>
      <c r="Y686" s="150"/>
      <c r="Z686" s="150"/>
    </row>
    <row r="687">
      <c r="A687" s="150"/>
      <c r="B687" s="155"/>
      <c r="C687" s="155"/>
      <c r="D687" s="155"/>
      <c r="E687" s="155"/>
      <c r="F687" s="150"/>
      <c r="G687" s="150"/>
      <c r="H687" s="150"/>
      <c r="I687" s="150"/>
      <c r="J687" s="150"/>
      <c r="K687" s="150"/>
      <c r="L687" s="150"/>
      <c r="M687" s="150"/>
      <c r="N687" s="150"/>
      <c r="O687" s="150"/>
      <c r="P687" s="150"/>
      <c r="Q687" s="150"/>
      <c r="R687" s="150"/>
      <c r="S687" s="150"/>
      <c r="T687" s="150"/>
      <c r="U687" s="150"/>
      <c r="V687" s="150"/>
      <c r="W687" s="150"/>
      <c r="X687" s="150"/>
      <c r="Y687" s="150"/>
      <c r="Z687" s="150"/>
    </row>
    <row r="688">
      <c r="A688" s="150"/>
      <c r="B688" s="155"/>
      <c r="C688" s="155"/>
      <c r="D688" s="155"/>
      <c r="E688" s="155"/>
      <c r="F688" s="150"/>
      <c r="G688" s="150"/>
      <c r="H688" s="150"/>
      <c r="I688" s="150"/>
      <c r="J688" s="150"/>
      <c r="K688" s="150"/>
      <c r="L688" s="150"/>
      <c r="M688" s="150"/>
      <c r="N688" s="150"/>
      <c r="O688" s="150"/>
      <c r="P688" s="150"/>
      <c r="Q688" s="150"/>
      <c r="R688" s="150"/>
      <c r="S688" s="150"/>
      <c r="T688" s="150"/>
      <c r="U688" s="150"/>
      <c r="V688" s="150"/>
      <c r="W688" s="150"/>
      <c r="X688" s="150"/>
      <c r="Y688" s="150"/>
      <c r="Z688" s="150"/>
    </row>
    <row r="689">
      <c r="A689" s="150"/>
      <c r="B689" s="155"/>
      <c r="C689" s="155"/>
      <c r="D689" s="155"/>
      <c r="E689" s="155"/>
      <c r="F689" s="150"/>
      <c r="G689" s="150"/>
      <c r="H689" s="150"/>
      <c r="I689" s="150"/>
      <c r="J689" s="150"/>
      <c r="K689" s="150"/>
      <c r="L689" s="150"/>
      <c r="M689" s="150"/>
      <c r="N689" s="150"/>
      <c r="O689" s="150"/>
      <c r="P689" s="150"/>
      <c r="Q689" s="150"/>
      <c r="R689" s="150"/>
      <c r="S689" s="150"/>
      <c r="T689" s="150"/>
      <c r="U689" s="150"/>
      <c r="V689" s="150"/>
      <c r="W689" s="150"/>
      <c r="X689" s="150"/>
      <c r="Y689" s="150"/>
      <c r="Z689" s="150"/>
    </row>
    <row r="690">
      <c r="A690" s="150"/>
      <c r="B690" s="155"/>
      <c r="C690" s="155"/>
      <c r="D690" s="155"/>
      <c r="E690" s="155"/>
      <c r="F690" s="150"/>
      <c r="G690" s="150"/>
      <c r="H690" s="150"/>
      <c r="I690" s="150"/>
      <c r="J690" s="150"/>
      <c r="K690" s="150"/>
      <c r="L690" s="150"/>
      <c r="M690" s="150"/>
      <c r="N690" s="150"/>
      <c r="O690" s="150"/>
      <c r="P690" s="150"/>
      <c r="Q690" s="150"/>
      <c r="R690" s="150"/>
      <c r="S690" s="150"/>
      <c r="T690" s="150"/>
      <c r="U690" s="150"/>
      <c r="V690" s="150"/>
      <c r="W690" s="150"/>
      <c r="X690" s="150"/>
      <c r="Y690" s="150"/>
      <c r="Z690" s="150"/>
    </row>
    <row r="691">
      <c r="A691" s="150"/>
      <c r="B691" s="155"/>
      <c r="C691" s="155"/>
      <c r="D691" s="155"/>
      <c r="E691" s="155"/>
      <c r="F691" s="150"/>
      <c r="G691" s="150"/>
      <c r="H691" s="150"/>
      <c r="I691" s="150"/>
      <c r="J691" s="150"/>
      <c r="K691" s="150"/>
      <c r="L691" s="150"/>
      <c r="M691" s="150"/>
      <c r="N691" s="150"/>
      <c r="O691" s="150"/>
      <c r="P691" s="150"/>
      <c r="Q691" s="150"/>
      <c r="R691" s="150"/>
      <c r="S691" s="150"/>
      <c r="T691" s="150"/>
      <c r="U691" s="150"/>
      <c r="V691" s="150"/>
      <c r="W691" s="150"/>
      <c r="X691" s="150"/>
      <c r="Y691" s="150"/>
      <c r="Z691" s="150"/>
    </row>
    <row r="692">
      <c r="A692" s="150"/>
      <c r="B692" s="155"/>
      <c r="C692" s="155"/>
      <c r="D692" s="155"/>
      <c r="E692" s="155"/>
      <c r="F692" s="150"/>
      <c r="G692" s="150"/>
      <c r="H692" s="150"/>
      <c r="I692" s="150"/>
      <c r="J692" s="150"/>
      <c r="K692" s="150"/>
      <c r="L692" s="150"/>
      <c r="M692" s="150"/>
      <c r="N692" s="150"/>
      <c r="O692" s="150"/>
      <c r="P692" s="150"/>
      <c r="Q692" s="150"/>
      <c r="R692" s="150"/>
      <c r="S692" s="150"/>
      <c r="T692" s="150"/>
      <c r="U692" s="150"/>
      <c r="V692" s="150"/>
      <c r="W692" s="150"/>
      <c r="X692" s="150"/>
      <c r="Y692" s="150"/>
      <c r="Z692" s="150"/>
    </row>
    <row r="693">
      <c r="A693" s="150"/>
      <c r="B693" s="155"/>
      <c r="C693" s="155"/>
      <c r="D693" s="155"/>
      <c r="E693" s="155"/>
      <c r="F693" s="150"/>
      <c r="G693" s="150"/>
      <c r="H693" s="150"/>
      <c r="I693" s="150"/>
      <c r="J693" s="150"/>
      <c r="K693" s="150"/>
      <c r="L693" s="150"/>
      <c r="M693" s="150"/>
      <c r="N693" s="150"/>
      <c r="O693" s="150"/>
      <c r="P693" s="150"/>
      <c r="Q693" s="150"/>
      <c r="R693" s="150"/>
      <c r="S693" s="150"/>
      <c r="T693" s="150"/>
      <c r="U693" s="150"/>
      <c r="V693" s="150"/>
      <c r="W693" s="150"/>
      <c r="X693" s="150"/>
      <c r="Y693" s="150"/>
      <c r="Z693" s="150"/>
    </row>
    <row r="694">
      <c r="A694" s="150"/>
      <c r="B694" s="155"/>
      <c r="C694" s="155"/>
      <c r="D694" s="155"/>
      <c r="E694" s="155"/>
      <c r="F694" s="150"/>
      <c r="G694" s="150"/>
      <c r="H694" s="150"/>
      <c r="I694" s="150"/>
      <c r="J694" s="150"/>
      <c r="K694" s="150"/>
      <c r="L694" s="150"/>
      <c r="M694" s="150"/>
      <c r="N694" s="150"/>
      <c r="O694" s="150"/>
      <c r="P694" s="150"/>
      <c r="Q694" s="150"/>
      <c r="R694" s="150"/>
      <c r="S694" s="150"/>
      <c r="T694" s="150"/>
      <c r="U694" s="150"/>
      <c r="V694" s="150"/>
      <c r="W694" s="150"/>
      <c r="X694" s="150"/>
      <c r="Y694" s="150"/>
      <c r="Z694" s="150"/>
    </row>
    <row r="695">
      <c r="A695" s="150"/>
      <c r="B695" s="155"/>
      <c r="C695" s="155"/>
      <c r="D695" s="155"/>
      <c r="E695" s="155"/>
      <c r="F695" s="150"/>
      <c r="G695" s="150"/>
      <c r="H695" s="150"/>
      <c r="I695" s="150"/>
      <c r="J695" s="150"/>
      <c r="K695" s="150"/>
      <c r="L695" s="150"/>
      <c r="M695" s="150"/>
      <c r="N695" s="150"/>
      <c r="O695" s="150"/>
      <c r="P695" s="150"/>
      <c r="Q695" s="150"/>
      <c r="R695" s="150"/>
      <c r="S695" s="150"/>
      <c r="T695" s="150"/>
      <c r="U695" s="150"/>
      <c r="V695" s="150"/>
      <c r="W695" s="150"/>
      <c r="X695" s="150"/>
      <c r="Y695" s="150"/>
      <c r="Z695" s="150"/>
    </row>
    <row r="696">
      <c r="A696" s="150"/>
      <c r="B696" s="155"/>
      <c r="C696" s="155"/>
      <c r="D696" s="155"/>
      <c r="E696" s="155"/>
      <c r="F696" s="150"/>
      <c r="G696" s="150"/>
      <c r="H696" s="150"/>
      <c r="I696" s="150"/>
      <c r="J696" s="150"/>
      <c r="K696" s="150"/>
      <c r="L696" s="150"/>
      <c r="M696" s="150"/>
      <c r="N696" s="150"/>
      <c r="O696" s="150"/>
      <c r="P696" s="150"/>
      <c r="Q696" s="150"/>
      <c r="R696" s="150"/>
      <c r="S696" s="150"/>
      <c r="T696" s="150"/>
      <c r="U696" s="150"/>
      <c r="V696" s="150"/>
      <c r="W696" s="150"/>
      <c r="X696" s="150"/>
      <c r="Y696" s="150"/>
      <c r="Z696" s="150"/>
    </row>
    <row r="697">
      <c r="A697" s="150"/>
      <c r="B697" s="155"/>
      <c r="C697" s="155"/>
      <c r="D697" s="155"/>
      <c r="E697" s="155"/>
      <c r="F697" s="150"/>
      <c r="G697" s="150"/>
      <c r="H697" s="150"/>
      <c r="I697" s="150"/>
      <c r="J697" s="150"/>
      <c r="K697" s="150"/>
      <c r="L697" s="150"/>
      <c r="M697" s="150"/>
      <c r="N697" s="150"/>
      <c r="O697" s="150"/>
      <c r="P697" s="150"/>
      <c r="Q697" s="150"/>
      <c r="R697" s="150"/>
      <c r="S697" s="150"/>
      <c r="T697" s="150"/>
      <c r="U697" s="150"/>
      <c r="V697" s="150"/>
      <c r="W697" s="150"/>
      <c r="X697" s="150"/>
      <c r="Y697" s="150"/>
      <c r="Z697" s="150"/>
    </row>
    <row r="698">
      <c r="A698" s="150"/>
      <c r="B698" s="155"/>
      <c r="C698" s="155"/>
      <c r="D698" s="155"/>
      <c r="E698" s="155"/>
      <c r="F698" s="150"/>
      <c r="G698" s="150"/>
      <c r="H698" s="150"/>
      <c r="I698" s="150"/>
      <c r="J698" s="150"/>
      <c r="K698" s="150"/>
      <c r="L698" s="150"/>
      <c r="M698" s="150"/>
      <c r="N698" s="150"/>
      <c r="O698" s="150"/>
      <c r="P698" s="150"/>
      <c r="Q698" s="150"/>
      <c r="R698" s="150"/>
      <c r="S698" s="150"/>
      <c r="T698" s="150"/>
      <c r="U698" s="150"/>
      <c r="V698" s="150"/>
      <c r="W698" s="150"/>
      <c r="X698" s="150"/>
      <c r="Y698" s="150"/>
      <c r="Z698" s="150"/>
    </row>
    <row r="699">
      <c r="A699" s="150"/>
      <c r="B699" s="155"/>
      <c r="C699" s="155"/>
      <c r="D699" s="155"/>
      <c r="E699" s="155"/>
      <c r="F699" s="150"/>
      <c r="G699" s="150"/>
      <c r="H699" s="150"/>
      <c r="I699" s="150"/>
      <c r="J699" s="150"/>
      <c r="K699" s="150"/>
      <c r="L699" s="150"/>
      <c r="M699" s="150"/>
      <c r="N699" s="150"/>
      <c r="O699" s="150"/>
      <c r="P699" s="150"/>
      <c r="Q699" s="150"/>
      <c r="R699" s="150"/>
      <c r="S699" s="150"/>
      <c r="T699" s="150"/>
      <c r="U699" s="150"/>
      <c r="V699" s="150"/>
      <c r="W699" s="150"/>
      <c r="X699" s="150"/>
      <c r="Y699" s="150"/>
      <c r="Z699" s="150"/>
    </row>
    <row r="700">
      <c r="A700" s="150"/>
      <c r="B700" s="155"/>
      <c r="C700" s="155"/>
      <c r="D700" s="155"/>
      <c r="E700" s="155"/>
      <c r="F700" s="150"/>
      <c r="G700" s="150"/>
      <c r="H700" s="150"/>
      <c r="I700" s="150"/>
      <c r="J700" s="150"/>
      <c r="K700" s="150"/>
      <c r="L700" s="150"/>
      <c r="M700" s="150"/>
      <c r="N700" s="150"/>
      <c r="O700" s="150"/>
      <c r="P700" s="150"/>
      <c r="Q700" s="150"/>
      <c r="R700" s="150"/>
      <c r="S700" s="150"/>
      <c r="T700" s="150"/>
      <c r="U700" s="150"/>
      <c r="V700" s="150"/>
      <c r="W700" s="150"/>
      <c r="X700" s="150"/>
      <c r="Y700" s="150"/>
      <c r="Z700" s="150"/>
    </row>
    <row r="701">
      <c r="A701" s="150"/>
      <c r="B701" s="155"/>
      <c r="C701" s="155"/>
      <c r="D701" s="155"/>
      <c r="E701" s="155"/>
      <c r="F701" s="150"/>
      <c r="G701" s="150"/>
      <c r="H701" s="150"/>
      <c r="I701" s="150"/>
      <c r="J701" s="150"/>
      <c r="K701" s="150"/>
      <c r="L701" s="150"/>
      <c r="M701" s="150"/>
      <c r="N701" s="150"/>
      <c r="O701" s="150"/>
      <c r="P701" s="150"/>
      <c r="Q701" s="150"/>
      <c r="R701" s="150"/>
      <c r="S701" s="150"/>
      <c r="T701" s="150"/>
      <c r="U701" s="150"/>
      <c r="V701" s="150"/>
      <c r="W701" s="150"/>
      <c r="X701" s="150"/>
      <c r="Y701" s="150"/>
      <c r="Z701" s="150"/>
    </row>
    <row r="702">
      <c r="A702" s="150"/>
      <c r="B702" s="155"/>
      <c r="C702" s="155"/>
      <c r="D702" s="155"/>
      <c r="E702" s="155"/>
      <c r="F702" s="150"/>
      <c r="G702" s="150"/>
      <c r="H702" s="150"/>
      <c r="I702" s="150"/>
      <c r="J702" s="150"/>
      <c r="K702" s="150"/>
      <c r="L702" s="150"/>
      <c r="M702" s="150"/>
      <c r="N702" s="150"/>
      <c r="O702" s="150"/>
      <c r="P702" s="150"/>
      <c r="Q702" s="150"/>
      <c r="R702" s="150"/>
      <c r="S702" s="150"/>
      <c r="T702" s="150"/>
      <c r="U702" s="150"/>
      <c r="V702" s="150"/>
      <c r="W702" s="150"/>
      <c r="X702" s="150"/>
      <c r="Y702" s="150"/>
      <c r="Z702" s="150"/>
    </row>
    <row r="703">
      <c r="A703" s="150"/>
      <c r="B703" s="155"/>
      <c r="C703" s="155"/>
      <c r="D703" s="155"/>
      <c r="E703" s="155"/>
      <c r="F703" s="150"/>
      <c r="G703" s="150"/>
      <c r="H703" s="150"/>
      <c r="I703" s="150"/>
      <c r="J703" s="150"/>
      <c r="K703" s="150"/>
      <c r="L703" s="150"/>
      <c r="M703" s="150"/>
      <c r="N703" s="150"/>
      <c r="O703" s="150"/>
      <c r="P703" s="150"/>
      <c r="Q703" s="150"/>
      <c r="R703" s="150"/>
      <c r="S703" s="150"/>
      <c r="T703" s="150"/>
      <c r="U703" s="150"/>
      <c r="V703" s="150"/>
      <c r="W703" s="150"/>
      <c r="X703" s="150"/>
      <c r="Y703" s="150"/>
      <c r="Z703" s="150"/>
    </row>
    <row r="704">
      <c r="A704" s="150"/>
      <c r="B704" s="155"/>
      <c r="C704" s="155"/>
      <c r="D704" s="155"/>
      <c r="E704" s="155"/>
      <c r="F704" s="150"/>
      <c r="G704" s="150"/>
      <c r="H704" s="150"/>
      <c r="I704" s="150"/>
      <c r="J704" s="150"/>
      <c r="K704" s="150"/>
      <c r="L704" s="150"/>
      <c r="M704" s="150"/>
      <c r="N704" s="150"/>
      <c r="O704" s="150"/>
      <c r="P704" s="150"/>
      <c r="Q704" s="150"/>
      <c r="R704" s="150"/>
      <c r="S704" s="150"/>
      <c r="T704" s="150"/>
      <c r="U704" s="150"/>
      <c r="V704" s="150"/>
      <c r="W704" s="150"/>
      <c r="X704" s="150"/>
      <c r="Y704" s="150"/>
      <c r="Z704" s="150"/>
    </row>
    <row r="705">
      <c r="A705" s="150"/>
      <c r="B705" s="155"/>
      <c r="C705" s="155"/>
      <c r="D705" s="155"/>
      <c r="E705" s="155"/>
      <c r="F705" s="150"/>
      <c r="G705" s="150"/>
      <c r="H705" s="150"/>
      <c r="I705" s="150"/>
      <c r="J705" s="150"/>
      <c r="K705" s="150"/>
      <c r="L705" s="150"/>
      <c r="M705" s="150"/>
      <c r="N705" s="150"/>
      <c r="O705" s="150"/>
      <c r="P705" s="150"/>
      <c r="Q705" s="150"/>
      <c r="R705" s="150"/>
      <c r="S705" s="150"/>
      <c r="T705" s="150"/>
      <c r="U705" s="150"/>
      <c r="V705" s="150"/>
      <c r="W705" s="150"/>
      <c r="X705" s="150"/>
      <c r="Y705" s="150"/>
      <c r="Z705" s="150"/>
    </row>
    <row r="706">
      <c r="A706" s="150"/>
      <c r="B706" s="155"/>
      <c r="C706" s="155"/>
      <c r="D706" s="155"/>
      <c r="E706" s="155"/>
      <c r="F706" s="150"/>
      <c r="G706" s="150"/>
      <c r="H706" s="150"/>
      <c r="I706" s="150"/>
      <c r="J706" s="150"/>
      <c r="K706" s="150"/>
      <c r="L706" s="150"/>
      <c r="M706" s="150"/>
      <c r="N706" s="150"/>
      <c r="O706" s="150"/>
      <c r="P706" s="150"/>
      <c r="Q706" s="150"/>
      <c r="R706" s="150"/>
      <c r="S706" s="150"/>
      <c r="T706" s="150"/>
      <c r="U706" s="150"/>
      <c r="V706" s="150"/>
      <c r="W706" s="150"/>
      <c r="X706" s="150"/>
      <c r="Y706" s="150"/>
      <c r="Z706" s="150"/>
    </row>
    <row r="707">
      <c r="A707" s="150"/>
      <c r="B707" s="155"/>
      <c r="C707" s="155"/>
      <c r="D707" s="155"/>
      <c r="E707" s="155"/>
      <c r="F707" s="150"/>
      <c r="G707" s="150"/>
      <c r="H707" s="150"/>
      <c r="I707" s="150"/>
      <c r="J707" s="150"/>
      <c r="K707" s="150"/>
      <c r="L707" s="150"/>
      <c r="M707" s="150"/>
      <c r="N707" s="150"/>
      <c r="O707" s="150"/>
      <c r="P707" s="150"/>
      <c r="Q707" s="150"/>
      <c r="R707" s="150"/>
      <c r="S707" s="150"/>
      <c r="T707" s="150"/>
      <c r="U707" s="150"/>
      <c r="V707" s="150"/>
      <c r="W707" s="150"/>
      <c r="X707" s="150"/>
      <c r="Y707" s="150"/>
      <c r="Z707" s="150"/>
    </row>
    <row r="708">
      <c r="A708" s="150"/>
      <c r="B708" s="155"/>
      <c r="C708" s="155"/>
      <c r="D708" s="155"/>
      <c r="E708" s="155"/>
      <c r="F708" s="150"/>
      <c r="G708" s="150"/>
      <c r="H708" s="150"/>
      <c r="I708" s="150"/>
      <c r="J708" s="150"/>
      <c r="K708" s="150"/>
      <c r="L708" s="150"/>
      <c r="M708" s="150"/>
      <c r="N708" s="150"/>
      <c r="O708" s="150"/>
      <c r="P708" s="150"/>
      <c r="Q708" s="150"/>
      <c r="R708" s="150"/>
      <c r="S708" s="150"/>
      <c r="T708" s="150"/>
      <c r="U708" s="150"/>
      <c r="V708" s="150"/>
      <c r="W708" s="150"/>
      <c r="X708" s="150"/>
      <c r="Y708" s="150"/>
      <c r="Z708" s="150"/>
    </row>
    <row r="709">
      <c r="A709" s="150"/>
      <c r="B709" s="155"/>
      <c r="C709" s="155"/>
      <c r="D709" s="155"/>
      <c r="E709" s="155"/>
      <c r="F709" s="150"/>
      <c r="G709" s="150"/>
      <c r="H709" s="150"/>
      <c r="I709" s="150"/>
      <c r="J709" s="150"/>
      <c r="K709" s="150"/>
      <c r="L709" s="150"/>
      <c r="M709" s="150"/>
      <c r="N709" s="150"/>
      <c r="O709" s="150"/>
      <c r="P709" s="150"/>
      <c r="Q709" s="150"/>
      <c r="R709" s="150"/>
      <c r="S709" s="150"/>
      <c r="T709" s="150"/>
      <c r="U709" s="150"/>
      <c r="V709" s="150"/>
      <c r="W709" s="150"/>
      <c r="X709" s="150"/>
      <c r="Y709" s="150"/>
      <c r="Z709" s="150"/>
    </row>
    <row r="710">
      <c r="A710" s="150"/>
      <c r="B710" s="155"/>
      <c r="C710" s="155"/>
      <c r="D710" s="155"/>
      <c r="E710" s="155"/>
      <c r="F710" s="150"/>
      <c r="G710" s="150"/>
      <c r="H710" s="150"/>
      <c r="I710" s="150"/>
      <c r="J710" s="150"/>
      <c r="K710" s="150"/>
      <c r="L710" s="150"/>
      <c r="M710" s="150"/>
      <c r="N710" s="150"/>
      <c r="O710" s="150"/>
      <c r="P710" s="150"/>
      <c r="Q710" s="150"/>
      <c r="R710" s="150"/>
      <c r="S710" s="150"/>
      <c r="T710" s="150"/>
      <c r="U710" s="150"/>
      <c r="V710" s="150"/>
      <c r="W710" s="150"/>
      <c r="X710" s="150"/>
      <c r="Y710" s="150"/>
      <c r="Z710" s="150"/>
    </row>
    <row r="711">
      <c r="A711" s="150"/>
      <c r="B711" s="155"/>
      <c r="C711" s="155"/>
      <c r="D711" s="155"/>
      <c r="E711" s="155"/>
      <c r="F711" s="150"/>
      <c r="G711" s="150"/>
      <c r="H711" s="150"/>
      <c r="I711" s="150"/>
      <c r="J711" s="150"/>
      <c r="K711" s="150"/>
      <c r="L711" s="150"/>
      <c r="M711" s="150"/>
      <c r="N711" s="150"/>
      <c r="O711" s="150"/>
      <c r="P711" s="150"/>
      <c r="Q711" s="150"/>
      <c r="R711" s="150"/>
      <c r="S711" s="150"/>
      <c r="T711" s="150"/>
      <c r="U711" s="150"/>
      <c r="V711" s="150"/>
      <c r="W711" s="150"/>
      <c r="X711" s="150"/>
      <c r="Y711" s="150"/>
      <c r="Z711" s="150"/>
    </row>
    <row r="712">
      <c r="A712" s="150"/>
      <c r="B712" s="155"/>
      <c r="C712" s="155"/>
      <c r="D712" s="155"/>
      <c r="E712" s="155"/>
      <c r="F712" s="150"/>
      <c r="G712" s="150"/>
      <c r="H712" s="150"/>
      <c r="I712" s="150"/>
      <c r="J712" s="150"/>
      <c r="K712" s="150"/>
      <c r="L712" s="150"/>
      <c r="M712" s="150"/>
      <c r="N712" s="150"/>
      <c r="O712" s="150"/>
      <c r="P712" s="150"/>
      <c r="Q712" s="150"/>
      <c r="R712" s="150"/>
      <c r="S712" s="150"/>
      <c r="T712" s="150"/>
      <c r="U712" s="150"/>
      <c r="V712" s="150"/>
      <c r="W712" s="150"/>
      <c r="X712" s="150"/>
      <c r="Y712" s="150"/>
      <c r="Z712" s="150"/>
    </row>
    <row r="713">
      <c r="A713" s="150"/>
      <c r="B713" s="155"/>
      <c r="C713" s="155"/>
      <c r="D713" s="155"/>
      <c r="E713" s="155"/>
      <c r="F713" s="150"/>
      <c r="G713" s="150"/>
      <c r="H713" s="150"/>
      <c r="I713" s="150"/>
      <c r="J713" s="150"/>
      <c r="K713" s="150"/>
      <c r="L713" s="150"/>
      <c r="M713" s="150"/>
      <c r="N713" s="150"/>
      <c r="O713" s="150"/>
      <c r="P713" s="150"/>
      <c r="Q713" s="150"/>
      <c r="R713" s="150"/>
      <c r="S713" s="150"/>
      <c r="T713" s="150"/>
      <c r="U713" s="150"/>
      <c r="V713" s="150"/>
      <c r="W713" s="150"/>
      <c r="X713" s="150"/>
      <c r="Y713" s="150"/>
      <c r="Z713" s="150"/>
    </row>
    <row r="714">
      <c r="A714" s="150"/>
      <c r="B714" s="155"/>
      <c r="C714" s="155"/>
      <c r="D714" s="155"/>
      <c r="E714" s="155"/>
      <c r="F714" s="150"/>
      <c r="G714" s="150"/>
      <c r="H714" s="150"/>
      <c r="I714" s="150"/>
      <c r="J714" s="150"/>
      <c r="K714" s="150"/>
      <c r="L714" s="150"/>
      <c r="M714" s="150"/>
      <c r="N714" s="150"/>
      <c r="O714" s="150"/>
      <c r="P714" s="150"/>
      <c r="Q714" s="150"/>
      <c r="R714" s="150"/>
      <c r="S714" s="150"/>
      <c r="T714" s="150"/>
      <c r="U714" s="150"/>
      <c r="V714" s="150"/>
      <c r="W714" s="150"/>
      <c r="X714" s="150"/>
      <c r="Y714" s="150"/>
      <c r="Z714" s="150"/>
    </row>
    <row r="715">
      <c r="A715" s="150"/>
      <c r="B715" s="155"/>
      <c r="C715" s="155"/>
      <c r="D715" s="155"/>
      <c r="E715" s="155"/>
      <c r="F715" s="150"/>
      <c r="G715" s="150"/>
      <c r="H715" s="150"/>
      <c r="I715" s="150"/>
      <c r="J715" s="150"/>
      <c r="K715" s="150"/>
      <c r="L715" s="150"/>
      <c r="M715" s="150"/>
      <c r="N715" s="150"/>
      <c r="O715" s="150"/>
      <c r="P715" s="150"/>
      <c r="Q715" s="150"/>
      <c r="R715" s="150"/>
      <c r="S715" s="150"/>
      <c r="T715" s="150"/>
      <c r="U715" s="150"/>
      <c r="V715" s="150"/>
      <c r="W715" s="150"/>
      <c r="X715" s="150"/>
      <c r="Y715" s="150"/>
      <c r="Z715" s="150"/>
    </row>
    <row r="716">
      <c r="A716" s="150"/>
      <c r="B716" s="155"/>
      <c r="C716" s="155"/>
      <c r="D716" s="155"/>
      <c r="E716" s="155"/>
      <c r="F716" s="150"/>
      <c r="G716" s="150"/>
      <c r="H716" s="150"/>
      <c r="I716" s="150"/>
      <c r="J716" s="150"/>
      <c r="K716" s="150"/>
      <c r="L716" s="150"/>
      <c r="M716" s="150"/>
      <c r="N716" s="150"/>
      <c r="O716" s="150"/>
      <c r="P716" s="150"/>
      <c r="Q716" s="150"/>
      <c r="R716" s="150"/>
      <c r="S716" s="150"/>
      <c r="T716" s="150"/>
      <c r="U716" s="150"/>
      <c r="V716" s="150"/>
      <c r="W716" s="150"/>
      <c r="X716" s="150"/>
      <c r="Y716" s="150"/>
      <c r="Z716" s="150"/>
    </row>
    <row r="717">
      <c r="A717" s="150"/>
      <c r="B717" s="155"/>
      <c r="C717" s="155"/>
      <c r="D717" s="155"/>
      <c r="E717" s="155"/>
      <c r="F717" s="150"/>
      <c r="G717" s="150"/>
      <c r="H717" s="150"/>
      <c r="I717" s="150"/>
      <c r="J717" s="150"/>
      <c r="K717" s="150"/>
      <c r="L717" s="150"/>
      <c r="M717" s="150"/>
      <c r="N717" s="150"/>
      <c r="O717" s="150"/>
      <c r="P717" s="150"/>
      <c r="Q717" s="150"/>
      <c r="R717" s="150"/>
      <c r="S717" s="150"/>
      <c r="T717" s="150"/>
      <c r="U717" s="150"/>
      <c r="V717" s="150"/>
      <c r="W717" s="150"/>
      <c r="X717" s="150"/>
      <c r="Y717" s="150"/>
      <c r="Z717" s="150"/>
    </row>
    <row r="718">
      <c r="A718" s="150"/>
      <c r="B718" s="155"/>
      <c r="C718" s="155"/>
      <c r="D718" s="155"/>
      <c r="E718" s="155"/>
      <c r="F718" s="150"/>
      <c r="G718" s="150"/>
      <c r="H718" s="150"/>
      <c r="I718" s="150"/>
      <c r="J718" s="150"/>
      <c r="K718" s="150"/>
      <c r="L718" s="150"/>
      <c r="M718" s="150"/>
      <c r="N718" s="150"/>
      <c r="O718" s="150"/>
      <c r="P718" s="150"/>
      <c r="Q718" s="150"/>
      <c r="R718" s="150"/>
      <c r="S718" s="150"/>
      <c r="T718" s="150"/>
      <c r="U718" s="150"/>
      <c r="V718" s="150"/>
      <c r="W718" s="150"/>
      <c r="X718" s="150"/>
      <c r="Y718" s="150"/>
      <c r="Z718" s="150"/>
    </row>
    <row r="719">
      <c r="A719" s="150"/>
      <c r="B719" s="155"/>
      <c r="C719" s="155"/>
      <c r="D719" s="155"/>
      <c r="E719" s="155"/>
      <c r="F719" s="150"/>
      <c r="G719" s="150"/>
      <c r="H719" s="150"/>
      <c r="I719" s="150"/>
      <c r="J719" s="150"/>
      <c r="K719" s="150"/>
      <c r="L719" s="150"/>
      <c r="M719" s="150"/>
      <c r="N719" s="150"/>
      <c r="O719" s="150"/>
      <c r="P719" s="150"/>
      <c r="Q719" s="150"/>
      <c r="R719" s="150"/>
      <c r="S719" s="150"/>
      <c r="T719" s="150"/>
      <c r="U719" s="150"/>
      <c r="V719" s="150"/>
      <c r="W719" s="150"/>
      <c r="X719" s="150"/>
      <c r="Y719" s="150"/>
      <c r="Z719" s="150"/>
    </row>
    <row r="720">
      <c r="A720" s="150"/>
      <c r="B720" s="155"/>
      <c r="C720" s="155"/>
      <c r="D720" s="155"/>
      <c r="E720" s="155"/>
      <c r="F720" s="150"/>
      <c r="G720" s="150"/>
      <c r="H720" s="150"/>
      <c r="I720" s="150"/>
      <c r="J720" s="150"/>
      <c r="K720" s="150"/>
      <c r="L720" s="150"/>
      <c r="M720" s="150"/>
      <c r="N720" s="150"/>
      <c r="O720" s="150"/>
      <c r="P720" s="150"/>
      <c r="Q720" s="150"/>
      <c r="R720" s="150"/>
      <c r="S720" s="150"/>
      <c r="T720" s="150"/>
      <c r="U720" s="150"/>
      <c r="V720" s="150"/>
      <c r="W720" s="150"/>
      <c r="X720" s="150"/>
      <c r="Y720" s="150"/>
      <c r="Z720" s="150"/>
    </row>
    <row r="721">
      <c r="A721" s="150"/>
      <c r="B721" s="155"/>
      <c r="C721" s="155"/>
      <c r="D721" s="155"/>
      <c r="E721" s="155"/>
      <c r="F721" s="150"/>
      <c r="G721" s="150"/>
      <c r="H721" s="150"/>
      <c r="I721" s="150"/>
      <c r="J721" s="150"/>
      <c r="K721" s="150"/>
      <c r="L721" s="150"/>
      <c r="M721" s="150"/>
      <c r="N721" s="150"/>
      <c r="O721" s="150"/>
      <c r="P721" s="150"/>
      <c r="Q721" s="150"/>
      <c r="R721" s="150"/>
      <c r="S721" s="150"/>
      <c r="T721" s="150"/>
      <c r="U721" s="150"/>
      <c r="V721" s="150"/>
      <c r="W721" s="150"/>
      <c r="X721" s="150"/>
      <c r="Y721" s="150"/>
      <c r="Z721" s="150"/>
    </row>
    <row r="722">
      <c r="A722" s="150"/>
      <c r="B722" s="155"/>
      <c r="C722" s="155"/>
      <c r="D722" s="155"/>
      <c r="E722" s="155"/>
      <c r="F722" s="150"/>
      <c r="G722" s="150"/>
      <c r="H722" s="150"/>
      <c r="I722" s="150"/>
      <c r="J722" s="150"/>
      <c r="K722" s="150"/>
      <c r="L722" s="150"/>
      <c r="M722" s="150"/>
      <c r="N722" s="150"/>
      <c r="O722" s="150"/>
      <c r="P722" s="150"/>
      <c r="Q722" s="150"/>
      <c r="R722" s="150"/>
      <c r="S722" s="150"/>
      <c r="T722" s="150"/>
      <c r="U722" s="150"/>
      <c r="V722" s="150"/>
      <c r="W722" s="150"/>
      <c r="X722" s="150"/>
      <c r="Y722" s="150"/>
      <c r="Z722" s="150"/>
    </row>
    <row r="723">
      <c r="A723" s="150"/>
      <c r="B723" s="155"/>
      <c r="C723" s="155"/>
      <c r="D723" s="155"/>
      <c r="E723" s="155"/>
      <c r="F723" s="150"/>
      <c r="G723" s="150"/>
      <c r="H723" s="150"/>
      <c r="I723" s="150"/>
      <c r="J723" s="150"/>
      <c r="K723" s="150"/>
      <c r="L723" s="150"/>
      <c r="M723" s="150"/>
      <c r="N723" s="150"/>
      <c r="O723" s="150"/>
      <c r="P723" s="150"/>
      <c r="Q723" s="150"/>
      <c r="R723" s="150"/>
      <c r="S723" s="150"/>
      <c r="T723" s="150"/>
      <c r="U723" s="150"/>
      <c r="V723" s="150"/>
      <c r="W723" s="150"/>
      <c r="X723" s="150"/>
      <c r="Y723" s="150"/>
      <c r="Z723" s="150"/>
    </row>
    <row r="724">
      <c r="A724" s="150"/>
      <c r="B724" s="155"/>
      <c r="C724" s="155"/>
      <c r="D724" s="155"/>
      <c r="E724" s="155"/>
      <c r="F724" s="150"/>
      <c r="G724" s="150"/>
      <c r="H724" s="150"/>
      <c r="I724" s="150"/>
      <c r="J724" s="150"/>
      <c r="K724" s="150"/>
      <c r="L724" s="150"/>
      <c r="M724" s="150"/>
      <c r="N724" s="150"/>
      <c r="O724" s="150"/>
      <c r="P724" s="150"/>
      <c r="Q724" s="150"/>
      <c r="R724" s="150"/>
      <c r="S724" s="150"/>
      <c r="T724" s="150"/>
      <c r="U724" s="150"/>
      <c r="V724" s="150"/>
      <c r="W724" s="150"/>
      <c r="X724" s="150"/>
      <c r="Y724" s="150"/>
      <c r="Z724" s="150"/>
    </row>
    <row r="725">
      <c r="A725" s="150"/>
      <c r="B725" s="155"/>
      <c r="C725" s="155"/>
      <c r="D725" s="155"/>
      <c r="E725" s="155"/>
      <c r="F725" s="150"/>
      <c r="G725" s="150"/>
      <c r="H725" s="150"/>
      <c r="I725" s="150"/>
      <c r="J725" s="150"/>
      <c r="K725" s="150"/>
      <c r="L725" s="150"/>
      <c r="M725" s="150"/>
      <c r="N725" s="150"/>
      <c r="O725" s="150"/>
      <c r="P725" s="150"/>
      <c r="Q725" s="150"/>
      <c r="R725" s="150"/>
      <c r="S725" s="150"/>
      <c r="T725" s="150"/>
      <c r="U725" s="150"/>
      <c r="V725" s="150"/>
      <c r="W725" s="150"/>
      <c r="X725" s="150"/>
      <c r="Y725" s="150"/>
      <c r="Z725" s="150"/>
    </row>
    <row r="726">
      <c r="A726" s="150"/>
      <c r="B726" s="155"/>
      <c r="C726" s="155"/>
      <c r="D726" s="155"/>
      <c r="E726" s="155"/>
      <c r="F726" s="150"/>
      <c r="G726" s="150"/>
      <c r="H726" s="150"/>
      <c r="I726" s="150"/>
      <c r="J726" s="150"/>
      <c r="K726" s="150"/>
      <c r="L726" s="150"/>
      <c r="M726" s="150"/>
      <c r="N726" s="150"/>
      <c r="O726" s="150"/>
      <c r="P726" s="150"/>
      <c r="Q726" s="150"/>
      <c r="R726" s="150"/>
      <c r="S726" s="150"/>
      <c r="T726" s="150"/>
      <c r="U726" s="150"/>
      <c r="V726" s="150"/>
      <c r="W726" s="150"/>
      <c r="X726" s="150"/>
      <c r="Y726" s="150"/>
      <c r="Z726" s="150"/>
    </row>
    <row r="727">
      <c r="A727" s="150"/>
      <c r="B727" s="155"/>
      <c r="C727" s="155"/>
      <c r="D727" s="155"/>
      <c r="E727" s="155"/>
      <c r="F727" s="150"/>
      <c r="G727" s="150"/>
      <c r="H727" s="150"/>
      <c r="I727" s="150"/>
      <c r="J727" s="150"/>
      <c r="K727" s="150"/>
      <c r="L727" s="150"/>
      <c r="M727" s="150"/>
      <c r="N727" s="150"/>
      <c r="O727" s="150"/>
      <c r="P727" s="150"/>
      <c r="Q727" s="150"/>
      <c r="R727" s="150"/>
      <c r="S727" s="150"/>
      <c r="T727" s="150"/>
      <c r="U727" s="150"/>
      <c r="V727" s="150"/>
      <c r="W727" s="150"/>
      <c r="X727" s="150"/>
      <c r="Y727" s="150"/>
      <c r="Z727" s="150"/>
    </row>
    <row r="728">
      <c r="A728" s="150"/>
      <c r="B728" s="155"/>
      <c r="C728" s="155"/>
      <c r="D728" s="155"/>
      <c r="E728" s="155"/>
      <c r="F728" s="150"/>
      <c r="G728" s="150"/>
      <c r="H728" s="150"/>
      <c r="I728" s="150"/>
      <c r="J728" s="150"/>
      <c r="K728" s="150"/>
      <c r="L728" s="150"/>
      <c r="M728" s="150"/>
      <c r="N728" s="150"/>
      <c r="O728" s="150"/>
      <c r="P728" s="150"/>
      <c r="Q728" s="150"/>
      <c r="R728" s="150"/>
      <c r="S728" s="150"/>
      <c r="T728" s="150"/>
      <c r="U728" s="150"/>
      <c r="V728" s="150"/>
      <c r="W728" s="150"/>
      <c r="X728" s="150"/>
      <c r="Y728" s="150"/>
      <c r="Z728" s="150"/>
    </row>
    <row r="729">
      <c r="A729" s="150"/>
      <c r="B729" s="155"/>
      <c r="C729" s="155"/>
      <c r="D729" s="155"/>
      <c r="E729" s="155"/>
      <c r="F729" s="150"/>
      <c r="G729" s="150"/>
      <c r="H729" s="150"/>
      <c r="I729" s="150"/>
      <c r="J729" s="150"/>
      <c r="K729" s="150"/>
      <c r="L729" s="150"/>
      <c r="M729" s="150"/>
      <c r="N729" s="150"/>
      <c r="O729" s="150"/>
      <c r="P729" s="150"/>
      <c r="Q729" s="150"/>
      <c r="R729" s="150"/>
      <c r="S729" s="150"/>
      <c r="T729" s="150"/>
      <c r="U729" s="150"/>
      <c r="V729" s="150"/>
      <c r="W729" s="150"/>
      <c r="X729" s="150"/>
      <c r="Y729" s="150"/>
      <c r="Z729" s="150"/>
    </row>
    <row r="730">
      <c r="A730" s="150"/>
      <c r="B730" s="155"/>
      <c r="C730" s="155"/>
      <c r="D730" s="155"/>
      <c r="E730" s="155"/>
      <c r="F730" s="150"/>
      <c r="G730" s="150"/>
      <c r="H730" s="150"/>
      <c r="I730" s="150"/>
      <c r="J730" s="150"/>
      <c r="K730" s="150"/>
      <c r="L730" s="150"/>
      <c r="M730" s="150"/>
      <c r="N730" s="150"/>
      <c r="O730" s="150"/>
      <c r="P730" s="150"/>
      <c r="Q730" s="150"/>
      <c r="R730" s="150"/>
      <c r="S730" s="150"/>
      <c r="T730" s="150"/>
      <c r="U730" s="150"/>
      <c r="V730" s="150"/>
      <c r="W730" s="150"/>
      <c r="X730" s="150"/>
      <c r="Y730" s="150"/>
      <c r="Z730" s="150"/>
    </row>
    <row r="731">
      <c r="A731" s="150"/>
      <c r="B731" s="155"/>
      <c r="C731" s="155"/>
      <c r="D731" s="155"/>
      <c r="E731" s="155"/>
      <c r="F731" s="150"/>
      <c r="G731" s="150"/>
      <c r="H731" s="150"/>
      <c r="I731" s="150"/>
      <c r="J731" s="150"/>
      <c r="K731" s="150"/>
      <c r="L731" s="150"/>
      <c r="M731" s="150"/>
      <c r="N731" s="150"/>
      <c r="O731" s="150"/>
      <c r="P731" s="150"/>
      <c r="Q731" s="150"/>
      <c r="R731" s="150"/>
      <c r="S731" s="150"/>
      <c r="T731" s="150"/>
      <c r="U731" s="150"/>
      <c r="V731" s="150"/>
      <c r="W731" s="150"/>
      <c r="X731" s="150"/>
      <c r="Y731" s="150"/>
      <c r="Z731" s="150"/>
    </row>
    <row r="732">
      <c r="A732" s="150"/>
      <c r="B732" s="155"/>
      <c r="C732" s="155"/>
      <c r="D732" s="155"/>
      <c r="E732" s="155"/>
      <c r="F732" s="150"/>
      <c r="G732" s="150"/>
      <c r="H732" s="150"/>
      <c r="I732" s="150"/>
      <c r="J732" s="150"/>
      <c r="K732" s="150"/>
      <c r="L732" s="150"/>
      <c r="M732" s="150"/>
      <c r="N732" s="150"/>
      <c r="O732" s="150"/>
      <c r="P732" s="150"/>
      <c r="Q732" s="150"/>
      <c r="R732" s="150"/>
      <c r="S732" s="150"/>
      <c r="T732" s="150"/>
      <c r="U732" s="150"/>
      <c r="V732" s="150"/>
      <c r="W732" s="150"/>
      <c r="X732" s="150"/>
      <c r="Y732" s="150"/>
      <c r="Z732" s="150"/>
    </row>
    <row r="733">
      <c r="A733" s="150"/>
      <c r="B733" s="155"/>
      <c r="C733" s="155"/>
      <c r="D733" s="155"/>
      <c r="E733" s="155"/>
      <c r="F733" s="150"/>
      <c r="G733" s="150"/>
      <c r="H733" s="150"/>
      <c r="I733" s="150"/>
      <c r="J733" s="150"/>
      <c r="K733" s="150"/>
      <c r="L733" s="150"/>
      <c r="M733" s="150"/>
      <c r="N733" s="150"/>
      <c r="O733" s="150"/>
      <c r="P733" s="150"/>
      <c r="Q733" s="150"/>
      <c r="R733" s="150"/>
      <c r="S733" s="150"/>
      <c r="T733" s="150"/>
      <c r="U733" s="150"/>
      <c r="V733" s="150"/>
      <c r="W733" s="150"/>
      <c r="X733" s="150"/>
      <c r="Y733" s="150"/>
      <c r="Z733" s="150"/>
    </row>
    <row r="734">
      <c r="A734" s="150"/>
      <c r="B734" s="155"/>
      <c r="C734" s="155"/>
      <c r="D734" s="155"/>
      <c r="E734" s="155"/>
      <c r="F734" s="150"/>
      <c r="G734" s="150"/>
      <c r="H734" s="150"/>
      <c r="I734" s="150"/>
      <c r="J734" s="150"/>
      <c r="K734" s="150"/>
      <c r="L734" s="150"/>
      <c r="M734" s="150"/>
      <c r="N734" s="150"/>
      <c r="O734" s="150"/>
      <c r="P734" s="150"/>
      <c r="Q734" s="150"/>
      <c r="R734" s="150"/>
      <c r="S734" s="150"/>
      <c r="T734" s="150"/>
      <c r="U734" s="150"/>
      <c r="V734" s="150"/>
      <c r="W734" s="150"/>
      <c r="X734" s="150"/>
      <c r="Y734" s="150"/>
      <c r="Z734" s="150"/>
    </row>
    <row r="735">
      <c r="A735" s="150"/>
      <c r="B735" s="155"/>
      <c r="C735" s="155"/>
      <c r="D735" s="155"/>
      <c r="E735" s="155"/>
      <c r="F735" s="150"/>
      <c r="G735" s="150"/>
      <c r="H735" s="150"/>
      <c r="I735" s="150"/>
      <c r="J735" s="150"/>
      <c r="K735" s="150"/>
      <c r="L735" s="150"/>
      <c r="M735" s="150"/>
      <c r="N735" s="150"/>
      <c r="O735" s="150"/>
      <c r="P735" s="150"/>
      <c r="Q735" s="150"/>
      <c r="R735" s="150"/>
      <c r="S735" s="150"/>
      <c r="T735" s="150"/>
      <c r="U735" s="150"/>
      <c r="V735" s="150"/>
      <c r="W735" s="150"/>
      <c r="X735" s="150"/>
      <c r="Y735" s="150"/>
      <c r="Z735" s="150"/>
    </row>
    <row r="736">
      <c r="A736" s="150"/>
      <c r="B736" s="155"/>
      <c r="C736" s="155"/>
      <c r="D736" s="155"/>
      <c r="E736" s="155"/>
      <c r="F736" s="150"/>
      <c r="G736" s="150"/>
      <c r="H736" s="150"/>
      <c r="I736" s="150"/>
      <c r="J736" s="150"/>
      <c r="K736" s="150"/>
      <c r="L736" s="150"/>
      <c r="M736" s="150"/>
      <c r="N736" s="150"/>
      <c r="O736" s="150"/>
      <c r="P736" s="150"/>
      <c r="Q736" s="150"/>
      <c r="R736" s="150"/>
      <c r="S736" s="150"/>
      <c r="T736" s="150"/>
      <c r="U736" s="150"/>
      <c r="V736" s="150"/>
      <c r="W736" s="150"/>
      <c r="X736" s="150"/>
      <c r="Y736" s="150"/>
      <c r="Z736" s="150"/>
    </row>
    <row r="737">
      <c r="A737" s="150"/>
      <c r="B737" s="155"/>
      <c r="C737" s="155"/>
      <c r="D737" s="155"/>
      <c r="E737" s="155"/>
      <c r="F737" s="150"/>
      <c r="G737" s="150"/>
      <c r="H737" s="150"/>
      <c r="I737" s="150"/>
      <c r="J737" s="150"/>
      <c r="K737" s="150"/>
      <c r="L737" s="150"/>
      <c r="M737" s="150"/>
      <c r="N737" s="150"/>
      <c r="O737" s="150"/>
      <c r="P737" s="150"/>
      <c r="Q737" s="150"/>
      <c r="R737" s="150"/>
      <c r="S737" s="150"/>
      <c r="T737" s="150"/>
      <c r="U737" s="150"/>
      <c r="V737" s="150"/>
      <c r="W737" s="150"/>
      <c r="X737" s="150"/>
      <c r="Y737" s="150"/>
      <c r="Z737" s="150"/>
    </row>
    <row r="738">
      <c r="A738" s="150"/>
      <c r="B738" s="155"/>
      <c r="C738" s="155"/>
      <c r="D738" s="155"/>
      <c r="E738" s="155"/>
      <c r="F738" s="150"/>
      <c r="G738" s="150"/>
      <c r="H738" s="150"/>
      <c r="I738" s="150"/>
      <c r="J738" s="150"/>
      <c r="K738" s="150"/>
      <c r="L738" s="150"/>
      <c r="M738" s="150"/>
      <c r="N738" s="150"/>
      <c r="O738" s="150"/>
      <c r="P738" s="150"/>
      <c r="Q738" s="150"/>
      <c r="R738" s="150"/>
      <c r="S738" s="150"/>
      <c r="T738" s="150"/>
      <c r="U738" s="150"/>
      <c r="V738" s="150"/>
      <c r="W738" s="150"/>
      <c r="X738" s="150"/>
      <c r="Y738" s="150"/>
      <c r="Z738" s="150"/>
    </row>
    <row r="739">
      <c r="A739" s="150"/>
      <c r="B739" s="155"/>
      <c r="C739" s="155"/>
      <c r="D739" s="155"/>
      <c r="E739" s="155"/>
      <c r="F739" s="150"/>
      <c r="G739" s="150"/>
      <c r="H739" s="150"/>
      <c r="I739" s="150"/>
      <c r="J739" s="150"/>
      <c r="K739" s="150"/>
      <c r="L739" s="150"/>
      <c r="M739" s="150"/>
      <c r="N739" s="150"/>
      <c r="O739" s="150"/>
      <c r="P739" s="150"/>
      <c r="Q739" s="150"/>
      <c r="R739" s="150"/>
      <c r="S739" s="150"/>
      <c r="T739" s="150"/>
      <c r="U739" s="150"/>
      <c r="V739" s="150"/>
      <c r="W739" s="150"/>
      <c r="X739" s="150"/>
      <c r="Y739" s="150"/>
      <c r="Z739" s="150"/>
    </row>
    <row r="740">
      <c r="A740" s="150"/>
      <c r="B740" s="155"/>
      <c r="C740" s="155"/>
      <c r="D740" s="155"/>
      <c r="E740" s="155"/>
      <c r="F740" s="150"/>
      <c r="G740" s="150"/>
      <c r="H740" s="150"/>
      <c r="I740" s="150"/>
      <c r="J740" s="150"/>
      <c r="K740" s="150"/>
      <c r="L740" s="150"/>
      <c r="M740" s="150"/>
      <c r="N740" s="150"/>
      <c r="O740" s="150"/>
      <c r="P740" s="150"/>
      <c r="Q740" s="150"/>
      <c r="R740" s="150"/>
      <c r="S740" s="150"/>
      <c r="T740" s="150"/>
      <c r="U740" s="150"/>
      <c r="V740" s="150"/>
      <c r="W740" s="150"/>
      <c r="X740" s="150"/>
      <c r="Y740" s="150"/>
      <c r="Z740" s="150"/>
    </row>
    <row r="741">
      <c r="A741" s="150"/>
      <c r="B741" s="155"/>
      <c r="C741" s="155"/>
      <c r="D741" s="155"/>
      <c r="E741" s="155"/>
      <c r="F741" s="150"/>
      <c r="G741" s="150"/>
      <c r="H741" s="150"/>
      <c r="I741" s="150"/>
      <c r="J741" s="150"/>
      <c r="K741" s="150"/>
      <c r="L741" s="150"/>
      <c r="M741" s="150"/>
      <c r="N741" s="150"/>
      <c r="O741" s="150"/>
      <c r="P741" s="150"/>
      <c r="Q741" s="150"/>
      <c r="R741" s="150"/>
      <c r="S741" s="150"/>
      <c r="T741" s="150"/>
      <c r="U741" s="150"/>
      <c r="V741" s="150"/>
      <c r="W741" s="150"/>
      <c r="X741" s="150"/>
      <c r="Y741" s="150"/>
      <c r="Z741" s="150"/>
    </row>
    <row r="742">
      <c r="A742" s="150"/>
      <c r="B742" s="155"/>
      <c r="C742" s="155"/>
      <c r="D742" s="155"/>
      <c r="E742" s="155"/>
      <c r="F742" s="150"/>
      <c r="G742" s="150"/>
      <c r="H742" s="150"/>
      <c r="I742" s="150"/>
      <c r="J742" s="150"/>
      <c r="K742" s="150"/>
      <c r="L742" s="150"/>
      <c r="M742" s="150"/>
      <c r="N742" s="150"/>
      <c r="O742" s="150"/>
      <c r="P742" s="150"/>
      <c r="Q742" s="150"/>
      <c r="R742" s="150"/>
      <c r="S742" s="150"/>
      <c r="T742" s="150"/>
      <c r="U742" s="150"/>
      <c r="V742" s="150"/>
      <c r="W742" s="150"/>
      <c r="X742" s="150"/>
      <c r="Y742" s="150"/>
      <c r="Z742" s="150"/>
    </row>
    <row r="743">
      <c r="A743" s="150"/>
      <c r="B743" s="155"/>
      <c r="C743" s="155"/>
      <c r="D743" s="155"/>
      <c r="E743" s="155"/>
      <c r="F743" s="150"/>
      <c r="G743" s="150"/>
      <c r="H743" s="150"/>
      <c r="I743" s="150"/>
      <c r="J743" s="150"/>
      <c r="K743" s="150"/>
      <c r="L743" s="150"/>
      <c r="M743" s="150"/>
      <c r="N743" s="150"/>
      <c r="O743" s="150"/>
      <c r="P743" s="150"/>
      <c r="Q743" s="150"/>
      <c r="R743" s="150"/>
      <c r="S743" s="150"/>
      <c r="T743" s="150"/>
      <c r="U743" s="150"/>
      <c r="V743" s="150"/>
      <c r="W743" s="150"/>
      <c r="X743" s="150"/>
      <c r="Y743" s="150"/>
      <c r="Z743" s="150"/>
    </row>
    <row r="744">
      <c r="A744" s="150"/>
      <c r="B744" s="155"/>
      <c r="C744" s="155"/>
      <c r="D744" s="155"/>
      <c r="E744" s="155"/>
      <c r="F744" s="150"/>
      <c r="G744" s="150"/>
      <c r="H744" s="150"/>
      <c r="I744" s="150"/>
      <c r="J744" s="150"/>
      <c r="K744" s="150"/>
      <c r="L744" s="150"/>
      <c r="M744" s="150"/>
      <c r="N744" s="150"/>
      <c r="O744" s="150"/>
      <c r="P744" s="150"/>
      <c r="Q744" s="150"/>
      <c r="R744" s="150"/>
      <c r="S744" s="150"/>
      <c r="T744" s="150"/>
      <c r="U744" s="150"/>
      <c r="V744" s="150"/>
      <c r="W744" s="150"/>
      <c r="X744" s="150"/>
      <c r="Y744" s="150"/>
      <c r="Z744" s="150"/>
    </row>
    <row r="745">
      <c r="A745" s="150"/>
      <c r="B745" s="155"/>
      <c r="C745" s="155"/>
      <c r="D745" s="155"/>
      <c r="E745" s="155"/>
      <c r="F745" s="150"/>
      <c r="G745" s="150"/>
      <c r="H745" s="150"/>
      <c r="I745" s="150"/>
      <c r="J745" s="150"/>
      <c r="K745" s="150"/>
      <c r="L745" s="150"/>
      <c r="M745" s="150"/>
      <c r="N745" s="150"/>
      <c r="O745" s="150"/>
      <c r="P745" s="150"/>
      <c r="Q745" s="150"/>
      <c r="R745" s="150"/>
      <c r="S745" s="150"/>
      <c r="T745" s="150"/>
      <c r="U745" s="150"/>
      <c r="V745" s="150"/>
      <c r="W745" s="150"/>
      <c r="X745" s="150"/>
      <c r="Y745" s="150"/>
      <c r="Z745" s="150"/>
    </row>
    <row r="746">
      <c r="A746" s="150"/>
      <c r="B746" s="155"/>
      <c r="C746" s="155"/>
      <c r="D746" s="155"/>
      <c r="E746" s="155"/>
      <c r="F746" s="150"/>
      <c r="G746" s="150"/>
      <c r="H746" s="150"/>
      <c r="I746" s="150"/>
      <c r="J746" s="150"/>
      <c r="K746" s="150"/>
      <c r="L746" s="150"/>
      <c r="M746" s="150"/>
      <c r="N746" s="150"/>
      <c r="O746" s="150"/>
      <c r="P746" s="150"/>
      <c r="Q746" s="150"/>
      <c r="R746" s="150"/>
      <c r="S746" s="150"/>
      <c r="T746" s="150"/>
      <c r="U746" s="150"/>
      <c r="V746" s="150"/>
      <c r="W746" s="150"/>
      <c r="X746" s="150"/>
      <c r="Y746" s="150"/>
      <c r="Z746" s="150"/>
    </row>
    <row r="747">
      <c r="A747" s="150"/>
      <c r="B747" s="155"/>
      <c r="C747" s="155"/>
      <c r="D747" s="155"/>
      <c r="E747" s="155"/>
      <c r="F747" s="150"/>
      <c r="G747" s="150"/>
      <c r="H747" s="150"/>
      <c r="I747" s="150"/>
      <c r="J747" s="150"/>
      <c r="K747" s="150"/>
      <c r="L747" s="150"/>
      <c r="M747" s="150"/>
      <c r="N747" s="150"/>
      <c r="O747" s="150"/>
      <c r="P747" s="150"/>
      <c r="Q747" s="150"/>
      <c r="R747" s="150"/>
      <c r="S747" s="150"/>
      <c r="T747" s="150"/>
      <c r="U747" s="150"/>
      <c r="V747" s="150"/>
      <c r="W747" s="150"/>
      <c r="X747" s="150"/>
      <c r="Y747" s="150"/>
      <c r="Z747" s="150"/>
    </row>
    <row r="748">
      <c r="A748" s="150"/>
      <c r="B748" s="155"/>
      <c r="C748" s="155"/>
      <c r="D748" s="155"/>
      <c r="E748" s="155"/>
      <c r="F748" s="150"/>
      <c r="G748" s="150"/>
      <c r="H748" s="150"/>
      <c r="I748" s="150"/>
      <c r="J748" s="150"/>
      <c r="K748" s="150"/>
      <c r="L748" s="150"/>
      <c r="M748" s="150"/>
      <c r="N748" s="150"/>
      <c r="O748" s="150"/>
      <c r="P748" s="150"/>
      <c r="Q748" s="150"/>
      <c r="R748" s="150"/>
      <c r="S748" s="150"/>
      <c r="T748" s="150"/>
      <c r="U748" s="150"/>
      <c r="V748" s="150"/>
      <c r="W748" s="150"/>
      <c r="X748" s="150"/>
      <c r="Y748" s="150"/>
      <c r="Z748" s="150"/>
    </row>
    <row r="749">
      <c r="A749" s="150"/>
      <c r="B749" s="155"/>
      <c r="C749" s="155"/>
      <c r="D749" s="155"/>
      <c r="E749" s="155"/>
      <c r="F749" s="150"/>
      <c r="G749" s="150"/>
      <c r="H749" s="150"/>
      <c r="I749" s="150"/>
      <c r="J749" s="150"/>
      <c r="K749" s="150"/>
      <c r="L749" s="150"/>
      <c r="M749" s="150"/>
      <c r="N749" s="150"/>
      <c r="O749" s="150"/>
      <c r="P749" s="150"/>
      <c r="Q749" s="150"/>
      <c r="R749" s="150"/>
      <c r="S749" s="150"/>
      <c r="T749" s="150"/>
      <c r="U749" s="150"/>
      <c r="V749" s="150"/>
      <c r="W749" s="150"/>
      <c r="X749" s="150"/>
      <c r="Y749" s="150"/>
      <c r="Z749" s="150"/>
    </row>
    <row r="750">
      <c r="A750" s="150"/>
      <c r="B750" s="155"/>
      <c r="C750" s="155"/>
      <c r="D750" s="155"/>
      <c r="E750" s="155"/>
      <c r="F750" s="150"/>
      <c r="G750" s="150"/>
      <c r="H750" s="150"/>
      <c r="I750" s="150"/>
      <c r="J750" s="150"/>
      <c r="K750" s="150"/>
      <c r="L750" s="150"/>
      <c r="M750" s="150"/>
      <c r="N750" s="150"/>
      <c r="O750" s="150"/>
      <c r="P750" s="150"/>
      <c r="Q750" s="150"/>
      <c r="R750" s="150"/>
      <c r="S750" s="150"/>
      <c r="T750" s="150"/>
      <c r="U750" s="150"/>
      <c r="V750" s="150"/>
      <c r="W750" s="150"/>
      <c r="X750" s="150"/>
      <c r="Y750" s="150"/>
      <c r="Z750" s="150"/>
    </row>
    <row r="751">
      <c r="A751" s="150"/>
      <c r="B751" s="155"/>
      <c r="C751" s="155"/>
      <c r="D751" s="155"/>
      <c r="E751" s="155"/>
      <c r="F751" s="150"/>
      <c r="G751" s="150"/>
      <c r="H751" s="150"/>
      <c r="I751" s="150"/>
      <c r="J751" s="150"/>
      <c r="K751" s="150"/>
      <c r="L751" s="150"/>
      <c r="M751" s="150"/>
      <c r="N751" s="150"/>
      <c r="O751" s="150"/>
      <c r="P751" s="150"/>
      <c r="Q751" s="150"/>
      <c r="R751" s="150"/>
      <c r="S751" s="150"/>
      <c r="T751" s="150"/>
      <c r="U751" s="150"/>
      <c r="V751" s="150"/>
      <c r="W751" s="150"/>
      <c r="X751" s="150"/>
      <c r="Y751" s="150"/>
      <c r="Z751" s="150"/>
    </row>
    <row r="752">
      <c r="A752" s="150"/>
      <c r="B752" s="155"/>
      <c r="C752" s="155"/>
      <c r="D752" s="155"/>
      <c r="E752" s="155"/>
      <c r="F752" s="150"/>
      <c r="G752" s="150"/>
      <c r="H752" s="150"/>
      <c r="I752" s="150"/>
      <c r="J752" s="150"/>
      <c r="K752" s="150"/>
      <c r="L752" s="150"/>
      <c r="M752" s="150"/>
      <c r="N752" s="150"/>
      <c r="O752" s="150"/>
      <c r="P752" s="150"/>
      <c r="Q752" s="150"/>
      <c r="R752" s="150"/>
      <c r="S752" s="150"/>
      <c r="T752" s="150"/>
      <c r="U752" s="150"/>
      <c r="V752" s="150"/>
      <c r="W752" s="150"/>
      <c r="X752" s="150"/>
      <c r="Y752" s="150"/>
      <c r="Z752" s="150"/>
    </row>
    <row r="753">
      <c r="A753" s="150"/>
      <c r="B753" s="155"/>
      <c r="C753" s="155"/>
      <c r="D753" s="155"/>
      <c r="E753" s="155"/>
      <c r="F753" s="150"/>
      <c r="G753" s="150"/>
      <c r="H753" s="150"/>
      <c r="I753" s="150"/>
      <c r="J753" s="150"/>
      <c r="K753" s="150"/>
      <c r="L753" s="150"/>
      <c r="M753" s="150"/>
      <c r="N753" s="150"/>
      <c r="O753" s="150"/>
      <c r="P753" s="150"/>
      <c r="Q753" s="150"/>
      <c r="R753" s="150"/>
      <c r="S753" s="150"/>
      <c r="T753" s="150"/>
      <c r="U753" s="150"/>
      <c r="V753" s="150"/>
      <c r="W753" s="150"/>
      <c r="X753" s="150"/>
      <c r="Y753" s="150"/>
      <c r="Z753" s="150"/>
    </row>
    <row r="754">
      <c r="A754" s="150"/>
      <c r="B754" s="155"/>
      <c r="C754" s="155"/>
      <c r="D754" s="155"/>
      <c r="E754" s="155"/>
      <c r="F754" s="150"/>
      <c r="G754" s="150"/>
      <c r="H754" s="150"/>
      <c r="I754" s="150"/>
      <c r="J754" s="150"/>
      <c r="K754" s="150"/>
      <c r="L754" s="150"/>
      <c r="M754" s="150"/>
      <c r="N754" s="150"/>
      <c r="O754" s="150"/>
      <c r="P754" s="150"/>
      <c r="Q754" s="150"/>
      <c r="R754" s="150"/>
      <c r="S754" s="150"/>
      <c r="T754" s="150"/>
      <c r="U754" s="150"/>
      <c r="V754" s="150"/>
      <c r="W754" s="150"/>
      <c r="X754" s="150"/>
      <c r="Y754" s="150"/>
      <c r="Z754" s="150"/>
    </row>
    <row r="755">
      <c r="A755" s="150"/>
      <c r="B755" s="155"/>
      <c r="C755" s="155"/>
      <c r="D755" s="155"/>
      <c r="E755" s="155"/>
      <c r="F755" s="150"/>
      <c r="G755" s="150"/>
      <c r="H755" s="150"/>
      <c r="I755" s="150"/>
      <c r="J755" s="150"/>
      <c r="K755" s="150"/>
      <c r="L755" s="150"/>
      <c r="M755" s="150"/>
      <c r="N755" s="150"/>
      <c r="O755" s="150"/>
      <c r="P755" s="150"/>
      <c r="Q755" s="150"/>
      <c r="R755" s="150"/>
      <c r="S755" s="150"/>
      <c r="T755" s="150"/>
      <c r="U755" s="150"/>
      <c r="V755" s="150"/>
      <c r="W755" s="150"/>
      <c r="X755" s="150"/>
      <c r="Y755" s="150"/>
      <c r="Z755" s="150"/>
    </row>
    <row r="756">
      <c r="A756" s="150"/>
      <c r="B756" s="155"/>
      <c r="C756" s="155"/>
      <c r="D756" s="155"/>
      <c r="E756" s="155"/>
      <c r="F756" s="150"/>
      <c r="G756" s="150"/>
      <c r="H756" s="150"/>
      <c r="I756" s="150"/>
      <c r="J756" s="150"/>
      <c r="K756" s="150"/>
      <c r="L756" s="150"/>
      <c r="M756" s="150"/>
      <c r="N756" s="150"/>
      <c r="O756" s="150"/>
      <c r="P756" s="150"/>
      <c r="Q756" s="150"/>
      <c r="R756" s="150"/>
      <c r="S756" s="150"/>
      <c r="T756" s="150"/>
      <c r="U756" s="150"/>
      <c r="V756" s="150"/>
      <c r="W756" s="150"/>
      <c r="X756" s="150"/>
      <c r="Y756" s="150"/>
      <c r="Z756" s="150"/>
    </row>
    <row r="757">
      <c r="A757" s="150"/>
      <c r="B757" s="155"/>
      <c r="C757" s="155"/>
      <c r="D757" s="155"/>
      <c r="E757" s="155"/>
      <c r="F757" s="150"/>
      <c r="G757" s="150"/>
      <c r="H757" s="150"/>
      <c r="I757" s="150"/>
      <c r="J757" s="150"/>
      <c r="K757" s="150"/>
      <c r="L757" s="150"/>
      <c r="M757" s="150"/>
      <c r="N757" s="150"/>
      <c r="O757" s="150"/>
      <c r="P757" s="150"/>
      <c r="Q757" s="150"/>
      <c r="R757" s="150"/>
      <c r="S757" s="150"/>
      <c r="T757" s="150"/>
      <c r="U757" s="150"/>
      <c r="V757" s="150"/>
      <c r="W757" s="150"/>
      <c r="X757" s="150"/>
      <c r="Y757" s="150"/>
      <c r="Z757" s="150"/>
    </row>
    <row r="758">
      <c r="A758" s="150"/>
      <c r="B758" s="155"/>
      <c r="C758" s="155"/>
      <c r="D758" s="155"/>
      <c r="E758" s="155"/>
      <c r="F758" s="150"/>
      <c r="G758" s="150"/>
      <c r="H758" s="150"/>
      <c r="I758" s="150"/>
      <c r="J758" s="150"/>
      <c r="K758" s="150"/>
      <c r="L758" s="150"/>
      <c r="M758" s="150"/>
      <c r="N758" s="150"/>
      <c r="O758" s="150"/>
      <c r="P758" s="150"/>
      <c r="Q758" s="150"/>
      <c r="R758" s="150"/>
      <c r="S758" s="150"/>
      <c r="T758" s="150"/>
      <c r="U758" s="150"/>
      <c r="V758" s="150"/>
      <c r="W758" s="150"/>
      <c r="X758" s="150"/>
      <c r="Y758" s="150"/>
      <c r="Z758" s="150"/>
    </row>
    <row r="759">
      <c r="A759" s="150"/>
      <c r="B759" s="155"/>
      <c r="C759" s="155"/>
      <c r="D759" s="155"/>
      <c r="E759" s="155"/>
      <c r="F759" s="150"/>
      <c r="G759" s="150"/>
      <c r="H759" s="150"/>
      <c r="I759" s="150"/>
      <c r="J759" s="150"/>
      <c r="K759" s="150"/>
      <c r="L759" s="150"/>
      <c r="M759" s="150"/>
      <c r="N759" s="150"/>
      <c r="O759" s="150"/>
      <c r="P759" s="150"/>
      <c r="Q759" s="150"/>
      <c r="R759" s="150"/>
      <c r="S759" s="150"/>
      <c r="T759" s="150"/>
      <c r="U759" s="150"/>
      <c r="V759" s="150"/>
      <c r="W759" s="150"/>
      <c r="X759" s="150"/>
      <c r="Y759" s="150"/>
      <c r="Z759" s="150"/>
    </row>
    <row r="760">
      <c r="A760" s="150"/>
      <c r="B760" s="155"/>
      <c r="C760" s="155"/>
      <c r="D760" s="155"/>
      <c r="E760" s="155"/>
      <c r="F760" s="150"/>
      <c r="G760" s="150"/>
      <c r="H760" s="150"/>
      <c r="I760" s="150"/>
      <c r="J760" s="150"/>
      <c r="K760" s="150"/>
      <c r="L760" s="150"/>
      <c r="M760" s="150"/>
      <c r="N760" s="150"/>
      <c r="O760" s="150"/>
      <c r="P760" s="150"/>
      <c r="Q760" s="150"/>
      <c r="R760" s="150"/>
      <c r="S760" s="150"/>
      <c r="T760" s="150"/>
      <c r="U760" s="150"/>
      <c r="V760" s="150"/>
      <c r="W760" s="150"/>
      <c r="X760" s="150"/>
      <c r="Y760" s="150"/>
      <c r="Z760" s="150"/>
    </row>
    <row r="761">
      <c r="A761" s="150"/>
      <c r="B761" s="155"/>
      <c r="C761" s="155"/>
      <c r="D761" s="155"/>
      <c r="E761" s="155"/>
      <c r="F761" s="150"/>
      <c r="G761" s="150"/>
      <c r="H761" s="150"/>
      <c r="I761" s="150"/>
      <c r="J761" s="150"/>
      <c r="K761" s="150"/>
      <c r="L761" s="150"/>
      <c r="M761" s="150"/>
      <c r="N761" s="150"/>
      <c r="O761" s="150"/>
      <c r="P761" s="150"/>
      <c r="Q761" s="150"/>
      <c r="R761" s="150"/>
      <c r="S761" s="150"/>
      <c r="T761" s="150"/>
      <c r="U761" s="150"/>
      <c r="V761" s="150"/>
      <c r="W761" s="150"/>
      <c r="X761" s="150"/>
      <c r="Y761" s="150"/>
      <c r="Z761" s="150"/>
    </row>
    <row r="762">
      <c r="A762" s="150"/>
      <c r="B762" s="155"/>
      <c r="C762" s="155"/>
      <c r="D762" s="155"/>
      <c r="E762" s="155"/>
      <c r="F762" s="150"/>
      <c r="G762" s="150"/>
      <c r="H762" s="150"/>
      <c r="I762" s="150"/>
      <c r="J762" s="150"/>
      <c r="K762" s="150"/>
      <c r="L762" s="150"/>
      <c r="M762" s="150"/>
      <c r="N762" s="150"/>
      <c r="O762" s="150"/>
      <c r="P762" s="150"/>
      <c r="Q762" s="150"/>
      <c r="R762" s="150"/>
      <c r="S762" s="150"/>
      <c r="T762" s="150"/>
      <c r="U762" s="150"/>
      <c r="V762" s="150"/>
      <c r="W762" s="150"/>
      <c r="X762" s="150"/>
      <c r="Y762" s="150"/>
      <c r="Z762" s="150"/>
    </row>
    <row r="763">
      <c r="A763" s="150"/>
      <c r="B763" s="155"/>
      <c r="C763" s="155"/>
      <c r="D763" s="155"/>
      <c r="E763" s="155"/>
      <c r="F763" s="150"/>
      <c r="G763" s="150"/>
      <c r="H763" s="150"/>
      <c r="I763" s="150"/>
      <c r="J763" s="150"/>
      <c r="K763" s="150"/>
      <c r="L763" s="150"/>
      <c r="M763" s="150"/>
      <c r="N763" s="150"/>
      <c r="O763" s="150"/>
      <c r="P763" s="150"/>
      <c r="Q763" s="150"/>
      <c r="R763" s="150"/>
      <c r="S763" s="150"/>
      <c r="T763" s="150"/>
      <c r="U763" s="150"/>
      <c r="V763" s="150"/>
      <c r="W763" s="150"/>
      <c r="X763" s="150"/>
      <c r="Y763" s="150"/>
      <c r="Z763" s="150"/>
    </row>
    <row r="764">
      <c r="A764" s="150"/>
      <c r="B764" s="155"/>
      <c r="C764" s="155"/>
      <c r="D764" s="155"/>
      <c r="E764" s="155"/>
      <c r="F764" s="150"/>
      <c r="G764" s="150"/>
      <c r="H764" s="150"/>
      <c r="I764" s="150"/>
      <c r="J764" s="150"/>
      <c r="K764" s="150"/>
      <c r="L764" s="150"/>
      <c r="M764" s="150"/>
      <c r="N764" s="150"/>
      <c r="O764" s="150"/>
      <c r="P764" s="150"/>
      <c r="Q764" s="150"/>
      <c r="R764" s="150"/>
      <c r="S764" s="150"/>
      <c r="T764" s="150"/>
      <c r="U764" s="150"/>
      <c r="V764" s="150"/>
      <c r="W764" s="150"/>
      <c r="X764" s="150"/>
      <c r="Y764" s="150"/>
      <c r="Z764" s="150"/>
    </row>
    <row r="765">
      <c r="A765" s="150"/>
      <c r="B765" s="155"/>
      <c r="C765" s="155"/>
      <c r="D765" s="155"/>
      <c r="E765" s="155"/>
      <c r="F765" s="150"/>
      <c r="G765" s="150"/>
      <c r="H765" s="150"/>
      <c r="I765" s="150"/>
      <c r="J765" s="150"/>
      <c r="K765" s="150"/>
      <c r="L765" s="150"/>
      <c r="M765" s="150"/>
      <c r="N765" s="150"/>
      <c r="O765" s="150"/>
      <c r="P765" s="150"/>
      <c r="Q765" s="150"/>
      <c r="R765" s="150"/>
      <c r="S765" s="150"/>
      <c r="T765" s="150"/>
      <c r="U765" s="150"/>
      <c r="V765" s="150"/>
      <c r="W765" s="150"/>
      <c r="X765" s="150"/>
      <c r="Y765" s="150"/>
      <c r="Z765" s="150"/>
    </row>
    <row r="766">
      <c r="A766" s="150"/>
      <c r="B766" s="155"/>
      <c r="C766" s="155"/>
      <c r="D766" s="155"/>
      <c r="E766" s="155"/>
      <c r="F766" s="150"/>
      <c r="G766" s="150"/>
      <c r="H766" s="150"/>
      <c r="I766" s="150"/>
      <c r="J766" s="150"/>
      <c r="K766" s="150"/>
      <c r="L766" s="150"/>
      <c r="M766" s="150"/>
      <c r="N766" s="150"/>
      <c r="O766" s="150"/>
      <c r="P766" s="150"/>
      <c r="Q766" s="150"/>
      <c r="R766" s="150"/>
      <c r="S766" s="150"/>
      <c r="T766" s="150"/>
      <c r="U766" s="150"/>
      <c r="V766" s="150"/>
      <c r="W766" s="150"/>
      <c r="X766" s="150"/>
      <c r="Y766" s="150"/>
      <c r="Z766" s="150"/>
    </row>
    <row r="767">
      <c r="A767" s="150"/>
      <c r="B767" s="155"/>
      <c r="C767" s="155"/>
      <c r="D767" s="155"/>
      <c r="E767" s="155"/>
      <c r="F767" s="150"/>
      <c r="G767" s="150"/>
      <c r="H767" s="150"/>
      <c r="I767" s="150"/>
      <c r="J767" s="150"/>
      <c r="K767" s="150"/>
      <c r="L767" s="150"/>
      <c r="M767" s="150"/>
      <c r="N767" s="150"/>
      <c r="O767" s="150"/>
      <c r="P767" s="150"/>
      <c r="Q767" s="150"/>
      <c r="R767" s="150"/>
      <c r="S767" s="150"/>
      <c r="T767" s="150"/>
      <c r="U767" s="150"/>
      <c r="V767" s="150"/>
      <c r="W767" s="150"/>
      <c r="X767" s="150"/>
      <c r="Y767" s="150"/>
      <c r="Z767" s="150"/>
    </row>
    <row r="768">
      <c r="A768" s="150"/>
      <c r="B768" s="155"/>
      <c r="C768" s="155"/>
      <c r="D768" s="155"/>
      <c r="E768" s="155"/>
      <c r="F768" s="150"/>
      <c r="G768" s="150"/>
      <c r="H768" s="150"/>
      <c r="I768" s="150"/>
      <c r="J768" s="150"/>
      <c r="K768" s="150"/>
      <c r="L768" s="150"/>
      <c r="M768" s="150"/>
      <c r="N768" s="150"/>
      <c r="O768" s="150"/>
      <c r="P768" s="150"/>
      <c r="Q768" s="150"/>
      <c r="R768" s="150"/>
      <c r="S768" s="150"/>
      <c r="T768" s="150"/>
      <c r="U768" s="150"/>
      <c r="V768" s="150"/>
      <c r="W768" s="150"/>
      <c r="X768" s="150"/>
      <c r="Y768" s="150"/>
      <c r="Z768" s="150"/>
    </row>
    <row r="769">
      <c r="A769" s="150"/>
      <c r="B769" s="155"/>
      <c r="C769" s="155"/>
      <c r="D769" s="155"/>
      <c r="E769" s="155"/>
      <c r="F769" s="150"/>
      <c r="G769" s="150"/>
      <c r="H769" s="150"/>
      <c r="I769" s="150"/>
      <c r="J769" s="150"/>
      <c r="K769" s="150"/>
      <c r="L769" s="150"/>
      <c r="M769" s="150"/>
      <c r="N769" s="150"/>
      <c r="O769" s="150"/>
      <c r="P769" s="150"/>
      <c r="Q769" s="150"/>
      <c r="R769" s="150"/>
      <c r="S769" s="150"/>
      <c r="T769" s="150"/>
      <c r="U769" s="150"/>
      <c r="V769" s="150"/>
      <c r="W769" s="150"/>
      <c r="X769" s="150"/>
      <c r="Y769" s="150"/>
      <c r="Z769" s="150"/>
    </row>
    <row r="770">
      <c r="A770" s="150"/>
      <c r="B770" s="155"/>
      <c r="C770" s="155"/>
      <c r="D770" s="155"/>
      <c r="E770" s="155"/>
      <c r="F770" s="150"/>
      <c r="G770" s="150"/>
      <c r="H770" s="150"/>
      <c r="I770" s="150"/>
      <c r="J770" s="150"/>
      <c r="K770" s="150"/>
      <c r="L770" s="150"/>
      <c r="M770" s="150"/>
      <c r="N770" s="150"/>
      <c r="O770" s="150"/>
      <c r="P770" s="150"/>
      <c r="Q770" s="150"/>
      <c r="R770" s="150"/>
      <c r="S770" s="150"/>
      <c r="T770" s="150"/>
      <c r="U770" s="150"/>
      <c r="V770" s="150"/>
      <c r="W770" s="150"/>
      <c r="X770" s="150"/>
      <c r="Y770" s="150"/>
      <c r="Z770" s="150"/>
    </row>
    <row r="771">
      <c r="A771" s="150"/>
      <c r="B771" s="155"/>
      <c r="C771" s="155"/>
      <c r="D771" s="155"/>
      <c r="E771" s="155"/>
      <c r="F771" s="150"/>
      <c r="G771" s="150"/>
      <c r="H771" s="150"/>
      <c r="I771" s="150"/>
      <c r="J771" s="150"/>
      <c r="K771" s="150"/>
      <c r="L771" s="150"/>
      <c r="M771" s="150"/>
      <c r="N771" s="150"/>
      <c r="O771" s="150"/>
      <c r="P771" s="150"/>
      <c r="Q771" s="150"/>
      <c r="R771" s="150"/>
      <c r="S771" s="150"/>
      <c r="T771" s="150"/>
      <c r="U771" s="150"/>
      <c r="V771" s="150"/>
      <c r="W771" s="150"/>
      <c r="X771" s="150"/>
      <c r="Y771" s="150"/>
      <c r="Z771" s="150"/>
    </row>
    <row r="772">
      <c r="A772" s="150"/>
      <c r="B772" s="155"/>
      <c r="C772" s="155"/>
      <c r="D772" s="155"/>
      <c r="E772" s="155"/>
      <c r="F772" s="150"/>
      <c r="G772" s="150"/>
      <c r="H772" s="150"/>
      <c r="I772" s="150"/>
      <c r="J772" s="150"/>
      <c r="K772" s="150"/>
      <c r="L772" s="150"/>
      <c r="M772" s="150"/>
      <c r="N772" s="150"/>
      <c r="O772" s="150"/>
      <c r="P772" s="150"/>
      <c r="Q772" s="150"/>
      <c r="R772" s="150"/>
      <c r="S772" s="150"/>
      <c r="T772" s="150"/>
      <c r="U772" s="150"/>
      <c r="V772" s="150"/>
      <c r="W772" s="150"/>
      <c r="X772" s="150"/>
      <c r="Y772" s="150"/>
      <c r="Z772" s="150"/>
    </row>
    <row r="773">
      <c r="A773" s="150"/>
      <c r="B773" s="155"/>
      <c r="C773" s="155"/>
      <c r="D773" s="155"/>
      <c r="E773" s="155"/>
      <c r="F773" s="150"/>
      <c r="G773" s="150"/>
      <c r="H773" s="150"/>
      <c r="I773" s="150"/>
      <c r="J773" s="150"/>
      <c r="K773" s="150"/>
      <c r="L773" s="150"/>
      <c r="M773" s="150"/>
      <c r="N773" s="150"/>
      <c r="O773" s="150"/>
      <c r="P773" s="150"/>
      <c r="Q773" s="150"/>
      <c r="R773" s="150"/>
      <c r="S773" s="150"/>
      <c r="T773" s="150"/>
      <c r="U773" s="150"/>
      <c r="V773" s="150"/>
      <c r="W773" s="150"/>
      <c r="X773" s="150"/>
      <c r="Y773" s="150"/>
      <c r="Z773" s="150"/>
    </row>
    <row r="774">
      <c r="A774" s="150"/>
      <c r="B774" s="155"/>
      <c r="C774" s="155"/>
      <c r="D774" s="155"/>
      <c r="E774" s="155"/>
      <c r="F774" s="150"/>
      <c r="G774" s="150"/>
      <c r="H774" s="150"/>
      <c r="I774" s="150"/>
      <c r="J774" s="150"/>
      <c r="K774" s="150"/>
      <c r="L774" s="150"/>
      <c r="M774" s="150"/>
      <c r="N774" s="150"/>
      <c r="O774" s="150"/>
      <c r="P774" s="150"/>
      <c r="Q774" s="150"/>
      <c r="R774" s="150"/>
      <c r="S774" s="150"/>
      <c r="T774" s="150"/>
      <c r="U774" s="150"/>
      <c r="V774" s="150"/>
      <c r="W774" s="150"/>
      <c r="X774" s="150"/>
      <c r="Y774" s="150"/>
      <c r="Z774" s="150"/>
    </row>
    <row r="775">
      <c r="A775" s="150"/>
      <c r="B775" s="155"/>
      <c r="C775" s="155"/>
      <c r="D775" s="155"/>
      <c r="E775" s="155"/>
      <c r="F775" s="150"/>
      <c r="G775" s="150"/>
      <c r="H775" s="150"/>
      <c r="I775" s="150"/>
      <c r="J775" s="150"/>
      <c r="K775" s="150"/>
      <c r="L775" s="150"/>
      <c r="M775" s="150"/>
      <c r="N775" s="150"/>
      <c r="O775" s="150"/>
      <c r="P775" s="150"/>
      <c r="Q775" s="150"/>
      <c r="R775" s="150"/>
      <c r="S775" s="150"/>
      <c r="T775" s="150"/>
      <c r="U775" s="150"/>
      <c r="V775" s="150"/>
      <c r="W775" s="150"/>
      <c r="X775" s="150"/>
      <c r="Y775" s="150"/>
      <c r="Z775" s="150"/>
    </row>
    <row r="776">
      <c r="A776" s="150"/>
      <c r="B776" s="155"/>
      <c r="C776" s="155"/>
      <c r="D776" s="155"/>
      <c r="E776" s="155"/>
      <c r="F776" s="150"/>
      <c r="G776" s="150"/>
      <c r="H776" s="150"/>
      <c r="I776" s="150"/>
      <c r="J776" s="150"/>
      <c r="K776" s="150"/>
      <c r="L776" s="150"/>
      <c r="M776" s="150"/>
      <c r="N776" s="150"/>
      <c r="O776" s="150"/>
      <c r="P776" s="150"/>
      <c r="Q776" s="150"/>
      <c r="R776" s="150"/>
      <c r="S776" s="150"/>
      <c r="T776" s="150"/>
      <c r="U776" s="150"/>
      <c r="V776" s="150"/>
      <c r="W776" s="150"/>
      <c r="X776" s="150"/>
      <c r="Y776" s="150"/>
      <c r="Z776" s="150"/>
    </row>
    <row r="777">
      <c r="A777" s="150"/>
      <c r="B777" s="155"/>
      <c r="C777" s="155"/>
      <c r="D777" s="155"/>
      <c r="E777" s="155"/>
      <c r="F777" s="150"/>
      <c r="G777" s="150"/>
      <c r="H777" s="150"/>
      <c r="I777" s="150"/>
      <c r="J777" s="150"/>
      <c r="K777" s="150"/>
      <c r="L777" s="150"/>
      <c r="M777" s="150"/>
      <c r="N777" s="150"/>
      <c r="O777" s="150"/>
      <c r="P777" s="150"/>
      <c r="Q777" s="150"/>
      <c r="R777" s="150"/>
      <c r="S777" s="150"/>
      <c r="T777" s="150"/>
      <c r="U777" s="150"/>
      <c r="V777" s="150"/>
      <c r="W777" s="150"/>
      <c r="X777" s="150"/>
      <c r="Y777" s="150"/>
      <c r="Z777" s="150"/>
    </row>
    <row r="778">
      <c r="A778" s="150"/>
      <c r="B778" s="155"/>
      <c r="C778" s="155"/>
      <c r="D778" s="155"/>
      <c r="E778" s="155"/>
      <c r="F778" s="150"/>
      <c r="G778" s="150"/>
      <c r="H778" s="150"/>
      <c r="I778" s="150"/>
      <c r="J778" s="150"/>
      <c r="K778" s="150"/>
      <c r="L778" s="150"/>
      <c r="M778" s="150"/>
      <c r="N778" s="150"/>
      <c r="O778" s="150"/>
      <c r="P778" s="150"/>
      <c r="Q778" s="150"/>
      <c r="R778" s="150"/>
      <c r="S778" s="150"/>
      <c r="T778" s="150"/>
      <c r="U778" s="150"/>
      <c r="V778" s="150"/>
      <c r="W778" s="150"/>
      <c r="X778" s="150"/>
      <c r="Y778" s="150"/>
      <c r="Z778" s="150"/>
    </row>
    <row r="779">
      <c r="A779" s="150"/>
      <c r="B779" s="155"/>
      <c r="C779" s="155"/>
      <c r="D779" s="155"/>
      <c r="E779" s="155"/>
      <c r="F779" s="150"/>
      <c r="G779" s="150"/>
      <c r="H779" s="150"/>
      <c r="I779" s="150"/>
      <c r="J779" s="150"/>
      <c r="K779" s="150"/>
      <c r="L779" s="150"/>
      <c r="M779" s="150"/>
      <c r="N779" s="150"/>
      <c r="O779" s="150"/>
      <c r="P779" s="150"/>
      <c r="Q779" s="150"/>
      <c r="R779" s="150"/>
      <c r="S779" s="150"/>
      <c r="T779" s="150"/>
      <c r="U779" s="150"/>
      <c r="V779" s="150"/>
      <c r="W779" s="150"/>
      <c r="X779" s="150"/>
      <c r="Y779" s="150"/>
      <c r="Z779" s="150"/>
    </row>
    <row r="780">
      <c r="A780" s="150"/>
      <c r="B780" s="155"/>
      <c r="C780" s="155"/>
      <c r="D780" s="155"/>
      <c r="E780" s="155"/>
      <c r="F780" s="150"/>
      <c r="G780" s="150"/>
      <c r="H780" s="150"/>
      <c r="I780" s="150"/>
      <c r="J780" s="150"/>
      <c r="K780" s="150"/>
      <c r="L780" s="150"/>
      <c r="M780" s="150"/>
      <c r="N780" s="150"/>
      <c r="O780" s="150"/>
      <c r="P780" s="150"/>
      <c r="Q780" s="150"/>
      <c r="R780" s="150"/>
      <c r="S780" s="150"/>
      <c r="T780" s="150"/>
      <c r="U780" s="150"/>
      <c r="V780" s="150"/>
      <c r="W780" s="150"/>
      <c r="X780" s="150"/>
      <c r="Y780" s="150"/>
      <c r="Z780" s="150"/>
    </row>
    <row r="781">
      <c r="A781" s="150"/>
      <c r="B781" s="155"/>
      <c r="C781" s="155"/>
      <c r="D781" s="155"/>
      <c r="E781" s="155"/>
      <c r="F781" s="150"/>
      <c r="G781" s="150"/>
      <c r="H781" s="150"/>
      <c r="I781" s="150"/>
      <c r="J781" s="150"/>
      <c r="K781" s="150"/>
      <c r="L781" s="150"/>
      <c r="M781" s="150"/>
      <c r="N781" s="150"/>
      <c r="O781" s="150"/>
      <c r="P781" s="150"/>
      <c r="Q781" s="150"/>
      <c r="R781" s="150"/>
      <c r="S781" s="150"/>
      <c r="T781" s="150"/>
      <c r="U781" s="150"/>
      <c r="V781" s="150"/>
      <c r="W781" s="150"/>
      <c r="X781" s="150"/>
      <c r="Y781" s="150"/>
      <c r="Z781" s="150"/>
    </row>
    <row r="782">
      <c r="A782" s="150"/>
      <c r="B782" s="155"/>
      <c r="C782" s="155"/>
      <c r="D782" s="155"/>
      <c r="E782" s="155"/>
      <c r="F782" s="150"/>
      <c r="G782" s="150"/>
      <c r="H782" s="150"/>
      <c r="I782" s="150"/>
      <c r="J782" s="150"/>
      <c r="K782" s="150"/>
      <c r="L782" s="150"/>
      <c r="M782" s="150"/>
      <c r="N782" s="150"/>
      <c r="O782" s="150"/>
      <c r="P782" s="150"/>
      <c r="Q782" s="150"/>
      <c r="R782" s="150"/>
      <c r="S782" s="150"/>
      <c r="T782" s="150"/>
      <c r="U782" s="150"/>
      <c r="V782" s="150"/>
      <c r="W782" s="150"/>
      <c r="X782" s="150"/>
      <c r="Y782" s="150"/>
      <c r="Z782" s="150"/>
    </row>
    <row r="783">
      <c r="A783" s="150"/>
      <c r="B783" s="155"/>
      <c r="C783" s="155"/>
      <c r="D783" s="155"/>
      <c r="E783" s="155"/>
      <c r="F783" s="150"/>
      <c r="G783" s="150"/>
      <c r="H783" s="150"/>
      <c r="I783" s="150"/>
      <c r="J783" s="150"/>
      <c r="K783" s="150"/>
      <c r="L783" s="150"/>
      <c r="M783" s="150"/>
      <c r="N783" s="150"/>
      <c r="O783" s="150"/>
      <c r="P783" s="150"/>
      <c r="Q783" s="150"/>
      <c r="R783" s="150"/>
      <c r="S783" s="150"/>
      <c r="T783" s="150"/>
      <c r="U783" s="150"/>
      <c r="V783" s="150"/>
      <c r="W783" s="150"/>
      <c r="X783" s="150"/>
      <c r="Y783" s="150"/>
      <c r="Z783" s="150"/>
    </row>
    <row r="784">
      <c r="A784" s="150"/>
      <c r="B784" s="155"/>
      <c r="C784" s="155"/>
      <c r="D784" s="155"/>
      <c r="E784" s="155"/>
      <c r="F784" s="150"/>
      <c r="G784" s="150"/>
      <c r="H784" s="150"/>
      <c r="I784" s="150"/>
      <c r="J784" s="150"/>
      <c r="K784" s="150"/>
      <c r="L784" s="150"/>
      <c r="M784" s="150"/>
      <c r="N784" s="150"/>
      <c r="O784" s="150"/>
      <c r="P784" s="150"/>
      <c r="Q784" s="150"/>
      <c r="R784" s="150"/>
      <c r="S784" s="150"/>
      <c r="T784" s="150"/>
      <c r="U784" s="150"/>
      <c r="V784" s="150"/>
      <c r="W784" s="150"/>
      <c r="X784" s="150"/>
      <c r="Y784" s="150"/>
      <c r="Z784" s="150"/>
    </row>
    <row r="785">
      <c r="A785" s="150"/>
      <c r="B785" s="155"/>
      <c r="C785" s="155"/>
      <c r="D785" s="155"/>
      <c r="E785" s="155"/>
      <c r="F785" s="150"/>
      <c r="G785" s="150"/>
      <c r="H785" s="150"/>
      <c r="I785" s="150"/>
      <c r="J785" s="150"/>
      <c r="K785" s="150"/>
      <c r="L785" s="150"/>
      <c r="M785" s="150"/>
      <c r="N785" s="150"/>
      <c r="O785" s="150"/>
      <c r="P785" s="150"/>
      <c r="Q785" s="150"/>
      <c r="R785" s="150"/>
      <c r="S785" s="150"/>
      <c r="T785" s="150"/>
      <c r="U785" s="150"/>
      <c r="V785" s="150"/>
      <c r="W785" s="150"/>
      <c r="X785" s="150"/>
      <c r="Y785" s="150"/>
      <c r="Z785" s="150"/>
    </row>
    <row r="786">
      <c r="A786" s="150"/>
      <c r="B786" s="155"/>
      <c r="C786" s="155"/>
      <c r="D786" s="155"/>
      <c r="E786" s="155"/>
      <c r="F786" s="150"/>
      <c r="G786" s="150"/>
      <c r="H786" s="150"/>
      <c r="I786" s="150"/>
      <c r="J786" s="150"/>
      <c r="K786" s="150"/>
      <c r="L786" s="150"/>
      <c r="M786" s="150"/>
      <c r="N786" s="150"/>
      <c r="O786" s="150"/>
      <c r="P786" s="150"/>
      <c r="Q786" s="150"/>
      <c r="R786" s="150"/>
      <c r="S786" s="150"/>
      <c r="T786" s="150"/>
      <c r="U786" s="150"/>
      <c r="V786" s="150"/>
      <c r="W786" s="150"/>
      <c r="X786" s="150"/>
      <c r="Y786" s="150"/>
      <c r="Z786" s="150"/>
    </row>
    <row r="787">
      <c r="A787" s="150"/>
      <c r="B787" s="155"/>
      <c r="C787" s="155"/>
      <c r="D787" s="155"/>
      <c r="E787" s="155"/>
      <c r="F787" s="150"/>
      <c r="G787" s="150"/>
      <c r="H787" s="150"/>
      <c r="I787" s="150"/>
      <c r="J787" s="150"/>
      <c r="K787" s="150"/>
      <c r="L787" s="150"/>
      <c r="M787" s="150"/>
      <c r="N787" s="150"/>
      <c r="O787" s="150"/>
      <c r="P787" s="150"/>
      <c r="Q787" s="150"/>
      <c r="R787" s="150"/>
      <c r="S787" s="150"/>
      <c r="T787" s="150"/>
      <c r="U787" s="150"/>
      <c r="V787" s="150"/>
      <c r="W787" s="150"/>
      <c r="X787" s="150"/>
      <c r="Y787" s="150"/>
      <c r="Z787" s="150"/>
    </row>
    <row r="788">
      <c r="A788" s="150"/>
      <c r="B788" s="155"/>
      <c r="C788" s="155"/>
      <c r="D788" s="155"/>
      <c r="E788" s="155"/>
      <c r="F788" s="150"/>
      <c r="G788" s="150"/>
      <c r="H788" s="150"/>
      <c r="I788" s="150"/>
      <c r="J788" s="150"/>
      <c r="K788" s="150"/>
      <c r="L788" s="150"/>
      <c r="M788" s="150"/>
      <c r="N788" s="150"/>
      <c r="O788" s="150"/>
      <c r="P788" s="150"/>
      <c r="Q788" s="150"/>
      <c r="R788" s="150"/>
      <c r="S788" s="150"/>
      <c r="T788" s="150"/>
      <c r="U788" s="150"/>
      <c r="V788" s="150"/>
      <c r="W788" s="150"/>
      <c r="X788" s="150"/>
      <c r="Y788" s="150"/>
      <c r="Z788" s="150"/>
    </row>
    <row r="789">
      <c r="A789" s="150"/>
      <c r="B789" s="155"/>
      <c r="C789" s="155"/>
      <c r="D789" s="155"/>
      <c r="E789" s="155"/>
      <c r="F789" s="150"/>
      <c r="G789" s="150"/>
      <c r="H789" s="150"/>
      <c r="I789" s="150"/>
      <c r="J789" s="150"/>
      <c r="K789" s="150"/>
      <c r="L789" s="150"/>
      <c r="M789" s="150"/>
      <c r="N789" s="150"/>
      <c r="O789" s="150"/>
      <c r="P789" s="150"/>
      <c r="Q789" s="150"/>
      <c r="R789" s="150"/>
      <c r="S789" s="150"/>
      <c r="T789" s="150"/>
      <c r="U789" s="150"/>
      <c r="V789" s="150"/>
      <c r="W789" s="150"/>
      <c r="X789" s="150"/>
      <c r="Y789" s="150"/>
      <c r="Z789" s="150"/>
    </row>
    <row r="790">
      <c r="A790" s="150"/>
      <c r="B790" s="155"/>
      <c r="C790" s="155"/>
      <c r="D790" s="155"/>
      <c r="E790" s="155"/>
      <c r="F790" s="150"/>
      <c r="G790" s="150"/>
      <c r="H790" s="150"/>
      <c r="I790" s="150"/>
      <c r="J790" s="150"/>
      <c r="K790" s="150"/>
      <c r="L790" s="150"/>
      <c r="M790" s="150"/>
      <c r="N790" s="150"/>
      <c r="O790" s="150"/>
      <c r="P790" s="150"/>
      <c r="Q790" s="150"/>
      <c r="R790" s="150"/>
      <c r="S790" s="150"/>
      <c r="T790" s="150"/>
      <c r="U790" s="150"/>
      <c r="V790" s="150"/>
      <c r="W790" s="150"/>
      <c r="X790" s="150"/>
      <c r="Y790" s="150"/>
      <c r="Z790" s="150"/>
    </row>
    <row r="791">
      <c r="A791" s="150"/>
      <c r="B791" s="155"/>
      <c r="C791" s="155"/>
      <c r="D791" s="155"/>
      <c r="E791" s="155"/>
      <c r="F791" s="150"/>
      <c r="G791" s="150"/>
      <c r="H791" s="150"/>
      <c r="I791" s="150"/>
      <c r="J791" s="150"/>
      <c r="K791" s="150"/>
      <c r="L791" s="150"/>
      <c r="M791" s="150"/>
      <c r="N791" s="150"/>
      <c r="O791" s="150"/>
      <c r="P791" s="150"/>
      <c r="Q791" s="150"/>
      <c r="R791" s="150"/>
      <c r="S791" s="150"/>
      <c r="T791" s="150"/>
      <c r="U791" s="150"/>
      <c r="V791" s="150"/>
      <c r="W791" s="150"/>
      <c r="X791" s="150"/>
      <c r="Y791" s="150"/>
      <c r="Z791" s="150"/>
    </row>
    <row r="792">
      <c r="A792" s="150"/>
      <c r="B792" s="155"/>
      <c r="C792" s="155"/>
      <c r="D792" s="155"/>
      <c r="E792" s="155"/>
      <c r="F792" s="150"/>
      <c r="G792" s="150"/>
      <c r="H792" s="150"/>
      <c r="I792" s="150"/>
      <c r="J792" s="150"/>
      <c r="K792" s="150"/>
      <c r="L792" s="150"/>
      <c r="M792" s="150"/>
      <c r="N792" s="150"/>
      <c r="O792" s="150"/>
      <c r="P792" s="150"/>
      <c r="Q792" s="150"/>
      <c r="R792" s="150"/>
      <c r="S792" s="150"/>
      <c r="T792" s="150"/>
      <c r="U792" s="150"/>
      <c r="V792" s="150"/>
      <c r="W792" s="150"/>
      <c r="X792" s="150"/>
      <c r="Y792" s="150"/>
      <c r="Z792" s="150"/>
    </row>
    <row r="793">
      <c r="A793" s="150"/>
      <c r="B793" s="155"/>
      <c r="C793" s="155"/>
      <c r="D793" s="155"/>
      <c r="E793" s="155"/>
      <c r="F793" s="150"/>
      <c r="G793" s="150"/>
      <c r="H793" s="150"/>
      <c r="I793" s="150"/>
      <c r="J793" s="150"/>
      <c r="K793" s="150"/>
      <c r="L793" s="150"/>
      <c r="M793" s="150"/>
      <c r="N793" s="150"/>
      <c r="O793" s="150"/>
      <c r="P793" s="150"/>
      <c r="Q793" s="150"/>
      <c r="R793" s="150"/>
      <c r="S793" s="150"/>
      <c r="T793" s="150"/>
      <c r="U793" s="150"/>
      <c r="V793" s="150"/>
      <c r="W793" s="150"/>
      <c r="X793" s="150"/>
      <c r="Y793" s="150"/>
      <c r="Z793" s="150"/>
    </row>
    <row r="794">
      <c r="A794" s="150"/>
      <c r="B794" s="155"/>
      <c r="C794" s="155"/>
      <c r="D794" s="155"/>
      <c r="E794" s="155"/>
      <c r="F794" s="150"/>
      <c r="G794" s="150"/>
      <c r="H794" s="150"/>
      <c r="I794" s="150"/>
      <c r="J794" s="150"/>
      <c r="K794" s="150"/>
      <c r="L794" s="150"/>
      <c r="M794" s="150"/>
      <c r="N794" s="150"/>
      <c r="O794" s="150"/>
      <c r="P794" s="150"/>
      <c r="Q794" s="150"/>
      <c r="R794" s="150"/>
      <c r="S794" s="150"/>
      <c r="T794" s="150"/>
      <c r="U794" s="150"/>
      <c r="V794" s="150"/>
      <c r="W794" s="150"/>
      <c r="X794" s="150"/>
      <c r="Y794" s="150"/>
      <c r="Z794" s="150"/>
    </row>
    <row r="795">
      <c r="A795" s="150"/>
      <c r="B795" s="155"/>
      <c r="C795" s="155"/>
      <c r="D795" s="155"/>
      <c r="E795" s="155"/>
      <c r="F795" s="150"/>
      <c r="G795" s="150"/>
      <c r="H795" s="150"/>
      <c r="I795" s="150"/>
      <c r="J795" s="150"/>
      <c r="K795" s="150"/>
      <c r="L795" s="150"/>
      <c r="M795" s="150"/>
      <c r="N795" s="150"/>
      <c r="O795" s="150"/>
      <c r="P795" s="150"/>
      <c r="Q795" s="150"/>
      <c r="R795" s="150"/>
      <c r="S795" s="150"/>
      <c r="T795" s="150"/>
      <c r="U795" s="150"/>
      <c r="V795" s="150"/>
      <c r="W795" s="150"/>
      <c r="X795" s="150"/>
      <c r="Y795" s="150"/>
      <c r="Z795" s="150"/>
    </row>
    <row r="796">
      <c r="A796" s="150"/>
      <c r="B796" s="155"/>
      <c r="C796" s="155"/>
      <c r="D796" s="155"/>
      <c r="E796" s="155"/>
      <c r="F796" s="150"/>
      <c r="G796" s="150"/>
      <c r="H796" s="150"/>
      <c r="I796" s="150"/>
      <c r="J796" s="150"/>
      <c r="K796" s="150"/>
      <c r="L796" s="150"/>
      <c r="M796" s="150"/>
      <c r="N796" s="150"/>
      <c r="O796" s="150"/>
      <c r="P796" s="150"/>
      <c r="Q796" s="150"/>
      <c r="R796" s="150"/>
      <c r="S796" s="150"/>
      <c r="T796" s="150"/>
      <c r="U796" s="150"/>
      <c r="V796" s="150"/>
      <c r="W796" s="150"/>
      <c r="X796" s="150"/>
      <c r="Y796" s="150"/>
      <c r="Z796" s="150"/>
    </row>
    <row r="797">
      <c r="A797" s="150"/>
      <c r="B797" s="155"/>
      <c r="C797" s="155"/>
      <c r="D797" s="155"/>
      <c r="E797" s="155"/>
      <c r="F797" s="150"/>
      <c r="G797" s="150"/>
      <c r="H797" s="150"/>
      <c r="I797" s="150"/>
      <c r="J797" s="150"/>
      <c r="K797" s="150"/>
      <c r="L797" s="150"/>
      <c r="M797" s="150"/>
      <c r="N797" s="150"/>
      <c r="O797" s="150"/>
      <c r="P797" s="150"/>
      <c r="Q797" s="150"/>
      <c r="R797" s="150"/>
      <c r="S797" s="150"/>
      <c r="T797" s="150"/>
      <c r="U797" s="150"/>
      <c r="V797" s="150"/>
      <c r="W797" s="150"/>
      <c r="X797" s="150"/>
      <c r="Y797" s="150"/>
      <c r="Z797" s="150"/>
    </row>
    <row r="798">
      <c r="A798" s="150"/>
      <c r="B798" s="155"/>
      <c r="C798" s="155"/>
      <c r="D798" s="155"/>
      <c r="E798" s="155"/>
      <c r="F798" s="150"/>
      <c r="G798" s="150"/>
      <c r="H798" s="150"/>
      <c r="I798" s="150"/>
      <c r="J798" s="150"/>
      <c r="K798" s="150"/>
      <c r="L798" s="150"/>
      <c r="M798" s="150"/>
      <c r="N798" s="150"/>
      <c r="O798" s="150"/>
      <c r="P798" s="150"/>
      <c r="Q798" s="150"/>
      <c r="R798" s="150"/>
      <c r="S798" s="150"/>
      <c r="T798" s="150"/>
      <c r="U798" s="150"/>
      <c r="V798" s="150"/>
      <c r="W798" s="150"/>
      <c r="X798" s="150"/>
      <c r="Y798" s="150"/>
      <c r="Z798" s="150"/>
    </row>
    <row r="799">
      <c r="A799" s="150"/>
      <c r="B799" s="155"/>
      <c r="C799" s="155"/>
      <c r="D799" s="155"/>
      <c r="E799" s="155"/>
      <c r="F799" s="150"/>
      <c r="G799" s="150"/>
      <c r="H799" s="150"/>
      <c r="I799" s="150"/>
      <c r="J799" s="150"/>
      <c r="K799" s="150"/>
      <c r="L799" s="150"/>
      <c r="M799" s="150"/>
      <c r="N799" s="150"/>
      <c r="O799" s="150"/>
      <c r="P799" s="150"/>
      <c r="Q799" s="150"/>
      <c r="R799" s="150"/>
      <c r="S799" s="150"/>
      <c r="T799" s="150"/>
      <c r="U799" s="150"/>
      <c r="V799" s="150"/>
      <c r="W799" s="150"/>
      <c r="X799" s="150"/>
      <c r="Y799" s="150"/>
      <c r="Z799" s="150"/>
    </row>
    <row r="800">
      <c r="A800" s="150"/>
      <c r="B800" s="155"/>
      <c r="C800" s="155"/>
      <c r="D800" s="155"/>
      <c r="E800" s="155"/>
      <c r="F800" s="150"/>
      <c r="G800" s="150"/>
      <c r="H800" s="150"/>
      <c r="I800" s="150"/>
      <c r="J800" s="150"/>
      <c r="K800" s="150"/>
      <c r="L800" s="150"/>
      <c r="M800" s="150"/>
      <c r="N800" s="150"/>
      <c r="O800" s="150"/>
      <c r="P800" s="150"/>
      <c r="Q800" s="150"/>
      <c r="R800" s="150"/>
      <c r="S800" s="150"/>
      <c r="T800" s="150"/>
      <c r="U800" s="150"/>
      <c r="V800" s="150"/>
      <c r="W800" s="150"/>
      <c r="X800" s="150"/>
      <c r="Y800" s="150"/>
      <c r="Z800" s="150"/>
    </row>
    <row r="801">
      <c r="A801" s="150"/>
      <c r="B801" s="155"/>
      <c r="C801" s="155"/>
      <c r="D801" s="155"/>
      <c r="E801" s="155"/>
      <c r="F801" s="150"/>
      <c r="G801" s="150"/>
      <c r="H801" s="150"/>
      <c r="I801" s="150"/>
      <c r="J801" s="150"/>
      <c r="K801" s="150"/>
      <c r="L801" s="150"/>
      <c r="M801" s="150"/>
      <c r="N801" s="150"/>
      <c r="O801" s="150"/>
      <c r="P801" s="150"/>
      <c r="Q801" s="150"/>
      <c r="R801" s="150"/>
      <c r="S801" s="150"/>
      <c r="T801" s="150"/>
      <c r="U801" s="150"/>
      <c r="V801" s="150"/>
      <c r="W801" s="150"/>
      <c r="X801" s="150"/>
      <c r="Y801" s="150"/>
      <c r="Z801" s="150"/>
    </row>
    <row r="802">
      <c r="A802" s="150"/>
      <c r="B802" s="155"/>
      <c r="C802" s="155"/>
      <c r="D802" s="155"/>
      <c r="E802" s="155"/>
      <c r="F802" s="150"/>
      <c r="G802" s="150"/>
      <c r="H802" s="150"/>
      <c r="I802" s="150"/>
      <c r="J802" s="150"/>
      <c r="K802" s="150"/>
      <c r="L802" s="150"/>
      <c r="M802" s="150"/>
      <c r="N802" s="150"/>
      <c r="O802" s="150"/>
      <c r="P802" s="150"/>
      <c r="Q802" s="150"/>
      <c r="R802" s="150"/>
      <c r="S802" s="150"/>
      <c r="T802" s="150"/>
      <c r="U802" s="150"/>
      <c r="V802" s="150"/>
      <c r="W802" s="150"/>
      <c r="X802" s="150"/>
      <c r="Y802" s="150"/>
      <c r="Z802" s="150"/>
    </row>
    <row r="803">
      <c r="A803" s="150"/>
      <c r="B803" s="155"/>
      <c r="C803" s="155"/>
      <c r="D803" s="155"/>
      <c r="E803" s="155"/>
      <c r="F803" s="150"/>
      <c r="G803" s="150"/>
      <c r="H803" s="150"/>
      <c r="I803" s="150"/>
      <c r="J803" s="150"/>
      <c r="K803" s="150"/>
      <c r="L803" s="150"/>
      <c r="M803" s="150"/>
      <c r="N803" s="150"/>
      <c r="O803" s="150"/>
      <c r="P803" s="150"/>
      <c r="Q803" s="150"/>
      <c r="R803" s="150"/>
      <c r="S803" s="150"/>
      <c r="T803" s="150"/>
      <c r="U803" s="150"/>
      <c r="V803" s="150"/>
      <c r="W803" s="150"/>
      <c r="X803" s="150"/>
      <c r="Y803" s="150"/>
      <c r="Z803" s="150"/>
    </row>
    <row r="804">
      <c r="A804" s="150"/>
      <c r="B804" s="155"/>
      <c r="C804" s="155"/>
      <c r="D804" s="155"/>
      <c r="E804" s="155"/>
      <c r="F804" s="150"/>
      <c r="G804" s="150"/>
      <c r="H804" s="150"/>
      <c r="I804" s="150"/>
      <c r="J804" s="150"/>
      <c r="K804" s="150"/>
      <c r="L804" s="150"/>
      <c r="M804" s="150"/>
      <c r="N804" s="150"/>
      <c r="O804" s="150"/>
      <c r="P804" s="150"/>
      <c r="Q804" s="150"/>
      <c r="R804" s="150"/>
      <c r="S804" s="150"/>
      <c r="T804" s="150"/>
      <c r="U804" s="150"/>
      <c r="V804" s="150"/>
      <c r="W804" s="150"/>
      <c r="X804" s="150"/>
      <c r="Y804" s="150"/>
      <c r="Z804" s="150"/>
    </row>
    <row r="805">
      <c r="A805" s="150"/>
      <c r="B805" s="155"/>
      <c r="C805" s="155"/>
      <c r="D805" s="155"/>
      <c r="E805" s="155"/>
      <c r="F805" s="150"/>
      <c r="G805" s="150"/>
      <c r="H805" s="150"/>
      <c r="I805" s="150"/>
      <c r="J805" s="150"/>
      <c r="K805" s="150"/>
      <c r="L805" s="150"/>
      <c r="M805" s="150"/>
      <c r="N805" s="150"/>
      <c r="O805" s="150"/>
      <c r="P805" s="150"/>
      <c r="Q805" s="150"/>
      <c r="R805" s="150"/>
      <c r="S805" s="150"/>
      <c r="T805" s="150"/>
      <c r="U805" s="150"/>
      <c r="V805" s="150"/>
      <c r="W805" s="150"/>
      <c r="X805" s="150"/>
      <c r="Y805" s="150"/>
      <c r="Z805" s="150"/>
    </row>
    <row r="806">
      <c r="A806" s="150"/>
      <c r="B806" s="155"/>
      <c r="C806" s="155"/>
      <c r="D806" s="155"/>
      <c r="E806" s="155"/>
      <c r="F806" s="150"/>
      <c r="G806" s="150"/>
      <c r="H806" s="150"/>
      <c r="I806" s="150"/>
      <c r="J806" s="150"/>
      <c r="K806" s="150"/>
      <c r="L806" s="150"/>
      <c r="M806" s="150"/>
      <c r="N806" s="150"/>
      <c r="O806" s="150"/>
      <c r="P806" s="150"/>
      <c r="Q806" s="150"/>
      <c r="R806" s="150"/>
      <c r="S806" s="150"/>
      <c r="T806" s="150"/>
      <c r="U806" s="150"/>
      <c r="V806" s="150"/>
      <c r="W806" s="150"/>
      <c r="X806" s="150"/>
      <c r="Y806" s="150"/>
      <c r="Z806" s="150"/>
    </row>
    <row r="807">
      <c r="A807" s="150"/>
      <c r="B807" s="155"/>
      <c r="C807" s="155"/>
      <c r="D807" s="155"/>
      <c r="E807" s="155"/>
      <c r="F807" s="150"/>
      <c r="G807" s="150"/>
      <c r="H807" s="150"/>
      <c r="I807" s="150"/>
      <c r="J807" s="150"/>
      <c r="K807" s="150"/>
      <c r="L807" s="150"/>
      <c r="M807" s="150"/>
      <c r="N807" s="150"/>
      <c r="O807" s="150"/>
      <c r="P807" s="150"/>
      <c r="Q807" s="150"/>
      <c r="R807" s="150"/>
      <c r="S807" s="150"/>
      <c r="T807" s="150"/>
      <c r="U807" s="150"/>
      <c r="V807" s="150"/>
      <c r="W807" s="150"/>
      <c r="X807" s="150"/>
      <c r="Y807" s="150"/>
      <c r="Z807" s="150"/>
    </row>
    <row r="808">
      <c r="A808" s="150"/>
      <c r="B808" s="155"/>
      <c r="C808" s="155"/>
      <c r="D808" s="155"/>
      <c r="E808" s="155"/>
      <c r="F808" s="150"/>
      <c r="G808" s="150"/>
      <c r="H808" s="150"/>
      <c r="I808" s="150"/>
      <c r="J808" s="150"/>
      <c r="K808" s="150"/>
      <c r="L808" s="150"/>
      <c r="M808" s="150"/>
      <c r="N808" s="150"/>
      <c r="O808" s="150"/>
      <c r="P808" s="150"/>
      <c r="Q808" s="150"/>
      <c r="R808" s="150"/>
      <c r="S808" s="150"/>
      <c r="T808" s="150"/>
      <c r="U808" s="150"/>
      <c r="V808" s="150"/>
      <c r="W808" s="150"/>
      <c r="X808" s="150"/>
      <c r="Y808" s="150"/>
      <c r="Z808" s="150"/>
    </row>
    <row r="809">
      <c r="A809" s="150"/>
      <c r="B809" s="155"/>
      <c r="C809" s="155"/>
      <c r="D809" s="155"/>
      <c r="E809" s="155"/>
      <c r="F809" s="150"/>
      <c r="G809" s="150"/>
      <c r="H809" s="150"/>
      <c r="I809" s="150"/>
      <c r="J809" s="150"/>
      <c r="K809" s="150"/>
      <c r="L809" s="150"/>
      <c r="M809" s="150"/>
      <c r="N809" s="150"/>
      <c r="O809" s="150"/>
      <c r="P809" s="150"/>
      <c r="Q809" s="150"/>
      <c r="R809" s="150"/>
      <c r="S809" s="150"/>
      <c r="T809" s="150"/>
      <c r="U809" s="150"/>
      <c r="V809" s="150"/>
      <c r="W809" s="150"/>
      <c r="X809" s="150"/>
      <c r="Y809" s="150"/>
      <c r="Z809" s="150"/>
    </row>
    <row r="810">
      <c r="A810" s="150"/>
      <c r="B810" s="155"/>
      <c r="C810" s="155"/>
      <c r="D810" s="155"/>
      <c r="E810" s="155"/>
      <c r="F810" s="150"/>
      <c r="G810" s="150"/>
      <c r="H810" s="150"/>
      <c r="I810" s="150"/>
      <c r="J810" s="150"/>
      <c r="K810" s="150"/>
      <c r="L810" s="150"/>
      <c r="M810" s="150"/>
      <c r="N810" s="150"/>
      <c r="O810" s="150"/>
      <c r="P810" s="150"/>
      <c r="Q810" s="150"/>
      <c r="R810" s="150"/>
      <c r="S810" s="150"/>
      <c r="T810" s="150"/>
      <c r="U810" s="150"/>
      <c r="V810" s="150"/>
      <c r="W810" s="150"/>
      <c r="X810" s="150"/>
      <c r="Y810" s="150"/>
      <c r="Z810" s="150"/>
    </row>
    <row r="811">
      <c r="A811" s="150"/>
      <c r="B811" s="155"/>
      <c r="C811" s="155"/>
      <c r="D811" s="155"/>
      <c r="E811" s="155"/>
      <c r="F811" s="150"/>
      <c r="G811" s="150"/>
      <c r="H811" s="150"/>
      <c r="I811" s="150"/>
      <c r="J811" s="150"/>
      <c r="K811" s="150"/>
      <c r="L811" s="150"/>
      <c r="M811" s="150"/>
      <c r="N811" s="150"/>
      <c r="O811" s="150"/>
      <c r="P811" s="150"/>
      <c r="Q811" s="150"/>
      <c r="R811" s="150"/>
      <c r="S811" s="150"/>
      <c r="T811" s="150"/>
      <c r="U811" s="150"/>
      <c r="V811" s="150"/>
      <c r="W811" s="150"/>
      <c r="X811" s="150"/>
      <c r="Y811" s="150"/>
      <c r="Z811" s="150"/>
    </row>
    <row r="812">
      <c r="A812" s="150"/>
      <c r="B812" s="155"/>
      <c r="C812" s="155"/>
      <c r="D812" s="155"/>
      <c r="E812" s="155"/>
      <c r="F812" s="150"/>
      <c r="G812" s="150"/>
      <c r="H812" s="150"/>
      <c r="I812" s="150"/>
      <c r="J812" s="150"/>
      <c r="K812" s="150"/>
      <c r="L812" s="150"/>
      <c r="M812" s="150"/>
      <c r="N812" s="150"/>
      <c r="O812" s="150"/>
      <c r="P812" s="150"/>
      <c r="Q812" s="150"/>
      <c r="R812" s="150"/>
      <c r="S812" s="150"/>
      <c r="T812" s="150"/>
      <c r="U812" s="150"/>
      <c r="V812" s="150"/>
      <c r="W812" s="150"/>
      <c r="X812" s="150"/>
      <c r="Y812" s="150"/>
      <c r="Z812" s="150"/>
    </row>
    <row r="813">
      <c r="A813" s="150"/>
      <c r="B813" s="155"/>
      <c r="C813" s="155"/>
      <c r="D813" s="155"/>
      <c r="E813" s="155"/>
      <c r="F813" s="150"/>
      <c r="G813" s="150"/>
      <c r="H813" s="150"/>
      <c r="I813" s="150"/>
      <c r="J813" s="150"/>
      <c r="K813" s="150"/>
      <c r="L813" s="150"/>
      <c r="M813" s="150"/>
      <c r="N813" s="150"/>
      <c r="O813" s="150"/>
      <c r="P813" s="150"/>
      <c r="Q813" s="150"/>
      <c r="R813" s="150"/>
      <c r="S813" s="150"/>
      <c r="T813" s="150"/>
      <c r="U813" s="150"/>
      <c r="V813" s="150"/>
      <c r="W813" s="150"/>
      <c r="X813" s="150"/>
      <c r="Y813" s="150"/>
      <c r="Z813" s="150"/>
    </row>
    <row r="814">
      <c r="A814" s="150"/>
      <c r="B814" s="155"/>
      <c r="C814" s="155"/>
      <c r="D814" s="155"/>
      <c r="E814" s="155"/>
      <c r="F814" s="150"/>
      <c r="G814" s="150"/>
      <c r="H814" s="150"/>
      <c r="I814" s="150"/>
      <c r="J814" s="150"/>
      <c r="K814" s="150"/>
      <c r="L814" s="150"/>
      <c r="M814" s="150"/>
      <c r="N814" s="150"/>
      <c r="O814" s="150"/>
      <c r="P814" s="150"/>
      <c r="Q814" s="150"/>
      <c r="R814" s="150"/>
      <c r="S814" s="150"/>
      <c r="T814" s="150"/>
      <c r="U814" s="150"/>
      <c r="V814" s="150"/>
      <c r="W814" s="150"/>
      <c r="X814" s="150"/>
      <c r="Y814" s="150"/>
      <c r="Z814" s="150"/>
    </row>
    <row r="815">
      <c r="A815" s="150"/>
      <c r="B815" s="155"/>
      <c r="C815" s="155"/>
      <c r="D815" s="155"/>
      <c r="E815" s="155"/>
      <c r="F815" s="150"/>
      <c r="G815" s="150"/>
      <c r="H815" s="150"/>
      <c r="I815" s="150"/>
      <c r="J815" s="150"/>
      <c r="K815" s="150"/>
      <c r="L815" s="150"/>
      <c r="M815" s="150"/>
      <c r="N815" s="150"/>
      <c r="O815" s="150"/>
      <c r="P815" s="150"/>
      <c r="Q815" s="150"/>
      <c r="R815" s="150"/>
      <c r="S815" s="150"/>
      <c r="T815" s="150"/>
      <c r="U815" s="150"/>
      <c r="V815" s="150"/>
      <c r="W815" s="150"/>
      <c r="X815" s="150"/>
      <c r="Y815" s="150"/>
      <c r="Z815" s="150"/>
    </row>
    <row r="816">
      <c r="A816" s="150"/>
      <c r="B816" s="155"/>
      <c r="C816" s="155"/>
      <c r="D816" s="155"/>
      <c r="E816" s="155"/>
      <c r="F816" s="150"/>
      <c r="G816" s="150"/>
      <c r="H816" s="150"/>
      <c r="I816" s="150"/>
      <c r="J816" s="150"/>
      <c r="K816" s="150"/>
      <c r="L816" s="150"/>
      <c r="M816" s="150"/>
      <c r="N816" s="150"/>
      <c r="O816" s="150"/>
      <c r="P816" s="150"/>
      <c r="Q816" s="150"/>
      <c r="R816" s="150"/>
      <c r="S816" s="150"/>
      <c r="T816" s="150"/>
      <c r="U816" s="150"/>
      <c r="V816" s="150"/>
      <c r="W816" s="150"/>
      <c r="X816" s="150"/>
      <c r="Y816" s="150"/>
      <c r="Z816" s="150"/>
    </row>
    <row r="817">
      <c r="A817" s="150"/>
      <c r="B817" s="155"/>
      <c r="C817" s="155"/>
      <c r="D817" s="155"/>
      <c r="E817" s="155"/>
      <c r="F817" s="150"/>
      <c r="G817" s="150"/>
      <c r="H817" s="150"/>
      <c r="I817" s="150"/>
      <c r="J817" s="150"/>
      <c r="K817" s="150"/>
      <c r="L817" s="150"/>
      <c r="M817" s="150"/>
      <c r="N817" s="150"/>
      <c r="O817" s="150"/>
      <c r="P817" s="150"/>
      <c r="Q817" s="150"/>
      <c r="R817" s="150"/>
      <c r="S817" s="150"/>
      <c r="T817" s="150"/>
      <c r="U817" s="150"/>
      <c r="V817" s="150"/>
      <c r="W817" s="150"/>
      <c r="X817" s="150"/>
      <c r="Y817" s="150"/>
      <c r="Z817" s="150"/>
    </row>
    <row r="818">
      <c r="A818" s="150"/>
      <c r="B818" s="155"/>
      <c r="C818" s="155"/>
      <c r="D818" s="155"/>
      <c r="E818" s="155"/>
      <c r="F818" s="150"/>
      <c r="G818" s="150"/>
      <c r="H818" s="150"/>
      <c r="I818" s="150"/>
      <c r="J818" s="150"/>
      <c r="K818" s="150"/>
      <c r="L818" s="150"/>
      <c r="M818" s="150"/>
      <c r="N818" s="150"/>
      <c r="O818" s="150"/>
      <c r="P818" s="150"/>
      <c r="Q818" s="150"/>
      <c r="R818" s="150"/>
      <c r="S818" s="150"/>
      <c r="T818" s="150"/>
      <c r="U818" s="150"/>
      <c r="V818" s="150"/>
      <c r="W818" s="150"/>
      <c r="X818" s="150"/>
      <c r="Y818" s="150"/>
      <c r="Z818" s="150"/>
    </row>
    <row r="819">
      <c r="A819" s="150"/>
      <c r="B819" s="155"/>
      <c r="C819" s="155"/>
      <c r="D819" s="155"/>
      <c r="E819" s="155"/>
      <c r="F819" s="150"/>
      <c r="G819" s="150"/>
      <c r="H819" s="150"/>
      <c r="I819" s="150"/>
      <c r="J819" s="150"/>
      <c r="K819" s="150"/>
      <c r="L819" s="150"/>
      <c r="M819" s="150"/>
      <c r="N819" s="150"/>
      <c r="O819" s="150"/>
      <c r="P819" s="150"/>
      <c r="Q819" s="150"/>
      <c r="R819" s="150"/>
      <c r="S819" s="150"/>
      <c r="T819" s="150"/>
      <c r="U819" s="150"/>
      <c r="V819" s="150"/>
      <c r="W819" s="150"/>
      <c r="X819" s="150"/>
      <c r="Y819" s="150"/>
      <c r="Z819" s="150"/>
    </row>
    <row r="820">
      <c r="A820" s="150"/>
      <c r="B820" s="155"/>
      <c r="C820" s="155"/>
      <c r="D820" s="155"/>
      <c r="E820" s="155"/>
      <c r="F820" s="150"/>
      <c r="G820" s="150"/>
      <c r="H820" s="150"/>
      <c r="I820" s="150"/>
      <c r="J820" s="150"/>
      <c r="K820" s="150"/>
      <c r="L820" s="150"/>
      <c r="M820" s="150"/>
      <c r="N820" s="150"/>
      <c r="O820" s="150"/>
      <c r="P820" s="150"/>
      <c r="Q820" s="150"/>
      <c r="R820" s="150"/>
      <c r="S820" s="150"/>
      <c r="T820" s="150"/>
      <c r="U820" s="150"/>
      <c r="V820" s="150"/>
      <c r="W820" s="150"/>
      <c r="X820" s="150"/>
      <c r="Y820" s="150"/>
      <c r="Z820" s="150"/>
    </row>
    <row r="821">
      <c r="A821" s="150"/>
      <c r="B821" s="155"/>
      <c r="C821" s="155"/>
      <c r="D821" s="155"/>
      <c r="E821" s="155"/>
      <c r="F821" s="150"/>
      <c r="G821" s="150"/>
      <c r="H821" s="150"/>
      <c r="I821" s="150"/>
      <c r="J821" s="150"/>
      <c r="K821" s="150"/>
      <c r="L821" s="150"/>
      <c r="M821" s="150"/>
      <c r="N821" s="150"/>
      <c r="O821" s="150"/>
      <c r="P821" s="150"/>
      <c r="Q821" s="150"/>
      <c r="R821" s="150"/>
      <c r="S821" s="150"/>
      <c r="T821" s="150"/>
      <c r="U821" s="150"/>
      <c r="V821" s="150"/>
      <c r="W821" s="150"/>
      <c r="X821" s="150"/>
      <c r="Y821" s="150"/>
      <c r="Z821" s="150"/>
    </row>
    <row r="822">
      <c r="A822" s="150"/>
      <c r="B822" s="155"/>
      <c r="C822" s="155"/>
      <c r="D822" s="155"/>
      <c r="E822" s="155"/>
      <c r="F822" s="150"/>
      <c r="G822" s="150"/>
      <c r="H822" s="150"/>
      <c r="I822" s="150"/>
      <c r="J822" s="150"/>
      <c r="K822" s="150"/>
      <c r="L822" s="150"/>
      <c r="M822" s="150"/>
      <c r="N822" s="150"/>
      <c r="O822" s="150"/>
      <c r="P822" s="150"/>
      <c r="Q822" s="150"/>
      <c r="R822" s="150"/>
      <c r="S822" s="150"/>
      <c r="T822" s="150"/>
      <c r="U822" s="150"/>
      <c r="V822" s="150"/>
      <c r="W822" s="150"/>
      <c r="X822" s="150"/>
      <c r="Y822" s="150"/>
      <c r="Z822" s="150"/>
    </row>
    <row r="823">
      <c r="A823" s="150"/>
      <c r="B823" s="155"/>
      <c r="C823" s="155"/>
      <c r="D823" s="155"/>
      <c r="E823" s="155"/>
      <c r="F823" s="150"/>
      <c r="G823" s="150"/>
      <c r="H823" s="150"/>
      <c r="I823" s="150"/>
      <c r="J823" s="150"/>
      <c r="K823" s="150"/>
      <c r="L823" s="150"/>
      <c r="M823" s="150"/>
      <c r="N823" s="150"/>
      <c r="O823" s="150"/>
      <c r="P823" s="150"/>
      <c r="Q823" s="150"/>
      <c r="R823" s="150"/>
      <c r="S823" s="150"/>
      <c r="T823" s="150"/>
      <c r="U823" s="150"/>
      <c r="V823" s="150"/>
      <c r="W823" s="150"/>
      <c r="X823" s="150"/>
      <c r="Y823" s="150"/>
      <c r="Z823" s="150"/>
    </row>
    <row r="824">
      <c r="A824" s="150"/>
      <c r="B824" s="155"/>
      <c r="C824" s="155"/>
      <c r="D824" s="155"/>
      <c r="E824" s="155"/>
      <c r="F824" s="150"/>
      <c r="G824" s="150"/>
      <c r="H824" s="150"/>
      <c r="I824" s="150"/>
      <c r="J824" s="150"/>
      <c r="K824" s="150"/>
      <c r="L824" s="150"/>
      <c r="M824" s="150"/>
      <c r="N824" s="150"/>
      <c r="O824" s="150"/>
      <c r="P824" s="150"/>
      <c r="Q824" s="150"/>
      <c r="R824" s="150"/>
      <c r="S824" s="150"/>
      <c r="T824" s="150"/>
      <c r="U824" s="150"/>
      <c r="V824" s="150"/>
      <c r="W824" s="150"/>
      <c r="X824" s="150"/>
      <c r="Y824" s="150"/>
      <c r="Z824" s="150"/>
    </row>
    <row r="825">
      <c r="A825" s="150"/>
      <c r="B825" s="155"/>
      <c r="C825" s="155"/>
      <c r="D825" s="155"/>
      <c r="E825" s="155"/>
      <c r="F825" s="150"/>
      <c r="G825" s="150"/>
      <c r="H825" s="150"/>
      <c r="I825" s="150"/>
      <c r="J825" s="150"/>
      <c r="K825" s="150"/>
      <c r="L825" s="150"/>
      <c r="M825" s="150"/>
      <c r="N825" s="150"/>
      <c r="O825" s="150"/>
      <c r="P825" s="150"/>
      <c r="Q825" s="150"/>
      <c r="R825" s="150"/>
      <c r="S825" s="150"/>
      <c r="T825" s="150"/>
      <c r="U825" s="150"/>
      <c r="V825" s="150"/>
      <c r="W825" s="150"/>
      <c r="X825" s="150"/>
      <c r="Y825" s="150"/>
      <c r="Z825" s="150"/>
    </row>
    <row r="826">
      <c r="A826" s="150"/>
      <c r="B826" s="155"/>
      <c r="C826" s="155"/>
      <c r="D826" s="155"/>
      <c r="E826" s="155"/>
      <c r="F826" s="150"/>
      <c r="G826" s="150"/>
      <c r="H826" s="150"/>
      <c r="I826" s="150"/>
      <c r="J826" s="150"/>
      <c r="K826" s="150"/>
      <c r="L826" s="150"/>
      <c r="M826" s="150"/>
      <c r="N826" s="150"/>
      <c r="O826" s="150"/>
      <c r="P826" s="150"/>
      <c r="Q826" s="150"/>
      <c r="R826" s="150"/>
      <c r="S826" s="150"/>
      <c r="T826" s="150"/>
      <c r="U826" s="150"/>
      <c r="V826" s="150"/>
      <c r="W826" s="150"/>
      <c r="X826" s="150"/>
      <c r="Y826" s="150"/>
      <c r="Z826" s="150"/>
    </row>
    <row r="827">
      <c r="A827" s="150"/>
      <c r="B827" s="155"/>
      <c r="C827" s="155"/>
      <c r="D827" s="155"/>
      <c r="E827" s="155"/>
      <c r="F827" s="150"/>
      <c r="G827" s="150"/>
      <c r="H827" s="150"/>
      <c r="I827" s="150"/>
      <c r="J827" s="150"/>
      <c r="K827" s="150"/>
      <c r="L827" s="150"/>
      <c r="M827" s="150"/>
      <c r="N827" s="150"/>
      <c r="O827" s="150"/>
      <c r="P827" s="150"/>
      <c r="Q827" s="150"/>
      <c r="R827" s="150"/>
      <c r="S827" s="150"/>
      <c r="T827" s="150"/>
      <c r="U827" s="150"/>
      <c r="V827" s="150"/>
      <c r="W827" s="150"/>
      <c r="X827" s="150"/>
      <c r="Y827" s="150"/>
      <c r="Z827" s="150"/>
    </row>
    <row r="828">
      <c r="A828" s="150"/>
      <c r="B828" s="155"/>
      <c r="C828" s="155"/>
      <c r="D828" s="155"/>
      <c r="E828" s="155"/>
      <c r="F828" s="150"/>
      <c r="G828" s="150"/>
      <c r="H828" s="150"/>
      <c r="I828" s="150"/>
      <c r="J828" s="150"/>
      <c r="K828" s="150"/>
      <c r="L828" s="150"/>
      <c r="M828" s="150"/>
      <c r="N828" s="150"/>
      <c r="O828" s="150"/>
      <c r="P828" s="150"/>
      <c r="Q828" s="150"/>
      <c r="R828" s="150"/>
      <c r="S828" s="150"/>
      <c r="T828" s="150"/>
      <c r="U828" s="150"/>
      <c r="V828" s="150"/>
      <c r="W828" s="150"/>
      <c r="X828" s="150"/>
      <c r="Y828" s="150"/>
      <c r="Z828" s="150"/>
    </row>
    <row r="829">
      <c r="A829" s="150"/>
      <c r="B829" s="155"/>
      <c r="C829" s="155"/>
      <c r="D829" s="155"/>
      <c r="E829" s="155"/>
      <c r="F829" s="150"/>
      <c r="G829" s="150"/>
      <c r="H829" s="150"/>
      <c r="I829" s="150"/>
      <c r="J829" s="150"/>
      <c r="K829" s="150"/>
      <c r="L829" s="150"/>
      <c r="M829" s="150"/>
      <c r="N829" s="150"/>
      <c r="O829" s="150"/>
      <c r="P829" s="150"/>
      <c r="Q829" s="150"/>
      <c r="R829" s="150"/>
      <c r="S829" s="150"/>
      <c r="T829" s="150"/>
      <c r="U829" s="150"/>
      <c r="V829" s="150"/>
      <c r="W829" s="150"/>
      <c r="X829" s="150"/>
      <c r="Y829" s="150"/>
      <c r="Z829" s="150"/>
    </row>
    <row r="830">
      <c r="A830" s="150"/>
      <c r="B830" s="155"/>
      <c r="C830" s="155"/>
      <c r="D830" s="155"/>
      <c r="E830" s="155"/>
      <c r="F830" s="150"/>
      <c r="G830" s="150"/>
      <c r="H830" s="150"/>
      <c r="I830" s="150"/>
      <c r="J830" s="150"/>
      <c r="K830" s="150"/>
      <c r="L830" s="150"/>
      <c r="M830" s="150"/>
      <c r="N830" s="150"/>
      <c r="O830" s="150"/>
      <c r="P830" s="150"/>
      <c r="Q830" s="150"/>
      <c r="R830" s="150"/>
      <c r="S830" s="150"/>
      <c r="T830" s="150"/>
      <c r="U830" s="150"/>
      <c r="V830" s="150"/>
      <c r="W830" s="150"/>
      <c r="X830" s="150"/>
      <c r="Y830" s="150"/>
      <c r="Z830" s="150"/>
    </row>
    <row r="831">
      <c r="A831" s="150"/>
      <c r="B831" s="155"/>
      <c r="C831" s="155"/>
      <c r="D831" s="155"/>
      <c r="E831" s="155"/>
      <c r="F831" s="150"/>
      <c r="G831" s="150"/>
      <c r="H831" s="150"/>
      <c r="I831" s="150"/>
      <c r="J831" s="150"/>
      <c r="K831" s="150"/>
      <c r="L831" s="150"/>
      <c r="M831" s="150"/>
      <c r="N831" s="150"/>
      <c r="O831" s="150"/>
      <c r="P831" s="150"/>
      <c r="Q831" s="150"/>
      <c r="R831" s="150"/>
      <c r="S831" s="150"/>
      <c r="T831" s="150"/>
      <c r="U831" s="150"/>
      <c r="V831" s="150"/>
      <c r="W831" s="150"/>
      <c r="X831" s="150"/>
      <c r="Y831" s="150"/>
      <c r="Z831" s="150"/>
    </row>
    <row r="832">
      <c r="A832" s="150"/>
      <c r="B832" s="155"/>
      <c r="C832" s="155"/>
      <c r="D832" s="155"/>
      <c r="E832" s="155"/>
      <c r="F832" s="150"/>
      <c r="G832" s="150"/>
      <c r="H832" s="150"/>
      <c r="I832" s="150"/>
      <c r="J832" s="150"/>
      <c r="K832" s="150"/>
      <c r="L832" s="150"/>
      <c r="M832" s="150"/>
      <c r="N832" s="150"/>
      <c r="O832" s="150"/>
      <c r="P832" s="150"/>
      <c r="Q832" s="150"/>
      <c r="R832" s="150"/>
      <c r="S832" s="150"/>
      <c r="T832" s="150"/>
      <c r="U832" s="150"/>
      <c r="V832" s="150"/>
      <c r="W832" s="150"/>
      <c r="X832" s="150"/>
      <c r="Y832" s="150"/>
      <c r="Z832" s="150"/>
    </row>
    <row r="833">
      <c r="A833" s="150"/>
      <c r="B833" s="155"/>
      <c r="C833" s="155"/>
      <c r="D833" s="155"/>
      <c r="E833" s="155"/>
      <c r="F833" s="150"/>
      <c r="G833" s="150"/>
      <c r="H833" s="150"/>
      <c r="I833" s="150"/>
      <c r="J833" s="150"/>
      <c r="K833" s="150"/>
      <c r="L833" s="150"/>
      <c r="M833" s="150"/>
      <c r="N833" s="150"/>
      <c r="O833" s="150"/>
      <c r="P833" s="150"/>
      <c r="Q833" s="150"/>
      <c r="R833" s="150"/>
      <c r="S833" s="150"/>
      <c r="T833" s="150"/>
      <c r="U833" s="150"/>
      <c r="V833" s="150"/>
      <c r="W833" s="150"/>
      <c r="X833" s="150"/>
      <c r="Y833" s="150"/>
      <c r="Z833" s="150"/>
    </row>
    <row r="834">
      <c r="A834" s="150"/>
      <c r="B834" s="155"/>
      <c r="C834" s="155"/>
      <c r="D834" s="155"/>
      <c r="E834" s="155"/>
      <c r="F834" s="150"/>
      <c r="G834" s="150"/>
      <c r="H834" s="150"/>
      <c r="I834" s="150"/>
      <c r="J834" s="150"/>
      <c r="K834" s="150"/>
      <c r="L834" s="150"/>
      <c r="M834" s="150"/>
      <c r="N834" s="150"/>
      <c r="O834" s="150"/>
      <c r="P834" s="150"/>
      <c r="Q834" s="150"/>
      <c r="R834" s="150"/>
      <c r="S834" s="150"/>
      <c r="T834" s="150"/>
      <c r="U834" s="150"/>
      <c r="V834" s="150"/>
      <c r="W834" s="150"/>
      <c r="X834" s="150"/>
      <c r="Y834" s="150"/>
      <c r="Z834" s="150"/>
    </row>
    <row r="835">
      <c r="A835" s="150"/>
      <c r="B835" s="155"/>
      <c r="C835" s="155"/>
      <c r="D835" s="155"/>
      <c r="E835" s="155"/>
      <c r="F835" s="150"/>
      <c r="G835" s="150"/>
      <c r="H835" s="150"/>
      <c r="I835" s="150"/>
      <c r="J835" s="150"/>
      <c r="K835" s="150"/>
      <c r="L835" s="150"/>
      <c r="M835" s="150"/>
      <c r="N835" s="150"/>
      <c r="O835" s="150"/>
      <c r="P835" s="150"/>
      <c r="Q835" s="150"/>
      <c r="R835" s="150"/>
      <c r="S835" s="150"/>
      <c r="T835" s="150"/>
      <c r="U835" s="150"/>
      <c r="V835" s="150"/>
      <c r="W835" s="150"/>
      <c r="X835" s="150"/>
      <c r="Y835" s="150"/>
      <c r="Z835" s="150"/>
    </row>
    <row r="836">
      <c r="A836" s="150"/>
      <c r="B836" s="155"/>
      <c r="C836" s="155"/>
      <c r="D836" s="155"/>
      <c r="E836" s="155"/>
      <c r="F836" s="150"/>
      <c r="G836" s="150"/>
      <c r="H836" s="150"/>
      <c r="I836" s="150"/>
      <c r="J836" s="150"/>
      <c r="K836" s="150"/>
      <c r="L836" s="150"/>
      <c r="M836" s="150"/>
      <c r="N836" s="150"/>
      <c r="O836" s="150"/>
      <c r="P836" s="150"/>
      <c r="Q836" s="150"/>
      <c r="R836" s="150"/>
      <c r="S836" s="150"/>
      <c r="T836" s="150"/>
      <c r="U836" s="150"/>
      <c r="V836" s="150"/>
      <c r="W836" s="150"/>
      <c r="X836" s="150"/>
      <c r="Y836" s="150"/>
      <c r="Z836" s="150"/>
    </row>
    <row r="837">
      <c r="A837" s="150"/>
      <c r="B837" s="155"/>
      <c r="C837" s="155"/>
      <c r="D837" s="155"/>
      <c r="E837" s="155"/>
      <c r="F837" s="150"/>
      <c r="G837" s="150"/>
      <c r="H837" s="150"/>
      <c r="I837" s="150"/>
      <c r="J837" s="150"/>
      <c r="K837" s="150"/>
      <c r="L837" s="150"/>
      <c r="M837" s="150"/>
      <c r="N837" s="150"/>
      <c r="O837" s="150"/>
      <c r="P837" s="150"/>
      <c r="Q837" s="150"/>
      <c r="R837" s="150"/>
      <c r="S837" s="150"/>
      <c r="T837" s="150"/>
      <c r="U837" s="150"/>
      <c r="V837" s="150"/>
      <c r="W837" s="150"/>
      <c r="X837" s="150"/>
      <c r="Y837" s="150"/>
      <c r="Z837" s="150"/>
    </row>
    <row r="838">
      <c r="A838" s="150"/>
      <c r="B838" s="155"/>
      <c r="C838" s="155"/>
      <c r="D838" s="155"/>
      <c r="E838" s="155"/>
      <c r="F838" s="150"/>
      <c r="G838" s="150"/>
      <c r="H838" s="150"/>
      <c r="I838" s="150"/>
      <c r="J838" s="150"/>
      <c r="K838" s="150"/>
      <c r="L838" s="150"/>
      <c r="M838" s="150"/>
      <c r="N838" s="150"/>
      <c r="O838" s="150"/>
      <c r="P838" s="150"/>
      <c r="Q838" s="150"/>
      <c r="R838" s="150"/>
      <c r="S838" s="150"/>
      <c r="T838" s="150"/>
      <c r="U838" s="150"/>
      <c r="V838" s="150"/>
      <c r="W838" s="150"/>
      <c r="X838" s="150"/>
      <c r="Y838" s="150"/>
      <c r="Z838" s="150"/>
    </row>
    <row r="839">
      <c r="A839" s="150"/>
      <c r="B839" s="155"/>
      <c r="C839" s="155"/>
      <c r="D839" s="155"/>
      <c r="E839" s="155"/>
      <c r="F839" s="150"/>
      <c r="G839" s="150"/>
      <c r="H839" s="150"/>
      <c r="I839" s="150"/>
      <c r="J839" s="150"/>
      <c r="K839" s="150"/>
      <c r="L839" s="150"/>
      <c r="M839" s="150"/>
      <c r="N839" s="150"/>
      <c r="O839" s="150"/>
      <c r="P839" s="150"/>
      <c r="Q839" s="150"/>
      <c r="R839" s="150"/>
      <c r="S839" s="150"/>
      <c r="T839" s="150"/>
      <c r="U839" s="150"/>
      <c r="V839" s="150"/>
      <c r="W839" s="150"/>
      <c r="X839" s="150"/>
      <c r="Y839" s="150"/>
      <c r="Z839" s="150"/>
    </row>
    <row r="840">
      <c r="A840" s="150"/>
      <c r="B840" s="155"/>
      <c r="C840" s="155"/>
      <c r="D840" s="155"/>
      <c r="E840" s="155"/>
      <c r="F840" s="150"/>
      <c r="G840" s="150"/>
      <c r="H840" s="150"/>
      <c r="I840" s="150"/>
      <c r="J840" s="150"/>
      <c r="K840" s="150"/>
      <c r="L840" s="150"/>
      <c r="M840" s="150"/>
      <c r="N840" s="150"/>
      <c r="O840" s="150"/>
      <c r="P840" s="150"/>
      <c r="Q840" s="150"/>
      <c r="R840" s="150"/>
      <c r="S840" s="150"/>
      <c r="T840" s="150"/>
      <c r="U840" s="150"/>
      <c r="V840" s="150"/>
      <c r="W840" s="150"/>
      <c r="X840" s="150"/>
      <c r="Y840" s="150"/>
      <c r="Z840" s="150"/>
    </row>
    <row r="841">
      <c r="A841" s="150"/>
      <c r="B841" s="155"/>
      <c r="C841" s="155"/>
      <c r="D841" s="155"/>
      <c r="E841" s="155"/>
      <c r="F841" s="150"/>
      <c r="G841" s="150"/>
      <c r="H841" s="150"/>
      <c r="I841" s="150"/>
      <c r="J841" s="150"/>
      <c r="K841" s="150"/>
      <c r="L841" s="150"/>
      <c r="M841" s="150"/>
      <c r="N841" s="150"/>
      <c r="O841" s="150"/>
      <c r="P841" s="150"/>
      <c r="Q841" s="150"/>
      <c r="R841" s="150"/>
      <c r="S841" s="150"/>
      <c r="T841" s="150"/>
      <c r="U841" s="150"/>
      <c r="V841" s="150"/>
      <c r="W841" s="150"/>
      <c r="X841" s="150"/>
      <c r="Y841" s="150"/>
      <c r="Z841" s="150"/>
    </row>
    <row r="842">
      <c r="A842" s="150"/>
      <c r="B842" s="155"/>
      <c r="C842" s="155"/>
      <c r="D842" s="155"/>
      <c r="E842" s="155"/>
      <c r="F842" s="150"/>
      <c r="G842" s="150"/>
      <c r="H842" s="150"/>
      <c r="I842" s="150"/>
      <c r="J842" s="150"/>
      <c r="K842" s="150"/>
      <c r="L842" s="150"/>
      <c r="M842" s="150"/>
      <c r="N842" s="150"/>
      <c r="O842" s="150"/>
      <c r="P842" s="150"/>
      <c r="Q842" s="150"/>
      <c r="R842" s="150"/>
      <c r="S842" s="150"/>
      <c r="T842" s="150"/>
      <c r="U842" s="150"/>
      <c r="V842" s="150"/>
      <c r="W842" s="150"/>
      <c r="X842" s="150"/>
      <c r="Y842" s="150"/>
      <c r="Z842" s="150"/>
    </row>
    <row r="843">
      <c r="A843" s="150"/>
      <c r="B843" s="155"/>
      <c r="C843" s="155"/>
      <c r="D843" s="155"/>
      <c r="E843" s="155"/>
      <c r="F843" s="150"/>
      <c r="G843" s="150"/>
      <c r="H843" s="150"/>
      <c r="I843" s="150"/>
      <c r="J843" s="150"/>
      <c r="K843" s="150"/>
      <c r="L843" s="150"/>
      <c r="M843" s="150"/>
      <c r="N843" s="150"/>
      <c r="O843" s="150"/>
      <c r="P843" s="150"/>
      <c r="Q843" s="150"/>
      <c r="R843" s="150"/>
      <c r="S843" s="150"/>
      <c r="T843" s="150"/>
      <c r="U843" s="150"/>
      <c r="V843" s="150"/>
      <c r="W843" s="150"/>
      <c r="X843" s="150"/>
      <c r="Y843" s="150"/>
      <c r="Z843" s="150"/>
    </row>
    <row r="844">
      <c r="A844" s="150"/>
      <c r="B844" s="155"/>
      <c r="C844" s="155"/>
      <c r="D844" s="155"/>
      <c r="E844" s="155"/>
      <c r="F844" s="150"/>
      <c r="G844" s="150"/>
      <c r="H844" s="150"/>
      <c r="I844" s="150"/>
      <c r="J844" s="150"/>
      <c r="K844" s="150"/>
      <c r="L844" s="150"/>
      <c r="M844" s="150"/>
      <c r="N844" s="150"/>
      <c r="O844" s="150"/>
      <c r="P844" s="150"/>
      <c r="Q844" s="150"/>
      <c r="R844" s="150"/>
      <c r="S844" s="150"/>
      <c r="T844" s="150"/>
      <c r="U844" s="150"/>
      <c r="V844" s="150"/>
      <c r="W844" s="150"/>
      <c r="X844" s="150"/>
      <c r="Y844" s="150"/>
      <c r="Z844" s="150"/>
    </row>
    <row r="845">
      <c r="A845" s="150"/>
      <c r="B845" s="155"/>
      <c r="C845" s="155"/>
      <c r="D845" s="155"/>
      <c r="E845" s="155"/>
      <c r="F845" s="150"/>
      <c r="G845" s="150"/>
      <c r="H845" s="150"/>
      <c r="I845" s="150"/>
      <c r="J845" s="150"/>
      <c r="K845" s="150"/>
      <c r="L845" s="150"/>
      <c r="M845" s="150"/>
      <c r="N845" s="150"/>
      <c r="O845" s="150"/>
      <c r="P845" s="150"/>
      <c r="Q845" s="150"/>
      <c r="R845" s="150"/>
      <c r="S845" s="150"/>
      <c r="T845" s="150"/>
      <c r="U845" s="150"/>
      <c r="V845" s="150"/>
      <c r="W845" s="150"/>
      <c r="X845" s="150"/>
      <c r="Y845" s="150"/>
      <c r="Z845" s="150"/>
    </row>
    <row r="846">
      <c r="A846" s="150"/>
      <c r="B846" s="155"/>
      <c r="C846" s="155"/>
      <c r="D846" s="155"/>
      <c r="E846" s="155"/>
      <c r="F846" s="150"/>
      <c r="G846" s="150"/>
      <c r="H846" s="150"/>
      <c r="I846" s="150"/>
      <c r="J846" s="150"/>
      <c r="K846" s="150"/>
      <c r="L846" s="150"/>
      <c r="M846" s="150"/>
      <c r="N846" s="150"/>
      <c r="O846" s="150"/>
      <c r="P846" s="150"/>
      <c r="Q846" s="150"/>
      <c r="R846" s="150"/>
      <c r="S846" s="150"/>
      <c r="T846" s="150"/>
      <c r="U846" s="150"/>
      <c r="V846" s="150"/>
      <c r="W846" s="150"/>
      <c r="X846" s="150"/>
      <c r="Y846" s="150"/>
      <c r="Z846" s="150"/>
    </row>
    <row r="847">
      <c r="A847" s="150"/>
      <c r="B847" s="155"/>
      <c r="C847" s="155"/>
      <c r="D847" s="155"/>
      <c r="E847" s="155"/>
      <c r="F847" s="150"/>
      <c r="G847" s="150"/>
      <c r="H847" s="150"/>
      <c r="I847" s="150"/>
      <c r="J847" s="150"/>
      <c r="K847" s="150"/>
      <c r="L847" s="150"/>
      <c r="M847" s="150"/>
      <c r="N847" s="150"/>
      <c r="O847" s="150"/>
      <c r="P847" s="150"/>
      <c r="Q847" s="150"/>
      <c r="R847" s="150"/>
      <c r="S847" s="150"/>
      <c r="T847" s="150"/>
      <c r="U847" s="150"/>
      <c r="V847" s="150"/>
      <c r="W847" s="150"/>
      <c r="X847" s="150"/>
      <c r="Y847" s="150"/>
      <c r="Z847" s="150"/>
    </row>
    <row r="848">
      <c r="A848" s="150"/>
      <c r="B848" s="155"/>
      <c r="C848" s="155"/>
      <c r="D848" s="155"/>
      <c r="E848" s="155"/>
      <c r="F848" s="150"/>
      <c r="G848" s="150"/>
      <c r="H848" s="150"/>
      <c r="I848" s="150"/>
      <c r="J848" s="150"/>
      <c r="K848" s="150"/>
      <c r="L848" s="150"/>
      <c r="M848" s="150"/>
      <c r="N848" s="150"/>
      <c r="O848" s="150"/>
      <c r="P848" s="150"/>
      <c r="Q848" s="150"/>
      <c r="R848" s="150"/>
      <c r="S848" s="150"/>
      <c r="T848" s="150"/>
      <c r="U848" s="150"/>
      <c r="V848" s="150"/>
      <c r="W848" s="150"/>
      <c r="X848" s="150"/>
      <c r="Y848" s="150"/>
      <c r="Z848" s="150"/>
    </row>
    <row r="849">
      <c r="A849" s="150"/>
      <c r="B849" s="155"/>
      <c r="C849" s="155"/>
      <c r="D849" s="155"/>
      <c r="E849" s="155"/>
      <c r="F849" s="150"/>
      <c r="G849" s="150"/>
      <c r="H849" s="150"/>
      <c r="I849" s="150"/>
      <c r="J849" s="150"/>
      <c r="K849" s="150"/>
      <c r="L849" s="150"/>
      <c r="M849" s="150"/>
      <c r="N849" s="150"/>
      <c r="O849" s="150"/>
      <c r="P849" s="150"/>
      <c r="Q849" s="150"/>
      <c r="R849" s="150"/>
      <c r="S849" s="150"/>
      <c r="T849" s="150"/>
      <c r="U849" s="150"/>
      <c r="V849" s="150"/>
      <c r="W849" s="150"/>
      <c r="X849" s="150"/>
      <c r="Y849" s="150"/>
      <c r="Z849" s="150"/>
    </row>
    <row r="850">
      <c r="A850" s="150"/>
      <c r="B850" s="155"/>
      <c r="C850" s="155"/>
      <c r="D850" s="155"/>
      <c r="E850" s="155"/>
      <c r="F850" s="150"/>
      <c r="G850" s="150"/>
      <c r="H850" s="150"/>
      <c r="I850" s="150"/>
      <c r="J850" s="150"/>
      <c r="K850" s="150"/>
      <c r="L850" s="150"/>
      <c r="M850" s="150"/>
      <c r="N850" s="150"/>
      <c r="O850" s="150"/>
      <c r="P850" s="150"/>
      <c r="Q850" s="150"/>
      <c r="R850" s="150"/>
      <c r="S850" s="150"/>
      <c r="T850" s="150"/>
      <c r="U850" s="150"/>
      <c r="V850" s="150"/>
      <c r="W850" s="150"/>
      <c r="X850" s="150"/>
      <c r="Y850" s="150"/>
      <c r="Z850" s="150"/>
    </row>
    <row r="851">
      <c r="A851" s="150"/>
      <c r="B851" s="155"/>
      <c r="C851" s="155"/>
      <c r="D851" s="155"/>
      <c r="E851" s="155"/>
      <c r="F851" s="150"/>
      <c r="G851" s="150"/>
      <c r="H851" s="150"/>
      <c r="I851" s="150"/>
      <c r="J851" s="150"/>
      <c r="K851" s="150"/>
      <c r="L851" s="150"/>
      <c r="M851" s="150"/>
      <c r="N851" s="150"/>
      <c r="O851" s="150"/>
      <c r="P851" s="150"/>
      <c r="Q851" s="150"/>
      <c r="R851" s="150"/>
      <c r="S851" s="150"/>
      <c r="T851" s="150"/>
      <c r="U851" s="150"/>
      <c r="V851" s="150"/>
      <c r="W851" s="150"/>
      <c r="X851" s="150"/>
      <c r="Y851" s="150"/>
      <c r="Z851" s="150"/>
    </row>
    <row r="852">
      <c r="A852" s="150"/>
      <c r="B852" s="155"/>
      <c r="C852" s="155"/>
      <c r="D852" s="155"/>
      <c r="E852" s="155"/>
      <c r="F852" s="150"/>
      <c r="G852" s="150"/>
      <c r="H852" s="150"/>
      <c r="I852" s="150"/>
      <c r="J852" s="150"/>
      <c r="K852" s="150"/>
      <c r="L852" s="150"/>
      <c r="M852" s="150"/>
      <c r="N852" s="150"/>
      <c r="O852" s="150"/>
      <c r="P852" s="150"/>
      <c r="Q852" s="150"/>
      <c r="R852" s="150"/>
      <c r="S852" s="150"/>
      <c r="T852" s="150"/>
      <c r="U852" s="150"/>
      <c r="V852" s="150"/>
      <c r="W852" s="150"/>
      <c r="X852" s="150"/>
      <c r="Y852" s="150"/>
      <c r="Z852" s="150"/>
    </row>
    <row r="853">
      <c r="A853" s="150"/>
      <c r="B853" s="155"/>
      <c r="C853" s="155"/>
      <c r="D853" s="155"/>
      <c r="E853" s="155"/>
      <c r="F853" s="150"/>
      <c r="G853" s="150"/>
      <c r="H853" s="150"/>
      <c r="I853" s="150"/>
      <c r="J853" s="150"/>
      <c r="K853" s="150"/>
      <c r="L853" s="150"/>
      <c r="M853" s="150"/>
      <c r="N853" s="150"/>
      <c r="O853" s="150"/>
      <c r="P853" s="150"/>
      <c r="Q853" s="150"/>
      <c r="R853" s="150"/>
      <c r="S853" s="150"/>
      <c r="T853" s="150"/>
      <c r="U853" s="150"/>
      <c r="V853" s="150"/>
      <c r="W853" s="150"/>
      <c r="X853" s="150"/>
      <c r="Y853" s="150"/>
      <c r="Z853" s="150"/>
    </row>
    <row r="854">
      <c r="A854" s="150"/>
      <c r="B854" s="155"/>
      <c r="C854" s="155"/>
      <c r="D854" s="155"/>
      <c r="E854" s="155"/>
      <c r="F854" s="150"/>
      <c r="G854" s="150"/>
      <c r="H854" s="150"/>
      <c r="I854" s="150"/>
      <c r="J854" s="150"/>
      <c r="K854" s="150"/>
      <c r="L854" s="150"/>
      <c r="M854" s="150"/>
      <c r="N854" s="150"/>
      <c r="O854" s="150"/>
      <c r="P854" s="150"/>
      <c r="Q854" s="150"/>
      <c r="R854" s="150"/>
      <c r="S854" s="150"/>
      <c r="T854" s="150"/>
      <c r="U854" s="150"/>
      <c r="V854" s="150"/>
      <c r="W854" s="150"/>
      <c r="X854" s="150"/>
      <c r="Y854" s="150"/>
      <c r="Z854" s="150"/>
    </row>
    <row r="855">
      <c r="A855" s="150"/>
      <c r="B855" s="155"/>
      <c r="C855" s="155"/>
      <c r="D855" s="155"/>
      <c r="E855" s="155"/>
      <c r="F855" s="150"/>
      <c r="G855" s="150"/>
      <c r="H855" s="150"/>
      <c r="I855" s="150"/>
      <c r="J855" s="150"/>
      <c r="K855" s="150"/>
      <c r="L855" s="150"/>
      <c r="M855" s="150"/>
      <c r="N855" s="150"/>
      <c r="O855" s="150"/>
      <c r="P855" s="150"/>
      <c r="Q855" s="150"/>
      <c r="R855" s="150"/>
      <c r="S855" s="150"/>
      <c r="T855" s="150"/>
      <c r="U855" s="150"/>
      <c r="V855" s="150"/>
      <c r="W855" s="150"/>
      <c r="X855" s="150"/>
      <c r="Y855" s="150"/>
      <c r="Z855" s="150"/>
    </row>
    <row r="856">
      <c r="A856" s="150"/>
      <c r="B856" s="155"/>
      <c r="C856" s="155"/>
      <c r="D856" s="155"/>
      <c r="E856" s="155"/>
      <c r="F856" s="150"/>
      <c r="G856" s="150"/>
      <c r="H856" s="150"/>
      <c r="I856" s="150"/>
      <c r="J856" s="150"/>
      <c r="K856" s="150"/>
      <c r="L856" s="150"/>
      <c r="M856" s="150"/>
      <c r="N856" s="150"/>
      <c r="O856" s="150"/>
      <c r="P856" s="150"/>
      <c r="Q856" s="150"/>
      <c r="R856" s="150"/>
      <c r="S856" s="150"/>
      <c r="T856" s="150"/>
      <c r="U856" s="150"/>
      <c r="V856" s="150"/>
      <c r="W856" s="150"/>
      <c r="X856" s="150"/>
      <c r="Y856" s="150"/>
      <c r="Z856" s="150"/>
    </row>
    <row r="857">
      <c r="A857" s="150"/>
      <c r="B857" s="155"/>
      <c r="C857" s="155"/>
      <c r="D857" s="155"/>
      <c r="E857" s="155"/>
      <c r="F857" s="150"/>
      <c r="G857" s="150"/>
      <c r="H857" s="150"/>
      <c r="I857" s="150"/>
      <c r="J857" s="150"/>
      <c r="K857" s="150"/>
      <c r="L857" s="150"/>
      <c r="M857" s="150"/>
      <c r="N857" s="150"/>
      <c r="O857" s="150"/>
      <c r="P857" s="150"/>
      <c r="Q857" s="150"/>
      <c r="R857" s="150"/>
      <c r="S857" s="150"/>
      <c r="T857" s="150"/>
      <c r="U857" s="150"/>
      <c r="V857" s="150"/>
      <c r="W857" s="150"/>
      <c r="X857" s="150"/>
      <c r="Y857" s="150"/>
      <c r="Z857" s="150"/>
    </row>
    <row r="858">
      <c r="A858" s="150"/>
      <c r="B858" s="155"/>
      <c r="C858" s="155"/>
      <c r="D858" s="155"/>
      <c r="E858" s="155"/>
      <c r="F858" s="150"/>
      <c r="G858" s="150"/>
      <c r="H858" s="150"/>
      <c r="I858" s="150"/>
      <c r="J858" s="150"/>
      <c r="K858" s="150"/>
      <c r="L858" s="150"/>
      <c r="M858" s="150"/>
      <c r="N858" s="150"/>
      <c r="O858" s="150"/>
      <c r="P858" s="150"/>
      <c r="Q858" s="150"/>
      <c r="R858" s="150"/>
      <c r="S858" s="150"/>
      <c r="T858" s="150"/>
      <c r="U858" s="150"/>
      <c r="V858" s="150"/>
      <c r="W858" s="150"/>
      <c r="X858" s="150"/>
      <c r="Y858" s="150"/>
      <c r="Z858" s="150"/>
    </row>
    <row r="859">
      <c r="A859" s="150"/>
      <c r="B859" s="155"/>
      <c r="C859" s="155"/>
      <c r="D859" s="155"/>
      <c r="E859" s="155"/>
      <c r="F859" s="150"/>
      <c r="G859" s="150"/>
      <c r="H859" s="150"/>
      <c r="I859" s="150"/>
      <c r="J859" s="150"/>
      <c r="K859" s="150"/>
      <c r="L859" s="150"/>
      <c r="M859" s="150"/>
      <c r="N859" s="150"/>
      <c r="O859" s="150"/>
      <c r="P859" s="150"/>
      <c r="Q859" s="150"/>
      <c r="R859" s="150"/>
      <c r="S859" s="150"/>
      <c r="T859" s="150"/>
      <c r="U859" s="150"/>
      <c r="V859" s="150"/>
      <c r="W859" s="150"/>
      <c r="X859" s="150"/>
      <c r="Y859" s="150"/>
      <c r="Z859" s="150"/>
    </row>
    <row r="860">
      <c r="A860" s="150"/>
      <c r="B860" s="155"/>
      <c r="C860" s="155"/>
      <c r="D860" s="155"/>
      <c r="E860" s="155"/>
      <c r="F860" s="150"/>
      <c r="G860" s="150"/>
      <c r="H860" s="150"/>
      <c r="I860" s="150"/>
      <c r="J860" s="150"/>
      <c r="K860" s="150"/>
      <c r="L860" s="150"/>
      <c r="M860" s="150"/>
      <c r="N860" s="150"/>
      <c r="O860" s="150"/>
      <c r="P860" s="150"/>
      <c r="Q860" s="150"/>
      <c r="R860" s="150"/>
      <c r="S860" s="150"/>
      <c r="T860" s="150"/>
      <c r="U860" s="150"/>
      <c r="V860" s="150"/>
      <c r="W860" s="150"/>
      <c r="X860" s="150"/>
      <c r="Y860" s="150"/>
      <c r="Z860" s="150"/>
    </row>
    <row r="861">
      <c r="A861" s="150"/>
      <c r="B861" s="155"/>
      <c r="C861" s="155"/>
      <c r="D861" s="155"/>
      <c r="E861" s="155"/>
      <c r="F861" s="150"/>
      <c r="G861" s="150"/>
      <c r="H861" s="150"/>
      <c r="I861" s="150"/>
      <c r="J861" s="150"/>
      <c r="K861" s="150"/>
      <c r="L861" s="150"/>
      <c r="M861" s="150"/>
      <c r="N861" s="150"/>
      <c r="O861" s="150"/>
      <c r="P861" s="150"/>
      <c r="Q861" s="150"/>
      <c r="R861" s="150"/>
      <c r="S861" s="150"/>
      <c r="T861" s="150"/>
      <c r="U861" s="150"/>
      <c r="V861" s="150"/>
      <c r="W861" s="150"/>
      <c r="X861" s="150"/>
      <c r="Y861" s="150"/>
      <c r="Z861" s="150"/>
    </row>
    <row r="862">
      <c r="A862" s="150"/>
      <c r="B862" s="155"/>
      <c r="C862" s="155"/>
      <c r="D862" s="155"/>
      <c r="E862" s="155"/>
      <c r="F862" s="150"/>
      <c r="G862" s="150"/>
      <c r="H862" s="150"/>
      <c r="I862" s="150"/>
      <c r="J862" s="150"/>
      <c r="K862" s="150"/>
      <c r="L862" s="150"/>
      <c r="M862" s="150"/>
      <c r="N862" s="150"/>
      <c r="O862" s="150"/>
      <c r="P862" s="150"/>
      <c r="Q862" s="150"/>
      <c r="R862" s="150"/>
      <c r="S862" s="150"/>
      <c r="T862" s="150"/>
      <c r="U862" s="150"/>
      <c r="V862" s="150"/>
      <c r="W862" s="150"/>
      <c r="X862" s="150"/>
      <c r="Y862" s="150"/>
      <c r="Z862" s="150"/>
    </row>
    <row r="863">
      <c r="A863" s="150"/>
      <c r="B863" s="155"/>
      <c r="C863" s="155"/>
      <c r="D863" s="155"/>
      <c r="E863" s="155"/>
      <c r="F863" s="150"/>
      <c r="G863" s="150"/>
      <c r="H863" s="150"/>
      <c r="I863" s="150"/>
      <c r="J863" s="150"/>
      <c r="K863" s="150"/>
      <c r="L863" s="150"/>
      <c r="M863" s="150"/>
      <c r="N863" s="150"/>
      <c r="O863" s="150"/>
      <c r="P863" s="150"/>
      <c r="Q863" s="150"/>
      <c r="R863" s="150"/>
      <c r="S863" s="150"/>
      <c r="T863" s="150"/>
      <c r="U863" s="150"/>
      <c r="V863" s="150"/>
      <c r="W863" s="150"/>
      <c r="X863" s="150"/>
      <c r="Y863" s="150"/>
      <c r="Z863" s="150"/>
    </row>
    <row r="864">
      <c r="A864" s="150"/>
      <c r="B864" s="155"/>
      <c r="C864" s="155"/>
      <c r="D864" s="155"/>
      <c r="E864" s="155"/>
      <c r="F864" s="150"/>
      <c r="G864" s="150"/>
      <c r="H864" s="150"/>
      <c r="I864" s="150"/>
      <c r="J864" s="150"/>
      <c r="K864" s="150"/>
      <c r="L864" s="150"/>
      <c r="M864" s="150"/>
      <c r="N864" s="150"/>
      <c r="O864" s="150"/>
      <c r="P864" s="150"/>
      <c r="Q864" s="150"/>
      <c r="R864" s="150"/>
      <c r="S864" s="150"/>
      <c r="T864" s="150"/>
      <c r="U864" s="150"/>
      <c r="V864" s="150"/>
      <c r="W864" s="150"/>
      <c r="X864" s="150"/>
      <c r="Y864" s="150"/>
      <c r="Z864" s="150"/>
    </row>
    <row r="865">
      <c r="A865" s="150"/>
      <c r="B865" s="155"/>
      <c r="C865" s="155"/>
      <c r="D865" s="155"/>
      <c r="E865" s="155"/>
      <c r="F865" s="150"/>
      <c r="G865" s="150"/>
      <c r="H865" s="150"/>
      <c r="I865" s="150"/>
      <c r="J865" s="150"/>
      <c r="K865" s="150"/>
      <c r="L865" s="150"/>
      <c r="M865" s="150"/>
      <c r="N865" s="150"/>
      <c r="O865" s="150"/>
      <c r="P865" s="150"/>
      <c r="Q865" s="150"/>
      <c r="R865" s="150"/>
      <c r="S865" s="150"/>
      <c r="T865" s="150"/>
      <c r="U865" s="150"/>
      <c r="V865" s="150"/>
      <c r="W865" s="150"/>
      <c r="X865" s="150"/>
      <c r="Y865" s="150"/>
      <c r="Z865" s="150"/>
    </row>
    <row r="866">
      <c r="A866" s="150"/>
      <c r="B866" s="155"/>
      <c r="C866" s="155"/>
      <c r="D866" s="155"/>
      <c r="E866" s="155"/>
      <c r="F866" s="150"/>
      <c r="G866" s="150"/>
      <c r="H866" s="150"/>
      <c r="I866" s="150"/>
      <c r="J866" s="150"/>
      <c r="K866" s="150"/>
      <c r="L866" s="150"/>
      <c r="M866" s="150"/>
      <c r="N866" s="150"/>
      <c r="O866" s="150"/>
      <c r="P866" s="150"/>
      <c r="Q866" s="150"/>
      <c r="R866" s="150"/>
      <c r="S866" s="150"/>
      <c r="T866" s="150"/>
      <c r="U866" s="150"/>
      <c r="V866" s="150"/>
      <c r="W866" s="150"/>
      <c r="X866" s="150"/>
      <c r="Y866" s="150"/>
      <c r="Z866" s="150"/>
    </row>
    <row r="867">
      <c r="A867" s="150"/>
      <c r="B867" s="155"/>
      <c r="C867" s="155"/>
      <c r="D867" s="155"/>
      <c r="E867" s="155"/>
      <c r="F867" s="150"/>
      <c r="G867" s="150"/>
      <c r="H867" s="150"/>
      <c r="I867" s="150"/>
      <c r="J867" s="150"/>
      <c r="K867" s="150"/>
      <c r="L867" s="150"/>
      <c r="M867" s="150"/>
      <c r="N867" s="150"/>
      <c r="O867" s="150"/>
      <c r="P867" s="150"/>
      <c r="Q867" s="150"/>
      <c r="R867" s="150"/>
      <c r="S867" s="150"/>
      <c r="T867" s="150"/>
      <c r="U867" s="150"/>
      <c r="V867" s="150"/>
      <c r="W867" s="150"/>
      <c r="X867" s="150"/>
      <c r="Y867" s="150"/>
      <c r="Z867" s="150"/>
    </row>
    <row r="868">
      <c r="A868" s="150"/>
      <c r="B868" s="155"/>
      <c r="C868" s="155"/>
      <c r="D868" s="155"/>
      <c r="E868" s="155"/>
      <c r="F868" s="150"/>
      <c r="G868" s="150"/>
      <c r="H868" s="150"/>
      <c r="I868" s="150"/>
      <c r="J868" s="150"/>
      <c r="K868" s="150"/>
      <c r="L868" s="150"/>
      <c r="M868" s="150"/>
      <c r="N868" s="150"/>
      <c r="O868" s="150"/>
      <c r="P868" s="150"/>
      <c r="Q868" s="150"/>
      <c r="R868" s="150"/>
      <c r="S868" s="150"/>
      <c r="T868" s="150"/>
      <c r="U868" s="150"/>
      <c r="V868" s="150"/>
      <c r="W868" s="150"/>
      <c r="X868" s="150"/>
      <c r="Y868" s="150"/>
      <c r="Z868" s="150"/>
    </row>
    <row r="869">
      <c r="A869" s="150"/>
      <c r="B869" s="155"/>
      <c r="C869" s="155"/>
      <c r="D869" s="155"/>
      <c r="E869" s="155"/>
      <c r="F869" s="150"/>
      <c r="G869" s="150"/>
      <c r="H869" s="150"/>
      <c r="I869" s="150"/>
      <c r="J869" s="150"/>
      <c r="K869" s="150"/>
      <c r="L869" s="150"/>
      <c r="M869" s="150"/>
      <c r="N869" s="150"/>
      <c r="O869" s="150"/>
      <c r="P869" s="150"/>
      <c r="Q869" s="150"/>
      <c r="R869" s="150"/>
      <c r="S869" s="150"/>
      <c r="T869" s="150"/>
      <c r="U869" s="150"/>
      <c r="V869" s="150"/>
      <c r="W869" s="150"/>
      <c r="X869" s="150"/>
      <c r="Y869" s="150"/>
      <c r="Z869" s="150"/>
    </row>
    <row r="870">
      <c r="A870" s="150"/>
      <c r="B870" s="155"/>
      <c r="C870" s="155"/>
      <c r="D870" s="155"/>
      <c r="E870" s="155"/>
      <c r="F870" s="150"/>
      <c r="G870" s="150"/>
      <c r="H870" s="150"/>
      <c r="I870" s="150"/>
      <c r="J870" s="150"/>
      <c r="K870" s="150"/>
      <c r="L870" s="150"/>
      <c r="M870" s="150"/>
      <c r="N870" s="150"/>
      <c r="O870" s="150"/>
      <c r="P870" s="150"/>
      <c r="Q870" s="150"/>
      <c r="R870" s="150"/>
      <c r="S870" s="150"/>
      <c r="T870" s="150"/>
      <c r="U870" s="150"/>
      <c r="V870" s="150"/>
      <c r="W870" s="150"/>
      <c r="X870" s="150"/>
      <c r="Y870" s="150"/>
      <c r="Z870" s="150"/>
    </row>
    <row r="871">
      <c r="A871" s="150"/>
      <c r="B871" s="155"/>
      <c r="C871" s="155"/>
      <c r="D871" s="155"/>
      <c r="E871" s="155"/>
      <c r="F871" s="150"/>
      <c r="G871" s="150"/>
      <c r="H871" s="150"/>
      <c r="I871" s="150"/>
      <c r="J871" s="150"/>
      <c r="K871" s="150"/>
      <c r="L871" s="150"/>
      <c r="M871" s="150"/>
      <c r="N871" s="150"/>
      <c r="O871" s="150"/>
      <c r="P871" s="150"/>
      <c r="Q871" s="150"/>
      <c r="R871" s="150"/>
      <c r="S871" s="150"/>
      <c r="T871" s="150"/>
      <c r="U871" s="150"/>
      <c r="V871" s="150"/>
      <c r="W871" s="150"/>
      <c r="X871" s="150"/>
      <c r="Y871" s="150"/>
      <c r="Z871" s="150"/>
    </row>
    <row r="872">
      <c r="A872" s="150"/>
      <c r="B872" s="155"/>
      <c r="C872" s="155"/>
      <c r="D872" s="155"/>
      <c r="E872" s="155"/>
      <c r="F872" s="150"/>
      <c r="G872" s="150"/>
      <c r="H872" s="150"/>
      <c r="I872" s="150"/>
      <c r="J872" s="150"/>
      <c r="K872" s="150"/>
      <c r="L872" s="150"/>
      <c r="M872" s="150"/>
      <c r="N872" s="150"/>
      <c r="O872" s="150"/>
      <c r="P872" s="150"/>
      <c r="Q872" s="150"/>
      <c r="R872" s="150"/>
      <c r="S872" s="150"/>
      <c r="T872" s="150"/>
      <c r="U872" s="150"/>
      <c r="V872" s="150"/>
      <c r="W872" s="150"/>
      <c r="X872" s="150"/>
      <c r="Y872" s="150"/>
      <c r="Z872" s="150"/>
    </row>
    <row r="873">
      <c r="A873" s="150"/>
      <c r="B873" s="155"/>
      <c r="C873" s="155"/>
      <c r="D873" s="155"/>
      <c r="E873" s="155"/>
      <c r="F873" s="150"/>
      <c r="G873" s="150"/>
      <c r="H873" s="150"/>
      <c r="I873" s="150"/>
      <c r="J873" s="150"/>
      <c r="K873" s="150"/>
      <c r="L873" s="150"/>
      <c r="M873" s="150"/>
      <c r="N873" s="150"/>
      <c r="O873" s="150"/>
      <c r="P873" s="150"/>
      <c r="Q873" s="150"/>
      <c r="R873" s="150"/>
      <c r="S873" s="150"/>
      <c r="T873" s="150"/>
      <c r="U873" s="150"/>
      <c r="V873" s="150"/>
      <c r="W873" s="150"/>
      <c r="X873" s="150"/>
      <c r="Y873" s="150"/>
      <c r="Z873" s="150"/>
    </row>
    <row r="874">
      <c r="A874" s="150"/>
      <c r="B874" s="155"/>
      <c r="C874" s="155"/>
      <c r="D874" s="155"/>
      <c r="E874" s="155"/>
      <c r="F874" s="150"/>
      <c r="G874" s="150"/>
      <c r="H874" s="150"/>
      <c r="I874" s="150"/>
      <c r="J874" s="150"/>
      <c r="K874" s="150"/>
      <c r="L874" s="150"/>
      <c r="M874" s="150"/>
      <c r="N874" s="150"/>
      <c r="O874" s="150"/>
      <c r="P874" s="150"/>
      <c r="Q874" s="150"/>
      <c r="R874" s="150"/>
      <c r="S874" s="150"/>
      <c r="T874" s="150"/>
      <c r="U874" s="150"/>
      <c r="V874" s="150"/>
      <c r="W874" s="150"/>
      <c r="X874" s="150"/>
      <c r="Y874" s="150"/>
      <c r="Z874" s="150"/>
    </row>
    <row r="875">
      <c r="A875" s="150"/>
      <c r="B875" s="155"/>
      <c r="C875" s="155"/>
      <c r="D875" s="155"/>
      <c r="E875" s="155"/>
      <c r="F875" s="150"/>
      <c r="G875" s="150"/>
      <c r="H875" s="150"/>
      <c r="I875" s="150"/>
      <c r="J875" s="150"/>
      <c r="K875" s="150"/>
      <c r="L875" s="150"/>
      <c r="M875" s="150"/>
      <c r="N875" s="150"/>
      <c r="O875" s="150"/>
      <c r="P875" s="150"/>
      <c r="Q875" s="150"/>
      <c r="R875" s="150"/>
      <c r="S875" s="150"/>
      <c r="T875" s="150"/>
      <c r="U875" s="150"/>
      <c r="V875" s="150"/>
      <c r="W875" s="150"/>
      <c r="X875" s="150"/>
      <c r="Y875" s="150"/>
      <c r="Z875" s="150"/>
    </row>
    <row r="876">
      <c r="A876" s="150"/>
      <c r="B876" s="155"/>
      <c r="C876" s="155"/>
      <c r="D876" s="155"/>
      <c r="E876" s="155"/>
      <c r="F876" s="150"/>
      <c r="G876" s="150"/>
      <c r="H876" s="150"/>
      <c r="I876" s="150"/>
      <c r="J876" s="150"/>
      <c r="K876" s="150"/>
      <c r="L876" s="150"/>
      <c r="M876" s="150"/>
      <c r="N876" s="150"/>
      <c r="O876" s="150"/>
      <c r="P876" s="150"/>
      <c r="Q876" s="150"/>
      <c r="R876" s="150"/>
      <c r="S876" s="150"/>
      <c r="T876" s="150"/>
      <c r="U876" s="150"/>
      <c r="V876" s="150"/>
      <c r="W876" s="150"/>
      <c r="X876" s="150"/>
      <c r="Y876" s="150"/>
      <c r="Z876" s="150"/>
    </row>
    <row r="877">
      <c r="A877" s="150"/>
      <c r="B877" s="155"/>
      <c r="C877" s="155"/>
      <c r="D877" s="155"/>
      <c r="E877" s="155"/>
      <c r="F877" s="150"/>
      <c r="G877" s="150"/>
      <c r="H877" s="150"/>
      <c r="I877" s="150"/>
      <c r="J877" s="150"/>
      <c r="K877" s="150"/>
      <c r="L877" s="150"/>
      <c r="M877" s="150"/>
      <c r="N877" s="150"/>
      <c r="O877" s="150"/>
      <c r="P877" s="150"/>
      <c r="Q877" s="150"/>
      <c r="R877" s="150"/>
      <c r="S877" s="150"/>
      <c r="T877" s="150"/>
      <c r="U877" s="150"/>
      <c r="V877" s="150"/>
      <c r="W877" s="150"/>
      <c r="X877" s="150"/>
      <c r="Y877" s="150"/>
      <c r="Z877" s="150"/>
    </row>
    <row r="878">
      <c r="A878" s="150"/>
      <c r="B878" s="155"/>
      <c r="C878" s="155"/>
      <c r="D878" s="155"/>
      <c r="E878" s="155"/>
      <c r="F878" s="150"/>
      <c r="G878" s="150"/>
      <c r="H878" s="150"/>
      <c r="I878" s="150"/>
      <c r="J878" s="150"/>
      <c r="K878" s="150"/>
      <c r="L878" s="150"/>
      <c r="M878" s="150"/>
      <c r="N878" s="150"/>
      <c r="O878" s="150"/>
      <c r="P878" s="150"/>
      <c r="Q878" s="150"/>
      <c r="R878" s="150"/>
      <c r="S878" s="150"/>
      <c r="T878" s="150"/>
      <c r="U878" s="150"/>
      <c r="V878" s="150"/>
      <c r="W878" s="150"/>
      <c r="X878" s="150"/>
      <c r="Y878" s="150"/>
      <c r="Z878" s="150"/>
    </row>
    <row r="879">
      <c r="A879" s="150"/>
      <c r="B879" s="155"/>
      <c r="C879" s="155"/>
      <c r="D879" s="155"/>
      <c r="E879" s="155"/>
      <c r="F879" s="150"/>
      <c r="G879" s="150"/>
      <c r="H879" s="150"/>
      <c r="I879" s="150"/>
      <c r="J879" s="150"/>
      <c r="K879" s="150"/>
      <c r="L879" s="150"/>
      <c r="M879" s="150"/>
      <c r="N879" s="150"/>
      <c r="O879" s="150"/>
      <c r="P879" s="150"/>
      <c r="Q879" s="150"/>
      <c r="R879" s="150"/>
      <c r="S879" s="150"/>
      <c r="T879" s="150"/>
      <c r="U879" s="150"/>
      <c r="V879" s="150"/>
      <c r="W879" s="150"/>
      <c r="X879" s="150"/>
      <c r="Y879" s="150"/>
      <c r="Z879" s="150"/>
    </row>
    <row r="880">
      <c r="A880" s="150"/>
      <c r="B880" s="155"/>
      <c r="C880" s="155"/>
      <c r="D880" s="155"/>
      <c r="E880" s="155"/>
      <c r="F880" s="150"/>
      <c r="G880" s="150"/>
      <c r="H880" s="150"/>
      <c r="I880" s="150"/>
      <c r="J880" s="150"/>
      <c r="K880" s="150"/>
      <c r="L880" s="150"/>
      <c r="M880" s="150"/>
      <c r="N880" s="150"/>
      <c r="O880" s="150"/>
      <c r="P880" s="150"/>
      <c r="Q880" s="150"/>
      <c r="R880" s="150"/>
      <c r="S880" s="150"/>
      <c r="T880" s="150"/>
      <c r="U880" s="150"/>
      <c r="V880" s="150"/>
      <c r="W880" s="150"/>
      <c r="X880" s="150"/>
      <c r="Y880" s="150"/>
      <c r="Z880" s="150"/>
    </row>
    <row r="881">
      <c r="A881" s="150"/>
      <c r="B881" s="155"/>
      <c r="C881" s="155"/>
      <c r="D881" s="155"/>
      <c r="E881" s="155"/>
      <c r="F881" s="150"/>
      <c r="G881" s="150"/>
      <c r="H881" s="150"/>
      <c r="I881" s="150"/>
      <c r="J881" s="150"/>
      <c r="K881" s="150"/>
      <c r="L881" s="150"/>
      <c r="M881" s="150"/>
      <c r="N881" s="150"/>
      <c r="O881" s="150"/>
      <c r="P881" s="150"/>
      <c r="Q881" s="150"/>
      <c r="R881" s="150"/>
      <c r="S881" s="150"/>
      <c r="T881" s="150"/>
      <c r="U881" s="150"/>
      <c r="V881" s="150"/>
      <c r="W881" s="150"/>
      <c r="X881" s="150"/>
      <c r="Y881" s="150"/>
      <c r="Z881" s="150"/>
    </row>
    <row r="882">
      <c r="A882" s="150"/>
      <c r="B882" s="155"/>
      <c r="C882" s="155"/>
      <c r="D882" s="155"/>
      <c r="E882" s="155"/>
      <c r="F882" s="150"/>
      <c r="G882" s="150"/>
      <c r="H882" s="150"/>
      <c r="I882" s="150"/>
      <c r="J882" s="150"/>
      <c r="K882" s="150"/>
      <c r="L882" s="150"/>
      <c r="M882" s="150"/>
      <c r="N882" s="150"/>
      <c r="O882" s="150"/>
      <c r="P882" s="150"/>
      <c r="Q882" s="150"/>
      <c r="R882" s="150"/>
      <c r="S882" s="150"/>
      <c r="T882" s="150"/>
      <c r="U882" s="150"/>
      <c r="V882" s="150"/>
      <c r="W882" s="150"/>
      <c r="X882" s="150"/>
      <c r="Y882" s="150"/>
      <c r="Z882" s="150"/>
    </row>
    <row r="883">
      <c r="A883" s="150"/>
      <c r="B883" s="155"/>
      <c r="C883" s="155"/>
      <c r="D883" s="155"/>
      <c r="E883" s="155"/>
      <c r="F883" s="150"/>
      <c r="G883" s="150"/>
      <c r="H883" s="150"/>
      <c r="I883" s="150"/>
      <c r="J883" s="150"/>
      <c r="K883" s="150"/>
      <c r="L883" s="150"/>
      <c r="M883" s="150"/>
      <c r="N883" s="150"/>
      <c r="O883" s="150"/>
      <c r="P883" s="150"/>
      <c r="Q883" s="150"/>
      <c r="R883" s="150"/>
      <c r="S883" s="150"/>
      <c r="T883" s="150"/>
      <c r="U883" s="150"/>
      <c r="V883" s="150"/>
      <c r="W883" s="150"/>
      <c r="X883" s="150"/>
      <c r="Y883" s="150"/>
      <c r="Z883" s="150"/>
    </row>
    <row r="884">
      <c r="A884" s="150"/>
      <c r="B884" s="155"/>
      <c r="C884" s="155"/>
      <c r="D884" s="155"/>
      <c r="E884" s="155"/>
      <c r="F884" s="150"/>
      <c r="G884" s="150"/>
      <c r="H884" s="150"/>
      <c r="I884" s="150"/>
      <c r="J884" s="150"/>
      <c r="K884" s="150"/>
      <c r="L884" s="150"/>
      <c r="M884" s="150"/>
      <c r="N884" s="150"/>
      <c r="O884" s="150"/>
      <c r="P884" s="150"/>
      <c r="Q884" s="150"/>
      <c r="R884" s="150"/>
      <c r="S884" s="150"/>
      <c r="T884" s="150"/>
      <c r="U884" s="150"/>
      <c r="V884" s="150"/>
      <c r="W884" s="150"/>
      <c r="X884" s="150"/>
      <c r="Y884" s="150"/>
      <c r="Z884" s="150"/>
    </row>
    <row r="885">
      <c r="A885" s="150"/>
      <c r="B885" s="155"/>
      <c r="C885" s="155"/>
      <c r="D885" s="155"/>
      <c r="E885" s="155"/>
      <c r="F885" s="150"/>
      <c r="G885" s="150"/>
      <c r="H885" s="150"/>
      <c r="I885" s="150"/>
      <c r="J885" s="150"/>
      <c r="K885" s="150"/>
      <c r="L885" s="150"/>
      <c r="M885" s="150"/>
      <c r="N885" s="150"/>
      <c r="O885" s="150"/>
      <c r="P885" s="150"/>
      <c r="Q885" s="150"/>
      <c r="R885" s="150"/>
      <c r="S885" s="150"/>
      <c r="T885" s="150"/>
      <c r="U885" s="150"/>
      <c r="V885" s="150"/>
      <c r="W885" s="150"/>
      <c r="X885" s="150"/>
      <c r="Y885" s="150"/>
      <c r="Z885" s="150"/>
    </row>
    <row r="886">
      <c r="A886" s="150"/>
      <c r="B886" s="155"/>
      <c r="C886" s="155"/>
      <c r="D886" s="155"/>
      <c r="E886" s="155"/>
      <c r="F886" s="150"/>
      <c r="G886" s="150"/>
      <c r="H886" s="150"/>
      <c r="I886" s="150"/>
      <c r="J886" s="150"/>
      <c r="K886" s="150"/>
      <c r="L886" s="150"/>
      <c r="M886" s="150"/>
      <c r="N886" s="150"/>
      <c r="O886" s="150"/>
      <c r="P886" s="150"/>
      <c r="Q886" s="150"/>
      <c r="R886" s="150"/>
      <c r="S886" s="150"/>
      <c r="T886" s="150"/>
      <c r="U886" s="150"/>
      <c r="V886" s="150"/>
      <c r="W886" s="150"/>
      <c r="X886" s="150"/>
      <c r="Y886" s="150"/>
      <c r="Z886" s="150"/>
    </row>
    <row r="887">
      <c r="A887" s="150"/>
      <c r="B887" s="155"/>
      <c r="C887" s="155"/>
      <c r="D887" s="155"/>
      <c r="E887" s="155"/>
      <c r="F887" s="150"/>
      <c r="G887" s="150"/>
      <c r="H887" s="150"/>
      <c r="I887" s="150"/>
      <c r="J887" s="150"/>
      <c r="K887" s="150"/>
      <c r="L887" s="150"/>
      <c r="M887" s="150"/>
      <c r="N887" s="150"/>
      <c r="O887" s="150"/>
      <c r="P887" s="150"/>
      <c r="Q887" s="150"/>
      <c r="R887" s="150"/>
      <c r="S887" s="150"/>
      <c r="T887" s="150"/>
      <c r="U887" s="150"/>
      <c r="V887" s="150"/>
      <c r="W887" s="150"/>
      <c r="X887" s="150"/>
      <c r="Y887" s="150"/>
      <c r="Z887" s="150"/>
    </row>
    <row r="888">
      <c r="A888" s="150"/>
      <c r="B888" s="155"/>
      <c r="C888" s="155"/>
      <c r="D888" s="155"/>
      <c r="E888" s="155"/>
      <c r="F888" s="150"/>
      <c r="G888" s="150"/>
      <c r="H888" s="150"/>
      <c r="I888" s="150"/>
      <c r="J888" s="150"/>
      <c r="K888" s="150"/>
      <c r="L888" s="150"/>
      <c r="M888" s="150"/>
      <c r="N888" s="150"/>
      <c r="O888" s="150"/>
      <c r="P888" s="150"/>
      <c r="Q888" s="150"/>
      <c r="R888" s="150"/>
      <c r="S888" s="150"/>
      <c r="T888" s="150"/>
      <c r="U888" s="150"/>
      <c r="V888" s="150"/>
      <c r="W888" s="150"/>
      <c r="X888" s="150"/>
      <c r="Y888" s="150"/>
      <c r="Z888" s="150"/>
    </row>
    <row r="889">
      <c r="A889" s="150"/>
      <c r="B889" s="155"/>
      <c r="C889" s="155"/>
      <c r="D889" s="155"/>
      <c r="E889" s="155"/>
      <c r="F889" s="150"/>
      <c r="G889" s="150"/>
      <c r="H889" s="150"/>
      <c r="I889" s="150"/>
      <c r="J889" s="150"/>
      <c r="K889" s="150"/>
      <c r="L889" s="150"/>
      <c r="M889" s="150"/>
      <c r="N889" s="150"/>
      <c r="O889" s="150"/>
      <c r="P889" s="150"/>
      <c r="Q889" s="150"/>
      <c r="R889" s="150"/>
      <c r="S889" s="150"/>
      <c r="T889" s="150"/>
      <c r="U889" s="150"/>
      <c r="V889" s="150"/>
      <c r="W889" s="150"/>
      <c r="X889" s="150"/>
      <c r="Y889" s="150"/>
      <c r="Z889" s="150"/>
    </row>
    <row r="890">
      <c r="A890" s="150"/>
      <c r="B890" s="155"/>
      <c r="C890" s="155"/>
      <c r="D890" s="155"/>
      <c r="E890" s="155"/>
      <c r="F890" s="150"/>
      <c r="G890" s="150"/>
      <c r="H890" s="150"/>
      <c r="I890" s="150"/>
      <c r="J890" s="150"/>
      <c r="K890" s="150"/>
      <c r="L890" s="150"/>
      <c r="M890" s="150"/>
      <c r="N890" s="150"/>
      <c r="O890" s="150"/>
      <c r="P890" s="150"/>
      <c r="Q890" s="150"/>
      <c r="R890" s="150"/>
      <c r="S890" s="150"/>
      <c r="T890" s="150"/>
      <c r="U890" s="150"/>
      <c r="V890" s="150"/>
      <c r="W890" s="150"/>
      <c r="X890" s="150"/>
      <c r="Y890" s="150"/>
      <c r="Z890" s="150"/>
    </row>
    <row r="891">
      <c r="A891" s="150"/>
      <c r="B891" s="155"/>
      <c r="C891" s="155"/>
      <c r="D891" s="155"/>
      <c r="E891" s="155"/>
      <c r="F891" s="150"/>
      <c r="G891" s="150"/>
      <c r="H891" s="150"/>
      <c r="I891" s="150"/>
      <c r="J891" s="150"/>
      <c r="K891" s="150"/>
      <c r="L891" s="150"/>
      <c r="M891" s="150"/>
      <c r="N891" s="150"/>
      <c r="O891" s="150"/>
      <c r="P891" s="150"/>
      <c r="Q891" s="150"/>
      <c r="R891" s="150"/>
      <c r="S891" s="150"/>
      <c r="T891" s="150"/>
      <c r="U891" s="150"/>
      <c r="V891" s="150"/>
      <c r="W891" s="150"/>
      <c r="X891" s="150"/>
      <c r="Y891" s="150"/>
      <c r="Z891" s="150"/>
    </row>
    <row r="892">
      <c r="A892" s="150"/>
      <c r="B892" s="155"/>
      <c r="C892" s="155"/>
      <c r="D892" s="155"/>
      <c r="E892" s="155"/>
      <c r="F892" s="150"/>
      <c r="G892" s="150"/>
      <c r="H892" s="150"/>
      <c r="I892" s="150"/>
      <c r="J892" s="150"/>
      <c r="K892" s="150"/>
      <c r="L892" s="150"/>
      <c r="M892" s="150"/>
      <c r="N892" s="150"/>
      <c r="O892" s="150"/>
      <c r="P892" s="150"/>
      <c r="Q892" s="150"/>
      <c r="R892" s="150"/>
      <c r="S892" s="150"/>
      <c r="T892" s="150"/>
      <c r="U892" s="150"/>
      <c r="V892" s="150"/>
      <c r="W892" s="150"/>
      <c r="X892" s="150"/>
      <c r="Y892" s="150"/>
      <c r="Z892" s="150"/>
    </row>
    <row r="893">
      <c r="A893" s="150"/>
      <c r="B893" s="155"/>
      <c r="C893" s="155"/>
      <c r="D893" s="155"/>
      <c r="E893" s="155"/>
      <c r="F893" s="150"/>
      <c r="G893" s="150"/>
      <c r="H893" s="150"/>
      <c r="I893" s="150"/>
      <c r="J893" s="150"/>
      <c r="K893" s="150"/>
      <c r="L893" s="150"/>
      <c r="M893" s="150"/>
      <c r="N893" s="150"/>
      <c r="O893" s="150"/>
      <c r="P893" s="150"/>
      <c r="Q893" s="150"/>
      <c r="R893" s="150"/>
      <c r="S893" s="150"/>
      <c r="T893" s="150"/>
      <c r="U893" s="150"/>
      <c r="V893" s="150"/>
      <c r="W893" s="150"/>
      <c r="X893" s="150"/>
      <c r="Y893" s="150"/>
      <c r="Z893" s="150"/>
    </row>
    <row r="894">
      <c r="A894" s="150"/>
      <c r="B894" s="155"/>
      <c r="C894" s="155"/>
      <c r="D894" s="155"/>
      <c r="E894" s="155"/>
      <c r="F894" s="150"/>
      <c r="G894" s="150"/>
      <c r="H894" s="150"/>
      <c r="I894" s="150"/>
      <c r="J894" s="150"/>
      <c r="K894" s="150"/>
      <c r="L894" s="150"/>
      <c r="M894" s="150"/>
      <c r="N894" s="150"/>
      <c r="O894" s="150"/>
      <c r="P894" s="150"/>
      <c r="Q894" s="150"/>
      <c r="R894" s="150"/>
      <c r="S894" s="150"/>
      <c r="T894" s="150"/>
      <c r="U894" s="150"/>
      <c r="V894" s="150"/>
      <c r="W894" s="150"/>
      <c r="X894" s="150"/>
      <c r="Y894" s="150"/>
      <c r="Z894" s="150"/>
    </row>
    <row r="895">
      <c r="A895" s="150"/>
      <c r="B895" s="155"/>
      <c r="C895" s="155"/>
      <c r="D895" s="155"/>
      <c r="E895" s="155"/>
      <c r="F895" s="150"/>
      <c r="G895" s="150"/>
      <c r="H895" s="150"/>
      <c r="I895" s="150"/>
      <c r="J895" s="150"/>
      <c r="K895" s="150"/>
      <c r="L895" s="150"/>
      <c r="M895" s="150"/>
      <c r="N895" s="150"/>
      <c r="O895" s="150"/>
      <c r="P895" s="150"/>
      <c r="Q895" s="150"/>
      <c r="R895" s="150"/>
      <c r="S895" s="150"/>
      <c r="T895" s="150"/>
      <c r="U895" s="150"/>
      <c r="V895" s="150"/>
      <c r="W895" s="150"/>
      <c r="X895" s="150"/>
      <c r="Y895" s="150"/>
      <c r="Z895" s="150"/>
    </row>
    <row r="896">
      <c r="A896" s="150"/>
      <c r="B896" s="155"/>
      <c r="C896" s="155"/>
      <c r="D896" s="155"/>
      <c r="E896" s="155"/>
      <c r="F896" s="150"/>
      <c r="G896" s="150"/>
      <c r="H896" s="150"/>
      <c r="I896" s="150"/>
      <c r="J896" s="150"/>
      <c r="K896" s="150"/>
      <c r="L896" s="150"/>
      <c r="M896" s="150"/>
      <c r="N896" s="150"/>
      <c r="O896" s="150"/>
      <c r="P896" s="150"/>
      <c r="Q896" s="150"/>
      <c r="R896" s="150"/>
      <c r="S896" s="150"/>
      <c r="T896" s="150"/>
      <c r="U896" s="150"/>
      <c r="V896" s="150"/>
      <c r="W896" s="150"/>
      <c r="X896" s="150"/>
      <c r="Y896" s="150"/>
      <c r="Z896" s="150"/>
    </row>
    <row r="897">
      <c r="A897" s="150"/>
      <c r="B897" s="155"/>
      <c r="C897" s="155"/>
      <c r="D897" s="155"/>
      <c r="E897" s="155"/>
      <c r="F897" s="150"/>
      <c r="G897" s="150"/>
      <c r="H897" s="150"/>
      <c r="I897" s="150"/>
      <c r="J897" s="150"/>
      <c r="K897" s="150"/>
      <c r="L897" s="150"/>
      <c r="M897" s="150"/>
      <c r="N897" s="150"/>
      <c r="O897" s="150"/>
      <c r="P897" s="150"/>
      <c r="Q897" s="150"/>
      <c r="R897" s="150"/>
      <c r="S897" s="150"/>
      <c r="T897" s="150"/>
      <c r="U897" s="150"/>
      <c r="V897" s="150"/>
      <c r="W897" s="150"/>
      <c r="X897" s="150"/>
      <c r="Y897" s="150"/>
      <c r="Z897" s="150"/>
    </row>
    <row r="898">
      <c r="A898" s="150"/>
      <c r="B898" s="155"/>
      <c r="C898" s="155"/>
      <c r="D898" s="155"/>
      <c r="E898" s="155"/>
      <c r="F898" s="150"/>
      <c r="G898" s="150"/>
      <c r="H898" s="150"/>
      <c r="I898" s="150"/>
      <c r="J898" s="150"/>
      <c r="K898" s="150"/>
      <c r="L898" s="150"/>
      <c r="M898" s="150"/>
      <c r="N898" s="150"/>
      <c r="O898" s="150"/>
      <c r="P898" s="150"/>
      <c r="Q898" s="150"/>
      <c r="R898" s="150"/>
      <c r="S898" s="150"/>
      <c r="T898" s="150"/>
      <c r="U898" s="150"/>
      <c r="V898" s="150"/>
      <c r="W898" s="150"/>
      <c r="X898" s="150"/>
      <c r="Y898" s="150"/>
      <c r="Z898" s="150"/>
    </row>
    <row r="899">
      <c r="A899" s="150"/>
      <c r="B899" s="155"/>
      <c r="C899" s="155"/>
      <c r="D899" s="155"/>
      <c r="E899" s="155"/>
      <c r="F899" s="150"/>
      <c r="G899" s="150"/>
      <c r="H899" s="150"/>
      <c r="I899" s="150"/>
      <c r="J899" s="150"/>
      <c r="K899" s="150"/>
      <c r="L899" s="150"/>
      <c r="M899" s="150"/>
      <c r="N899" s="150"/>
      <c r="O899" s="150"/>
      <c r="P899" s="150"/>
      <c r="Q899" s="150"/>
      <c r="R899" s="150"/>
      <c r="S899" s="150"/>
      <c r="T899" s="150"/>
      <c r="U899" s="150"/>
      <c r="V899" s="150"/>
      <c r="W899" s="150"/>
      <c r="X899" s="150"/>
      <c r="Y899" s="150"/>
      <c r="Z899" s="150"/>
    </row>
    <row r="900">
      <c r="A900" s="150"/>
      <c r="B900" s="155"/>
      <c r="C900" s="155"/>
      <c r="D900" s="155"/>
      <c r="E900" s="155"/>
      <c r="F900" s="150"/>
      <c r="G900" s="150"/>
      <c r="H900" s="150"/>
      <c r="I900" s="150"/>
      <c r="J900" s="150"/>
      <c r="K900" s="150"/>
      <c r="L900" s="150"/>
      <c r="M900" s="150"/>
      <c r="N900" s="150"/>
      <c r="O900" s="150"/>
      <c r="P900" s="150"/>
      <c r="Q900" s="150"/>
      <c r="R900" s="150"/>
      <c r="S900" s="150"/>
      <c r="T900" s="150"/>
      <c r="U900" s="150"/>
      <c r="V900" s="150"/>
      <c r="W900" s="150"/>
      <c r="X900" s="150"/>
      <c r="Y900" s="150"/>
      <c r="Z900" s="150"/>
    </row>
    <row r="901">
      <c r="A901" s="150"/>
      <c r="B901" s="155"/>
      <c r="C901" s="155"/>
      <c r="D901" s="155"/>
      <c r="E901" s="155"/>
      <c r="F901" s="150"/>
      <c r="G901" s="150"/>
      <c r="H901" s="150"/>
      <c r="I901" s="150"/>
      <c r="J901" s="150"/>
      <c r="K901" s="150"/>
      <c r="L901" s="150"/>
      <c r="M901" s="150"/>
      <c r="N901" s="150"/>
      <c r="O901" s="150"/>
      <c r="P901" s="150"/>
      <c r="Q901" s="150"/>
      <c r="R901" s="150"/>
      <c r="S901" s="150"/>
      <c r="T901" s="150"/>
      <c r="U901" s="150"/>
      <c r="V901" s="150"/>
      <c r="W901" s="150"/>
      <c r="X901" s="150"/>
      <c r="Y901" s="150"/>
      <c r="Z901" s="150"/>
    </row>
    <row r="902">
      <c r="A902" s="150"/>
      <c r="B902" s="155"/>
      <c r="C902" s="155"/>
      <c r="D902" s="155"/>
      <c r="E902" s="155"/>
      <c r="F902" s="150"/>
      <c r="G902" s="150"/>
      <c r="H902" s="150"/>
      <c r="I902" s="150"/>
      <c r="J902" s="150"/>
      <c r="K902" s="150"/>
      <c r="L902" s="150"/>
      <c r="M902" s="150"/>
      <c r="N902" s="150"/>
      <c r="O902" s="150"/>
      <c r="P902" s="150"/>
      <c r="Q902" s="150"/>
      <c r="R902" s="150"/>
      <c r="S902" s="150"/>
      <c r="T902" s="150"/>
      <c r="U902" s="150"/>
      <c r="V902" s="150"/>
      <c r="W902" s="150"/>
      <c r="X902" s="150"/>
      <c r="Y902" s="150"/>
      <c r="Z902" s="150"/>
    </row>
    <row r="903">
      <c r="A903" s="150"/>
      <c r="B903" s="155"/>
      <c r="C903" s="155"/>
      <c r="D903" s="155"/>
      <c r="E903" s="155"/>
      <c r="F903" s="150"/>
      <c r="G903" s="150"/>
      <c r="H903" s="150"/>
      <c r="I903" s="150"/>
      <c r="J903" s="150"/>
      <c r="K903" s="150"/>
      <c r="L903" s="150"/>
      <c r="M903" s="150"/>
      <c r="N903" s="150"/>
      <c r="O903" s="150"/>
      <c r="P903" s="150"/>
      <c r="Q903" s="150"/>
      <c r="R903" s="150"/>
      <c r="S903" s="150"/>
      <c r="T903" s="150"/>
      <c r="U903" s="150"/>
      <c r="V903" s="150"/>
      <c r="W903" s="150"/>
      <c r="X903" s="150"/>
      <c r="Y903" s="150"/>
      <c r="Z903" s="150"/>
    </row>
    <row r="904">
      <c r="A904" s="150"/>
      <c r="B904" s="155"/>
      <c r="C904" s="155"/>
      <c r="D904" s="155"/>
      <c r="E904" s="155"/>
      <c r="F904" s="150"/>
      <c r="G904" s="150"/>
      <c r="H904" s="150"/>
      <c r="I904" s="150"/>
      <c r="J904" s="150"/>
      <c r="K904" s="150"/>
      <c r="L904" s="150"/>
      <c r="M904" s="150"/>
      <c r="N904" s="150"/>
      <c r="O904" s="150"/>
      <c r="P904" s="150"/>
      <c r="Q904" s="150"/>
      <c r="R904" s="150"/>
      <c r="S904" s="150"/>
      <c r="T904" s="150"/>
      <c r="U904" s="150"/>
      <c r="V904" s="150"/>
      <c r="W904" s="150"/>
      <c r="X904" s="150"/>
      <c r="Y904" s="150"/>
      <c r="Z904" s="150"/>
    </row>
    <row r="905">
      <c r="A905" s="150"/>
      <c r="B905" s="155"/>
      <c r="C905" s="155"/>
      <c r="D905" s="155"/>
      <c r="E905" s="155"/>
      <c r="F905" s="150"/>
      <c r="G905" s="150"/>
      <c r="H905" s="150"/>
      <c r="I905" s="150"/>
      <c r="J905" s="150"/>
      <c r="K905" s="150"/>
      <c r="L905" s="150"/>
      <c r="M905" s="150"/>
      <c r="N905" s="150"/>
      <c r="O905" s="150"/>
      <c r="P905" s="150"/>
      <c r="Q905" s="150"/>
      <c r="R905" s="150"/>
      <c r="S905" s="150"/>
      <c r="T905" s="150"/>
      <c r="U905" s="150"/>
      <c r="V905" s="150"/>
      <c r="W905" s="150"/>
      <c r="X905" s="150"/>
      <c r="Y905" s="150"/>
      <c r="Z905" s="150"/>
    </row>
    <row r="906">
      <c r="A906" s="150"/>
      <c r="B906" s="155"/>
      <c r="C906" s="155"/>
      <c r="D906" s="155"/>
      <c r="E906" s="155"/>
      <c r="F906" s="150"/>
      <c r="G906" s="150"/>
      <c r="H906" s="150"/>
      <c r="I906" s="150"/>
      <c r="J906" s="150"/>
      <c r="K906" s="150"/>
      <c r="L906" s="150"/>
      <c r="M906" s="150"/>
      <c r="N906" s="150"/>
      <c r="O906" s="150"/>
      <c r="P906" s="150"/>
      <c r="Q906" s="150"/>
      <c r="R906" s="150"/>
      <c r="S906" s="150"/>
      <c r="T906" s="150"/>
      <c r="U906" s="150"/>
      <c r="V906" s="150"/>
      <c r="W906" s="150"/>
      <c r="X906" s="150"/>
      <c r="Y906" s="150"/>
      <c r="Z906" s="150"/>
    </row>
    <row r="907">
      <c r="A907" s="150"/>
      <c r="B907" s="155"/>
      <c r="C907" s="155"/>
      <c r="D907" s="155"/>
      <c r="E907" s="155"/>
      <c r="F907" s="150"/>
      <c r="G907" s="150"/>
      <c r="H907" s="150"/>
      <c r="I907" s="150"/>
      <c r="J907" s="150"/>
      <c r="K907" s="150"/>
      <c r="L907" s="150"/>
      <c r="M907" s="150"/>
      <c r="N907" s="150"/>
      <c r="O907" s="150"/>
      <c r="P907" s="150"/>
      <c r="Q907" s="150"/>
      <c r="R907" s="150"/>
      <c r="S907" s="150"/>
      <c r="T907" s="150"/>
      <c r="U907" s="150"/>
      <c r="V907" s="150"/>
      <c r="W907" s="150"/>
      <c r="X907" s="150"/>
      <c r="Y907" s="150"/>
      <c r="Z907" s="150"/>
    </row>
    <row r="908">
      <c r="A908" s="150"/>
      <c r="B908" s="155"/>
      <c r="C908" s="155"/>
      <c r="D908" s="155"/>
      <c r="E908" s="155"/>
      <c r="F908" s="150"/>
      <c r="G908" s="150"/>
      <c r="H908" s="150"/>
      <c r="I908" s="150"/>
      <c r="J908" s="150"/>
      <c r="K908" s="150"/>
      <c r="L908" s="150"/>
      <c r="M908" s="150"/>
      <c r="N908" s="150"/>
      <c r="O908" s="150"/>
      <c r="P908" s="150"/>
      <c r="Q908" s="150"/>
      <c r="R908" s="150"/>
      <c r="S908" s="150"/>
      <c r="T908" s="150"/>
      <c r="U908" s="150"/>
      <c r="V908" s="150"/>
      <c r="W908" s="150"/>
      <c r="X908" s="150"/>
      <c r="Y908" s="150"/>
      <c r="Z908" s="150"/>
    </row>
    <row r="909">
      <c r="A909" s="150"/>
      <c r="B909" s="155"/>
      <c r="C909" s="155"/>
      <c r="D909" s="155"/>
      <c r="E909" s="155"/>
      <c r="F909" s="150"/>
      <c r="G909" s="150"/>
      <c r="H909" s="150"/>
      <c r="I909" s="150"/>
      <c r="J909" s="150"/>
      <c r="K909" s="150"/>
      <c r="L909" s="150"/>
      <c r="M909" s="150"/>
      <c r="N909" s="150"/>
      <c r="O909" s="150"/>
      <c r="P909" s="150"/>
      <c r="Q909" s="150"/>
      <c r="R909" s="150"/>
      <c r="S909" s="150"/>
      <c r="T909" s="150"/>
      <c r="U909" s="150"/>
      <c r="V909" s="150"/>
      <c r="W909" s="150"/>
      <c r="X909" s="150"/>
      <c r="Y909" s="150"/>
      <c r="Z909" s="150"/>
    </row>
    <row r="910">
      <c r="A910" s="150"/>
      <c r="B910" s="155"/>
      <c r="C910" s="155"/>
      <c r="D910" s="155"/>
      <c r="E910" s="155"/>
      <c r="F910" s="150"/>
      <c r="G910" s="150"/>
      <c r="H910" s="150"/>
      <c r="I910" s="150"/>
      <c r="J910" s="150"/>
      <c r="K910" s="150"/>
      <c r="L910" s="150"/>
      <c r="M910" s="150"/>
      <c r="N910" s="150"/>
      <c r="O910" s="150"/>
      <c r="P910" s="150"/>
      <c r="Q910" s="150"/>
      <c r="R910" s="150"/>
      <c r="S910" s="150"/>
      <c r="T910" s="150"/>
      <c r="U910" s="150"/>
      <c r="V910" s="150"/>
      <c r="W910" s="150"/>
      <c r="X910" s="150"/>
      <c r="Y910" s="150"/>
      <c r="Z910" s="150"/>
    </row>
    <row r="911">
      <c r="A911" s="150"/>
      <c r="B911" s="155"/>
      <c r="C911" s="155"/>
      <c r="D911" s="155"/>
      <c r="E911" s="155"/>
      <c r="F911" s="150"/>
      <c r="G911" s="150"/>
      <c r="H911" s="150"/>
      <c r="I911" s="150"/>
      <c r="J911" s="150"/>
      <c r="K911" s="150"/>
      <c r="L911" s="150"/>
      <c r="M911" s="150"/>
      <c r="N911" s="150"/>
      <c r="O911" s="150"/>
      <c r="P911" s="150"/>
      <c r="Q911" s="150"/>
      <c r="R911" s="150"/>
      <c r="S911" s="150"/>
      <c r="T911" s="150"/>
      <c r="U911" s="150"/>
      <c r="V911" s="150"/>
      <c r="W911" s="150"/>
      <c r="X911" s="150"/>
      <c r="Y911" s="150"/>
      <c r="Z911" s="150"/>
    </row>
    <row r="912">
      <c r="A912" s="150"/>
      <c r="B912" s="155"/>
      <c r="C912" s="155"/>
      <c r="D912" s="155"/>
      <c r="E912" s="155"/>
      <c r="F912" s="150"/>
      <c r="G912" s="150"/>
      <c r="H912" s="150"/>
      <c r="I912" s="150"/>
      <c r="J912" s="150"/>
      <c r="K912" s="150"/>
      <c r="L912" s="150"/>
      <c r="M912" s="150"/>
      <c r="N912" s="150"/>
      <c r="O912" s="150"/>
      <c r="P912" s="150"/>
      <c r="Q912" s="150"/>
      <c r="R912" s="150"/>
      <c r="S912" s="150"/>
      <c r="T912" s="150"/>
      <c r="U912" s="150"/>
      <c r="V912" s="150"/>
      <c r="W912" s="150"/>
      <c r="X912" s="150"/>
      <c r="Y912" s="150"/>
      <c r="Z912" s="150"/>
    </row>
    <row r="913">
      <c r="A913" s="150"/>
      <c r="B913" s="155"/>
      <c r="C913" s="155"/>
      <c r="D913" s="155"/>
      <c r="E913" s="155"/>
      <c r="F913" s="150"/>
      <c r="G913" s="150"/>
      <c r="H913" s="150"/>
      <c r="I913" s="150"/>
      <c r="J913" s="150"/>
      <c r="K913" s="150"/>
      <c r="L913" s="150"/>
      <c r="M913" s="150"/>
      <c r="N913" s="150"/>
      <c r="O913" s="150"/>
      <c r="P913" s="150"/>
      <c r="Q913" s="150"/>
      <c r="R913" s="150"/>
      <c r="S913" s="150"/>
      <c r="T913" s="150"/>
      <c r="U913" s="150"/>
      <c r="V913" s="150"/>
      <c r="W913" s="150"/>
      <c r="X913" s="150"/>
      <c r="Y913" s="150"/>
      <c r="Z913" s="150"/>
    </row>
    <row r="914">
      <c r="A914" s="150"/>
      <c r="B914" s="155"/>
      <c r="C914" s="155"/>
      <c r="D914" s="155"/>
      <c r="E914" s="155"/>
      <c r="F914" s="150"/>
      <c r="G914" s="150"/>
      <c r="H914" s="150"/>
      <c r="I914" s="150"/>
      <c r="J914" s="150"/>
      <c r="K914" s="150"/>
      <c r="L914" s="150"/>
      <c r="M914" s="150"/>
      <c r="N914" s="150"/>
      <c r="O914" s="150"/>
      <c r="P914" s="150"/>
      <c r="Q914" s="150"/>
      <c r="R914" s="150"/>
      <c r="S914" s="150"/>
      <c r="T914" s="150"/>
      <c r="U914" s="150"/>
      <c r="V914" s="150"/>
      <c r="W914" s="150"/>
      <c r="X914" s="150"/>
      <c r="Y914" s="150"/>
      <c r="Z914" s="150"/>
    </row>
    <row r="915">
      <c r="A915" s="150"/>
      <c r="B915" s="155"/>
      <c r="C915" s="155"/>
      <c r="D915" s="155"/>
      <c r="E915" s="155"/>
      <c r="F915" s="150"/>
      <c r="G915" s="150"/>
      <c r="H915" s="150"/>
      <c r="I915" s="150"/>
      <c r="J915" s="150"/>
      <c r="K915" s="150"/>
      <c r="L915" s="150"/>
      <c r="M915" s="150"/>
      <c r="N915" s="150"/>
      <c r="O915" s="150"/>
      <c r="P915" s="150"/>
      <c r="Q915" s="150"/>
      <c r="R915" s="150"/>
      <c r="S915" s="150"/>
      <c r="T915" s="150"/>
      <c r="U915" s="150"/>
      <c r="V915" s="150"/>
      <c r="W915" s="150"/>
      <c r="X915" s="150"/>
      <c r="Y915" s="150"/>
      <c r="Z915" s="150"/>
    </row>
    <row r="916">
      <c r="A916" s="150"/>
      <c r="B916" s="155"/>
      <c r="C916" s="155"/>
      <c r="D916" s="155"/>
      <c r="E916" s="155"/>
      <c r="F916" s="150"/>
      <c r="G916" s="150"/>
      <c r="H916" s="150"/>
      <c r="I916" s="150"/>
      <c r="J916" s="150"/>
      <c r="K916" s="150"/>
      <c r="L916" s="150"/>
      <c r="M916" s="150"/>
      <c r="N916" s="150"/>
      <c r="O916" s="150"/>
      <c r="P916" s="150"/>
      <c r="Q916" s="150"/>
      <c r="R916" s="150"/>
      <c r="S916" s="150"/>
      <c r="T916" s="150"/>
      <c r="U916" s="150"/>
      <c r="V916" s="150"/>
      <c r="W916" s="150"/>
      <c r="X916" s="150"/>
      <c r="Y916" s="150"/>
      <c r="Z916" s="150"/>
    </row>
    <row r="917">
      <c r="A917" s="150"/>
      <c r="B917" s="155"/>
      <c r="C917" s="155"/>
      <c r="D917" s="155"/>
      <c r="E917" s="155"/>
      <c r="F917" s="150"/>
      <c r="G917" s="150"/>
      <c r="H917" s="150"/>
      <c r="I917" s="150"/>
      <c r="J917" s="150"/>
      <c r="K917" s="150"/>
      <c r="L917" s="150"/>
      <c r="M917" s="150"/>
      <c r="N917" s="150"/>
      <c r="O917" s="150"/>
      <c r="P917" s="150"/>
      <c r="Q917" s="150"/>
      <c r="R917" s="150"/>
      <c r="S917" s="150"/>
      <c r="T917" s="150"/>
      <c r="U917" s="150"/>
      <c r="V917" s="150"/>
      <c r="W917" s="150"/>
      <c r="X917" s="150"/>
      <c r="Y917" s="150"/>
      <c r="Z917" s="150"/>
    </row>
    <row r="918">
      <c r="A918" s="150"/>
      <c r="B918" s="155"/>
      <c r="C918" s="155"/>
      <c r="D918" s="155"/>
      <c r="E918" s="155"/>
      <c r="F918" s="150"/>
      <c r="G918" s="150"/>
      <c r="H918" s="150"/>
      <c r="I918" s="150"/>
      <c r="J918" s="150"/>
      <c r="K918" s="150"/>
      <c r="L918" s="150"/>
      <c r="M918" s="150"/>
      <c r="N918" s="150"/>
      <c r="O918" s="150"/>
      <c r="P918" s="150"/>
      <c r="Q918" s="150"/>
      <c r="R918" s="150"/>
      <c r="S918" s="150"/>
      <c r="T918" s="150"/>
      <c r="U918" s="150"/>
      <c r="V918" s="150"/>
      <c r="W918" s="150"/>
      <c r="X918" s="150"/>
      <c r="Y918" s="150"/>
      <c r="Z918" s="150"/>
    </row>
    <row r="919">
      <c r="A919" s="150"/>
      <c r="B919" s="155"/>
      <c r="C919" s="155"/>
      <c r="D919" s="155"/>
      <c r="E919" s="155"/>
      <c r="F919" s="150"/>
      <c r="G919" s="150"/>
      <c r="H919" s="150"/>
      <c r="I919" s="150"/>
      <c r="J919" s="150"/>
      <c r="K919" s="150"/>
      <c r="L919" s="150"/>
      <c r="M919" s="150"/>
      <c r="N919" s="150"/>
      <c r="O919" s="150"/>
      <c r="P919" s="150"/>
      <c r="Q919" s="150"/>
      <c r="R919" s="150"/>
      <c r="S919" s="150"/>
      <c r="T919" s="150"/>
      <c r="U919" s="150"/>
      <c r="V919" s="150"/>
      <c r="W919" s="150"/>
      <c r="X919" s="150"/>
      <c r="Y919" s="150"/>
      <c r="Z919" s="150"/>
    </row>
    <row r="920">
      <c r="A920" s="150"/>
      <c r="B920" s="155"/>
      <c r="C920" s="155"/>
      <c r="D920" s="155"/>
      <c r="E920" s="155"/>
      <c r="F920" s="150"/>
      <c r="G920" s="150"/>
      <c r="H920" s="150"/>
      <c r="I920" s="150"/>
      <c r="J920" s="150"/>
      <c r="K920" s="150"/>
      <c r="L920" s="150"/>
      <c r="M920" s="150"/>
      <c r="N920" s="150"/>
      <c r="O920" s="150"/>
      <c r="P920" s="150"/>
      <c r="Q920" s="150"/>
      <c r="R920" s="150"/>
      <c r="S920" s="150"/>
      <c r="T920" s="150"/>
      <c r="U920" s="150"/>
      <c r="V920" s="150"/>
      <c r="W920" s="150"/>
      <c r="X920" s="150"/>
      <c r="Y920" s="150"/>
      <c r="Z920" s="150"/>
    </row>
    <row r="921">
      <c r="A921" s="150"/>
      <c r="B921" s="155"/>
      <c r="C921" s="155"/>
      <c r="D921" s="155"/>
      <c r="E921" s="155"/>
      <c r="F921" s="150"/>
      <c r="G921" s="150"/>
      <c r="H921" s="150"/>
      <c r="I921" s="150"/>
      <c r="J921" s="150"/>
      <c r="K921" s="150"/>
      <c r="L921" s="150"/>
      <c r="M921" s="150"/>
      <c r="N921" s="150"/>
      <c r="O921" s="150"/>
      <c r="P921" s="150"/>
      <c r="Q921" s="150"/>
      <c r="R921" s="150"/>
      <c r="S921" s="150"/>
      <c r="T921" s="150"/>
      <c r="U921" s="150"/>
      <c r="V921" s="150"/>
      <c r="W921" s="150"/>
      <c r="X921" s="150"/>
      <c r="Y921" s="150"/>
      <c r="Z921" s="150"/>
    </row>
    <row r="922">
      <c r="A922" s="150"/>
      <c r="B922" s="155"/>
      <c r="C922" s="155"/>
      <c r="D922" s="155"/>
      <c r="E922" s="155"/>
      <c r="F922" s="150"/>
      <c r="G922" s="150"/>
      <c r="H922" s="150"/>
      <c r="I922" s="150"/>
      <c r="J922" s="150"/>
      <c r="K922" s="150"/>
      <c r="L922" s="150"/>
      <c r="M922" s="150"/>
      <c r="N922" s="150"/>
      <c r="O922" s="150"/>
      <c r="P922" s="150"/>
      <c r="Q922" s="150"/>
      <c r="R922" s="150"/>
      <c r="S922" s="150"/>
      <c r="T922" s="150"/>
      <c r="U922" s="150"/>
      <c r="V922" s="150"/>
      <c r="W922" s="150"/>
      <c r="X922" s="150"/>
      <c r="Y922" s="150"/>
      <c r="Z922" s="150"/>
    </row>
    <row r="923">
      <c r="A923" s="150"/>
      <c r="B923" s="155"/>
      <c r="C923" s="155"/>
      <c r="D923" s="155"/>
      <c r="E923" s="155"/>
      <c r="F923" s="150"/>
      <c r="G923" s="150"/>
      <c r="H923" s="150"/>
      <c r="I923" s="150"/>
      <c r="J923" s="150"/>
      <c r="K923" s="150"/>
      <c r="L923" s="150"/>
      <c r="M923" s="150"/>
      <c r="N923" s="150"/>
      <c r="O923" s="150"/>
      <c r="P923" s="150"/>
      <c r="Q923" s="150"/>
      <c r="R923" s="150"/>
      <c r="S923" s="150"/>
      <c r="T923" s="150"/>
      <c r="U923" s="150"/>
      <c r="V923" s="150"/>
      <c r="W923" s="150"/>
      <c r="X923" s="150"/>
      <c r="Y923" s="150"/>
      <c r="Z923" s="150"/>
    </row>
    <row r="924">
      <c r="A924" s="150"/>
      <c r="B924" s="155"/>
      <c r="C924" s="155"/>
      <c r="D924" s="155"/>
      <c r="E924" s="155"/>
      <c r="F924" s="150"/>
      <c r="G924" s="150"/>
      <c r="H924" s="150"/>
      <c r="I924" s="150"/>
      <c r="J924" s="150"/>
      <c r="K924" s="150"/>
      <c r="L924" s="150"/>
      <c r="M924" s="150"/>
      <c r="N924" s="150"/>
      <c r="O924" s="150"/>
      <c r="P924" s="150"/>
      <c r="Q924" s="150"/>
      <c r="R924" s="150"/>
      <c r="S924" s="150"/>
      <c r="T924" s="150"/>
      <c r="U924" s="150"/>
      <c r="V924" s="150"/>
      <c r="W924" s="150"/>
      <c r="X924" s="150"/>
      <c r="Y924" s="150"/>
      <c r="Z924" s="150"/>
    </row>
    <row r="925">
      <c r="A925" s="150"/>
      <c r="B925" s="155"/>
      <c r="C925" s="155"/>
      <c r="D925" s="155"/>
      <c r="E925" s="155"/>
      <c r="F925" s="150"/>
      <c r="G925" s="150"/>
      <c r="H925" s="150"/>
      <c r="I925" s="150"/>
      <c r="J925" s="150"/>
      <c r="K925" s="150"/>
      <c r="L925" s="150"/>
      <c r="M925" s="150"/>
      <c r="N925" s="150"/>
      <c r="O925" s="150"/>
      <c r="P925" s="150"/>
      <c r="Q925" s="150"/>
      <c r="R925" s="150"/>
      <c r="S925" s="150"/>
      <c r="T925" s="150"/>
      <c r="U925" s="150"/>
      <c r="V925" s="150"/>
      <c r="W925" s="150"/>
      <c r="X925" s="150"/>
      <c r="Y925" s="150"/>
      <c r="Z925" s="150"/>
    </row>
    <row r="926">
      <c r="A926" s="150"/>
      <c r="B926" s="155"/>
      <c r="C926" s="155"/>
      <c r="D926" s="155"/>
      <c r="E926" s="155"/>
      <c r="F926" s="150"/>
      <c r="G926" s="150"/>
      <c r="H926" s="150"/>
      <c r="I926" s="150"/>
      <c r="J926" s="150"/>
      <c r="K926" s="150"/>
      <c r="L926" s="150"/>
      <c r="M926" s="150"/>
      <c r="N926" s="150"/>
      <c r="O926" s="150"/>
      <c r="P926" s="150"/>
      <c r="Q926" s="150"/>
      <c r="R926" s="150"/>
      <c r="S926" s="150"/>
      <c r="T926" s="150"/>
      <c r="U926" s="150"/>
      <c r="V926" s="150"/>
      <c r="W926" s="150"/>
      <c r="X926" s="150"/>
      <c r="Y926" s="150"/>
      <c r="Z926" s="150"/>
    </row>
    <row r="927">
      <c r="A927" s="150"/>
      <c r="B927" s="155"/>
      <c r="C927" s="155"/>
      <c r="D927" s="155"/>
      <c r="E927" s="155"/>
      <c r="F927" s="150"/>
      <c r="G927" s="150"/>
      <c r="H927" s="150"/>
      <c r="I927" s="150"/>
      <c r="J927" s="150"/>
      <c r="K927" s="150"/>
      <c r="L927" s="150"/>
      <c r="M927" s="150"/>
      <c r="N927" s="150"/>
      <c r="O927" s="150"/>
      <c r="P927" s="150"/>
      <c r="Q927" s="150"/>
      <c r="R927" s="150"/>
      <c r="S927" s="150"/>
      <c r="T927" s="150"/>
      <c r="U927" s="150"/>
      <c r="V927" s="150"/>
      <c r="W927" s="150"/>
      <c r="X927" s="150"/>
      <c r="Y927" s="150"/>
      <c r="Z927" s="150"/>
    </row>
    <row r="928">
      <c r="A928" s="150"/>
      <c r="B928" s="155"/>
      <c r="C928" s="155"/>
      <c r="D928" s="155"/>
      <c r="E928" s="155"/>
      <c r="F928" s="150"/>
      <c r="G928" s="150"/>
      <c r="H928" s="150"/>
      <c r="I928" s="150"/>
      <c r="J928" s="150"/>
      <c r="K928" s="150"/>
      <c r="L928" s="150"/>
      <c r="M928" s="150"/>
      <c r="N928" s="150"/>
      <c r="O928" s="150"/>
      <c r="P928" s="150"/>
      <c r="Q928" s="150"/>
      <c r="R928" s="150"/>
      <c r="S928" s="150"/>
      <c r="T928" s="150"/>
      <c r="U928" s="150"/>
      <c r="V928" s="150"/>
      <c r="W928" s="150"/>
      <c r="X928" s="150"/>
      <c r="Y928" s="150"/>
      <c r="Z928" s="150"/>
    </row>
    <row r="929">
      <c r="A929" s="150"/>
      <c r="B929" s="155"/>
      <c r="C929" s="155"/>
      <c r="D929" s="155"/>
      <c r="E929" s="155"/>
      <c r="F929" s="150"/>
      <c r="G929" s="150"/>
      <c r="H929" s="150"/>
      <c r="I929" s="150"/>
      <c r="J929" s="150"/>
      <c r="K929" s="150"/>
      <c r="L929" s="150"/>
      <c r="M929" s="150"/>
      <c r="N929" s="150"/>
      <c r="O929" s="150"/>
      <c r="P929" s="150"/>
      <c r="Q929" s="150"/>
      <c r="R929" s="150"/>
      <c r="S929" s="150"/>
      <c r="T929" s="150"/>
      <c r="U929" s="150"/>
      <c r="V929" s="150"/>
      <c r="W929" s="150"/>
      <c r="X929" s="150"/>
      <c r="Y929" s="150"/>
      <c r="Z929" s="150"/>
    </row>
    <row r="930">
      <c r="A930" s="150"/>
      <c r="B930" s="155"/>
      <c r="C930" s="155"/>
      <c r="D930" s="155"/>
      <c r="E930" s="155"/>
      <c r="F930" s="150"/>
      <c r="G930" s="150"/>
      <c r="H930" s="150"/>
      <c r="I930" s="150"/>
      <c r="J930" s="150"/>
      <c r="K930" s="150"/>
      <c r="L930" s="150"/>
      <c r="M930" s="150"/>
      <c r="N930" s="150"/>
      <c r="O930" s="150"/>
      <c r="P930" s="150"/>
      <c r="Q930" s="150"/>
      <c r="R930" s="150"/>
      <c r="S930" s="150"/>
      <c r="T930" s="150"/>
      <c r="U930" s="150"/>
      <c r="V930" s="150"/>
      <c r="W930" s="150"/>
      <c r="X930" s="150"/>
      <c r="Y930" s="150"/>
      <c r="Z930" s="150"/>
    </row>
    <row r="931">
      <c r="A931" s="150"/>
      <c r="B931" s="155"/>
      <c r="C931" s="155"/>
      <c r="D931" s="155"/>
      <c r="E931" s="155"/>
      <c r="F931" s="150"/>
      <c r="G931" s="150"/>
      <c r="H931" s="150"/>
      <c r="I931" s="150"/>
      <c r="J931" s="150"/>
      <c r="K931" s="150"/>
      <c r="L931" s="150"/>
      <c r="M931" s="150"/>
      <c r="N931" s="150"/>
      <c r="O931" s="150"/>
      <c r="P931" s="150"/>
      <c r="Q931" s="150"/>
      <c r="R931" s="150"/>
      <c r="S931" s="150"/>
      <c r="T931" s="150"/>
      <c r="U931" s="150"/>
      <c r="V931" s="150"/>
      <c r="W931" s="150"/>
      <c r="X931" s="150"/>
      <c r="Y931" s="150"/>
      <c r="Z931" s="150"/>
    </row>
    <row r="932">
      <c r="A932" s="150"/>
      <c r="B932" s="155"/>
      <c r="C932" s="155"/>
      <c r="D932" s="155"/>
      <c r="E932" s="155"/>
      <c r="F932" s="150"/>
      <c r="G932" s="150"/>
      <c r="H932" s="150"/>
      <c r="I932" s="150"/>
      <c r="J932" s="150"/>
      <c r="K932" s="150"/>
      <c r="L932" s="150"/>
      <c r="M932" s="150"/>
      <c r="N932" s="150"/>
      <c r="O932" s="150"/>
      <c r="P932" s="150"/>
      <c r="Q932" s="150"/>
      <c r="R932" s="150"/>
      <c r="S932" s="150"/>
      <c r="T932" s="150"/>
      <c r="U932" s="150"/>
      <c r="V932" s="150"/>
      <c r="W932" s="150"/>
      <c r="X932" s="150"/>
      <c r="Y932" s="150"/>
      <c r="Z932" s="150"/>
    </row>
    <row r="933">
      <c r="A933" s="150"/>
      <c r="B933" s="155"/>
      <c r="C933" s="155"/>
      <c r="D933" s="155"/>
      <c r="E933" s="155"/>
      <c r="F933" s="150"/>
      <c r="G933" s="150"/>
      <c r="H933" s="150"/>
      <c r="I933" s="150"/>
      <c r="J933" s="150"/>
      <c r="K933" s="150"/>
      <c r="L933" s="150"/>
      <c r="M933" s="150"/>
      <c r="N933" s="150"/>
      <c r="O933" s="150"/>
      <c r="P933" s="150"/>
      <c r="Q933" s="150"/>
      <c r="R933" s="150"/>
      <c r="S933" s="150"/>
      <c r="T933" s="150"/>
      <c r="U933" s="150"/>
      <c r="V933" s="150"/>
      <c r="W933" s="150"/>
      <c r="X933" s="150"/>
      <c r="Y933" s="150"/>
      <c r="Z933" s="150"/>
    </row>
    <row r="934">
      <c r="A934" s="150"/>
      <c r="B934" s="155"/>
      <c r="C934" s="155"/>
      <c r="D934" s="155"/>
      <c r="E934" s="155"/>
      <c r="F934" s="150"/>
      <c r="G934" s="150"/>
      <c r="H934" s="150"/>
      <c r="I934" s="150"/>
      <c r="J934" s="150"/>
      <c r="K934" s="150"/>
      <c r="L934" s="150"/>
      <c r="M934" s="150"/>
      <c r="N934" s="150"/>
      <c r="O934" s="150"/>
      <c r="P934" s="150"/>
      <c r="Q934" s="150"/>
      <c r="R934" s="150"/>
      <c r="S934" s="150"/>
      <c r="T934" s="150"/>
      <c r="U934" s="150"/>
      <c r="V934" s="150"/>
      <c r="W934" s="150"/>
      <c r="X934" s="150"/>
      <c r="Y934" s="150"/>
      <c r="Z934" s="150"/>
    </row>
    <row r="935">
      <c r="A935" s="150"/>
      <c r="B935" s="155"/>
      <c r="C935" s="155"/>
      <c r="D935" s="155"/>
      <c r="E935" s="155"/>
      <c r="F935" s="150"/>
      <c r="G935" s="150"/>
      <c r="H935" s="150"/>
      <c r="I935" s="150"/>
      <c r="J935" s="150"/>
      <c r="K935" s="150"/>
      <c r="L935" s="150"/>
      <c r="M935" s="150"/>
      <c r="N935" s="150"/>
      <c r="O935" s="150"/>
      <c r="P935" s="150"/>
      <c r="Q935" s="150"/>
      <c r="R935" s="150"/>
      <c r="S935" s="150"/>
      <c r="T935" s="150"/>
      <c r="U935" s="150"/>
      <c r="V935" s="150"/>
      <c r="W935" s="150"/>
      <c r="X935" s="150"/>
      <c r="Y935" s="150"/>
      <c r="Z935" s="150"/>
    </row>
    <row r="936">
      <c r="A936" s="150"/>
      <c r="B936" s="155"/>
      <c r="C936" s="155"/>
      <c r="D936" s="155"/>
      <c r="E936" s="155"/>
      <c r="F936" s="150"/>
      <c r="G936" s="150"/>
      <c r="H936" s="150"/>
      <c r="I936" s="150"/>
      <c r="J936" s="150"/>
      <c r="K936" s="150"/>
      <c r="L936" s="150"/>
      <c r="M936" s="150"/>
      <c r="N936" s="150"/>
      <c r="O936" s="150"/>
      <c r="P936" s="150"/>
      <c r="Q936" s="150"/>
      <c r="R936" s="150"/>
      <c r="S936" s="150"/>
      <c r="T936" s="150"/>
      <c r="U936" s="150"/>
      <c r="V936" s="150"/>
      <c r="W936" s="150"/>
      <c r="X936" s="150"/>
      <c r="Y936" s="150"/>
      <c r="Z936" s="150"/>
    </row>
    <row r="937">
      <c r="A937" s="150"/>
      <c r="B937" s="155"/>
      <c r="C937" s="155"/>
      <c r="D937" s="155"/>
      <c r="E937" s="155"/>
      <c r="F937" s="150"/>
      <c r="G937" s="150"/>
      <c r="H937" s="150"/>
      <c r="I937" s="150"/>
      <c r="J937" s="150"/>
      <c r="K937" s="150"/>
      <c r="L937" s="150"/>
      <c r="M937" s="150"/>
      <c r="N937" s="150"/>
      <c r="O937" s="150"/>
      <c r="P937" s="150"/>
      <c r="Q937" s="150"/>
      <c r="R937" s="150"/>
      <c r="S937" s="150"/>
      <c r="T937" s="150"/>
      <c r="U937" s="150"/>
      <c r="V937" s="150"/>
      <c r="W937" s="150"/>
      <c r="X937" s="150"/>
      <c r="Y937" s="150"/>
      <c r="Z937" s="150"/>
    </row>
    <row r="938">
      <c r="A938" s="150"/>
      <c r="B938" s="155"/>
      <c r="C938" s="155"/>
      <c r="D938" s="155"/>
      <c r="E938" s="155"/>
      <c r="F938" s="150"/>
      <c r="G938" s="150"/>
      <c r="H938" s="150"/>
      <c r="I938" s="150"/>
      <c r="J938" s="150"/>
      <c r="K938" s="150"/>
      <c r="L938" s="150"/>
      <c r="M938" s="150"/>
      <c r="N938" s="150"/>
      <c r="O938" s="150"/>
      <c r="P938" s="150"/>
      <c r="Q938" s="150"/>
      <c r="R938" s="150"/>
      <c r="S938" s="150"/>
      <c r="T938" s="150"/>
      <c r="U938" s="150"/>
      <c r="V938" s="150"/>
      <c r="W938" s="150"/>
      <c r="X938" s="150"/>
      <c r="Y938" s="150"/>
      <c r="Z938" s="150"/>
    </row>
    <row r="939">
      <c r="A939" s="150"/>
      <c r="B939" s="155"/>
      <c r="C939" s="155"/>
      <c r="D939" s="155"/>
      <c r="E939" s="155"/>
      <c r="F939" s="150"/>
      <c r="G939" s="150"/>
      <c r="H939" s="150"/>
      <c r="I939" s="150"/>
      <c r="J939" s="150"/>
      <c r="K939" s="150"/>
      <c r="L939" s="150"/>
      <c r="M939" s="150"/>
      <c r="N939" s="150"/>
      <c r="O939" s="150"/>
      <c r="P939" s="150"/>
      <c r="Q939" s="150"/>
      <c r="R939" s="150"/>
      <c r="S939" s="150"/>
      <c r="T939" s="150"/>
      <c r="U939" s="150"/>
      <c r="V939" s="150"/>
      <c r="W939" s="150"/>
      <c r="X939" s="150"/>
      <c r="Y939" s="150"/>
      <c r="Z939" s="150"/>
    </row>
    <row r="940">
      <c r="A940" s="150"/>
      <c r="B940" s="155"/>
      <c r="C940" s="155"/>
      <c r="D940" s="155"/>
      <c r="E940" s="155"/>
      <c r="F940" s="150"/>
      <c r="G940" s="150"/>
      <c r="H940" s="150"/>
      <c r="I940" s="150"/>
      <c r="J940" s="150"/>
      <c r="K940" s="150"/>
      <c r="L940" s="150"/>
      <c r="M940" s="150"/>
      <c r="N940" s="150"/>
      <c r="O940" s="150"/>
      <c r="P940" s="150"/>
      <c r="Q940" s="150"/>
      <c r="R940" s="150"/>
      <c r="S940" s="150"/>
      <c r="T940" s="150"/>
      <c r="U940" s="150"/>
      <c r="V940" s="150"/>
      <c r="W940" s="150"/>
      <c r="X940" s="150"/>
      <c r="Y940" s="150"/>
      <c r="Z940" s="150"/>
    </row>
    <row r="941">
      <c r="A941" s="150"/>
      <c r="B941" s="155"/>
      <c r="C941" s="155"/>
      <c r="D941" s="155"/>
      <c r="E941" s="155"/>
      <c r="F941" s="150"/>
      <c r="G941" s="150"/>
      <c r="H941" s="150"/>
      <c r="I941" s="150"/>
      <c r="J941" s="150"/>
      <c r="K941" s="150"/>
      <c r="L941" s="150"/>
      <c r="M941" s="150"/>
      <c r="N941" s="150"/>
      <c r="O941" s="150"/>
      <c r="P941" s="150"/>
      <c r="Q941" s="150"/>
      <c r="R941" s="150"/>
      <c r="S941" s="150"/>
      <c r="T941" s="150"/>
      <c r="U941" s="150"/>
      <c r="V941" s="150"/>
      <c r="W941" s="150"/>
      <c r="X941" s="150"/>
      <c r="Y941" s="150"/>
      <c r="Z941" s="150"/>
    </row>
    <row r="942">
      <c r="A942" s="150"/>
      <c r="B942" s="155"/>
      <c r="C942" s="155"/>
      <c r="D942" s="155"/>
      <c r="E942" s="155"/>
      <c r="F942" s="150"/>
      <c r="G942" s="150"/>
      <c r="H942" s="150"/>
      <c r="I942" s="150"/>
      <c r="J942" s="150"/>
      <c r="K942" s="150"/>
      <c r="L942" s="150"/>
      <c r="M942" s="150"/>
      <c r="N942" s="150"/>
      <c r="O942" s="150"/>
      <c r="P942" s="150"/>
      <c r="Q942" s="150"/>
      <c r="R942" s="150"/>
      <c r="S942" s="150"/>
      <c r="T942" s="150"/>
      <c r="U942" s="150"/>
      <c r="V942" s="150"/>
      <c r="W942" s="150"/>
      <c r="X942" s="150"/>
      <c r="Y942" s="150"/>
      <c r="Z942" s="150"/>
    </row>
    <row r="943">
      <c r="A943" s="150"/>
      <c r="B943" s="155"/>
      <c r="C943" s="155"/>
      <c r="D943" s="155"/>
      <c r="E943" s="155"/>
      <c r="F943" s="150"/>
      <c r="G943" s="150"/>
      <c r="H943" s="150"/>
      <c r="I943" s="150"/>
      <c r="J943" s="150"/>
      <c r="K943" s="150"/>
      <c r="L943" s="150"/>
      <c r="M943" s="150"/>
      <c r="N943" s="150"/>
      <c r="O943" s="150"/>
      <c r="P943" s="150"/>
      <c r="Q943" s="150"/>
      <c r="R943" s="150"/>
      <c r="S943" s="150"/>
      <c r="T943" s="150"/>
      <c r="U943" s="150"/>
      <c r="V943" s="150"/>
      <c r="W943" s="150"/>
      <c r="X943" s="150"/>
      <c r="Y943" s="150"/>
      <c r="Z943" s="150"/>
    </row>
    <row r="944">
      <c r="A944" s="150"/>
      <c r="B944" s="155"/>
      <c r="C944" s="155"/>
      <c r="D944" s="155"/>
      <c r="E944" s="155"/>
      <c r="F944" s="150"/>
      <c r="G944" s="150"/>
      <c r="H944" s="150"/>
      <c r="I944" s="150"/>
      <c r="J944" s="150"/>
      <c r="K944" s="150"/>
      <c r="L944" s="150"/>
      <c r="M944" s="150"/>
      <c r="N944" s="150"/>
      <c r="O944" s="150"/>
      <c r="P944" s="150"/>
      <c r="Q944" s="150"/>
      <c r="R944" s="150"/>
      <c r="S944" s="150"/>
      <c r="T944" s="150"/>
      <c r="U944" s="150"/>
      <c r="V944" s="150"/>
      <c r="W944" s="150"/>
      <c r="X944" s="150"/>
      <c r="Y944" s="150"/>
      <c r="Z944" s="150"/>
    </row>
    <row r="945">
      <c r="A945" s="150"/>
      <c r="B945" s="155"/>
      <c r="C945" s="155"/>
      <c r="D945" s="155"/>
      <c r="E945" s="155"/>
      <c r="F945" s="150"/>
      <c r="G945" s="150"/>
      <c r="H945" s="150"/>
      <c r="I945" s="150"/>
      <c r="J945" s="150"/>
      <c r="K945" s="150"/>
      <c r="L945" s="150"/>
      <c r="M945" s="150"/>
      <c r="N945" s="150"/>
      <c r="O945" s="150"/>
      <c r="P945" s="150"/>
      <c r="Q945" s="150"/>
      <c r="R945" s="150"/>
      <c r="S945" s="150"/>
      <c r="T945" s="150"/>
      <c r="U945" s="150"/>
      <c r="V945" s="150"/>
      <c r="W945" s="150"/>
      <c r="X945" s="150"/>
      <c r="Y945" s="150"/>
      <c r="Z945" s="150"/>
    </row>
    <row r="946">
      <c r="A946" s="150"/>
      <c r="B946" s="155"/>
      <c r="C946" s="155"/>
      <c r="D946" s="155"/>
      <c r="E946" s="155"/>
      <c r="F946" s="150"/>
      <c r="G946" s="150"/>
      <c r="H946" s="150"/>
      <c r="I946" s="150"/>
      <c r="J946" s="150"/>
      <c r="K946" s="150"/>
      <c r="L946" s="150"/>
      <c r="M946" s="150"/>
      <c r="N946" s="150"/>
      <c r="O946" s="150"/>
      <c r="P946" s="150"/>
      <c r="Q946" s="150"/>
      <c r="R946" s="150"/>
      <c r="S946" s="150"/>
      <c r="T946" s="150"/>
      <c r="U946" s="150"/>
      <c r="V946" s="150"/>
      <c r="W946" s="150"/>
      <c r="X946" s="150"/>
      <c r="Y946" s="150"/>
      <c r="Z946" s="150"/>
    </row>
    <row r="947">
      <c r="A947" s="150"/>
      <c r="B947" s="155"/>
      <c r="C947" s="155"/>
      <c r="D947" s="155"/>
      <c r="E947" s="155"/>
      <c r="F947" s="150"/>
      <c r="G947" s="150"/>
      <c r="H947" s="150"/>
      <c r="I947" s="150"/>
      <c r="J947" s="150"/>
      <c r="K947" s="150"/>
      <c r="L947" s="150"/>
      <c r="M947" s="150"/>
      <c r="N947" s="150"/>
      <c r="O947" s="150"/>
      <c r="P947" s="150"/>
      <c r="Q947" s="150"/>
      <c r="R947" s="150"/>
      <c r="S947" s="150"/>
      <c r="T947" s="150"/>
      <c r="U947" s="150"/>
      <c r="V947" s="150"/>
      <c r="W947" s="150"/>
      <c r="X947" s="150"/>
      <c r="Y947" s="150"/>
      <c r="Z947" s="150"/>
    </row>
    <row r="948">
      <c r="A948" s="150"/>
      <c r="B948" s="155"/>
      <c r="C948" s="155"/>
      <c r="D948" s="155"/>
      <c r="E948" s="155"/>
      <c r="F948" s="150"/>
      <c r="G948" s="150"/>
      <c r="H948" s="150"/>
      <c r="I948" s="150"/>
      <c r="J948" s="150"/>
      <c r="K948" s="150"/>
      <c r="L948" s="150"/>
      <c r="M948" s="150"/>
      <c r="N948" s="150"/>
      <c r="O948" s="150"/>
      <c r="P948" s="150"/>
      <c r="Q948" s="150"/>
      <c r="R948" s="150"/>
      <c r="S948" s="150"/>
      <c r="T948" s="150"/>
      <c r="U948" s="150"/>
      <c r="V948" s="150"/>
      <c r="W948" s="150"/>
      <c r="X948" s="150"/>
      <c r="Y948" s="150"/>
      <c r="Z948" s="150"/>
    </row>
    <row r="949">
      <c r="A949" s="150"/>
      <c r="B949" s="155"/>
      <c r="C949" s="155"/>
      <c r="D949" s="155"/>
      <c r="E949" s="155"/>
      <c r="F949" s="150"/>
      <c r="G949" s="150"/>
      <c r="H949" s="150"/>
      <c r="I949" s="150"/>
      <c r="J949" s="150"/>
      <c r="K949" s="150"/>
      <c r="L949" s="150"/>
      <c r="M949" s="150"/>
      <c r="N949" s="150"/>
      <c r="O949" s="150"/>
      <c r="P949" s="150"/>
      <c r="Q949" s="150"/>
      <c r="R949" s="150"/>
      <c r="S949" s="150"/>
      <c r="T949" s="150"/>
      <c r="U949" s="150"/>
      <c r="V949" s="150"/>
      <c r="W949" s="150"/>
      <c r="X949" s="150"/>
      <c r="Y949" s="150"/>
      <c r="Z949" s="150"/>
    </row>
    <row r="950">
      <c r="A950" s="150"/>
      <c r="B950" s="155"/>
      <c r="C950" s="155"/>
      <c r="D950" s="155"/>
      <c r="E950" s="155"/>
      <c r="F950" s="150"/>
      <c r="G950" s="150"/>
      <c r="H950" s="150"/>
      <c r="I950" s="150"/>
      <c r="J950" s="150"/>
      <c r="K950" s="150"/>
      <c r="L950" s="150"/>
      <c r="M950" s="150"/>
      <c r="N950" s="150"/>
      <c r="O950" s="150"/>
      <c r="P950" s="150"/>
      <c r="Q950" s="150"/>
      <c r="R950" s="150"/>
      <c r="S950" s="150"/>
      <c r="T950" s="150"/>
      <c r="U950" s="150"/>
      <c r="V950" s="150"/>
      <c r="W950" s="150"/>
      <c r="X950" s="150"/>
      <c r="Y950" s="150"/>
      <c r="Z950" s="150"/>
    </row>
    <row r="951">
      <c r="A951" s="150"/>
      <c r="B951" s="155"/>
      <c r="C951" s="155"/>
      <c r="D951" s="155"/>
      <c r="E951" s="155"/>
      <c r="F951" s="150"/>
      <c r="G951" s="150"/>
      <c r="H951" s="150"/>
      <c r="I951" s="150"/>
      <c r="J951" s="150"/>
      <c r="K951" s="150"/>
      <c r="L951" s="150"/>
      <c r="M951" s="150"/>
      <c r="N951" s="150"/>
      <c r="O951" s="150"/>
      <c r="P951" s="150"/>
      <c r="Q951" s="150"/>
      <c r="R951" s="150"/>
      <c r="S951" s="150"/>
      <c r="T951" s="150"/>
      <c r="U951" s="150"/>
      <c r="V951" s="150"/>
      <c r="W951" s="150"/>
      <c r="X951" s="150"/>
      <c r="Y951" s="150"/>
      <c r="Z951" s="150"/>
    </row>
    <row r="952">
      <c r="A952" s="150"/>
      <c r="B952" s="155"/>
      <c r="C952" s="155"/>
      <c r="D952" s="155"/>
      <c r="E952" s="155"/>
      <c r="F952" s="150"/>
      <c r="G952" s="150"/>
      <c r="H952" s="150"/>
      <c r="I952" s="150"/>
      <c r="J952" s="150"/>
      <c r="K952" s="150"/>
      <c r="L952" s="150"/>
      <c r="M952" s="150"/>
      <c r="N952" s="150"/>
      <c r="O952" s="150"/>
      <c r="P952" s="150"/>
      <c r="Q952" s="150"/>
      <c r="R952" s="150"/>
      <c r="S952" s="150"/>
      <c r="T952" s="150"/>
      <c r="U952" s="150"/>
      <c r="V952" s="150"/>
      <c r="W952" s="150"/>
      <c r="X952" s="150"/>
      <c r="Y952" s="150"/>
      <c r="Z952" s="150"/>
    </row>
    <row r="953">
      <c r="A953" s="150"/>
      <c r="B953" s="155"/>
      <c r="C953" s="155"/>
      <c r="D953" s="155"/>
      <c r="E953" s="155"/>
      <c r="F953" s="150"/>
      <c r="G953" s="150"/>
      <c r="H953" s="150"/>
      <c r="I953" s="150"/>
      <c r="J953" s="150"/>
      <c r="K953" s="150"/>
      <c r="L953" s="150"/>
      <c r="M953" s="150"/>
      <c r="N953" s="150"/>
      <c r="O953" s="150"/>
      <c r="P953" s="150"/>
      <c r="Q953" s="150"/>
      <c r="R953" s="150"/>
      <c r="S953" s="150"/>
      <c r="T953" s="150"/>
      <c r="U953" s="150"/>
      <c r="V953" s="150"/>
      <c r="W953" s="150"/>
      <c r="X953" s="150"/>
      <c r="Y953" s="150"/>
      <c r="Z953" s="150"/>
    </row>
    <row r="954">
      <c r="A954" s="150"/>
      <c r="B954" s="155"/>
      <c r="C954" s="155"/>
      <c r="D954" s="155"/>
      <c r="E954" s="155"/>
      <c r="F954" s="150"/>
      <c r="G954" s="150"/>
      <c r="H954" s="150"/>
      <c r="I954" s="150"/>
      <c r="J954" s="150"/>
      <c r="K954" s="150"/>
      <c r="L954" s="150"/>
      <c r="M954" s="150"/>
      <c r="N954" s="150"/>
      <c r="O954" s="150"/>
      <c r="P954" s="150"/>
      <c r="Q954" s="150"/>
      <c r="R954" s="150"/>
      <c r="S954" s="150"/>
      <c r="T954" s="150"/>
      <c r="U954" s="150"/>
      <c r="V954" s="150"/>
      <c r="W954" s="150"/>
      <c r="X954" s="150"/>
      <c r="Y954" s="150"/>
      <c r="Z954" s="150"/>
    </row>
    <row r="955">
      <c r="A955" s="150"/>
      <c r="B955" s="155"/>
      <c r="C955" s="155"/>
      <c r="D955" s="155"/>
      <c r="E955" s="155"/>
      <c r="F955" s="150"/>
      <c r="G955" s="150"/>
      <c r="H955" s="150"/>
      <c r="I955" s="150"/>
      <c r="J955" s="150"/>
      <c r="K955" s="150"/>
      <c r="L955" s="150"/>
      <c r="M955" s="150"/>
      <c r="N955" s="150"/>
      <c r="O955" s="150"/>
      <c r="P955" s="150"/>
      <c r="Q955" s="150"/>
      <c r="R955" s="150"/>
      <c r="S955" s="150"/>
      <c r="T955" s="150"/>
      <c r="U955" s="150"/>
      <c r="V955" s="150"/>
      <c r="W955" s="150"/>
      <c r="X955" s="150"/>
      <c r="Y955" s="150"/>
      <c r="Z955" s="150"/>
    </row>
    <row r="956">
      <c r="A956" s="150"/>
      <c r="B956" s="155"/>
      <c r="C956" s="155"/>
      <c r="D956" s="155"/>
      <c r="E956" s="155"/>
      <c r="F956" s="150"/>
      <c r="G956" s="150"/>
      <c r="H956" s="150"/>
      <c r="I956" s="150"/>
      <c r="J956" s="150"/>
      <c r="K956" s="150"/>
      <c r="L956" s="150"/>
      <c r="M956" s="150"/>
      <c r="N956" s="150"/>
      <c r="O956" s="150"/>
      <c r="P956" s="150"/>
      <c r="Q956" s="150"/>
      <c r="R956" s="150"/>
      <c r="S956" s="150"/>
      <c r="T956" s="150"/>
      <c r="U956" s="150"/>
      <c r="V956" s="150"/>
      <c r="W956" s="150"/>
      <c r="X956" s="150"/>
      <c r="Y956" s="150"/>
      <c r="Z956" s="150"/>
    </row>
    <row r="957">
      <c r="A957" s="150"/>
      <c r="B957" s="155"/>
      <c r="C957" s="155"/>
      <c r="D957" s="155"/>
      <c r="E957" s="155"/>
      <c r="F957" s="150"/>
      <c r="G957" s="150"/>
      <c r="H957" s="150"/>
      <c r="I957" s="150"/>
      <c r="J957" s="150"/>
      <c r="K957" s="150"/>
      <c r="L957" s="150"/>
      <c r="M957" s="150"/>
      <c r="N957" s="150"/>
      <c r="O957" s="150"/>
      <c r="P957" s="150"/>
      <c r="Q957" s="150"/>
      <c r="R957" s="150"/>
      <c r="S957" s="150"/>
      <c r="T957" s="150"/>
      <c r="U957" s="150"/>
      <c r="V957" s="150"/>
      <c r="W957" s="150"/>
      <c r="X957" s="150"/>
      <c r="Y957" s="150"/>
      <c r="Z957" s="150"/>
    </row>
    <row r="958">
      <c r="A958" s="150"/>
      <c r="B958" s="155"/>
      <c r="C958" s="155"/>
      <c r="D958" s="155"/>
      <c r="E958" s="155"/>
      <c r="F958" s="150"/>
      <c r="G958" s="150"/>
      <c r="H958" s="150"/>
      <c r="I958" s="150"/>
      <c r="J958" s="150"/>
      <c r="K958" s="150"/>
      <c r="L958" s="150"/>
      <c r="M958" s="150"/>
      <c r="N958" s="150"/>
      <c r="O958" s="150"/>
      <c r="P958" s="150"/>
      <c r="Q958" s="150"/>
      <c r="R958" s="150"/>
      <c r="S958" s="150"/>
      <c r="T958" s="150"/>
      <c r="U958" s="150"/>
      <c r="V958" s="150"/>
      <c r="W958" s="150"/>
      <c r="X958" s="150"/>
      <c r="Y958" s="150"/>
      <c r="Z958" s="150"/>
    </row>
    <row r="959">
      <c r="A959" s="150"/>
      <c r="B959" s="155"/>
      <c r="C959" s="155"/>
      <c r="D959" s="155"/>
      <c r="E959" s="155"/>
      <c r="F959" s="150"/>
      <c r="G959" s="150"/>
      <c r="H959" s="150"/>
      <c r="I959" s="150"/>
      <c r="J959" s="150"/>
      <c r="K959" s="150"/>
      <c r="L959" s="150"/>
      <c r="M959" s="150"/>
      <c r="N959" s="150"/>
      <c r="O959" s="150"/>
      <c r="P959" s="150"/>
      <c r="Q959" s="150"/>
      <c r="R959" s="150"/>
      <c r="S959" s="150"/>
      <c r="T959" s="150"/>
      <c r="U959" s="150"/>
      <c r="V959" s="150"/>
      <c r="W959" s="150"/>
      <c r="X959" s="150"/>
      <c r="Y959" s="150"/>
      <c r="Z959" s="150"/>
    </row>
    <row r="960">
      <c r="A960" s="150"/>
      <c r="B960" s="155"/>
      <c r="C960" s="155"/>
      <c r="D960" s="155"/>
      <c r="E960" s="155"/>
      <c r="F960" s="150"/>
      <c r="G960" s="150"/>
      <c r="H960" s="150"/>
      <c r="I960" s="150"/>
      <c r="J960" s="150"/>
      <c r="K960" s="150"/>
      <c r="L960" s="150"/>
      <c r="M960" s="150"/>
      <c r="N960" s="150"/>
      <c r="O960" s="150"/>
      <c r="P960" s="150"/>
      <c r="Q960" s="150"/>
      <c r="R960" s="150"/>
      <c r="S960" s="150"/>
      <c r="T960" s="150"/>
      <c r="U960" s="150"/>
      <c r="V960" s="150"/>
      <c r="W960" s="150"/>
      <c r="X960" s="150"/>
      <c r="Y960" s="150"/>
      <c r="Z960" s="150"/>
    </row>
    <row r="961">
      <c r="A961" s="150"/>
      <c r="B961" s="155"/>
      <c r="C961" s="155"/>
      <c r="D961" s="155"/>
      <c r="E961" s="155"/>
      <c r="F961" s="150"/>
      <c r="G961" s="150"/>
      <c r="H961" s="150"/>
      <c r="I961" s="150"/>
      <c r="J961" s="150"/>
      <c r="K961" s="150"/>
      <c r="L961" s="150"/>
      <c r="M961" s="150"/>
      <c r="N961" s="150"/>
      <c r="O961" s="150"/>
      <c r="P961" s="150"/>
      <c r="Q961" s="150"/>
      <c r="R961" s="150"/>
      <c r="S961" s="150"/>
      <c r="T961" s="150"/>
      <c r="U961" s="150"/>
      <c r="V961" s="150"/>
      <c r="W961" s="150"/>
      <c r="X961" s="150"/>
      <c r="Y961" s="150"/>
      <c r="Z961" s="150"/>
    </row>
    <row r="962">
      <c r="A962" s="150"/>
      <c r="B962" s="155"/>
      <c r="C962" s="155"/>
      <c r="D962" s="155"/>
      <c r="E962" s="155"/>
      <c r="F962" s="150"/>
      <c r="G962" s="150"/>
      <c r="H962" s="150"/>
      <c r="I962" s="150"/>
      <c r="J962" s="150"/>
      <c r="K962" s="150"/>
      <c r="L962" s="150"/>
      <c r="M962" s="150"/>
      <c r="N962" s="150"/>
      <c r="O962" s="150"/>
      <c r="P962" s="150"/>
      <c r="Q962" s="150"/>
      <c r="R962" s="150"/>
      <c r="S962" s="150"/>
      <c r="T962" s="150"/>
      <c r="U962" s="150"/>
      <c r="V962" s="150"/>
      <c r="W962" s="150"/>
      <c r="X962" s="150"/>
      <c r="Y962" s="150"/>
      <c r="Z962" s="150"/>
    </row>
    <row r="963">
      <c r="A963" s="150"/>
      <c r="B963" s="155"/>
      <c r="C963" s="155"/>
      <c r="D963" s="155"/>
      <c r="E963" s="155"/>
      <c r="F963" s="150"/>
      <c r="G963" s="150"/>
      <c r="H963" s="150"/>
      <c r="I963" s="150"/>
      <c r="J963" s="150"/>
      <c r="K963" s="150"/>
      <c r="L963" s="150"/>
      <c r="M963" s="150"/>
      <c r="N963" s="150"/>
      <c r="O963" s="150"/>
      <c r="P963" s="150"/>
      <c r="Q963" s="150"/>
      <c r="R963" s="150"/>
      <c r="S963" s="150"/>
      <c r="T963" s="150"/>
      <c r="U963" s="150"/>
      <c r="V963" s="150"/>
      <c r="W963" s="150"/>
      <c r="X963" s="150"/>
      <c r="Y963" s="150"/>
      <c r="Z963" s="150"/>
    </row>
    <row r="964">
      <c r="A964" s="150"/>
      <c r="B964" s="155"/>
      <c r="C964" s="155"/>
      <c r="D964" s="155"/>
      <c r="E964" s="155"/>
      <c r="F964" s="150"/>
      <c r="G964" s="150"/>
      <c r="H964" s="150"/>
      <c r="I964" s="150"/>
      <c r="J964" s="150"/>
      <c r="K964" s="150"/>
      <c r="L964" s="150"/>
      <c r="M964" s="150"/>
      <c r="N964" s="150"/>
      <c r="O964" s="150"/>
      <c r="P964" s="150"/>
      <c r="Q964" s="150"/>
      <c r="R964" s="150"/>
      <c r="S964" s="150"/>
      <c r="T964" s="150"/>
      <c r="U964" s="150"/>
      <c r="V964" s="150"/>
      <c r="W964" s="150"/>
      <c r="X964" s="150"/>
      <c r="Y964" s="150"/>
      <c r="Z964" s="150"/>
    </row>
    <row r="965">
      <c r="A965" s="150"/>
      <c r="B965" s="155"/>
      <c r="C965" s="155"/>
      <c r="D965" s="155"/>
      <c r="E965" s="155"/>
      <c r="F965" s="150"/>
      <c r="G965" s="150"/>
      <c r="H965" s="150"/>
      <c r="I965" s="150"/>
      <c r="J965" s="150"/>
      <c r="K965" s="150"/>
      <c r="L965" s="150"/>
      <c r="M965" s="150"/>
      <c r="N965" s="150"/>
      <c r="O965" s="150"/>
      <c r="P965" s="150"/>
      <c r="Q965" s="150"/>
      <c r="R965" s="150"/>
      <c r="S965" s="150"/>
      <c r="T965" s="150"/>
      <c r="U965" s="150"/>
      <c r="V965" s="150"/>
      <c r="W965" s="150"/>
      <c r="X965" s="150"/>
      <c r="Y965" s="150"/>
      <c r="Z965" s="150"/>
    </row>
    <row r="966">
      <c r="A966" s="150"/>
      <c r="B966" s="155"/>
      <c r="C966" s="155"/>
      <c r="D966" s="155"/>
      <c r="E966" s="155"/>
      <c r="F966" s="150"/>
      <c r="G966" s="150"/>
      <c r="H966" s="150"/>
      <c r="I966" s="150"/>
      <c r="J966" s="150"/>
      <c r="K966" s="150"/>
      <c r="L966" s="150"/>
      <c r="M966" s="150"/>
      <c r="N966" s="150"/>
      <c r="O966" s="150"/>
      <c r="P966" s="150"/>
      <c r="Q966" s="150"/>
      <c r="R966" s="150"/>
      <c r="S966" s="150"/>
      <c r="T966" s="150"/>
      <c r="U966" s="150"/>
      <c r="V966" s="150"/>
      <c r="W966" s="150"/>
      <c r="X966" s="150"/>
      <c r="Y966" s="150"/>
      <c r="Z966" s="150"/>
    </row>
    <row r="967">
      <c r="A967" s="150"/>
      <c r="B967" s="155"/>
      <c r="C967" s="155"/>
      <c r="D967" s="155"/>
      <c r="E967" s="155"/>
      <c r="F967" s="150"/>
      <c r="G967" s="150"/>
      <c r="H967" s="150"/>
      <c r="I967" s="150"/>
      <c r="J967" s="150"/>
      <c r="K967" s="150"/>
      <c r="L967" s="150"/>
      <c r="M967" s="150"/>
      <c r="N967" s="150"/>
      <c r="O967" s="150"/>
      <c r="P967" s="150"/>
      <c r="Q967" s="150"/>
      <c r="R967" s="150"/>
      <c r="S967" s="150"/>
      <c r="T967" s="150"/>
      <c r="U967" s="150"/>
      <c r="V967" s="150"/>
      <c r="W967" s="150"/>
      <c r="X967" s="150"/>
      <c r="Y967" s="150"/>
      <c r="Z967" s="150"/>
    </row>
    <row r="968">
      <c r="A968" s="150"/>
      <c r="B968" s="155"/>
      <c r="C968" s="155"/>
      <c r="D968" s="155"/>
      <c r="E968" s="155"/>
      <c r="F968" s="150"/>
      <c r="G968" s="150"/>
      <c r="H968" s="150"/>
      <c r="I968" s="150"/>
      <c r="J968" s="150"/>
      <c r="K968" s="150"/>
      <c r="L968" s="150"/>
      <c r="M968" s="150"/>
      <c r="N968" s="150"/>
      <c r="O968" s="150"/>
      <c r="P968" s="150"/>
      <c r="Q968" s="150"/>
      <c r="R968" s="150"/>
      <c r="S968" s="150"/>
      <c r="T968" s="150"/>
      <c r="U968" s="150"/>
      <c r="V968" s="150"/>
      <c r="W968" s="150"/>
      <c r="X968" s="150"/>
      <c r="Y968" s="150"/>
      <c r="Z968" s="150"/>
    </row>
    <row r="969">
      <c r="A969" s="150"/>
      <c r="B969" s="155"/>
      <c r="C969" s="155"/>
      <c r="D969" s="155"/>
      <c r="E969" s="155"/>
      <c r="F969" s="150"/>
      <c r="G969" s="150"/>
      <c r="H969" s="150"/>
      <c r="I969" s="150"/>
      <c r="J969" s="150"/>
      <c r="K969" s="150"/>
      <c r="L969" s="150"/>
      <c r="M969" s="150"/>
      <c r="N969" s="150"/>
      <c r="O969" s="150"/>
      <c r="P969" s="150"/>
      <c r="Q969" s="150"/>
      <c r="R969" s="150"/>
      <c r="S969" s="150"/>
      <c r="T969" s="150"/>
      <c r="U969" s="150"/>
      <c r="V969" s="150"/>
      <c r="W969" s="150"/>
      <c r="X969" s="150"/>
      <c r="Y969" s="150"/>
      <c r="Z969" s="150"/>
    </row>
    <row r="970">
      <c r="A970" s="150"/>
      <c r="B970" s="155"/>
      <c r="C970" s="155"/>
      <c r="D970" s="155"/>
      <c r="E970" s="155"/>
      <c r="F970" s="150"/>
      <c r="G970" s="150"/>
      <c r="H970" s="150"/>
      <c r="I970" s="150"/>
      <c r="J970" s="150"/>
      <c r="K970" s="150"/>
      <c r="L970" s="150"/>
      <c r="M970" s="150"/>
      <c r="N970" s="150"/>
      <c r="O970" s="150"/>
      <c r="P970" s="150"/>
      <c r="Q970" s="150"/>
      <c r="R970" s="150"/>
      <c r="S970" s="150"/>
      <c r="T970" s="150"/>
      <c r="U970" s="150"/>
      <c r="V970" s="150"/>
      <c r="W970" s="150"/>
      <c r="X970" s="150"/>
      <c r="Y970" s="150"/>
      <c r="Z970" s="150"/>
    </row>
    <row r="971">
      <c r="A971" s="150"/>
      <c r="B971" s="155"/>
      <c r="C971" s="155"/>
      <c r="D971" s="155"/>
      <c r="E971" s="155"/>
      <c r="F971" s="150"/>
      <c r="G971" s="150"/>
      <c r="H971" s="150"/>
      <c r="I971" s="150"/>
      <c r="J971" s="150"/>
      <c r="K971" s="150"/>
      <c r="L971" s="150"/>
      <c r="M971" s="150"/>
      <c r="N971" s="150"/>
      <c r="O971" s="150"/>
      <c r="P971" s="150"/>
      <c r="Q971" s="150"/>
      <c r="R971" s="150"/>
      <c r="S971" s="150"/>
      <c r="T971" s="150"/>
      <c r="U971" s="150"/>
      <c r="V971" s="150"/>
      <c r="W971" s="150"/>
      <c r="X971" s="150"/>
      <c r="Y971" s="150"/>
      <c r="Z971" s="150"/>
    </row>
    <row r="972">
      <c r="A972" s="150"/>
      <c r="B972" s="155"/>
      <c r="C972" s="155"/>
      <c r="D972" s="155"/>
      <c r="E972" s="155"/>
      <c r="F972" s="150"/>
      <c r="G972" s="150"/>
      <c r="H972" s="150"/>
      <c r="I972" s="150"/>
      <c r="J972" s="150"/>
      <c r="K972" s="150"/>
      <c r="L972" s="150"/>
      <c r="M972" s="150"/>
      <c r="N972" s="150"/>
      <c r="O972" s="150"/>
      <c r="P972" s="150"/>
      <c r="Q972" s="150"/>
      <c r="R972" s="150"/>
      <c r="S972" s="150"/>
      <c r="T972" s="150"/>
      <c r="U972" s="150"/>
      <c r="V972" s="150"/>
      <c r="W972" s="150"/>
      <c r="X972" s="150"/>
      <c r="Y972" s="150"/>
      <c r="Z972" s="150"/>
    </row>
    <row r="973">
      <c r="A973" s="150"/>
      <c r="B973" s="155"/>
      <c r="C973" s="155"/>
      <c r="D973" s="155"/>
      <c r="E973" s="155"/>
      <c r="F973" s="150"/>
      <c r="G973" s="150"/>
      <c r="H973" s="150"/>
      <c r="I973" s="150"/>
      <c r="J973" s="150"/>
      <c r="K973" s="150"/>
      <c r="L973" s="150"/>
      <c r="M973" s="150"/>
      <c r="N973" s="150"/>
      <c r="O973" s="150"/>
      <c r="P973" s="150"/>
      <c r="Q973" s="150"/>
      <c r="R973" s="150"/>
      <c r="S973" s="150"/>
      <c r="T973" s="150"/>
      <c r="U973" s="150"/>
      <c r="V973" s="150"/>
      <c r="W973" s="150"/>
      <c r="X973" s="150"/>
      <c r="Y973" s="150"/>
      <c r="Z973" s="150"/>
    </row>
    <row r="974">
      <c r="A974" s="150"/>
      <c r="B974" s="155"/>
      <c r="C974" s="155"/>
      <c r="D974" s="155"/>
      <c r="E974" s="155"/>
      <c r="F974" s="150"/>
      <c r="G974" s="150"/>
      <c r="H974" s="150"/>
      <c r="I974" s="150"/>
      <c r="J974" s="150"/>
      <c r="K974" s="150"/>
      <c r="L974" s="150"/>
      <c r="M974" s="150"/>
      <c r="N974" s="150"/>
      <c r="O974" s="150"/>
      <c r="P974" s="150"/>
      <c r="Q974" s="150"/>
      <c r="R974" s="150"/>
      <c r="S974" s="150"/>
      <c r="T974" s="150"/>
      <c r="U974" s="150"/>
      <c r="V974" s="150"/>
      <c r="W974" s="150"/>
      <c r="X974" s="150"/>
      <c r="Y974" s="150"/>
      <c r="Z974" s="150"/>
    </row>
    <row r="975">
      <c r="A975" s="150"/>
      <c r="B975" s="155"/>
      <c r="C975" s="155"/>
      <c r="D975" s="155"/>
      <c r="E975" s="155"/>
      <c r="F975" s="150"/>
      <c r="G975" s="150"/>
      <c r="H975" s="150"/>
      <c r="I975" s="150"/>
      <c r="J975" s="150"/>
      <c r="K975" s="150"/>
      <c r="L975" s="150"/>
      <c r="M975" s="150"/>
      <c r="N975" s="150"/>
      <c r="O975" s="150"/>
      <c r="P975" s="150"/>
      <c r="Q975" s="150"/>
      <c r="R975" s="150"/>
      <c r="S975" s="150"/>
      <c r="T975" s="150"/>
      <c r="U975" s="150"/>
      <c r="V975" s="150"/>
      <c r="W975" s="150"/>
      <c r="X975" s="150"/>
      <c r="Y975" s="150"/>
      <c r="Z975" s="150"/>
    </row>
    <row r="976">
      <c r="A976" s="150"/>
      <c r="B976" s="155"/>
      <c r="C976" s="155"/>
      <c r="D976" s="155"/>
      <c r="E976" s="155"/>
      <c r="F976" s="150"/>
      <c r="G976" s="150"/>
      <c r="H976" s="150"/>
      <c r="I976" s="150"/>
      <c r="J976" s="150"/>
      <c r="K976" s="150"/>
      <c r="L976" s="150"/>
      <c r="M976" s="150"/>
      <c r="N976" s="150"/>
      <c r="O976" s="150"/>
      <c r="P976" s="150"/>
      <c r="Q976" s="150"/>
      <c r="R976" s="150"/>
      <c r="S976" s="150"/>
      <c r="T976" s="150"/>
      <c r="U976" s="150"/>
      <c r="V976" s="150"/>
      <c r="W976" s="150"/>
      <c r="X976" s="150"/>
      <c r="Y976" s="150"/>
      <c r="Z976" s="150"/>
    </row>
    <row r="977">
      <c r="A977" s="150"/>
      <c r="B977" s="155"/>
      <c r="C977" s="155"/>
      <c r="D977" s="155"/>
      <c r="E977" s="155"/>
      <c r="F977" s="150"/>
      <c r="G977" s="150"/>
      <c r="H977" s="150"/>
      <c r="I977" s="150"/>
      <c r="J977" s="150"/>
      <c r="K977" s="150"/>
      <c r="L977" s="150"/>
      <c r="M977" s="150"/>
      <c r="N977" s="150"/>
      <c r="O977" s="150"/>
      <c r="P977" s="150"/>
      <c r="Q977" s="150"/>
      <c r="R977" s="150"/>
      <c r="S977" s="150"/>
      <c r="T977" s="150"/>
      <c r="U977" s="150"/>
      <c r="V977" s="150"/>
      <c r="W977" s="150"/>
      <c r="X977" s="150"/>
      <c r="Y977" s="150"/>
      <c r="Z977" s="150"/>
    </row>
    <row r="978">
      <c r="A978" s="150"/>
      <c r="B978" s="155"/>
      <c r="C978" s="155"/>
      <c r="D978" s="155"/>
      <c r="E978" s="155"/>
      <c r="F978" s="150"/>
      <c r="G978" s="150"/>
      <c r="H978" s="150"/>
      <c r="I978" s="150"/>
      <c r="J978" s="150"/>
      <c r="K978" s="150"/>
      <c r="L978" s="150"/>
      <c r="M978" s="150"/>
      <c r="N978" s="150"/>
      <c r="O978" s="150"/>
      <c r="P978" s="150"/>
      <c r="Q978" s="150"/>
      <c r="R978" s="150"/>
      <c r="S978" s="150"/>
      <c r="T978" s="150"/>
      <c r="U978" s="150"/>
      <c r="V978" s="150"/>
      <c r="W978" s="150"/>
      <c r="X978" s="150"/>
      <c r="Y978" s="150"/>
      <c r="Z978" s="150"/>
    </row>
    <row r="979">
      <c r="A979" s="150"/>
      <c r="B979" s="155"/>
      <c r="C979" s="155"/>
      <c r="D979" s="155"/>
      <c r="E979" s="155"/>
      <c r="F979" s="150"/>
      <c r="G979" s="150"/>
      <c r="H979" s="150"/>
      <c r="I979" s="150"/>
      <c r="J979" s="150"/>
      <c r="K979" s="150"/>
      <c r="L979" s="150"/>
      <c r="M979" s="150"/>
      <c r="N979" s="150"/>
      <c r="O979" s="150"/>
      <c r="P979" s="150"/>
      <c r="Q979" s="150"/>
      <c r="R979" s="150"/>
      <c r="S979" s="150"/>
      <c r="T979" s="150"/>
      <c r="U979" s="150"/>
      <c r="V979" s="150"/>
      <c r="W979" s="150"/>
      <c r="X979" s="150"/>
      <c r="Y979" s="150"/>
      <c r="Z979" s="150"/>
    </row>
    <row r="980">
      <c r="A980" s="150"/>
      <c r="B980" s="155"/>
      <c r="C980" s="155"/>
      <c r="D980" s="155"/>
      <c r="E980" s="155"/>
      <c r="F980" s="150"/>
      <c r="G980" s="150"/>
      <c r="H980" s="150"/>
      <c r="I980" s="150"/>
      <c r="J980" s="150"/>
      <c r="K980" s="150"/>
      <c r="L980" s="150"/>
      <c r="M980" s="150"/>
      <c r="N980" s="150"/>
      <c r="O980" s="150"/>
      <c r="P980" s="150"/>
      <c r="Q980" s="150"/>
      <c r="R980" s="150"/>
      <c r="S980" s="150"/>
      <c r="T980" s="150"/>
      <c r="U980" s="150"/>
      <c r="V980" s="150"/>
      <c r="W980" s="150"/>
      <c r="X980" s="150"/>
      <c r="Y980" s="150"/>
      <c r="Z980" s="150"/>
    </row>
    <row r="981">
      <c r="A981" s="150"/>
      <c r="B981" s="155"/>
      <c r="C981" s="155"/>
      <c r="D981" s="155"/>
      <c r="E981" s="155"/>
      <c r="F981" s="150"/>
      <c r="G981" s="150"/>
      <c r="H981" s="150"/>
      <c r="I981" s="150"/>
      <c r="J981" s="150"/>
      <c r="K981" s="150"/>
      <c r="L981" s="150"/>
      <c r="M981" s="150"/>
      <c r="N981" s="150"/>
      <c r="O981" s="150"/>
      <c r="P981" s="150"/>
      <c r="Q981" s="150"/>
      <c r="R981" s="150"/>
      <c r="S981" s="150"/>
      <c r="T981" s="150"/>
      <c r="U981" s="150"/>
      <c r="V981" s="150"/>
      <c r="W981" s="150"/>
      <c r="X981" s="150"/>
      <c r="Y981" s="150"/>
      <c r="Z981" s="150"/>
    </row>
    <row r="982">
      <c r="A982" s="150"/>
      <c r="B982" s="155"/>
      <c r="C982" s="155"/>
      <c r="D982" s="155"/>
      <c r="E982" s="155"/>
      <c r="F982" s="150"/>
      <c r="G982" s="150"/>
      <c r="H982" s="150"/>
      <c r="I982" s="150"/>
      <c r="J982" s="150"/>
      <c r="K982" s="150"/>
      <c r="L982" s="150"/>
      <c r="M982" s="150"/>
      <c r="N982" s="150"/>
      <c r="O982" s="150"/>
      <c r="P982" s="150"/>
      <c r="Q982" s="150"/>
      <c r="R982" s="150"/>
      <c r="S982" s="150"/>
      <c r="T982" s="150"/>
      <c r="U982" s="150"/>
      <c r="V982" s="150"/>
      <c r="W982" s="150"/>
      <c r="X982" s="150"/>
      <c r="Y982" s="150"/>
      <c r="Z982" s="150"/>
    </row>
    <row r="983">
      <c r="A983" s="150"/>
      <c r="B983" s="155"/>
      <c r="C983" s="155"/>
      <c r="D983" s="155"/>
      <c r="E983" s="155"/>
      <c r="F983" s="150"/>
      <c r="G983" s="150"/>
      <c r="H983" s="150"/>
      <c r="I983" s="150"/>
      <c r="J983" s="150"/>
      <c r="K983" s="150"/>
      <c r="L983" s="150"/>
      <c r="M983" s="150"/>
      <c r="N983" s="150"/>
      <c r="O983" s="150"/>
      <c r="P983" s="150"/>
      <c r="Q983" s="150"/>
      <c r="R983" s="150"/>
      <c r="S983" s="150"/>
      <c r="T983" s="150"/>
      <c r="U983" s="150"/>
      <c r="V983" s="150"/>
      <c r="W983" s="150"/>
      <c r="X983" s="150"/>
      <c r="Y983" s="150"/>
      <c r="Z983" s="150"/>
    </row>
    <row r="984">
      <c r="A984" s="150"/>
      <c r="B984" s="155"/>
      <c r="C984" s="155"/>
      <c r="D984" s="155"/>
      <c r="E984" s="155"/>
      <c r="F984" s="150"/>
      <c r="G984" s="150"/>
      <c r="H984" s="150"/>
      <c r="I984" s="150"/>
      <c r="J984" s="150"/>
      <c r="K984" s="150"/>
      <c r="L984" s="150"/>
      <c r="M984" s="150"/>
      <c r="N984" s="150"/>
      <c r="O984" s="150"/>
      <c r="P984" s="150"/>
      <c r="Q984" s="150"/>
      <c r="R984" s="150"/>
      <c r="S984" s="150"/>
      <c r="T984" s="150"/>
      <c r="U984" s="150"/>
      <c r="V984" s="150"/>
      <c r="W984" s="150"/>
      <c r="X984" s="150"/>
      <c r="Y984" s="150"/>
      <c r="Z984" s="150"/>
    </row>
    <row r="985">
      <c r="A985" s="150"/>
      <c r="B985" s="155"/>
      <c r="C985" s="155"/>
      <c r="D985" s="155"/>
      <c r="E985" s="155"/>
      <c r="F985" s="150"/>
      <c r="G985" s="150"/>
      <c r="H985" s="150"/>
      <c r="I985" s="150"/>
      <c r="J985" s="150"/>
      <c r="K985" s="150"/>
      <c r="L985" s="150"/>
      <c r="M985" s="150"/>
      <c r="N985" s="150"/>
      <c r="O985" s="150"/>
      <c r="P985" s="150"/>
      <c r="Q985" s="150"/>
      <c r="R985" s="150"/>
      <c r="S985" s="150"/>
      <c r="T985" s="150"/>
      <c r="U985" s="150"/>
      <c r="V985" s="150"/>
      <c r="W985" s="150"/>
      <c r="X985" s="150"/>
      <c r="Y985" s="150"/>
      <c r="Z985" s="150"/>
    </row>
    <row r="986">
      <c r="A986" s="150"/>
      <c r="B986" s="155"/>
      <c r="C986" s="155"/>
      <c r="D986" s="155"/>
      <c r="E986" s="155"/>
      <c r="F986" s="150"/>
      <c r="G986" s="150"/>
      <c r="H986" s="150"/>
      <c r="I986" s="150"/>
      <c r="J986" s="150"/>
      <c r="K986" s="150"/>
      <c r="L986" s="150"/>
      <c r="M986" s="150"/>
      <c r="N986" s="150"/>
      <c r="O986" s="150"/>
      <c r="P986" s="150"/>
      <c r="Q986" s="150"/>
      <c r="R986" s="150"/>
      <c r="S986" s="150"/>
      <c r="T986" s="150"/>
      <c r="U986" s="150"/>
      <c r="V986" s="150"/>
      <c r="W986" s="150"/>
      <c r="X986" s="150"/>
      <c r="Y986" s="150"/>
      <c r="Z986" s="150"/>
    </row>
    <row r="987">
      <c r="A987" s="150"/>
      <c r="B987" s="155"/>
      <c r="C987" s="155"/>
      <c r="D987" s="155"/>
      <c r="E987" s="155"/>
      <c r="F987" s="150"/>
      <c r="G987" s="150"/>
      <c r="H987" s="150"/>
      <c r="I987" s="150"/>
      <c r="J987" s="150"/>
      <c r="K987" s="150"/>
      <c r="L987" s="150"/>
      <c r="M987" s="150"/>
      <c r="N987" s="150"/>
      <c r="O987" s="150"/>
      <c r="P987" s="150"/>
      <c r="Q987" s="150"/>
      <c r="R987" s="150"/>
      <c r="S987" s="150"/>
      <c r="T987" s="150"/>
      <c r="U987" s="150"/>
      <c r="V987" s="150"/>
      <c r="W987" s="150"/>
      <c r="X987" s="150"/>
      <c r="Y987" s="150"/>
      <c r="Z987" s="150"/>
    </row>
    <row r="988">
      <c r="A988" s="150"/>
      <c r="B988" s="155"/>
      <c r="C988" s="155"/>
      <c r="D988" s="155"/>
      <c r="E988" s="155"/>
      <c r="F988" s="150"/>
      <c r="G988" s="150"/>
      <c r="H988" s="150"/>
      <c r="I988" s="150"/>
      <c r="J988" s="150"/>
      <c r="K988" s="150"/>
      <c r="L988" s="150"/>
      <c r="M988" s="150"/>
      <c r="N988" s="150"/>
      <c r="O988" s="150"/>
      <c r="P988" s="150"/>
      <c r="Q988" s="150"/>
      <c r="R988" s="150"/>
      <c r="S988" s="150"/>
      <c r="T988" s="150"/>
      <c r="U988" s="150"/>
      <c r="V988" s="150"/>
      <c r="W988" s="150"/>
      <c r="X988" s="150"/>
      <c r="Y988" s="150"/>
      <c r="Z988" s="150"/>
    </row>
    <row r="989">
      <c r="A989" s="150"/>
      <c r="B989" s="155"/>
      <c r="C989" s="155"/>
      <c r="D989" s="155"/>
      <c r="E989" s="155"/>
      <c r="F989" s="150"/>
      <c r="G989" s="150"/>
      <c r="H989" s="150"/>
      <c r="I989" s="150"/>
      <c r="J989" s="150"/>
      <c r="K989" s="150"/>
      <c r="L989" s="150"/>
      <c r="M989" s="150"/>
      <c r="N989" s="150"/>
      <c r="O989" s="150"/>
      <c r="P989" s="150"/>
      <c r="Q989" s="150"/>
      <c r="R989" s="150"/>
      <c r="S989" s="150"/>
      <c r="T989" s="150"/>
      <c r="U989" s="150"/>
      <c r="V989" s="150"/>
      <c r="W989" s="150"/>
      <c r="X989" s="150"/>
      <c r="Y989" s="150"/>
      <c r="Z989" s="150"/>
    </row>
    <row r="990">
      <c r="A990" s="150"/>
      <c r="B990" s="155"/>
      <c r="C990" s="155"/>
      <c r="D990" s="155"/>
      <c r="E990" s="155"/>
      <c r="F990" s="150"/>
      <c r="G990" s="150"/>
      <c r="H990" s="150"/>
      <c r="I990" s="150"/>
      <c r="J990" s="150"/>
      <c r="K990" s="150"/>
      <c r="L990" s="150"/>
      <c r="M990" s="150"/>
      <c r="N990" s="150"/>
      <c r="O990" s="150"/>
      <c r="P990" s="150"/>
      <c r="Q990" s="150"/>
      <c r="R990" s="150"/>
      <c r="S990" s="150"/>
      <c r="T990" s="150"/>
      <c r="U990" s="150"/>
      <c r="V990" s="150"/>
      <c r="W990" s="150"/>
      <c r="X990" s="150"/>
      <c r="Y990" s="150"/>
      <c r="Z990" s="150"/>
    </row>
    <row r="991">
      <c r="A991" s="150"/>
      <c r="B991" s="155"/>
      <c r="C991" s="155"/>
      <c r="D991" s="155"/>
      <c r="E991" s="155"/>
      <c r="F991" s="150"/>
      <c r="G991" s="150"/>
      <c r="H991" s="150"/>
      <c r="I991" s="150"/>
      <c r="J991" s="150"/>
      <c r="K991" s="150"/>
      <c r="L991" s="150"/>
      <c r="M991" s="150"/>
      <c r="N991" s="150"/>
      <c r="O991" s="150"/>
      <c r="P991" s="150"/>
      <c r="Q991" s="150"/>
      <c r="R991" s="150"/>
      <c r="S991" s="150"/>
      <c r="T991" s="150"/>
      <c r="U991" s="150"/>
      <c r="V991" s="150"/>
      <c r="W991" s="150"/>
      <c r="X991" s="150"/>
      <c r="Y991" s="150"/>
      <c r="Z991" s="150"/>
    </row>
    <row r="992">
      <c r="A992" s="150"/>
      <c r="B992" s="155"/>
      <c r="C992" s="155"/>
      <c r="D992" s="155"/>
      <c r="E992" s="155"/>
      <c r="F992" s="150"/>
      <c r="G992" s="150"/>
      <c r="H992" s="150"/>
      <c r="I992" s="150"/>
      <c r="J992" s="150"/>
      <c r="K992" s="150"/>
      <c r="L992" s="150"/>
      <c r="M992" s="150"/>
      <c r="N992" s="150"/>
      <c r="O992" s="150"/>
      <c r="P992" s="150"/>
      <c r="Q992" s="150"/>
      <c r="R992" s="150"/>
      <c r="S992" s="150"/>
      <c r="T992" s="150"/>
      <c r="U992" s="150"/>
      <c r="V992" s="150"/>
      <c r="W992" s="150"/>
      <c r="X992" s="150"/>
      <c r="Y992" s="150"/>
      <c r="Z992" s="150"/>
    </row>
    <row r="993">
      <c r="A993" s="150"/>
      <c r="B993" s="155"/>
      <c r="C993" s="155"/>
      <c r="D993" s="155"/>
      <c r="E993" s="155"/>
      <c r="F993" s="150"/>
      <c r="G993" s="150"/>
      <c r="H993" s="150"/>
      <c r="I993" s="150"/>
      <c r="J993" s="150"/>
      <c r="K993" s="150"/>
      <c r="L993" s="150"/>
      <c r="M993" s="150"/>
      <c r="N993" s="150"/>
      <c r="O993" s="150"/>
      <c r="P993" s="150"/>
      <c r="Q993" s="150"/>
      <c r="R993" s="150"/>
      <c r="S993" s="150"/>
      <c r="T993" s="150"/>
      <c r="U993" s="150"/>
      <c r="V993" s="150"/>
      <c r="W993" s="150"/>
      <c r="X993" s="150"/>
      <c r="Y993" s="150"/>
      <c r="Z993" s="150"/>
    </row>
    <row r="994">
      <c r="A994" s="150"/>
      <c r="B994" s="155"/>
      <c r="C994" s="155"/>
      <c r="D994" s="155"/>
      <c r="E994" s="155"/>
      <c r="F994" s="150"/>
      <c r="G994" s="150"/>
      <c r="H994" s="150"/>
      <c r="I994" s="150"/>
      <c r="J994" s="150"/>
      <c r="K994" s="150"/>
      <c r="L994" s="150"/>
      <c r="M994" s="150"/>
      <c r="N994" s="150"/>
      <c r="O994" s="150"/>
      <c r="P994" s="150"/>
      <c r="Q994" s="150"/>
      <c r="R994" s="150"/>
      <c r="S994" s="150"/>
      <c r="T994" s="150"/>
      <c r="U994" s="150"/>
      <c r="V994" s="150"/>
      <c r="W994" s="150"/>
      <c r="X994" s="150"/>
      <c r="Y994" s="150"/>
      <c r="Z994" s="150"/>
    </row>
    <row r="995">
      <c r="A995" s="150"/>
      <c r="B995" s="155"/>
      <c r="C995" s="155"/>
      <c r="D995" s="155"/>
      <c r="E995" s="155"/>
      <c r="F995" s="150"/>
      <c r="G995" s="150"/>
      <c r="H995" s="150"/>
      <c r="I995" s="150"/>
      <c r="J995" s="150"/>
      <c r="K995" s="150"/>
      <c r="L995" s="150"/>
      <c r="M995" s="150"/>
      <c r="N995" s="150"/>
      <c r="O995" s="150"/>
      <c r="P995" s="150"/>
      <c r="Q995" s="150"/>
      <c r="R995" s="150"/>
      <c r="S995" s="150"/>
      <c r="T995" s="150"/>
      <c r="U995" s="150"/>
      <c r="V995" s="150"/>
      <c r="W995" s="150"/>
      <c r="X995" s="150"/>
      <c r="Y995" s="150"/>
      <c r="Z995" s="150"/>
    </row>
    <row r="996">
      <c r="A996" s="150"/>
      <c r="B996" s="155"/>
      <c r="C996" s="155"/>
      <c r="D996" s="155"/>
      <c r="E996" s="155"/>
      <c r="F996" s="150"/>
      <c r="G996" s="150"/>
      <c r="H996" s="150"/>
      <c r="I996" s="150"/>
      <c r="J996" s="150"/>
      <c r="K996" s="150"/>
      <c r="L996" s="150"/>
      <c r="M996" s="150"/>
      <c r="N996" s="150"/>
      <c r="O996" s="150"/>
      <c r="P996" s="150"/>
      <c r="Q996" s="150"/>
      <c r="R996" s="150"/>
      <c r="S996" s="150"/>
      <c r="T996" s="150"/>
      <c r="U996" s="150"/>
      <c r="V996" s="150"/>
      <c r="W996" s="150"/>
      <c r="X996" s="150"/>
      <c r="Y996" s="150"/>
      <c r="Z996" s="150"/>
    </row>
    <row r="997">
      <c r="A997" s="150"/>
      <c r="B997" s="155"/>
      <c r="C997" s="155"/>
      <c r="D997" s="155"/>
      <c r="E997" s="155"/>
      <c r="F997" s="150"/>
      <c r="G997" s="150"/>
      <c r="H997" s="150"/>
      <c r="I997" s="150"/>
      <c r="J997" s="150"/>
      <c r="K997" s="150"/>
      <c r="L997" s="150"/>
      <c r="M997" s="150"/>
      <c r="N997" s="150"/>
      <c r="O997" s="150"/>
      <c r="P997" s="150"/>
      <c r="Q997" s="150"/>
      <c r="R997" s="150"/>
      <c r="S997" s="150"/>
      <c r="T997" s="150"/>
      <c r="U997" s="150"/>
      <c r="V997" s="150"/>
      <c r="W997" s="150"/>
      <c r="X997" s="150"/>
      <c r="Y997" s="150"/>
      <c r="Z997" s="150"/>
    </row>
    <row r="998">
      <c r="A998" s="150"/>
      <c r="B998" s="155"/>
      <c r="C998" s="155"/>
      <c r="D998" s="155"/>
      <c r="E998" s="155"/>
      <c r="F998" s="150"/>
      <c r="G998" s="150"/>
      <c r="H998" s="150"/>
      <c r="I998" s="150"/>
      <c r="J998" s="150"/>
      <c r="K998" s="150"/>
      <c r="L998" s="150"/>
      <c r="M998" s="150"/>
      <c r="N998" s="150"/>
      <c r="O998" s="150"/>
      <c r="P998" s="150"/>
      <c r="Q998" s="150"/>
      <c r="R998" s="150"/>
      <c r="S998" s="150"/>
      <c r="T998" s="150"/>
      <c r="U998" s="150"/>
      <c r="V998" s="150"/>
      <c r="W998" s="150"/>
      <c r="X998" s="150"/>
      <c r="Y998" s="150"/>
      <c r="Z998" s="150"/>
    </row>
    <row r="999">
      <c r="A999" s="150"/>
      <c r="B999" s="155"/>
      <c r="C999" s="155"/>
      <c r="D999" s="155"/>
      <c r="E999" s="155"/>
      <c r="F999" s="150"/>
      <c r="G999" s="150"/>
      <c r="H999" s="150"/>
      <c r="I999" s="150"/>
      <c r="J999" s="150"/>
      <c r="K999" s="150"/>
      <c r="L999" s="150"/>
      <c r="M999" s="150"/>
      <c r="N999" s="150"/>
      <c r="O999" s="150"/>
      <c r="P999" s="150"/>
      <c r="Q999" s="150"/>
      <c r="R999" s="150"/>
      <c r="S999" s="150"/>
      <c r="T999" s="150"/>
      <c r="U999" s="150"/>
      <c r="V999" s="150"/>
      <c r="W999" s="150"/>
      <c r="X999" s="150"/>
      <c r="Y999" s="150"/>
      <c r="Z999" s="150"/>
    </row>
    <row r="1000">
      <c r="A1000" s="150"/>
      <c r="B1000" s="155"/>
      <c r="C1000" s="155"/>
      <c r="D1000" s="155"/>
      <c r="E1000" s="155"/>
      <c r="F1000" s="150"/>
      <c r="G1000" s="150"/>
      <c r="H1000" s="150"/>
      <c r="I1000" s="150"/>
      <c r="J1000" s="150"/>
      <c r="K1000" s="150"/>
      <c r="L1000" s="150"/>
      <c r="M1000" s="150"/>
      <c r="N1000" s="150"/>
      <c r="O1000" s="150"/>
      <c r="P1000" s="150"/>
      <c r="Q1000" s="150"/>
      <c r="R1000" s="150"/>
      <c r="S1000" s="150"/>
      <c r="T1000" s="150"/>
      <c r="U1000" s="150"/>
      <c r="V1000" s="150"/>
      <c r="W1000" s="150"/>
      <c r="X1000" s="150"/>
      <c r="Y1000" s="150"/>
      <c r="Z1000" s="150"/>
    </row>
  </sheetData>
  <mergeCells count="1">
    <mergeCell ref="A1:F1"/>
  </mergeCells>
  <dataValidations>
    <dataValidation type="list" allowBlank="1" showErrorMessage="1" sqref="A3:A112">
      <formula1>"Authentication,Product management,Bag management,Label management,User anagement,Meal management"</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outlineLevelRow="1"/>
  <cols>
    <col customWidth="1" min="3" max="3" width="155.57"/>
    <col customWidth="1" min="7" max="7" width="63.71"/>
  </cols>
  <sheetData>
    <row r="1" ht="67.5" customHeight="1">
      <c r="A1" s="156" t="str">
        <f>CONCAT('Roadmap setting'!B3," - Epics Management Checklist")</f>
        <v>SuperMarty project - Epics Management Checklist</v>
      </c>
      <c r="I1" s="157"/>
      <c r="J1" s="157"/>
      <c r="K1" s="157"/>
      <c r="L1" s="157"/>
      <c r="M1" s="157"/>
      <c r="N1" s="157"/>
      <c r="O1" s="157"/>
      <c r="P1" s="157"/>
      <c r="Q1" s="157"/>
      <c r="R1" s="157"/>
      <c r="S1" s="157"/>
      <c r="T1" s="157"/>
      <c r="U1" s="157"/>
      <c r="V1" s="157"/>
      <c r="W1" s="157"/>
      <c r="X1" s="157"/>
      <c r="Y1" s="157"/>
      <c r="Z1" s="157"/>
    </row>
    <row r="2">
      <c r="A2" s="158" t="s">
        <v>540</v>
      </c>
      <c r="B2" s="159" t="s">
        <v>541</v>
      </c>
      <c r="C2" s="159" t="s">
        <v>542</v>
      </c>
      <c r="D2" s="159" t="s">
        <v>275</v>
      </c>
      <c r="E2" s="159" t="s">
        <v>543</v>
      </c>
      <c r="F2" s="159" t="s">
        <v>544</v>
      </c>
      <c r="G2" s="159" t="s">
        <v>545</v>
      </c>
      <c r="H2" s="159" t="s">
        <v>546</v>
      </c>
    </row>
    <row r="3" collapsed="1">
      <c r="A3" s="160"/>
      <c r="B3" s="161" t="s">
        <v>547</v>
      </c>
      <c r="C3" s="162"/>
      <c r="D3" s="162"/>
      <c r="E3" s="161" t="s">
        <v>548</v>
      </c>
      <c r="F3" s="162"/>
      <c r="G3" s="163" t="s">
        <v>549</v>
      </c>
      <c r="H3" s="164">
        <f>IFERROR(COUNTIF(A5:A47, TRUE) / COUNTA(A5:A47), 0)</f>
        <v>1</v>
      </c>
    </row>
    <row r="4" hidden="1" outlineLevel="1">
      <c r="A4" s="165" t="b">
        <v>1</v>
      </c>
      <c r="B4" s="166"/>
      <c r="C4" s="167" t="s">
        <v>550</v>
      </c>
      <c r="D4" s="168"/>
      <c r="E4" s="166"/>
      <c r="F4" s="168"/>
      <c r="G4" s="169"/>
      <c r="H4" s="166"/>
    </row>
    <row r="5" hidden="1" outlineLevel="1">
      <c r="A5" s="165" t="b">
        <v>1</v>
      </c>
      <c r="B5" s="170"/>
      <c r="C5" s="167" t="s">
        <v>551</v>
      </c>
      <c r="D5" s="168"/>
      <c r="E5" s="166"/>
      <c r="F5" s="168"/>
      <c r="G5" s="169"/>
      <c r="H5" s="170"/>
    </row>
    <row r="6" hidden="1" outlineLevel="1">
      <c r="A6" s="165" t="b">
        <v>1</v>
      </c>
      <c r="B6" s="170"/>
      <c r="C6" s="167" t="s">
        <v>552</v>
      </c>
      <c r="D6" s="168"/>
      <c r="E6" s="166"/>
      <c r="F6" s="168"/>
      <c r="G6" s="169"/>
      <c r="H6" s="170"/>
    </row>
    <row r="7" hidden="1" outlineLevel="1">
      <c r="A7" s="165" t="b">
        <v>1</v>
      </c>
      <c r="B7" s="170"/>
      <c r="C7" s="167" t="s">
        <v>553</v>
      </c>
      <c r="D7" s="168"/>
      <c r="E7" s="166"/>
      <c r="F7" s="168"/>
      <c r="G7" s="169"/>
      <c r="H7" s="170"/>
    </row>
    <row r="8" hidden="1" outlineLevel="1">
      <c r="A8" s="165" t="b">
        <v>1</v>
      </c>
      <c r="B8" s="170"/>
      <c r="C8" s="167" t="s">
        <v>554</v>
      </c>
      <c r="D8" s="168"/>
      <c r="E8" s="166"/>
      <c r="F8" s="168"/>
      <c r="G8" s="169"/>
      <c r="H8" s="170"/>
    </row>
    <row r="9" hidden="1" outlineLevel="1">
      <c r="A9" s="165" t="b">
        <v>1</v>
      </c>
      <c r="B9" s="170"/>
      <c r="C9" s="167" t="s">
        <v>555</v>
      </c>
      <c r="D9" s="168"/>
      <c r="E9" s="166"/>
      <c r="F9" s="168"/>
      <c r="G9" s="168"/>
      <c r="H9" s="170"/>
    </row>
    <row r="10" hidden="1" outlineLevel="1">
      <c r="A10" s="165" t="b">
        <v>1</v>
      </c>
      <c r="B10" s="170"/>
      <c r="C10" s="167" t="s">
        <v>556</v>
      </c>
      <c r="D10" s="168"/>
      <c r="E10" s="166"/>
      <c r="F10" s="168"/>
      <c r="G10" s="169"/>
      <c r="H10" s="170"/>
    </row>
    <row r="11" hidden="1" outlineLevel="1">
      <c r="A11" s="165" t="b">
        <v>1</v>
      </c>
      <c r="B11" s="170"/>
      <c r="C11" s="167" t="s">
        <v>557</v>
      </c>
      <c r="D11" s="168"/>
      <c r="E11" s="166"/>
      <c r="F11" s="168"/>
      <c r="G11" s="169"/>
      <c r="H11" s="170"/>
    </row>
    <row r="12" hidden="1" outlineLevel="1">
      <c r="A12" s="165" t="b">
        <v>1</v>
      </c>
      <c r="B12" s="170"/>
      <c r="C12" s="167" t="s">
        <v>558</v>
      </c>
      <c r="D12" s="168"/>
      <c r="E12" s="166"/>
      <c r="F12" s="168"/>
      <c r="G12" s="169"/>
      <c r="H12" s="170"/>
    </row>
    <row r="13" hidden="1" outlineLevel="1">
      <c r="A13" s="165" t="b">
        <v>1</v>
      </c>
      <c r="B13" s="170"/>
      <c r="C13" s="167" t="s">
        <v>559</v>
      </c>
      <c r="D13" s="168"/>
      <c r="E13" s="166"/>
      <c r="F13" s="168"/>
      <c r="G13" s="169"/>
      <c r="H13" s="170"/>
    </row>
    <row r="14" hidden="1" outlineLevel="1">
      <c r="A14" s="165" t="b">
        <v>1</v>
      </c>
      <c r="B14" s="170"/>
      <c r="C14" s="167" t="s">
        <v>560</v>
      </c>
      <c r="D14" s="168"/>
      <c r="E14" s="166"/>
      <c r="F14" s="168"/>
      <c r="G14" s="168"/>
      <c r="H14" s="170"/>
    </row>
    <row r="15" hidden="1" outlineLevel="1">
      <c r="A15" s="165" t="b">
        <v>1</v>
      </c>
      <c r="B15" s="170"/>
      <c r="C15" s="167" t="s">
        <v>561</v>
      </c>
      <c r="D15" s="168"/>
      <c r="E15" s="166"/>
      <c r="F15" s="168"/>
      <c r="G15" s="169"/>
      <c r="H15" s="170"/>
    </row>
    <row r="16" hidden="1" outlineLevel="1">
      <c r="A16" s="165" t="b">
        <v>1</v>
      </c>
      <c r="B16" s="170"/>
      <c r="C16" s="167" t="s">
        <v>562</v>
      </c>
      <c r="D16" s="168"/>
      <c r="E16" s="166"/>
      <c r="F16" s="168"/>
      <c r="G16" s="168"/>
      <c r="H16" s="170"/>
    </row>
    <row r="17" hidden="1" outlineLevel="1">
      <c r="A17" s="165" t="b">
        <v>1</v>
      </c>
      <c r="B17" s="170"/>
      <c r="C17" s="167" t="s">
        <v>563</v>
      </c>
      <c r="D17" s="168"/>
      <c r="E17" s="166"/>
      <c r="F17" s="168"/>
      <c r="G17" s="168"/>
      <c r="H17" s="170"/>
    </row>
    <row r="18" hidden="1" outlineLevel="1">
      <c r="A18" s="165" t="b">
        <v>1</v>
      </c>
      <c r="B18" s="170"/>
      <c r="C18" s="167" t="s">
        <v>564</v>
      </c>
      <c r="D18" s="168"/>
      <c r="E18" s="166"/>
      <c r="F18" s="168"/>
      <c r="G18" s="169"/>
      <c r="H18" s="170"/>
    </row>
    <row r="19" hidden="1" outlineLevel="1">
      <c r="A19" s="165" t="b">
        <v>1</v>
      </c>
      <c r="B19" s="170"/>
      <c r="C19" s="167" t="s">
        <v>565</v>
      </c>
      <c r="D19" s="168"/>
      <c r="E19" s="166"/>
      <c r="F19" s="168"/>
      <c r="G19" s="169"/>
      <c r="H19" s="170"/>
    </row>
    <row r="20" hidden="1" outlineLevel="1">
      <c r="A20" s="165" t="b">
        <v>1</v>
      </c>
      <c r="B20" s="170"/>
      <c r="C20" s="167" t="s">
        <v>566</v>
      </c>
      <c r="D20" s="168"/>
      <c r="E20" s="166"/>
      <c r="F20" s="168"/>
      <c r="G20" s="168"/>
      <c r="H20" s="170"/>
    </row>
    <row r="21" hidden="1" outlineLevel="1">
      <c r="A21" s="165" t="b">
        <v>1</v>
      </c>
      <c r="B21" s="170"/>
      <c r="C21" s="167" t="s">
        <v>567</v>
      </c>
      <c r="D21" s="168"/>
      <c r="E21" s="166"/>
      <c r="F21" s="168"/>
      <c r="G21" s="169"/>
      <c r="H21" s="170"/>
    </row>
    <row r="22" hidden="1" outlineLevel="1">
      <c r="A22" s="165" t="b">
        <v>1</v>
      </c>
      <c r="B22" s="170"/>
      <c r="C22" s="167" t="s">
        <v>568</v>
      </c>
      <c r="D22" s="168"/>
      <c r="E22" s="166"/>
      <c r="F22" s="168"/>
      <c r="G22" s="169"/>
      <c r="H22" s="170"/>
    </row>
    <row r="23" hidden="1" outlineLevel="1">
      <c r="A23" s="165" t="b">
        <v>1</v>
      </c>
      <c r="B23" s="170"/>
      <c r="C23" s="167" t="s">
        <v>569</v>
      </c>
      <c r="D23" s="168"/>
      <c r="E23" s="166"/>
      <c r="F23" s="168"/>
      <c r="G23" s="169"/>
      <c r="H23" s="170"/>
    </row>
    <row r="24" hidden="1" outlineLevel="1">
      <c r="A24" s="165" t="b">
        <v>1</v>
      </c>
      <c r="B24" s="170"/>
      <c r="C24" s="167" t="s">
        <v>570</v>
      </c>
      <c r="D24" s="168"/>
      <c r="E24" s="166"/>
      <c r="F24" s="168"/>
      <c r="G24" s="169"/>
      <c r="H24" s="170"/>
    </row>
    <row r="25" hidden="1" outlineLevel="1">
      <c r="A25" s="165" t="b">
        <v>1</v>
      </c>
      <c r="B25" s="170"/>
      <c r="C25" s="167" t="s">
        <v>571</v>
      </c>
      <c r="D25" s="168"/>
      <c r="E25" s="166"/>
      <c r="F25" s="168"/>
      <c r="G25" s="169"/>
      <c r="H25" s="170"/>
    </row>
    <row r="26" hidden="1" outlineLevel="1">
      <c r="A26" s="165" t="b">
        <v>1</v>
      </c>
      <c r="B26" s="170"/>
      <c r="C26" s="167" t="s">
        <v>572</v>
      </c>
      <c r="D26" s="168"/>
      <c r="E26" s="166"/>
      <c r="F26" s="168"/>
      <c r="G26" s="169"/>
      <c r="H26" s="170"/>
    </row>
    <row r="27" hidden="1" outlineLevel="1">
      <c r="A27" s="165" t="b">
        <v>1</v>
      </c>
      <c r="B27" s="170"/>
      <c r="C27" s="167" t="s">
        <v>573</v>
      </c>
      <c r="D27" s="168"/>
      <c r="E27" s="166"/>
      <c r="F27" s="168"/>
      <c r="G27" s="169"/>
      <c r="H27" s="170"/>
    </row>
    <row r="28" hidden="1" outlineLevel="1">
      <c r="A28" s="165" t="b">
        <v>1</v>
      </c>
      <c r="B28" s="170"/>
      <c r="C28" s="167" t="s">
        <v>574</v>
      </c>
      <c r="D28" s="168"/>
      <c r="E28" s="166"/>
      <c r="F28" s="168"/>
      <c r="G28" s="168"/>
      <c r="H28" s="170"/>
    </row>
    <row r="29" hidden="1" outlineLevel="1">
      <c r="A29" s="165" t="b">
        <v>1</v>
      </c>
      <c r="B29" s="170"/>
      <c r="C29" s="167" t="s">
        <v>575</v>
      </c>
      <c r="D29" s="168"/>
      <c r="E29" s="166"/>
      <c r="F29" s="168"/>
      <c r="G29" s="169"/>
      <c r="H29" s="170"/>
    </row>
    <row r="30" hidden="1" outlineLevel="1">
      <c r="A30" s="165" t="b">
        <v>1</v>
      </c>
      <c r="B30" s="170"/>
      <c r="C30" s="167" t="s">
        <v>576</v>
      </c>
      <c r="D30" s="168"/>
      <c r="E30" s="166"/>
      <c r="F30" s="168"/>
      <c r="G30" s="169"/>
      <c r="H30" s="170"/>
    </row>
    <row r="31" hidden="1" outlineLevel="1">
      <c r="A31" s="165" t="b">
        <v>1</v>
      </c>
      <c r="B31" s="170"/>
      <c r="C31" s="167" t="s">
        <v>577</v>
      </c>
      <c r="D31" s="168"/>
      <c r="E31" s="166"/>
      <c r="F31" s="168"/>
      <c r="G31" s="169"/>
      <c r="H31" s="170"/>
    </row>
    <row r="32" hidden="1" outlineLevel="1">
      <c r="A32" s="165" t="b">
        <v>1</v>
      </c>
      <c r="B32" s="170"/>
      <c r="C32" s="167" t="s">
        <v>578</v>
      </c>
      <c r="D32" s="168"/>
      <c r="E32" s="166"/>
      <c r="F32" s="168"/>
      <c r="G32" s="169"/>
      <c r="H32" s="170"/>
    </row>
    <row r="33" hidden="1" outlineLevel="1">
      <c r="A33" s="165" t="b">
        <v>1</v>
      </c>
      <c r="B33" s="170"/>
      <c r="C33" s="167" t="s">
        <v>579</v>
      </c>
      <c r="D33" s="168"/>
      <c r="E33" s="166"/>
      <c r="F33" s="168"/>
      <c r="G33" s="169"/>
      <c r="H33" s="170"/>
    </row>
    <row r="34" hidden="1" outlineLevel="1">
      <c r="A34" s="165" t="b">
        <v>1</v>
      </c>
      <c r="B34" s="170"/>
      <c r="C34" s="167" t="s">
        <v>580</v>
      </c>
      <c r="D34" s="168"/>
      <c r="E34" s="166"/>
      <c r="F34" s="168"/>
      <c r="G34" s="168"/>
      <c r="H34" s="170"/>
    </row>
    <row r="35" hidden="1" outlineLevel="1">
      <c r="A35" s="165" t="b">
        <v>1</v>
      </c>
      <c r="B35" s="170"/>
      <c r="C35" s="167" t="s">
        <v>581</v>
      </c>
      <c r="D35" s="168"/>
      <c r="E35" s="166"/>
      <c r="F35" s="168"/>
      <c r="G35" s="169"/>
      <c r="H35" s="170"/>
    </row>
    <row r="36" hidden="1" outlineLevel="1">
      <c r="A36" s="165" t="b">
        <v>1</v>
      </c>
      <c r="B36" s="170"/>
      <c r="C36" s="167" t="s">
        <v>582</v>
      </c>
      <c r="D36" s="168"/>
      <c r="E36" s="166"/>
      <c r="F36" s="168"/>
      <c r="G36" s="169"/>
      <c r="H36" s="170"/>
    </row>
    <row r="37" hidden="1" outlineLevel="1">
      <c r="A37" s="165" t="b">
        <v>1</v>
      </c>
      <c r="B37" s="170"/>
      <c r="C37" s="167" t="s">
        <v>583</v>
      </c>
      <c r="D37" s="168"/>
      <c r="E37" s="166"/>
      <c r="F37" s="168"/>
      <c r="G37" s="169"/>
      <c r="H37" s="170"/>
    </row>
    <row r="38" hidden="1" outlineLevel="1">
      <c r="A38" s="165" t="b">
        <v>1</v>
      </c>
      <c r="B38" s="170"/>
      <c r="C38" s="167" t="s">
        <v>584</v>
      </c>
      <c r="D38" s="168"/>
      <c r="E38" s="166"/>
      <c r="F38" s="168"/>
      <c r="G38" s="169"/>
      <c r="H38" s="170"/>
    </row>
    <row r="39" hidden="1" outlineLevel="1">
      <c r="A39" s="165" t="b">
        <v>1</v>
      </c>
      <c r="B39" s="170"/>
      <c r="C39" s="167" t="s">
        <v>585</v>
      </c>
      <c r="D39" s="168"/>
      <c r="E39" s="166"/>
      <c r="F39" s="168"/>
      <c r="G39" s="168"/>
      <c r="H39" s="170"/>
    </row>
    <row r="40" hidden="1" outlineLevel="1">
      <c r="A40" s="165" t="b">
        <v>1</v>
      </c>
      <c r="B40" s="170"/>
      <c r="C40" s="167" t="s">
        <v>586</v>
      </c>
      <c r="D40" s="168"/>
      <c r="E40" s="166"/>
      <c r="F40" s="168"/>
      <c r="G40" s="169"/>
      <c r="H40" s="170"/>
    </row>
    <row r="41" hidden="1" outlineLevel="1">
      <c r="A41" s="165" t="b">
        <v>1</v>
      </c>
      <c r="B41" s="170"/>
      <c r="C41" s="167" t="s">
        <v>587</v>
      </c>
      <c r="D41" s="168"/>
      <c r="E41" s="166"/>
      <c r="F41" s="168"/>
      <c r="G41" s="169"/>
      <c r="H41" s="170"/>
    </row>
    <row r="42" hidden="1" outlineLevel="1">
      <c r="A42" s="165" t="b">
        <v>1</v>
      </c>
      <c r="B42" s="170"/>
      <c r="C42" s="167" t="s">
        <v>588</v>
      </c>
      <c r="D42" s="168"/>
      <c r="E42" s="166"/>
      <c r="F42" s="168"/>
      <c r="G42" s="169"/>
      <c r="H42" s="170"/>
    </row>
    <row r="43" hidden="1" outlineLevel="1">
      <c r="A43" s="165" t="b">
        <v>1</v>
      </c>
      <c r="B43" s="170"/>
      <c r="C43" s="167" t="s">
        <v>589</v>
      </c>
      <c r="D43" s="168"/>
      <c r="E43" s="166"/>
      <c r="F43" s="168"/>
      <c r="G43" s="169"/>
      <c r="H43" s="170"/>
    </row>
    <row r="44" hidden="1" outlineLevel="1">
      <c r="A44" s="165" t="b">
        <v>1</v>
      </c>
      <c r="B44" s="170"/>
      <c r="C44" s="167" t="s">
        <v>590</v>
      </c>
      <c r="D44" s="168"/>
      <c r="E44" s="166"/>
      <c r="F44" s="168"/>
      <c r="G44" s="169"/>
      <c r="H44" s="170"/>
    </row>
    <row r="45" hidden="1" outlineLevel="1">
      <c r="A45" s="165" t="b">
        <v>1</v>
      </c>
      <c r="B45" s="166"/>
      <c r="C45" s="167" t="s">
        <v>591</v>
      </c>
      <c r="D45" s="168"/>
      <c r="E45" s="166"/>
      <c r="F45" s="168"/>
      <c r="G45" s="169"/>
      <c r="H45" s="166"/>
    </row>
    <row r="46" hidden="1" outlineLevel="1">
      <c r="A46" s="165" t="b">
        <v>1</v>
      </c>
      <c r="B46" s="170"/>
      <c r="C46" s="167" t="s">
        <v>592</v>
      </c>
      <c r="D46" s="168"/>
      <c r="E46" s="166"/>
      <c r="F46" s="168"/>
      <c r="G46" s="169"/>
      <c r="H46" s="170"/>
    </row>
    <row r="47" hidden="1" outlineLevel="1">
      <c r="A47" s="165" t="b">
        <v>1</v>
      </c>
      <c r="B47" s="170"/>
      <c r="C47" s="167" t="s">
        <v>593</v>
      </c>
      <c r="D47" s="168"/>
      <c r="E47" s="166"/>
      <c r="F47" s="168"/>
      <c r="G47" s="168"/>
      <c r="H47" s="170"/>
    </row>
    <row r="48" hidden="1" outlineLevel="1">
      <c r="A48" s="165" t="b">
        <v>1</v>
      </c>
      <c r="B48" s="170"/>
      <c r="C48" s="167" t="s">
        <v>594</v>
      </c>
      <c r="D48" s="168"/>
      <c r="E48" s="166"/>
      <c r="F48" s="168"/>
      <c r="G48" s="169"/>
      <c r="H48" s="170"/>
    </row>
    <row r="49" collapsed="1">
      <c r="A49" s="160"/>
      <c r="B49" s="171" t="s">
        <v>595</v>
      </c>
      <c r="C49" s="162"/>
      <c r="D49" s="162"/>
      <c r="E49" s="162"/>
      <c r="F49" s="162"/>
      <c r="G49" s="172"/>
      <c r="H49" s="164">
        <f>IFERROR(COUNTIF(A51:A111, TRUE) / COUNTA(A51:A111), 0)</f>
        <v>0.4545454545</v>
      </c>
    </row>
    <row r="50" hidden="1" outlineLevel="1">
      <c r="A50" s="173"/>
      <c r="B50" s="174" t="s">
        <v>596</v>
      </c>
      <c r="C50" s="175"/>
      <c r="D50" s="175"/>
      <c r="E50" s="175"/>
      <c r="F50" s="175"/>
      <c r="G50" s="175"/>
      <c r="H50" s="176">
        <f>IFERROR(COUNTIF(A51:A55, TRUE) / COUNTA(A51:A55), 0)</f>
        <v>1</v>
      </c>
    </row>
    <row r="51" hidden="1" outlineLevel="1">
      <c r="A51" s="165" t="b">
        <v>1</v>
      </c>
      <c r="B51" s="170"/>
      <c r="C51" s="167" t="s">
        <v>597</v>
      </c>
      <c r="D51" s="168"/>
      <c r="E51" s="166"/>
      <c r="F51" s="168"/>
      <c r="G51" s="168"/>
      <c r="H51" s="170"/>
    </row>
    <row r="52" hidden="1" outlineLevel="1">
      <c r="A52" s="165" t="b">
        <v>1</v>
      </c>
      <c r="B52" s="166"/>
      <c r="C52" s="167" t="s">
        <v>598</v>
      </c>
      <c r="D52" s="168"/>
      <c r="E52" s="166"/>
      <c r="F52" s="168"/>
      <c r="G52" s="169"/>
      <c r="H52" s="166"/>
    </row>
    <row r="53" hidden="1" outlineLevel="1">
      <c r="A53" s="165" t="b">
        <v>1</v>
      </c>
      <c r="B53" s="170"/>
      <c r="C53" s="167" t="s">
        <v>599</v>
      </c>
      <c r="D53" s="168"/>
      <c r="E53" s="177">
        <v>45715.0</v>
      </c>
      <c r="F53" s="168"/>
      <c r="G53" s="168"/>
      <c r="H53" s="170"/>
    </row>
    <row r="54" hidden="1" outlineLevel="1">
      <c r="A54" s="165" t="b">
        <v>1</v>
      </c>
      <c r="B54" s="170"/>
      <c r="C54" s="167" t="s">
        <v>600</v>
      </c>
      <c r="D54" s="168"/>
      <c r="E54" s="177">
        <v>45715.0</v>
      </c>
      <c r="F54" s="168"/>
      <c r="G54" s="169"/>
      <c r="H54" s="170"/>
    </row>
    <row r="55" hidden="1" outlineLevel="1">
      <c r="A55" s="165" t="b">
        <v>1</v>
      </c>
      <c r="B55" s="170"/>
      <c r="C55" s="167" t="s">
        <v>601</v>
      </c>
      <c r="D55" s="168"/>
      <c r="E55" s="177">
        <v>45715.0</v>
      </c>
      <c r="F55" s="168"/>
      <c r="G55" s="168"/>
      <c r="H55" s="170"/>
    </row>
    <row r="56" hidden="1" outlineLevel="1">
      <c r="A56" s="178" t="b">
        <v>0</v>
      </c>
      <c r="B56" s="170"/>
      <c r="C56" s="168"/>
      <c r="D56" s="168"/>
      <c r="E56" s="166"/>
      <c r="F56" s="168"/>
      <c r="G56" s="169"/>
      <c r="H56" s="170"/>
    </row>
    <row r="57" hidden="1" outlineLevel="1">
      <c r="A57" s="173"/>
      <c r="B57" s="174" t="s">
        <v>602</v>
      </c>
      <c r="C57" s="175"/>
      <c r="D57" s="175"/>
      <c r="E57" s="175"/>
      <c r="F57" s="175"/>
      <c r="G57" s="175"/>
      <c r="H57" s="175"/>
    </row>
    <row r="58" hidden="1" outlineLevel="1">
      <c r="A58" s="178" t="b">
        <v>0</v>
      </c>
      <c r="B58" s="170"/>
      <c r="C58" s="167" t="s">
        <v>603</v>
      </c>
      <c r="D58" s="168"/>
      <c r="E58" s="177">
        <v>45721.0</v>
      </c>
      <c r="F58" s="168"/>
      <c r="G58" s="168"/>
      <c r="H58" s="170"/>
    </row>
    <row r="59" hidden="1" outlineLevel="1">
      <c r="A59" s="165" t="b">
        <v>1</v>
      </c>
      <c r="B59" s="170"/>
      <c r="C59" s="167" t="s">
        <v>604</v>
      </c>
      <c r="D59" s="168"/>
      <c r="E59" s="166"/>
      <c r="F59" s="168"/>
      <c r="G59" s="169"/>
      <c r="H59" s="170"/>
    </row>
    <row r="60" hidden="1" outlineLevel="1">
      <c r="A60" s="165" t="b">
        <v>1</v>
      </c>
      <c r="B60" s="170"/>
      <c r="C60" s="167" t="s">
        <v>605</v>
      </c>
      <c r="D60" s="168"/>
      <c r="E60" s="177">
        <v>45714.0</v>
      </c>
      <c r="F60" s="168"/>
      <c r="G60" s="169"/>
      <c r="H60" s="170"/>
    </row>
    <row r="61" hidden="1" outlineLevel="1">
      <c r="A61" s="165" t="b">
        <v>1</v>
      </c>
      <c r="B61" s="170"/>
      <c r="C61" s="167" t="s">
        <v>606</v>
      </c>
      <c r="D61" s="168"/>
      <c r="E61" s="177">
        <v>45714.0</v>
      </c>
      <c r="F61" s="168"/>
      <c r="G61" s="169"/>
      <c r="H61" s="170"/>
    </row>
    <row r="62" hidden="1" outlineLevel="1">
      <c r="A62" s="165" t="b">
        <v>1</v>
      </c>
      <c r="B62" s="166"/>
      <c r="C62" s="167" t="s">
        <v>607</v>
      </c>
      <c r="D62" s="168"/>
      <c r="E62" s="177">
        <v>45715.0</v>
      </c>
      <c r="F62" s="168"/>
      <c r="G62" s="169"/>
      <c r="H62" s="166"/>
    </row>
    <row r="63" hidden="1" outlineLevel="1">
      <c r="A63" s="178" t="b">
        <v>0</v>
      </c>
      <c r="B63" s="166"/>
      <c r="C63" s="167" t="s">
        <v>608</v>
      </c>
      <c r="D63" s="168"/>
      <c r="E63" s="166"/>
      <c r="F63" s="168"/>
      <c r="G63" s="169"/>
      <c r="H63" s="166"/>
    </row>
    <row r="64" hidden="1" outlineLevel="1">
      <c r="A64" s="165" t="b">
        <v>1</v>
      </c>
      <c r="B64" s="166"/>
      <c r="C64" s="167" t="s">
        <v>609</v>
      </c>
      <c r="D64" s="168"/>
      <c r="E64" s="166"/>
      <c r="F64" s="168"/>
      <c r="G64" s="169"/>
      <c r="H64" s="166"/>
    </row>
    <row r="65" hidden="1" outlineLevel="1">
      <c r="A65" s="178" t="b">
        <v>0</v>
      </c>
      <c r="B65" s="166"/>
      <c r="C65" s="167" t="s">
        <v>610</v>
      </c>
      <c r="D65" s="168"/>
      <c r="E65" s="166"/>
      <c r="F65" s="168"/>
      <c r="G65" s="169"/>
      <c r="H65" s="166"/>
    </row>
    <row r="66" hidden="1" outlineLevel="1">
      <c r="A66" s="178" t="b">
        <v>0</v>
      </c>
      <c r="B66" s="170"/>
      <c r="C66" s="168"/>
      <c r="D66" s="168"/>
      <c r="E66" s="166"/>
      <c r="F66" s="168"/>
      <c r="G66" s="169"/>
      <c r="H66" s="170"/>
    </row>
    <row r="67" hidden="1" outlineLevel="1">
      <c r="A67" s="178" t="b">
        <v>0</v>
      </c>
      <c r="B67" s="166"/>
      <c r="C67" s="168"/>
      <c r="D67" s="168"/>
      <c r="E67" s="166"/>
      <c r="F67" s="168"/>
      <c r="G67" s="169"/>
      <c r="H67" s="166"/>
    </row>
    <row r="68" hidden="1" outlineLevel="1">
      <c r="A68" s="178" t="b">
        <v>0</v>
      </c>
      <c r="B68" s="170"/>
      <c r="C68" s="168"/>
      <c r="D68" s="168"/>
      <c r="E68" s="166"/>
      <c r="F68" s="168"/>
      <c r="G68" s="168"/>
      <c r="H68" s="170"/>
    </row>
    <row r="69" hidden="1" outlineLevel="1">
      <c r="A69" s="178" t="b">
        <v>0</v>
      </c>
      <c r="B69" s="166"/>
      <c r="C69" s="168"/>
      <c r="D69" s="168"/>
      <c r="E69" s="166"/>
      <c r="F69" s="168"/>
      <c r="G69" s="169"/>
      <c r="H69" s="166"/>
    </row>
    <row r="70" hidden="1" outlineLevel="1">
      <c r="A70" s="173"/>
      <c r="B70" s="174" t="s">
        <v>611</v>
      </c>
      <c r="C70" s="175"/>
      <c r="D70" s="175"/>
      <c r="E70" s="175"/>
      <c r="F70" s="175"/>
      <c r="G70" s="175"/>
      <c r="H70" s="175"/>
    </row>
    <row r="71" hidden="1" outlineLevel="1">
      <c r="A71" s="178" t="b">
        <v>0</v>
      </c>
      <c r="B71" s="166"/>
      <c r="C71" s="167" t="s">
        <v>612</v>
      </c>
      <c r="D71" s="168"/>
      <c r="E71" s="166"/>
      <c r="F71" s="168"/>
      <c r="G71" s="169"/>
      <c r="H71" s="166"/>
    </row>
    <row r="72" hidden="1" outlineLevel="1">
      <c r="A72" s="178" t="b">
        <v>0</v>
      </c>
      <c r="B72" s="166"/>
      <c r="C72" s="167" t="s">
        <v>613</v>
      </c>
      <c r="D72" s="168"/>
      <c r="E72" s="166"/>
      <c r="F72" s="168"/>
      <c r="G72" s="169"/>
      <c r="H72" s="166"/>
    </row>
    <row r="73" hidden="1" outlineLevel="1">
      <c r="A73" s="178" t="b">
        <v>0</v>
      </c>
      <c r="B73" s="166"/>
      <c r="C73" s="167" t="s">
        <v>610</v>
      </c>
      <c r="D73" s="168"/>
      <c r="E73" s="166"/>
      <c r="F73" s="168"/>
      <c r="G73" s="169"/>
      <c r="H73" s="166"/>
    </row>
    <row r="74" hidden="1" outlineLevel="1">
      <c r="A74" s="178" t="b">
        <v>0</v>
      </c>
      <c r="B74" s="166"/>
      <c r="C74" s="168"/>
      <c r="D74" s="168"/>
      <c r="E74" s="166"/>
      <c r="F74" s="168"/>
      <c r="G74" s="169"/>
      <c r="H74" s="166"/>
    </row>
    <row r="75" hidden="1" outlineLevel="1">
      <c r="A75" s="178" t="b">
        <v>0</v>
      </c>
      <c r="B75" s="166"/>
      <c r="C75" s="168"/>
      <c r="D75" s="168"/>
      <c r="E75" s="166"/>
      <c r="F75" s="168"/>
      <c r="G75" s="169"/>
      <c r="H75" s="166"/>
    </row>
    <row r="76" hidden="1" outlineLevel="1">
      <c r="A76" s="178" t="b">
        <v>0</v>
      </c>
      <c r="B76" s="166"/>
      <c r="C76" s="168"/>
      <c r="D76" s="168"/>
      <c r="E76" s="166"/>
      <c r="F76" s="168"/>
      <c r="G76" s="169"/>
      <c r="H76" s="166"/>
    </row>
    <row r="77" hidden="1" outlineLevel="1">
      <c r="A77" s="178" t="b">
        <v>0</v>
      </c>
      <c r="B77" s="170"/>
      <c r="C77" s="168"/>
      <c r="D77" s="168"/>
      <c r="E77" s="166"/>
      <c r="F77" s="168"/>
      <c r="G77" s="169"/>
      <c r="H77" s="170"/>
    </row>
    <row r="78" hidden="1" outlineLevel="1">
      <c r="A78" s="173"/>
      <c r="B78" s="174" t="s">
        <v>614</v>
      </c>
      <c r="C78" s="175"/>
      <c r="D78" s="175"/>
      <c r="E78" s="175"/>
      <c r="F78" s="175"/>
      <c r="G78" s="175"/>
      <c r="H78" s="175"/>
    </row>
    <row r="79" hidden="1" outlineLevel="1">
      <c r="A79" s="178" t="b">
        <v>0</v>
      </c>
      <c r="B79" s="166"/>
      <c r="C79" s="167" t="s">
        <v>615</v>
      </c>
      <c r="D79" s="168"/>
      <c r="E79" s="166"/>
      <c r="F79" s="168"/>
      <c r="G79" s="169"/>
      <c r="H79" s="166"/>
    </row>
    <row r="80" hidden="1" outlineLevel="1">
      <c r="A80" s="178" t="b">
        <v>0</v>
      </c>
      <c r="B80" s="166"/>
      <c r="C80" s="167" t="s">
        <v>616</v>
      </c>
      <c r="D80" s="168"/>
      <c r="E80" s="166"/>
      <c r="F80" s="168"/>
      <c r="G80" s="169"/>
      <c r="H80" s="166"/>
    </row>
    <row r="81" hidden="1" outlineLevel="1">
      <c r="A81" s="178" t="b">
        <v>0</v>
      </c>
      <c r="B81" s="166"/>
      <c r="C81" s="167" t="s">
        <v>617</v>
      </c>
      <c r="D81" s="168"/>
      <c r="E81" s="166"/>
      <c r="F81" s="168"/>
      <c r="G81" s="169"/>
      <c r="H81" s="166"/>
    </row>
    <row r="82" hidden="1" outlineLevel="1">
      <c r="A82" s="178" t="b">
        <v>0</v>
      </c>
      <c r="B82" s="166"/>
      <c r="C82" s="167" t="s">
        <v>618</v>
      </c>
      <c r="D82" s="168"/>
      <c r="E82" s="166"/>
      <c r="F82" s="168"/>
      <c r="G82" s="168"/>
      <c r="H82" s="166"/>
    </row>
    <row r="83" hidden="1" outlineLevel="1">
      <c r="A83" s="165" t="b">
        <v>1</v>
      </c>
      <c r="B83" s="170"/>
      <c r="C83" s="167" t="s">
        <v>619</v>
      </c>
      <c r="D83" s="168"/>
      <c r="E83" s="166"/>
      <c r="F83" s="168"/>
      <c r="G83" s="168"/>
      <c r="H83" s="170"/>
    </row>
    <row r="84" hidden="1" outlineLevel="1">
      <c r="A84" s="178" t="b">
        <v>0</v>
      </c>
      <c r="B84" s="166"/>
      <c r="C84" s="168"/>
      <c r="D84" s="168"/>
      <c r="E84" s="166"/>
      <c r="F84" s="168"/>
      <c r="G84" s="169"/>
      <c r="H84" s="166"/>
    </row>
    <row r="85" hidden="1" outlineLevel="1">
      <c r="A85" s="178" t="b">
        <v>0</v>
      </c>
      <c r="B85" s="166"/>
      <c r="C85" s="168"/>
      <c r="D85" s="168"/>
      <c r="E85" s="166"/>
      <c r="F85" s="168"/>
      <c r="G85" s="169"/>
      <c r="H85" s="166"/>
    </row>
    <row r="86" hidden="1" outlineLevel="1">
      <c r="A86" s="173"/>
      <c r="B86" s="174" t="s">
        <v>620</v>
      </c>
      <c r="C86" s="175"/>
      <c r="D86" s="175"/>
      <c r="E86" s="175"/>
      <c r="F86" s="175"/>
      <c r="G86" s="175"/>
      <c r="H86" s="175"/>
    </row>
    <row r="87" hidden="1" outlineLevel="1">
      <c r="A87" s="178" t="b">
        <v>0</v>
      </c>
      <c r="B87" s="170"/>
      <c r="C87" s="167" t="s">
        <v>621</v>
      </c>
      <c r="D87" s="168"/>
      <c r="E87" s="166"/>
      <c r="F87" s="168"/>
      <c r="G87" s="169"/>
      <c r="H87" s="170"/>
    </row>
    <row r="88" hidden="1" outlineLevel="1">
      <c r="A88" s="165" t="b">
        <v>1</v>
      </c>
      <c r="B88" s="170"/>
      <c r="C88" s="167" t="s">
        <v>622</v>
      </c>
      <c r="D88" s="168"/>
      <c r="E88" s="166"/>
      <c r="F88" s="168"/>
      <c r="G88" s="169"/>
      <c r="H88" s="170"/>
    </row>
    <row r="89" hidden="1" outlineLevel="1">
      <c r="A89" s="165" t="b">
        <v>1</v>
      </c>
      <c r="B89" s="170"/>
      <c r="C89" s="167" t="s">
        <v>623</v>
      </c>
      <c r="D89" s="168"/>
      <c r="E89" s="166"/>
      <c r="F89" s="168"/>
      <c r="G89" s="169"/>
      <c r="H89" s="170"/>
    </row>
    <row r="90" hidden="1" outlineLevel="1">
      <c r="A90" s="165" t="b">
        <v>1</v>
      </c>
      <c r="B90" s="170"/>
      <c r="C90" s="167" t="s">
        <v>624</v>
      </c>
      <c r="D90" s="168"/>
      <c r="E90" s="166"/>
      <c r="F90" s="168"/>
      <c r="G90" s="169"/>
      <c r="H90" s="170"/>
    </row>
    <row r="91" hidden="1" outlineLevel="1">
      <c r="A91" s="165" t="b">
        <v>1</v>
      </c>
      <c r="B91" s="170"/>
      <c r="C91" s="167" t="s">
        <v>625</v>
      </c>
      <c r="D91" s="168"/>
      <c r="E91" s="166"/>
      <c r="F91" s="168"/>
      <c r="G91" s="169"/>
      <c r="H91" s="170"/>
    </row>
    <row r="92" hidden="1" outlineLevel="1">
      <c r="A92" s="165" t="b">
        <v>1</v>
      </c>
      <c r="B92" s="170"/>
      <c r="C92" s="167" t="s">
        <v>626</v>
      </c>
      <c r="D92" s="168"/>
      <c r="E92" s="166"/>
      <c r="F92" s="168"/>
      <c r="G92" s="169"/>
      <c r="H92" s="170"/>
    </row>
    <row r="93" hidden="1" outlineLevel="1">
      <c r="A93" s="165" t="b">
        <v>1</v>
      </c>
      <c r="B93" s="170"/>
      <c r="C93" s="167" t="s">
        <v>627</v>
      </c>
      <c r="D93" s="168"/>
      <c r="E93" s="166"/>
      <c r="F93" s="168"/>
      <c r="G93" s="169"/>
      <c r="H93" s="170"/>
    </row>
    <row r="94" hidden="1" outlineLevel="1">
      <c r="A94" s="178" t="b">
        <v>0</v>
      </c>
      <c r="B94" s="170"/>
      <c r="C94" s="168"/>
      <c r="D94" s="168"/>
      <c r="E94" s="166"/>
      <c r="F94" s="168"/>
      <c r="G94" s="169"/>
      <c r="H94" s="170"/>
    </row>
    <row r="95" hidden="1" outlineLevel="1">
      <c r="A95" s="178" t="b">
        <v>0</v>
      </c>
      <c r="B95" s="170"/>
      <c r="C95" s="168"/>
      <c r="D95" s="168"/>
      <c r="E95" s="166"/>
      <c r="F95" s="168"/>
      <c r="G95" s="169"/>
      <c r="H95" s="170"/>
    </row>
    <row r="96" hidden="1" outlineLevel="1">
      <c r="A96" s="173"/>
      <c r="B96" s="174" t="s">
        <v>628</v>
      </c>
      <c r="C96" s="175"/>
      <c r="D96" s="175"/>
      <c r="E96" s="175"/>
      <c r="F96" s="175"/>
      <c r="G96" s="175"/>
      <c r="H96" s="175"/>
    </row>
    <row r="97" hidden="1" outlineLevel="1">
      <c r="A97" s="178" t="b">
        <v>0</v>
      </c>
      <c r="B97" s="170"/>
      <c r="C97" s="168"/>
      <c r="D97" s="168"/>
      <c r="E97" s="166"/>
      <c r="F97" s="168"/>
      <c r="G97" s="169"/>
      <c r="H97" s="170"/>
    </row>
    <row r="98" hidden="1" outlineLevel="1">
      <c r="A98" s="165" t="b">
        <v>1</v>
      </c>
      <c r="B98" s="166"/>
      <c r="C98" s="167" t="s">
        <v>629</v>
      </c>
      <c r="D98" s="168"/>
      <c r="E98" s="177">
        <v>45715.0</v>
      </c>
      <c r="F98" s="168"/>
      <c r="G98" s="169"/>
      <c r="H98" s="166"/>
    </row>
    <row r="99" hidden="1" outlineLevel="1">
      <c r="A99" s="165" t="b">
        <v>1</v>
      </c>
      <c r="B99" s="170"/>
      <c r="C99" s="167" t="s">
        <v>630</v>
      </c>
      <c r="D99" s="168"/>
      <c r="E99" s="166"/>
      <c r="F99" s="168"/>
      <c r="G99" s="169"/>
      <c r="H99" s="170"/>
    </row>
    <row r="100" hidden="1" outlineLevel="1">
      <c r="A100" s="165" t="b">
        <v>1</v>
      </c>
      <c r="B100" s="170"/>
      <c r="C100" s="167" t="s">
        <v>631</v>
      </c>
      <c r="D100" s="168"/>
      <c r="E100" s="166"/>
      <c r="F100" s="168"/>
      <c r="G100" s="169"/>
      <c r="H100" s="170"/>
    </row>
    <row r="101" hidden="1" outlineLevel="1">
      <c r="A101" s="165" t="b">
        <v>1</v>
      </c>
      <c r="B101" s="170"/>
      <c r="C101" s="167" t="s">
        <v>632</v>
      </c>
      <c r="D101" s="168"/>
      <c r="E101" s="177">
        <v>45715.0</v>
      </c>
      <c r="F101" s="168"/>
      <c r="G101" s="169"/>
      <c r="H101" s="170"/>
    </row>
    <row r="102" hidden="1" outlineLevel="1">
      <c r="A102" s="165" t="b">
        <v>1</v>
      </c>
      <c r="B102" s="170"/>
      <c r="C102" s="167" t="s">
        <v>633</v>
      </c>
      <c r="D102" s="168"/>
      <c r="E102" s="166"/>
      <c r="F102" s="168"/>
      <c r="G102" s="169"/>
      <c r="H102" s="170"/>
    </row>
    <row r="103" hidden="1" outlineLevel="1">
      <c r="A103" s="165" t="b">
        <v>1</v>
      </c>
      <c r="B103" s="170"/>
      <c r="C103" s="167" t="s">
        <v>634</v>
      </c>
      <c r="D103" s="168"/>
      <c r="E103" s="177">
        <v>45721.0</v>
      </c>
      <c r="F103" s="168"/>
      <c r="G103" s="169"/>
      <c r="H103" s="170"/>
    </row>
    <row r="104" hidden="1" outlineLevel="1">
      <c r="A104" s="178" t="b">
        <v>0</v>
      </c>
      <c r="B104" s="166"/>
      <c r="C104" s="168"/>
      <c r="D104" s="168"/>
      <c r="E104" s="166"/>
      <c r="F104" s="168"/>
      <c r="G104" s="169"/>
      <c r="H104" s="166"/>
    </row>
    <row r="105" hidden="1" outlineLevel="1">
      <c r="A105" s="178" t="b">
        <v>0</v>
      </c>
      <c r="B105" s="170"/>
      <c r="C105" s="168"/>
      <c r="D105" s="168"/>
      <c r="E105" s="166"/>
      <c r="F105" s="168"/>
      <c r="G105" s="169"/>
      <c r="H105" s="170"/>
    </row>
    <row r="106" hidden="1" outlineLevel="1">
      <c r="A106" s="178" t="b">
        <v>0</v>
      </c>
      <c r="B106" s="166"/>
      <c r="C106" s="168"/>
      <c r="D106" s="168"/>
      <c r="E106" s="166"/>
      <c r="F106" s="168"/>
      <c r="G106" s="168"/>
      <c r="H106" s="166"/>
    </row>
    <row r="107" hidden="1" outlineLevel="1">
      <c r="A107" s="173"/>
      <c r="B107" s="174" t="s">
        <v>635</v>
      </c>
      <c r="C107" s="175"/>
      <c r="D107" s="175"/>
      <c r="E107" s="175"/>
      <c r="F107" s="175"/>
      <c r="G107" s="175"/>
      <c r="H107" s="175"/>
    </row>
    <row r="108" hidden="1" outlineLevel="1">
      <c r="A108" s="165" t="b">
        <v>1</v>
      </c>
      <c r="B108" s="170"/>
      <c r="C108" s="167" t="s">
        <v>636</v>
      </c>
      <c r="D108" s="168"/>
      <c r="E108" s="166"/>
      <c r="F108" s="168"/>
      <c r="G108" s="169"/>
      <c r="H108" s="170"/>
    </row>
    <row r="109" hidden="1" outlineLevel="1">
      <c r="A109" s="178" t="b">
        <v>0</v>
      </c>
      <c r="B109" s="170"/>
      <c r="C109" s="167" t="s">
        <v>637</v>
      </c>
      <c r="D109" s="168"/>
      <c r="E109" s="166"/>
      <c r="F109" s="168"/>
      <c r="G109" s="169"/>
      <c r="H109" s="170"/>
    </row>
    <row r="110" hidden="1" outlineLevel="1">
      <c r="A110" s="165" t="b">
        <v>1</v>
      </c>
      <c r="B110" s="170"/>
      <c r="C110" s="167" t="s">
        <v>594</v>
      </c>
      <c r="D110" s="168"/>
      <c r="E110" s="166"/>
      <c r="F110" s="168"/>
      <c r="G110" s="169"/>
      <c r="H110" s="170"/>
    </row>
    <row r="111" hidden="1" outlineLevel="1">
      <c r="A111" s="178" t="b">
        <v>0</v>
      </c>
      <c r="B111" s="170"/>
      <c r="C111" s="168"/>
      <c r="D111" s="168"/>
      <c r="E111" s="166"/>
      <c r="F111" s="168"/>
      <c r="G111" s="169"/>
      <c r="H111" s="170"/>
    </row>
    <row r="112" hidden="1" outlineLevel="1">
      <c r="A112" s="160"/>
      <c r="B112" s="171" t="s">
        <v>638</v>
      </c>
      <c r="C112" s="162"/>
      <c r="D112" s="162"/>
      <c r="E112" s="162"/>
      <c r="F112" s="162"/>
      <c r="G112" s="172"/>
      <c r="H112" s="162"/>
    </row>
    <row r="113" hidden="1" outlineLevel="1">
      <c r="A113" s="165" t="b">
        <v>1</v>
      </c>
      <c r="B113" s="170"/>
      <c r="C113" s="167" t="s">
        <v>639</v>
      </c>
      <c r="D113" s="168"/>
      <c r="E113" s="166"/>
      <c r="F113" s="168"/>
      <c r="G113" s="169"/>
      <c r="H113" s="170"/>
    </row>
    <row r="114" hidden="1" outlineLevel="1">
      <c r="A114" s="165" t="b">
        <v>1</v>
      </c>
      <c r="B114" s="170"/>
      <c r="C114" s="167" t="s">
        <v>594</v>
      </c>
      <c r="D114" s="168"/>
      <c r="E114" s="166"/>
      <c r="F114" s="168"/>
      <c r="G114" s="169"/>
      <c r="H114" s="170"/>
    </row>
    <row r="115" hidden="1" outlineLevel="1">
      <c r="A115" s="179" t="b">
        <v>0</v>
      </c>
      <c r="B115" s="174" t="s">
        <v>640</v>
      </c>
      <c r="C115" s="175"/>
      <c r="D115" s="175"/>
      <c r="E115" s="175"/>
      <c r="F115" s="175"/>
      <c r="G115" s="175"/>
      <c r="H115" s="175"/>
    </row>
    <row r="116" hidden="1" outlineLevel="1">
      <c r="A116" s="165" t="b">
        <v>0</v>
      </c>
      <c r="B116" s="170"/>
      <c r="C116" s="167" t="s">
        <v>641</v>
      </c>
      <c r="D116" s="168"/>
      <c r="E116" s="177">
        <v>45732.0</v>
      </c>
      <c r="F116" s="168"/>
      <c r="G116" s="169"/>
      <c r="H116" s="170"/>
    </row>
    <row r="117" hidden="1" outlineLevel="1">
      <c r="A117" s="178" t="b">
        <v>0</v>
      </c>
      <c r="B117" s="170"/>
      <c r="C117" s="167" t="s">
        <v>642</v>
      </c>
      <c r="D117" s="168"/>
      <c r="E117" s="177">
        <v>45753.0</v>
      </c>
      <c r="F117" s="168"/>
      <c r="G117" s="169"/>
      <c r="H117" s="170"/>
    </row>
    <row r="118" hidden="1" outlineLevel="1">
      <c r="A118" s="180" t="b">
        <v>0</v>
      </c>
      <c r="B118" s="181"/>
      <c r="C118" s="182"/>
      <c r="D118" s="183"/>
      <c r="E118" s="184"/>
      <c r="F118" s="183"/>
      <c r="G118" s="169"/>
      <c r="H118" s="181"/>
    </row>
    <row r="119" hidden="1" outlineLevel="1">
      <c r="A119" s="180" t="b">
        <v>0</v>
      </c>
      <c r="B119" s="181"/>
      <c r="C119" s="182"/>
      <c r="D119" s="183"/>
      <c r="E119" s="184"/>
      <c r="F119" s="183"/>
      <c r="G119" s="169"/>
      <c r="H119" s="181"/>
    </row>
    <row r="120" hidden="1" outlineLevel="1">
      <c r="A120" s="180" t="b">
        <v>0</v>
      </c>
      <c r="B120" s="181"/>
      <c r="C120" s="182"/>
      <c r="D120" s="183"/>
      <c r="E120" s="184"/>
      <c r="F120" s="183"/>
      <c r="G120" s="169"/>
      <c r="H120" s="181"/>
    </row>
    <row r="121" hidden="1" outlineLevel="1">
      <c r="A121" s="180" t="b">
        <v>0</v>
      </c>
      <c r="B121" s="181"/>
      <c r="C121" s="182"/>
      <c r="D121" s="183"/>
      <c r="E121" s="184"/>
      <c r="F121" s="183"/>
      <c r="G121" s="169"/>
      <c r="H121" s="181"/>
    </row>
    <row r="122" hidden="1" outlineLevel="1">
      <c r="A122" s="180" t="b">
        <v>0</v>
      </c>
      <c r="B122" s="181"/>
      <c r="C122" s="182"/>
      <c r="D122" s="183"/>
      <c r="E122" s="184"/>
      <c r="F122" s="183"/>
      <c r="G122" s="169"/>
      <c r="H122" s="181"/>
    </row>
    <row r="123" hidden="1" outlineLevel="1">
      <c r="A123" s="180" t="b">
        <v>0</v>
      </c>
      <c r="B123" s="181"/>
      <c r="C123" s="182"/>
      <c r="D123" s="183"/>
      <c r="E123" s="184"/>
      <c r="F123" s="183"/>
      <c r="G123" s="169"/>
      <c r="H123" s="181"/>
    </row>
    <row r="124" hidden="1" outlineLevel="1">
      <c r="A124" s="180" t="b">
        <v>0</v>
      </c>
      <c r="B124" s="181"/>
      <c r="C124" s="182"/>
      <c r="D124" s="183"/>
      <c r="E124" s="184"/>
      <c r="F124" s="183"/>
      <c r="G124" s="169"/>
      <c r="H124" s="181"/>
    </row>
    <row r="125" hidden="1" outlineLevel="1">
      <c r="A125" s="160"/>
      <c r="B125" s="171" t="s">
        <v>643</v>
      </c>
      <c r="C125" s="162"/>
      <c r="D125" s="162"/>
      <c r="E125" s="161" t="s">
        <v>644</v>
      </c>
      <c r="F125" s="162"/>
      <c r="G125" s="172"/>
      <c r="H125" s="164">
        <f>IFERROR(COUNTIF(A127:A188, TRUE) / COUNTA(A127:A188), 0)</f>
        <v>0</v>
      </c>
    </row>
    <row r="126" hidden="1" outlineLevel="1">
      <c r="A126" s="173"/>
      <c r="B126" s="174" t="s">
        <v>596</v>
      </c>
      <c r="C126" s="175"/>
      <c r="D126" s="175"/>
      <c r="E126" s="175"/>
      <c r="F126" s="175"/>
      <c r="G126" s="175"/>
      <c r="H126" s="176">
        <f>IFERROR(COUNTIF(A127:A131, TRUE) / COUNTA(A127:A131), 0)</f>
        <v>0</v>
      </c>
    </row>
    <row r="127" hidden="1" outlineLevel="1">
      <c r="A127" s="178" t="b">
        <v>0</v>
      </c>
      <c r="B127" s="170"/>
      <c r="C127" s="167" t="s">
        <v>597</v>
      </c>
      <c r="D127" s="168"/>
      <c r="E127" s="185">
        <v>45732.0</v>
      </c>
      <c r="F127" s="168"/>
      <c r="G127" s="168"/>
      <c r="H127" s="170"/>
    </row>
    <row r="128" hidden="1" outlineLevel="1">
      <c r="A128" s="178" t="b">
        <v>0</v>
      </c>
      <c r="B128" s="166"/>
      <c r="C128" s="167" t="s">
        <v>598</v>
      </c>
      <c r="D128" s="168"/>
      <c r="E128" s="185">
        <v>45732.0</v>
      </c>
      <c r="F128" s="168"/>
      <c r="G128" s="169"/>
      <c r="H128" s="166"/>
    </row>
    <row r="129" hidden="1" outlineLevel="1">
      <c r="A129" s="178" t="b">
        <v>0</v>
      </c>
      <c r="B129" s="170"/>
      <c r="C129" s="167" t="s">
        <v>599</v>
      </c>
      <c r="D129" s="168"/>
      <c r="E129" s="185">
        <v>45733.0</v>
      </c>
      <c r="F129" s="168"/>
      <c r="G129" s="168"/>
      <c r="H129" s="170"/>
    </row>
    <row r="130" hidden="1" outlineLevel="1">
      <c r="A130" s="178" t="b">
        <v>0</v>
      </c>
      <c r="B130" s="170"/>
      <c r="C130" s="167" t="s">
        <v>600</v>
      </c>
      <c r="D130" s="168"/>
      <c r="E130" s="185">
        <v>45733.0</v>
      </c>
      <c r="F130" s="168"/>
      <c r="G130" s="169"/>
      <c r="H130" s="170"/>
    </row>
    <row r="131" hidden="1" outlineLevel="1">
      <c r="A131" s="178" t="b">
        <v>0</v>
      </c>
      <c r="B131" s="170"/>
      <c r="C131" s="167" t="s">
        <v>601</v>
      </c>
      <c r="D131" s="168"/>
      <c r="E131" s="186"/>
      <c r="F131" s="168"/>
      <c r="G131" s="168"/>
      <c r="H131" s="170"/>
    </row>
    <row r="132" hidden="1" outlineLevel="1">
      <c r="A132" s="178" t="b">
        <v>0</v>
      </c>
      <c r="B132" s="170"/>
      <c r="C132" s="168"/>
      <c r="D132" s="168"/>
      <c r="E132" s="186"/>
      <c r="F132" s="168"/>
      <c r="G132" s="169"/>
      <c r="H132" s="170"/>
    </row>
    <row r="133" hidden="1" outlineLevel="1">
      <c r="A133" s="173"/>
      <c r="B133" s="174" t="s">
        <v>602</v>
      </c>
      <c r="C133" s="175"/>
      <c r="D133" s="175"/>
      <c r="E133" s="175"/>
      <c r="F133" s="175"/>
      <c r="G133" s="175"/>
      <c r="H133" s="175"/>
    </row>
    <row r="134" hidden="1" outlineLevel="1">
      <c r="A134" s="178" t="b">
        <v>0</v>
      </c>
      <c r="B134" s="170"/>
      <c r="C134" s="167" t="s">
        <v>603</v>
      </c>
      <c r="D134" s="168"/>
      <c r="E134" s="186"/>
      <c r="F134" s="168"/>
      <c r="G134" s="168"/>
      <c r="H134" s="170"/>
    </row>
    <row r="135" hidden="1" outlineLevel="1">
      <c r="A135" s="178" t="b">
        <v>0</v>
      </c>
      <c r="B135" s="170"/>
      <c r="C135" s="167" t="s">
        <v>604</v>
      </c>
      <c r="D135" s="168"/>
      <c r="E135" s="186"/>
      <c r="F135" s="168"/>
      <c r="G135" s="169"/>
      <c r="H135" s="170"/>
    </row>
    <row r="136" hidden="1" outlineLevel="1">
      <c r="A136" s="178" t="b">
        <v>0</v>
      </c>
      <c r="B136" s="170"/>
      <c r="C136" s="167" t="s">
        <v>605</v>
      </c>
      <c r="D136" s="168"/>
      <c r="E136" s="186"/>
      <c r="F136" s="168"/>
      <c r="G136" s="169"/>
      <c r="H136" s="170"/>
    </row>
    <row r="137" hidden="1" outlineLevel="1">
      <c r="A137" s="178" t="b">
        <v>0</v>
      </c>
      <c r="B137" s="170"/>
      <c r="C137" s="167" t="s">
        <v>606</v>
      </c>
      <c r="D137" s="168"/>
      <c r="E137" s="186"/>
      <c r="F137" s="168"/>
      <c r="G137" s="169"/>
      <c r="H137" s="170"/>
    </row>
    <row r="138" hidden="1" outlineLevel="1">
      <c r="A138" s="178" t="b">
        <v>0</v>
      </c>
      <c r="B138" s="166"/>
      <c r="C138" s="167" t="s">
        <v>607</v>
      </c>
      <c r="D138" s="168"/>
      <c r="E138" s="186"/>
      <c r="F138" s="168"/>
      <c r="G138" s="169"/>
      <c r="H138" s="166"/>
    </row>
    <row r="139" hidden="1" outlineLevel="1">
      <c r="A139" s="178" t="b">
        <v>0</v>
      </c>
      <c r="B139" s="166"/>
      <c r="C139" s="167" t="s">
        <v>608</v>
      </c>
      <c r="D139" s="168"/>
      <c r="E139" s="186"/>
      <c r="F139" s="168"/>
      <c r="G139" s="169"/>
      <c r="H139" s="166"/>
    </row>
    <row r="140" hidden="1" outlineLevel="1">
      <c r="A140" s="178" t="b">
        <v>0</v>
      </c>
      <c r="B140" s="166"/>
      <c r="C140" s="167" t="s">
        <v>609</v>
      </c>
      <c r="D140" s="168"/>
      <c r="E140" s="186"/>
      <c r="F140" s="168"/>
      <c r="G140" s="169"/>
      <c r="H140" s="166"/>
    </row>
    <row r="141" hidden="1" outlineLevel="1">
      <c r="A141" s="178" t="b">
        <v>0</v>
      </c>
      <c r="B141" s="166"/>
      <c r="C141" s="167" t="s">
        <v>610</v>
      </c>
      <c r="D141" s="168"/>
      <c r="E141" s="186"/>
      <c r="F141" s="168"/>
      <c r="G141" s="169"/>
      <c r="H141" s="166"/>
    </row>
    <row r="142" hidden="1" outlineLevel="1">
      <c r="A142" s="178" t="b">
        <v>0</v>
      </c>
      <c r="B142" s="170"/>
      <c r="C142" s="168"/>
      <c r="D142" s="168"/>
      <c r="E142" s="186"/>
      <c r="F142" s="168"/>
      <c r="G142" s="169"/>
      <c r="H142" s="170"/>
    </row>
    <row r="143" hidden="1" outlineLevel="1">
      <c r="A143" s="178" t="b">
        <v>0</v>
      </c>
      <c r="B143" s="166"/>
      <c r="C143" s="168"/>
      <c r="D143" s="168"/>
      <c r="E143" s="186"/>
      <c r="F143" s="168"/>
      <c r="G143" s="169"/>
      <c r="H143" s="166"/>
    </row>
    <row r="144" hidden="1" outlineLevel="1">
      <c r="A144" s="178" t="b">
        <v>0</v>
      </c>
      <c r="B144" s="170"/>
      <c r="C144" s="168"/>
      <c r="D144" s="168"/>
      <c r="E144" s="186"/>
      <c r="F144" s="168"/>
      <c r="G144" s="168"/>
      <c r="H144" s="170"/>
    </row>
    <row r="145" hidden="1" outlineLevel="1">
      <c r="A145" s="178" t="b">
        <v>0</v>
      </c>
      <c r="B145" s="166"/>
      <c r="C145" s="168"/>
      <c r="D145" s="168"/>
      <c r="E145" s="186"/>
      <c r="F145" s="168"/>
      <c r="G145" s="169"/>
      <c r="H145" s="166"/>
    </row>
    <row r="146" hidden="1" outlineLevel="1">
      <c r="A146" s="173"/>
      <c r="B146" s="174" t="s">
        <v>611</v>
      </c>
      <c r="C146" s="175"/>
      <c r="D146" s="175"/>
      <c r="E146" s="175"/>
      <c r="F146" s="175"/>
      <c r="G146" s="175"/>
      <c r="H146" s="175"/>
    </row>
    <row r="147" hidden="1" outlineLevel="1">
      <c r="A147" s="178" t="b">
        <v>0</v>
      </c>
      <c r="B147" s="166"/>
      <c r="C147" s="167" t="s">
        <v>612</v>
      </c>
      <c r="D147" s="168"/>
      <c r="E147" s="186"/>
      <c r="F147" s="168"/>
      <c r="G147" s="169"/>
      <c r="H147" s="166"/>
    </row>
    <row r="148" hidden="1" outlineLevel="1">
      <c r="A148" s="178" t="b">
        <v>0</v>
      </c>
      <c r="B148" s="166"/>
      <c r="C148" s="167" t="s">
        <v>613</v>
      </c>
      <c r="D148" s="168"/>
      <c r="E148" s="186"/>
      <c r="F148" s="168"/>
      <c r="G148" s="169"/>
      <c r="H148" s="166"/>
    </row>
    <row r="149" hidden="1" outlineLevel="1">
      <c r="A149" s="178" t="b">
        <v>0</v>
      </c>
      <c r="B149" s="166"/>
      <c r="C149" s="167" t="s">
        <v>610</v>
      </c>
      <c r="D149" s="168"/>
      <c r="E149" s="186"/>
      <c r="F149" s="168"/>
      <c r="G149" s="169"/>
      <c r="H149" s="166"/>
    </row>
    <row r="150" hidden="1" outlineLevel="1">
      <c r="A150" s="178" t="b">
        <v>0</v>
      </c>
      <c r="B150" s="166"/>
      <c r="C150" s="168"/>
      <c r="D150" s="168"/>
      <c r="E150" s="186"/>
      <c r="F150" s="168"/>
      <c r="G150" s="169"/>
      <c r="H150" s="166"/>
    </row>
    <row r="151" hidden="1" outlineLevel="1">
      <c r="A151" s="178" t="b">
        <v>0</v>
      </c>
      <c r="B151" s="166"/>
      <c r="C151" s="168"/>
      <c r="D151" s="168"/>
      <c r="E151" s="186"/>
      <c r="F151" s="168"/>
      <c r="G151" s="169"/>
      <c r="H151" s="166"/>
    </row>
    <row r="152" hidden="1" outlineLevel="1">
      <c r="A152" s="178" t="b">
        <v>0</v>
      </c>
      <c r="B152" s="166"/>
      <c r="C152" s="168"/>
      <c r="D152" s="168"/>
      <c r="E152" s="186"/>
      <c r="F152" s="168"/>
      <c r="G152" s="169"/>
      <c r="H152" s="166"/>
    </row>
    <row r="153" hidden="1" outlineLevel="1">
      <c r="A153" s="178" t="b">
        <v>0</v>
      </c>
      <c r="B153" s="170"/>
      <c r="C153" s="168"/>
      <c r="D153" s="168"/>
      <c r="E153" s="186"/>
      <c r="F153" s="168"/>
      <c r="G153" s="169"/>
      <c r="H153" s="170"/>
    </row>
    <row r="154" hidden="1" outlineLevel="1">
      <c r="A154" s="173"/>
      <c r="B154" s="174" t="s">
        <v>614</v>
      </c>
      <c r="C154" s="175"/>
      <c r="D154" s="175"/>
      <c r="E154" s="175"/>
      <c r="F154" s="175"/>
      <c r="G154" s="175"/>
      <c r="H154" s="175"/>
    </row>
    <row r="155" hidden="1" outlineLevel="1">
      <c r="A155" s="178" t="b">
        <v>0</v>
      </c>
      <c r="B155" s="166"/>
      <c r="C155" s="167" t="s">
        <v>615</v>
      </c>
      <c r="D155" s="168"/>
      <c r="E155" s="186"/>
      <c r="F155" s="168"/>
      <c r="G155" s="169"/>
      <c r="H155" s="166"/>
    </row>
    <row r="156" hidden="1" outlineLevel="1">
      <c r="A156" s="178" t="b">
        <v>0</v>
      </c>
      <c r="B156" s="166"/>
      <c r="C156" s="167" t="s">
        <v>616</v>
      </c>
      <c r="D156" s="168"/>
      <c r="E156" s="186"/>
      <c r="F156" s="168"/>
      <c r="G156" s="169"/>
      <c r="H156" s="166"/>
    </row>
    <row r="157" hidden="1" outlineLevel="1">
      <c r="A157" s="178" t="b">
        <v>0</v>
      </c>
      <c r="B157" s="166"/>
      <c r="C157" s="167" t="s">
        <v>617</v>
      </c>
      <c r="D157" s="168"/>
      <c r="E157" s="186"/>
      <c r="F157" s="168"/>
      <c r="G157" s="169"/>
      <c r="H157" s="166"/>
    </row>
    <row r="158" hidden="1" outlineLevel="1">
      <c r="A158" s="178" t="b">
        <v>0</v>
      </c>
      <c r="B158" s="166"/>
      <c r="C158" s="167" t="s">
        <v>618</v>
      </c>
      <c r="D158" s="168"/>
      <c r="E158" s="186"/>
      <c r="F158" s="168"/>
      <c r="G158" s="168"/>
      <c r="H158" s="166"/>
    </row>
    <row r="159" hidden="1" outlineLevel="1">
      <c r="A159" s="178" t="b">
        <v>0</v>
      </c>
      <c r="B159" s="170"/>
      <c r="C159" s="167" t="s">
        <v>619</v>
      </c>
      <c r="D159" s="168"/>
      <c r="E159" s="186"/>
      <c r="F159" s="168"/>
      <c r="G159" s="168"/>
      <c r="H159" s="170"/>
    </row>
    <row r="160" hidden="1" outlineLevel="1">
      <c r="A160" s="178" t="b">
        <v>0</v>
      </c>
      <c r="B160" s="166"/>
      <c r="C160" s="168"/>
      <c r="D160" s="168"/>
      <c r="E160" s="186"/>
      <c r="F160" s="168"/>
      <c r="G160" s="169"/>
      <c r="H160" s="166"/>
    </row>
    <row r="161" hidden="1" outlineLevel="1">
      <c r="A161" s="178" t="b">
        <v>0</v>
      </c>
      <c r="B161" s="166"/>
      <c r="C161" s="168"/>
      <c r="D161" s="168"/>
      <c r="E161" s="186"/>
      <c r="F161" s="168"/>
      <c r="G161" s="169"/>
      <c r="H161" s="166"/>
    </row>
    <row r="162" hidden="1" outlineLevel="1">
      <c r="A162" s="173"/>
      <c r="B162" s="174" t="s">
        <v>620</v>
      </c>
      <c r="C162" s="175"/>
      <c r="D162" s="175"/>
      <c r="E162" s="175"/>
      <c r="F162" s="175"/>
      <c r="G162" s="175"/>
      <c r="H162" s="175"/>
    </row>
    <row r="163" hidden="1" outlineLevel="1">
      <c r="A163" s="178" t="b">
        <v>0</v>
      </c>
      <c r="B163" s="170"/>
      <c r="C163" s="167" t="s">
        <v>621</v>
      </c>
      <c r="D163" s="168"/>
      <c r="E163" s="186"/>
      <c r="F163" s="168"/>
      <c r="G163" s="169"/>
      <c r="H163" s="170"/>
    </row>
    <row r="164" hidden="1" outlineLevel="1">
      <c r="A164" s="178" t="b">
        <v>0</v>
      </c>
      <c r="B164" s="170"/>
      <c r="C164" s="167" t="s">
        <v>622</v>
      </c>
      <c r="D164" s="168"/>
      <c r="E164" s="186"/>
      <c r="F164" s="168"/>
      <c r="G164" s="169"/>
      <c r="H164" s="170"/>
    </row>
    <row r="165" hidden="1" outlineLevel="1">
      <c r="A165" s="178" t="b">
        <v>0</v>
      </c>
      <c r="B165" s="170"/>
      <c r="C165" s="167" t="s">
        <v>623</v>
      </c>
      <c r="D165" s="168"/>
      <c r="E165" s="186"/>
      <c r="F165" s="168"/>
      <c r="G165" s="169"/>
      <c r="H165" s="170"/>
    </row>
    <row r="166" hidden="1" outlineLevel="1">
      <c r="A166" s="178" t="b">
        <v>0</v>
      </c>
      <c r="B166" s="170"/>
      <c r="C166" s="167" t="s">
        <v>624</v>
      </c>
      <c r="D166" s="168"/>
      <c r="E166" s="186"/>
      <c r="F166" s="168"/>
      <c r="G166" s="169"/>
      <c r="H166" s="170"/>
    </row>
    <row r="167" hidden="1" outlineLevel="1">
      <c r="A167" s="178" t="b">
        <v>0</v>
      </c>
      <c r="B167" s="170"/>
      <c r="C167" s="167" t="s">
        <v>625</v>
      </c>
      <c r="D167" s="168"/>
      <c r="E167" s="186"/>
      <c r="F167" s="168"/>
      <c r="G167" s="169"/>
      <c r="H167" s="170"/>
    </row>
    <row r="168" hidden="1" outlineLevel="1">
      <c r="A168" s="178" t="b">
        <v>0</v>
      </c>
      <c r="B168" s="170"/>
      <c r="C168" s="167" t="s">
        <v>626</v>
      </c>
      <c r="D168" s="168"/>
      <c r="E168" s="186"/>
      <c r="F168" s="168"/>
      <c r="G168" s="169"/>
      <c r="H168" s="170"/>
    </row>
    <row r="169" hidden="1" outlineLevel="1">
      <c r="A169" s="178" t="b">
        <v>0</v>
      </c>
      <c r="B169" s="170"/>
      <c r="C169" s="167" t="s">
        <v>627</v>
      </c>
      <c r="D169" s="168"/>
      <c r="E169" s="186"/>
      <c r="F169" s="168"/>
      <c r="G169" s="169"/>
      <c r="H169" s="170"/>
    </row>
    <row r="170" hidden="1" outlineLevel="1">
      <c r="A170" s="178" t="b">
        <v>0</v>
      </c>
      <c r="B170" s="170"/>
      <c r="C170" s="168"/>
      <c r="D170" s="168"/>
      <c r="E170" s="186"/>
      <c r="F170" s="168"/>
      <c r="G170" s="169"/>
      <c r="H170" s="170"/>
    </row>
    <row r="171" hidden="1" outlineLevel="1">
      <c r="A171" s="178" t="b">
        <v>0</v>
      </c>
      <c r="B171" s="170"/>
      <c r="C171" s="168"/>
      <c r="D171" s="168"/>
      <c r="E171" s="186"/>
      <c r="F171" s="168"/>
      <c r="G171" s="169"/>
      <c r="H171" s="170"/>
    </row>
    <row r="172" hidden="1" outlineLevel="1">
      <c r="A172" s="173"/>
      <c r="B172" s="174" t="s">
        <v>628</v>
      </c>
      <c r="C172" s="175"/>
      <c r="D172" s="175"/>
      <c r="E172" s="175"/>
      <c r="F172" s="175"/>
      <c r="G172" s="175"/>
      <c r="H172" s="175"/>
    </row>
    <row r="173" hidden="1" outlineLevel="1">
      <c r="A173" s="178" t="b">
        <v>0</v>
      </c>
      <c r="B173" s="170"/>
      <c r="C173" s="167" t="s">
        <v>645</v>
      </c>
      <c r="D173" s="168"/>
      <c r="E173" s="186"/>
      <c r="F173" s="168"/>
      <c r="G173" s="169"/>
      <c r="H173" s="170"/>
    </row>
    <row r="174" hidden="1" outlineLevel="1">
      <c r="A174" s="178" t="b">
        <v>0</v>
      </c>
      <c r="B174" s="170"/>
      <c r="C174" s="168"/>
      <c r="D174" s="168"/>
      <c r="E174" s="186"/>
      <c r="F174" s="168"/>
      <c r="G174" s="169"/>
      <c r="H174" s="170"/>
    </row>
    <row r="175" hidden="1" outlineLevel="1">
      <c r="A175" s="178" t="b">
        <v>0</v>
      </c>
      <c r="B175" s="166"/>
      <c r="C175" s="167" t="s">
        <v>629</v>
      </c>
      <c r="D175" s="168"/>
      <c r="E175" s="186"/>
      <c r="F175" s="168"/>
      <c r="G175" s="169"/>
      <c r="H175" s="166"/>
    </row>
    <row r="176" hidden="1" outlineLevel="1">
      <c r="A176" s="178" t="b">
        <v>0</v>
      </c>
      <c r="B176" s="170"/>
      <c r="C176" s="167" t="s">
        <v>630</v>
      </c>
      <c r="D176" s="168"/>
      <c r="E176" s="186"/>
      <c r="F176" s="168"/>
      <c r="G176" s="169"/>
      <c r="H176" s="170"/>
    </row>
    <row r="177" hidden="1" outlineLevel="1">
      <c r="A177" s="178" t="b">
        <v>0</v>
      </c>
      <c r="B177" s="170"/>
      <c r="C177" s="167" t="s">
        <v>631</v>
      </c>
      <c r="D177" s="168"/>
      <c r="E177" s="186"/>
      <c r="F177" s="168"/>
      <c r="G177" s="169"/>
      <c r="H177" s="170"/>
    </row>
    <row r="178" hidden="1" outlineLevel="1">
      <c r="A178" s="178" t="b">
        <v>0</v>
      </c>
      <c r="B178" s="170"/>
      <c r="C178" s="167" t="s">
        <v>632</v>
      </c>
      <c r="D178" s="168"/>
      <c r="E178" s="186"/>
      <c r="F178" s="168"/>
      <c r="G178" s="169"/>
      <c r="H178" s="170"/>
    </row>
    <row r="179" hidden="1" outlineLevel="1">
      <c r="A179" s="178" t="b">
        <v>0</v>
      </c>
      <c r="B179" s="170"/>
      <c r="C179" s="167" t="s">
        <v>633</v>
      </c>
      <c r="D179" s="168"/>
      <c r="E179" s="186"/>
      <c r="F179" s="168"/>
      <c r="G179" s="169"/>
      <c r="H179" s="170"/>
    </row>
    <row r="180" hidden="1" outlineLevel="1">
      <c r="A180" s="178" t="b">
        <v>0</v>
      </c>
      <c r="B180" s="170"/>
      <c r="C180" s="167" t="s">
        <v>634</v>
      </c>
      <c r="D180" s="168"/>
      <c r="E180" s="186"/>
      <c r="F180" s="168"/>
      <c r="G180" s="169"/>
      <c r="H180" s="170"/>
    </row>
    <row r="181" hidden="1" outlineLevel="1">
      <c r="A181" s="178" t="b">
        <v>0</v>
      </c>
      <c r="B181" s="166"/>
      <c r="C181" s="168"/>
      <c r="D181" s="168"/>
      <c r="E181" s="186"/>
      <c r="F181" s="168"/>
      <c r="G181" s="169"/>
      <c r="H181" s="166"/>
    </row>
    <row r="182" hidden="1" outlineLevel="1">
      <c r="A182" s="178" t="b">
        <v>0</v>
      </c>
      <c r="B182" s="170"/>
      <c r="C182" s="168"/>
      <c r="D182" s="168"/>
      <c r="E182" s="186"/>
      <c r="F182" s="168"/>
      <c r="G182" s="169"/>
      <c r="H182" s="170"/>
    </row>
    <row r="183" hidden="1" outlineLevel="1">
      <c r="A183" s="178" t="b">
        <v>0</v>
      </c>
      <c r="B183" s="166"/>
      <c r="C183" s="168"/>
      <c r="D183" s="168"/>
      <c r="E183" s="186"/>
      <c r="F183" s="168"/>
      <c r="G183" s="168"/>
      <c r="H183" s="166"/>
    </row>
    <row r="184" hidden="1" outlineLevel="1">
      <c r="A184" s="173"/>
      <c r="B184" s="174" t="s">
        <v>635</v>
      </c>
      <c r="C184" s="175"/>
      <c r="D184" s="175"/>
      <c r="E184" s="175"/>
      <c r="F184" s="175"/>
      <c r="G184" s="175"/>
      <c r="H184" s="175"/>
    </row>
    <row r="185" hidden="1" outlineLevel="1">
      <c r="A185" s="178" t="b">
        <v>0</v>
      </c>
      <c r="B185" s="170"/>
      <c r="C185" s="167" t="s">
        <v>636</v>
      </c>
      <c r="D185" s="168"/>
      <c r="E185" s="186"/>
      <c r="F185" s="168"/>
      <c r="G185" s="169"/>
      <c r="H185" s="170"/>
    </row>
    <row r="186" hidden="1" outlineLevel="1">
      <c r="A186" s="178" t="b">
        <v>0</v>
      </c>
      <c r="B186" s="170"/>
      <c r="C186" s="167" t="s">
        <v>637</v>
      </c>
      <c r="D186" s="168"/>
      <c r="E186" s="186"/>
      <c r="F186" s="168"/>
      <c r="G186" s="169"/>
      <c r="H186" s="170"/>
    </row>
    <row r="187" hidden="1" outlineLevel="1">
      <c r="A187" s="178" t="b">
        <v>0</v>
      </c>
      <c r="B187" s="170"/>
      <c r="C187" s="167" t="s">
        <v>594</v>
      </c>
      <c r="D187" s="168"/>
      <c r="E187" s="186"/>
      <c r="F187" s="168"/>
      <c r="G187" s="169"/>
      <c r="H187" s="170"/>
    </row>
    <row r="188" hidden="1" outlineLevel="1">
      <c r="A188" s="178" t="b">
        <v>0</v>
      </c>
      <c r="B188" s="170"/>
      <c r="C188" s="168"/>
      <c r="D188" s="168"/>
      <c r="E188" s="186"/>
      <c r="F188" s="168"/>
      <c r="G188" s="169"/>
      <c r="H188" s="170"/>
    </row>
    <row r="189" hidden="1" outlineLevel="1">
      <c r="A189" s="160"/>
      <c r="B189" s="171" t="s">
        <v>646</v>
      </c>
      <c r="C189" s="162"/>
      <c r="D189" s="162"/>
      <c r="E189" s="161" t="s">
        <v>647</v>
      </c>
      <c r="F189" s="162"/>
      <c r="G189" s="172"/>
      <c r="H189" s="162"/>
    </row>
    <row r="190" hidden="1" outlineLevel="1">
      <c r="A190" s="178" t="b">
        <v>0</v>
      </c>
      <c r="B190" s="170"/>
      <c r="C190" s="167" t="s">
        <v>639</v>
      </c>
      <c r="D190" s="168"/>
      <c r="E190" s="170"/>
      <c r="F190" s="168"/>
      <c r="G190" s="169"/>
      <c r="H190" s="170"/>
    </row>
    <row r="191" hidden="1" outlineLevel="1">
      <c r="A191" s="178" t="b">
        <v>0</v>
      </c>
      <c r="B191" s="170"/>
      <c r="C191" s="167" t="s">
        <v>594</v>
      </c>
      <c r="D191" s="168"/>
      <c r="E191" s="187" t="s">
        <v>648</v>
      </c>
      <c r="F191" s="168"/>
      <c r="G191" s="169"/>
      <c r="H191" s="170"/>
    </row>
    <row r="192" hidden="1" outlineLevel="1">
      <c r="A192" s="178" t="b">
        <v>0</v>
      </c>
      <c r="B192" s="170"/>
      <c r="C192" s="167" t="s">
        <v>649</v>
      </c>
      <c r="D192" s="168"/>
      <c r="E192" s="170"/>
      <c r="F192" s="168"/>
      <c r="G192" s="169"/>
      <c r="H192" s="170"/>
    </row>
    <row r="193" hidden="1" outlineLevel="1">
      <c r="A193" s="178" t="b">
        <v>0</v>
      </c>
      <c r="B193" s="170"/>
      <c r="C193" s="167" t="s">
        <v>650</v>
      </c>
      <c r="D193" s="168"/>
      <c r="E193" s="170"/>
      <c r="F193" s="168"/>
      <c r="G193" s="169"/>
      <c r="H193" s="170"/>
    </row>
    <row r="194">
      <c r="A194" s="160"/>
      <c r="B194" s="171" t="s">
        <v>651</v>
      </c>
      <c r="C194" s="162"/>
      <c r="D194" s="162"/>
      <c r="E194" s="161" t="s">
        <v>652</v>
      </c>
      <c r="F194" s="162"/>
      <c r="G194" s="172"/>
      <c r="H194" s="162"/>
    </row>
    <row r="195">
      <c r="A195" s="160"/>
      <c r="B195" s="171" t="s">
        <v>653</v>
      </c>
      <c r="C195" s="162"/>
      <c r="D195" s="162"/>
      <c r="E195" s="161" t="s">
        <v>644</v>
      </c>
      <c r="F195" s="162"/>
      <c r="G195" s="172"/>
      <c r="H195" s="164">
        <f>IFERROR(COUNTIF(A197:A258, TRUE) / COUNTA(A197:A258), 0)</f>
        <v>0.3571428571</v>
      </c>
    </row>
    <row r="196">
      <c r="A196" s="173"/>
      <c r="B196" s="174" t="s">
        <v>596</v>
      </c>
      <c r="C196" s="175"/>
      <c r="D196" s="175"/>
      <c r="E196" s="175"/>
      <c r="F196" s="175"/>
      <c r="G196" s="175"/>
      <c r="H196" s="176">
        <f>IFERROR(COUNTIF(A197:A201, TRUE) / COUNTA(A197:A201), 0)</f>
        <v>0.8</v>
      </c>
    </row>
    <row r="197">
      <c r="A197" s="165" t="b">
        <v>1</v>
      </c>
      <c r="B197" s="170"/>
      <c r="C197" s="167" t="s">
        <v>597</v>
      </c>
      <c r="D197" s="188" t="s">
        <v>654</v>
      </c>
      <c r="E197" s="185">
        <v>45757.0</v>
      </c>
      <c r="F197" s="189" t="s">
        <v>655</v>
      </c>
      <c r="G197" s="168"/>
      <c r="H197" s="170"/>
    </row>
    <row r="198">
      <c r="A198" s="165" t="b">
        <v>1</v>
      </c>
      <c r="B198" s="166"/>
      <c r="C198" s="167" t="s">
        <v>598</v>
      </c>
      <c r="D198" s="188" t="s">
        <v>656</v>
      </c>
      <c r="E198" s="185">
        <v>45762.0</v>
      </c>
      <c r="F198" s="189" t="s">
        <v>655</v>
      </c>
      <c r="G198" s="169"/>
      <c r="H198" s="166"/>
    </row>
    <row r="199">
      <c r="A199" s="165" t="b">
        <v>1</v>
      </c>
      <c r="B199" s="170"/>
      <c r="C199" s="167" t="s">
        <v>599</v>
      </c>
      <c r="D199" s="188" t="s">
        <v>654</v>
      </c>
      <c r="E199" s="185">
        <v>45762.0</v>
      </c>
      <c r="F199" s="189" t="s">
        <v>655</v>
      </c>
      <c r="G199" s="168"/>
      <c r="H199" s="170"/>
    </row>
    <row r="200">
      <c r="A200" s="165" t="b">
        <v>1</v>
      </c>
      <c r="B200" s="170"/>
      <c r="C200" s="167" t="s">
        <v>600</v>
      </c>
      <c r="D200" s="188" t="s">
        <v>656</v>
      </c>
      <c r="E200" s="185">
        <v>45762.0</v>
      </c>
      <c r="F200" s="189" t="s">
        <v>655</v>
      </c>
      <c r="G200" s="169"/>
      <c r="H200" s="170"/>
    </row>
    <row r="201">
      <c r="A201" s="178" t="b">
        <v>0</v>
      </c>
      <c r="B201" s="170"/>
      <c r="C201" s="167" t="s">
        <v>601</v>
      </c>
      <c r="D201" s="168"/>
      <c r="E201" s="186"/>
      <c r="F201" s="168"/>
      <c r="G201" s="168"/>
      <c r="H201" s="170"/>
    </row>
    <row r="202">
      <c r="A202" s="178" t="b">
        <v>0</v>
      </c>
      <c r="B202" s="170"/>
      <c r="C202" s="168"/>
      <c r="D202" s="168"/>
      <c r="E202" s="186"/>
      <c r="F202" s="168"/>
      <c r="G202" s="169"/>
      <c r="H202" s="170"/>
    </row>
    <row r="203">
      <c r="A203" s="173"/>
      <c r="B203" s="174" t="s">
        <v>602</v>
      </c>
      <c r="C203" s="175"/>
      <c r="D203" s="175"/>
      <c r="E203" s="175"/>
      <c r="F203" s="175"/>
      <c r="G203" s="175"/>
      <c r="H203" s="175"/>
    </row>
    <row r="204">
      <c r="A204" s="165" t="b">
        <v>1</v>
      </c>
      <c r="B204" s="170"/>
      <c r="C204" s="167" t="s">
        <v>603</v>
      </c>
      <c r="D204" s="188" t="s">
        <v>656</v>
      </c>
      <c r="E204" s="185">
        <v>45762.0</v>
      </c>
      <c r="F204" s="189" t="s">
        <v>657</v>
      </c>
      <c r="G204" s="168"/>
      <c r="H204" s="170"/>
    </row>
    <row r="205">
      <c r="A205" s="165" t="b">
        <v>1</v>
      </c>
      <c r="B205" s="170"/>
      <c r="C205" s="167" t="s">
        <v>604</v>
      </c>
      <c r="D205" s="168"/>
      <c r="E205" s="186"/>
      <c r="F205" s="168"/>
      <c r="G205" s="169"/>
      <c r="H205" s="170"/>
    </row>
    <row r="206">
      <c r="A206" s="165" t="b">
        <v>1</v>
      </c>
      <c r="B206" s="170"/>
      <c r="C206" s="167" t="s">
        <v>605</v>
      </c>
      <c r="D206" s="188" t="s">
        <v>656</v>
      </c>
      <c r="E206" s="185">
        <v>45763.0</v>
      </c>
      <c r="F206" s="189" t="s">
        <v>655</v>
      </c>
      <c r="G206" s="169"/>
      <c r="H206" s="170"/>
    </row>
    <row r="207">
      <c r="A207" s="165" t="b">
        <v>1</v>
      </c>
      <c r="B207" s="170"/>
      <c r="C207" s="167" t="s">
        <v>606</v>
      </c>
      <c r="D207" s="188" t="s">
        <v>656</v>
      </c>
      <c r="E207" s="185">
        <v>45763.0</v>
      </c>
      <c r="F207" s="189" t="s">
        <v>655</v>
      </c>
      <c r="G207" s="169"/>
      <c r="H207" s="170"/>
    </row>
    <row r="208">
      <c r="A208" s="165" t="b">
        <v>1</v>
      </c>
      <c r="B208" s="166"/>
      <c r="C208" s="167" t="s">
        <v>607</v>
      </c>
      <c r="D208" s="188" t="s">
        <v>656</v>
      </c>
      <c r="E208" s="185">
        <v>45764.0</v>
      </c>
      <c r="F208" s="189" t="s">
        <v>657</v>
      </c>
      <c r="G208" s="169"/>
      <c r="H208" s="166"/>
    </row>
    <row r="209">
      <c r="A209" s="178" t="b">
        <v>0</v>
      </c>
      <c r="B209" s="166"/>
      <c r="C209" s="167" t="s">
        <v>608</v>
      </c>
      <c r="D209" s="168"/>
      <c r="E209" s="186"/>
      <c r="F209" s="168"/>
      <c r="G209" s="169"/>
      <c r="H209" s="166"/>
    </row>
    <row r="210">
      <c r="A210" s="165" t="b">
        <v>1</v>
      </c>
      <c r="B210" s="166"/>
      <c r="C210" s="167" t="s">
        <v>609</v>
      </c>
      <c r="D210" s="188" t="s">
        <v>656</v>
      </c>
      <c r="E210" s="185">
        <v>45762.0</v>
      </c>
      <c r="F210" s="189" t="s">
        <v>655</v>
      </c>
      <c r="G210" s="169"/>
      <c r="H210" s="166"/>
    </row>
    <row r="211">
      <c r="A211" s="178" t="b">
        <v>0</v>
      </c>
      <c r="B211" s="166"/>
      <c r="C211" s="167" t="s">
        <v>610</v>
      </c>
      <c r="D211" s="168"/>
      <c r="E211" s="186"/>
      <c r="F211" s="168"/>
      <c r="G211" s="169"/>
      <c r="H211" s="166"/>
    </row>
    <row r="212">
      <c r="A212" s="178" t="b">
        <v>0</v>
      </c>
      <c r="B212" s="170"/>
      <c r="C212" s="168"/>
      <c r="D212" s="168"/>
      <c r="E212" s="186"/>
      <c r="F212" s="168"/>
      <c r="G212" s="169"/>
      <c r="H212" s="170"/>
    </row>
    <row r="213">
      <c r="A213" s="178" t="b">
        <v>0</v>
      </c>
      <c r="B213" s="166"/>
      <c r="C213" s="168"/>
      <c r="D213" s="168"/>
      <c r="E213" s="186"/>
      <c r="F213" s="168"/>
      <c r="G213" s="169"/>
      <c r="H213" s="166"/>
    </row>
    <row r="214">
      <c r="A214" s="178" t="b">
        <v>0</v>
      </c>
      <c r="B214" s="170"/>
      <c r="C214" s="168"/>
      <c r="D214" s="168"/>
      <c r="E214" s="186"/>
      <c r="F214" s="168"/>
      <c r="G214" s="168"/>
      <c r="H214" s="170"/>
    </row>
    <row r="215">
      <c r="A215" s="178" t="b">
        <v>0</v>
      </c>
      <c r="B215" s="166"/>
      <c r="C215" s="168"/>
      <c r="D215" s="168"/>
      <c r="E215" s="186"/>
      <c r="F215" s="168"/>
      <c r="G215" s="169"/>
      <c r="H215" s="166"/>
    </row>
    <row r="216">
      <c r="A216" s="173"/>
      <c r="B216" s="174" t="s">
        <v>611</v>
      </c>
      <c r="C216" s="175"/>
      <c r="D216" s="175"/>
      <c r="E216" s="175"/>
      <c r="F216" s="175"/>
      <c r="G216" s="175"/>
      <c r="H216" s="175"/>
    </row>
    <row r="217">
      <c r="A217" s="178" t="b">
        <v>0</v>
      </c>
      <c r="B217" s="166"/>
      <c r="C217" s="167" t="s">
        <v>612</v>
      </c>
      <c r="D217" s="168"/>
      <c r="E217" s="186"/>
      <c r="F217" s="168"/>
      <c r="G217" s="169"/>
      <c r="H217" s="166"/>
    </row>
    <row r="218">
      <c r="A218" s="178" t="b">
        <v>0</v>
      </c>
      <c r="B218" s="166"/>
      <c r="C218" s="167" t="s">
        <v>613</v>
      </c>
      <c r="D218" s="168"/>
      <c r="E218" s="186"/>
      <c r="F218" s="168"/>
      <c r="G218" s="169"/>
      <c r="H218" s="166"/>
    </row>
    <row r="219">
      <c r="A219" s="178" t="b">
        <v>0</v>
      </c>
      <c r="B219" s="166"/>
      <c r="C219" s="167" t="s">
        <v>610</v>
      </c>
      <c r="D219" s="168"/>
      <c r="E219" s="186"/>
      <c r="F219" s="168"/>
      <c r="G219" s="169"/>
      <c r="H219" s="166"/>
    </row>
    <row r="220">
      <c r="A220" s="178" t="b">
        <v>0</v>
      </c>
      <c r="B220" s="166"/>
      <c r="C220" s="168"/>
      <c r="D220" s="168"/>
      <c r="E220" s="186"/>
      <c r="F220" s="168"/>
      <c r="G220" s="169"/>
      <c r="H220" s="166"/>
    </row>
    <row r="221">
      <c r="A221" s="178" t="b">
        <v>0</v>
      </c>
      <c r="B221" s="166"/>
      <c r="C221" s="168"/>
      <c r="D221" s="168"/>
      <c r="E221" s="186"/>
      <c r="F221" s="168"/>
      <c r="G221" s="169"/>
      <c r="H221" s="166"/>
    </row>
    <row r="222">
      <c r="A222" s="178" t="b">
        <v>0</v>
      </c>
      <c r="B222" s="166"/>
      <c r="C222" s="168"/>
      <c r="D222" s="168"/>
      <c r="E222" s="186"/>
      <c r="F222" s="168"/>
      <c r="G222" s="169"/>
      <c r="H222" s="166"/>
    </row>
    <row r="223">
      <c r="A223" s="178" t="b">
        <v>0</v>
      </c>
      <c r="B223" s="170"/>
      <c r="C223" s="168"/>
      <c r="D223" s="168"/>
      <c r="E223" s="186"/>
      <c r="F223" s="168"/>
      <c r="G223" s="169"/>
      <c r="H223" s="170"/>
    </row>
    <row r="224">
      <c r="A224" s="173"/>
      <c r="B224" s="174" t="s">
        <v>614</v>
      </c>
      <c r="C224" s="175"/>
      <c r="D224" s="175"/>
      <c r="E224" s="175"/>
      <c r="F224" s="175"/>
      <c r="G224" s="175"/>
      <c r="H224" s="175"/>
    </row>
    <row r="225">
      <c r="A225" s="178" t="b">
        <v>0</v>
      </c>
      <c r="B225" s="166"/>
      <c r="C225" s="167" t="s">
        <v>615</v>
      </c>
      <c r="D225" s="168"/>
      <c r="E225" s="186"/>
      <c r="F225" s="168"/>
      <c r="G225" s="169"/>
      <c r="H225" s="166"/>
    </row>
    <row r="226">
      <c r="A226" s="178" t="b">
        <v>0</v>
      </c>
      <c r="B226" s="166"/>
      <c r="C226" s="167" t="s">
        <v>616</v>
      </c>
      <c r="D226" s="168"/>
      <c r="E226" s="186"/>
      <c r="F226" s="168"/>
      <c r="G226" s="169"/>
      <c r="H226" s="166"/>
    </row>
    <row r="227">
      <c r="A227" s="178" t="b">
        <v>0</v>
      </c>
      <c r="B227" s="166"/>
      <c r="C227" s="167" t="s">
        <v>617</v>
      </c>
      <c r="D227" s="168"/>
      <c r="E227" s="186"/>
      <c r="F227" s="168"/>
      <c r="G227" s="169"/>
      <c r="H227" s="166"/>
    </row>
    <row r="228">
      <c r="A228" s="178" t="b">
        <v>0</v>
      </c>
      <c r="B228" s="166"/>
      <c r="C228" s="167" t="s">
        <v>618</v>
      </c>
      <c r="D228" s="168"/>
      <c r="E228" s="186"/>
      <c r="F228" s="168"/>
      <c r="G228" s="168"/>
      <c r="H228" s="166"/>
    </row>
    <row r="229">
      <c r="A229" s="165" t="b">
        <v>1</v>
      </c>
      <c r="B229" s="170"/>
      <c r="C229" s="167" t="s">
        <v>619</v>
      </c>
      <c r="D229" s="188" t="s">
        <v>654</v>
      </c>
      <c r="E229" s="185">
        <v>45762.0</v>
      </c>
      <c r="F229" s="189" t="s">
        <v>655</v>
      </c>
      <c r="G229" s="168"/>
      <c r="H229" s="170"/>
    </row>
    <row r="230">
      <c r="A230" s="178" t="b">
        <v>0</v>
      </c>
      <c r="B230" s="166"/>
      <c r="C230" s="168"/>
      <c r="D230" s="168"/>
      <c r="E230" s="186"/>
      <c r="F230" s="168"/>
      <c r="G230" s="169"/>
      <c r="H230" s="166"/>
    </row>
    <row r="231">
      <c r="A231" s="178" t="b">
        <v>0</v>
      </c>
      <c r="B231" s="166"/>
      <c r="C231" s="168"/>
      <c r="D231" s="168"/>
      <c r="E231" s="186"/>
      <c r="F231" s="168"/>
      <c r="G231" s="169"/>
      <c r="H231" s="166"/>
    </row>
    <row r="232">
      <c r="A232" s="173"/>
      <c r="B232" s="174" t="s">
        <v>620</v>
      </c>
      <c r="C232" s="175"/>
      <c r="D232" s="175"/>
      <c r="E232" s="175"/>
      <c r="F232" s="175"/>
      <c r="G232" s="175"/>
      <c r="H232" s="175"/>
    </row>
    <row r="233">
      <c r="A233" s="178" t="b">
        <v>0</v>
      </c>
      <c r="B233" s="170"/>
      <c r="C233" s="167" t="s">
        <v>621</v>
      </c>
      <c r="D233" s="168"/>
      <c r="E233" s="186"/>
      <c r="F233" s="168"/>
      <c r="G233" s="169"/>
      <c r="H233" s="170"/>
    </row>
    <row r="234">
      <c r="A234" s="165" t="b">
        <v>1</v>
      </c>
      <c r="B234" s="170"/>
      <c r="C234" s="167" t="s">
        <v>622</v>
      </c>
      <c r="D234" s="188" t="s">
        <v>656</v>
      </c>
      <c r="E234" s="185">
        <v>45763.0</v>
      </c>
      <c r="F234" s="189" t="s">
        <v>655</v>
      </c>
      <c r="G234" s="169"/>
      <c r="H234" s="170"/>
    </row>
    <row r="235">
      <c r="A235" s="178" t="b">
        <v>0</v>
      </c>
      <c r="B235" s="170"/>
      <c r="C235" s="167" t="s">
        <v>623</v>
      </c>
      <c r="D235" s="188" t="s">
        <v>656</v>
      </c>
      <c r="E235" s="185">
        <v>45771.0</v>
      </c>
      <c r="F235" s="189" t="s">
        <v>658</v>
      </c>
      <c r="G235" s="169"/>
      <c r="H235" s="170"/>
    </row>
    <row r="236">
      <c r="A236" s="178" t="b">
        <v>0</v>
      </c>
      <c r="B236" s="170"/>
      <c r="C236" s="167" t="s">
        <v>624</v>
      </c>
      <c r="D236" s="188" t="s">
        <v>656</v>
      </c>
      <c r="E236" s="185">
        <v>45771.0</v>
      </c>
      <c r="F236" s="189" t="s">
        <v>655</v>
      </c>
      <c r="G236" s="169"/>
      <c r="H236" s="170"/>
    </row>
    <row r="237">
      <c r="A237" s="178" t="b">
        <v>0</v>
      </c>
      <c r="B237" s="170"/>
      <c r="C237" s="167" t="s">
        <v>625</v>
      </c>
      <c r="D237" s="188" t="s">
        <v>656</v>
      </c>
      <c r="E237" s="185">
        <v>45771.0</v>
      </c>
      <c r="F237" s="189" t="s">
        <v>655</v>
      </c>
      <c r="G237" s="169"/>
      <c r="H237" s="170"/>
    </row>
    <row r="238">
      <c r="A238" s="178" t="b">
        <v>0</v>
      </c>
      <c r="B238" s="170"/>
      <c r="C238" s="167" t="s">
        <v>626</v>
      </c>
      <c r="D238" s="188" t="s">
        <v>656</v>
      </c>
      <c r="E238" s="185">
        <v>45771.0</v>
      </c>
      <c r="F238" s="189" t="s">
        <v>655</v>
      </c>
      <c r="G238" s="169"/>
      <c r="H238" s="170"/>
    </row>
    <row r="239">
      <c r="A239" s="178" t="b">
        <v>0</v>
      </c>
      <c r="B239" s="170"/>
      <c r="C239" s="167" t="s">
        <v>627</v>
      </c>
      <c r="D239" s="188" t="s">
        <v>656</v>
      </c>
      <c r="E239" s="185">
        <v>45771.0</v>
      </c>
      <c r="F239" s="189" t="s">
        <v>655</v>
      </c>
      <c r="G239" s="169"/>
      <c r="H239" s="170"/>
    </row>
    <row r="240">
      <c r="A240" s="178" t="b">
        <v>0</v>
      </c>
      <c r="B240" s="170"/>
      <c r="C240" s="168"/>
      <c r="D240" s="168"/>
      <c r="E240" s="186"/>
      <c r="F240" s="168"/>
      <c r="G240" s="169"/>
      <c r="H240" s="170"/>
    </row>
    <row r="241">
      <c r="A241" s="178" t="b">
        <v>0</v>
      </c>
      <c r="B241" s="170"/>
      <c r="C241" s="168"/>
      <c r="D241" s="168"/>
      <c r="E241" s="186"/>
      <c r="F241" s="168"/>
      <c r="G241" s="169"/>
      <c r="H241" s="170"/>
    </row>
    <row r="242">
      <c r="A242" s="173"/>
      <c r="B242" s="174" t="s">
        <v>628</v>
      </c>
      <c r="C242" s="175"/>
      <c r="D242" s="175"/>
      <c r="E242" s="175"/>
      <c r="F242" s="175"/>
      <c r="G242" s="175"/>
      <c r="H242" s="175"/>
    </row>
    <row r="243">
      <c r="A243" s="178" t="b">
        <v>0</v>
      </c>
      <c r="B243" s="170"/>
      <c r="C243" s="167" t="s">
        <v>645</v>
      </c>
      <c r="D243" s="168"/>
      <c r="E243" s="186"/>
      <c r="F243" s="168"/>
      <c r="G243" s="188" t="s">
        <v>659</v>
      </c>
      <c r="H243" s="170"/>
    </row>
    <row r="244">
      <c r="A244" s="178" t="b">
        <v>0</v>
      </c>
      <c r="B244" s="170"/>
      <c r="C244" s="168"/>
      <c r="D244" s="168"/>
      <c r="E244" s="186"/>
      <c r="F244" s="168"/>
      <c r="G244" s="169"/>
      <c r="H244" s="170"/>
    </row>
    <row r="245">
      <c r="A245" s="165" t="b">
        <v>1</v>
      </c>
      <c r="B245" s="166"/>
      <c r="C245" s="167" t="s">
        <v>629</v>
      </c>
      <c r="D245" s="188" t="s">
        <v>656</v>
      </c>
      <c r="E245" s="185">
        <v>45763.0</v>
      </c>
      <c r="F245" s="189" t="s">
        <v>655</v>
      </c>
      <c r="G245" s="169"/>
      <c r="H245" s="166"/>
    </row>
    <row r="246">
      <c r="A246" s="165" t="b">
        <v>1</v>
      </c>
      <c r="B246" s="170"/>
      <c r="C246" s="167" t="s">
        <v>630</v>
      </c>
      <c r="D246" s="188" t="s">
        <v>656</v>
      </c>
      <c r="E246" s="185">
        <v>45767.0</v>
      </c>
      <c r="F246" s="189" t="s">
        <v>655</v>
      </c>
      <c r="G246" s="169"/>
      <c r="H246" s="170"/>
    </row>
    <row r="247">
      <c r="A247" s="165" t="b">
        <v>1</v>
      </c>
      <c r="B247" s="170"/>
      <c r="C247" s="167" t="s">
        <v>631</v>
      </c>
      <c r="D247" s="188" t="s">
        <v>656</v>
      </c>
      <c r="E247" s="185">
        <v>45767.0</v>
      </c>
      <c r="F247" s="189" t="s">
        <v>655</v>
      </c>
      <c r="G247" s="169"/>
      <c r="H247" s="170"/>
    </row>
    <row r="248">
      <c r="A248" s="165" t="b">
        <v>1</v>
      </c>
      <c r="B248" s="170"/>
      <c r="C248" s="167" t="s">
        <v>632</v>
      </c>
      <c r="D248" s="188" t="s">
        <v>656</v>
      </c>
      <c r="E248" s="185">
        <v>45763.0</v>
      </c>
      <c r="F248" s="189" t="s">
        <v>655</v>
      </c>
      <c r="G248" s="169"/>
      <c r="H248" s="170"/>
    </row>
    <row r="249">
      <c r="A249" s="165" t="b">
        <v>1</v>
      </c>
      <c r="B249" s="170"/>
      <c r="C249" s="167" t="s">
        <v>633</v>
      </c>
      <c r="D249" s="188" t="s">
        <v>654</v>
      </c>
      <c r="E249" s="185">
        <v>45767.0</v>
      </c>
      <c r="F249" s="189" t="s">
        <v>660</v>
      </c>
      <c r="G249" s="169"/>
      <c r="H249" s="170"/>
    </row>
    <row r="250">
      <c r="A250" s="165" t="b">
        <v>1</v>
      </c>
      <c r="B250" s="170"/>
      <c r="C250" s="167" t="s">
        <v>634</v>
      </c>
      <c r="D250" s="188" t="s">
        <v>654</v>
      </c>
      <c r="E250" s="185">
        <v>45767.0</v>
      </c>
      <c r="F250" s="189" t="s">
        <v>661</v>
      </c>
      <c r="G250" s="169"/>
      <c r="H250" s="170"/>
    </row>
    <row r="251">
      <c r="A251" s="178" t="b">
        <v>0</v>
      </c>
      <c r="B251" s="166"/>
      <c r="C251" s="168"/>
      <c r="D251" s="168"/>
      <c r="E251" s="186"/>
      <c r="F251" s="168"/>
      <c r="G251" s="169"/>
      <c r="H251" s="166"/>
    </row>
    <row r="252">
      <c r="A252" s="178" t="b">
        <v>0</v>
      </c>
      <c r="B252" s="170"/>
      <c r="C252" s="168"/>
      <c r="D252" s="168"/>
      <c r="E252" s="186"/>
      <c r="F252" s="168"/>
      <c r="G252" s="169"/>
      <c r="H252" s="170"/>
    </row>
    <row r="253">
      <c r="A253" s="178" t="b">
        <v>0</v>
      </c>
      <c r="B253" s="166"/>
      <c r="C253" s="168"/>
      <c r="D253" s="168"/>
      <c r="E253" s="186"/>
      <c r="F253" s="168"/>
      <c r="G253" s="168"/>
      <c r="H253" s="166"/>
    </row>
    <row r="254">
      <c r="A254" s="173"/>
      <c r="B254" s="174" t="s">
        <v>635</v>
      </c>
      <c r="C254" s="175"/>
      <c r="D254" s="175"/>
      <c r="E254" s="175"/>
      <c r="F254" s="175"/>
      <c r="G254" s="175"/>
      <c r="H254" s="175"/>
    </row>
    <row r="255">
      <c r="A255" s="165" t="b">
        <v>1</v>
      </c>
      <c r="B255" s="170"/>
      <c r="C255" s="167" t="s">
        <v>636</v>
      </c>
      <c r="D255" s="188" t="s">
        <v>654</v>
      </c>
      <c r="E255" s="185">
        <v>45764.0</v>
      </c>
      <c r="F255" s="189" t="s">
        <v>655</v>
      </c>
      <c r="G255" s="169"/>
      <c r="H255" s="170"/>
    </row>
    <row r="256">
      <c r="A256" s="178" t="b">
        <v>0</v>
      </c>
      <c r="B256" s="170"/>
      <c r="C256" s="167" t="s">
        <v>637</v>
      </c>
      <c r="D256" s="168"/>
      <c r="E256" s="186"/>
      <c r="F256" s="168"/>
      <c r="G256" s="169"/>
      <c r="H256" s="170"/>
    </row>
    <row r="257">
      <c r="A257" s="165" t="b">
        <v>1</v>
      </c>
      <c r="B257" s="170"/>
      <c r="C257" s="167" t="s">
        <v>594</v>
      </c>
      <c r="D257" s="188" t="s">
        <v>656</v>
      </c>
      <c r="E257" s="185">
        <v>45770.0</v>
      </c>
      <c r="F257" s="189" t="s">
        <v>655</v>
      </c>
      <c r="G257" s="169"/>
      <c r="H257" s="170"/>
    </row>
    <row r="258">
      <c r="A258" s="178" t="b">
        <v>0</v>
      </c>
      <c r="B258" s="170"/>
      <c r="C258" s="168"/>
      <c r="D258" s="168"/>
      <c r="E258" s="186"/>
      <c r="F258" s="168"/>
      <c r="G258" s="169"/>
      <c r="H258" s="170"/>
    </row>
    <row r="259">
      <c r="A259" s="160"/>
      <c r="B259" s="171" t="s">
        <v>662</v>
      </c>
      <c r="C259" s="162"/>
      <c r="D259" s="162"/>
      <c r="E259" s="161" t="s">
        <v>647</v>
      </c>
      <c r="F259" s="162"/>
      <c r="G259" s="172"/>
      <c r="H259" s="162"/>
    </row>
    <row r="260">
      <c r="A260" s="178" t="b">
        <v>0</v>
      </c>
      <c r="B260" s="170"/>
      <c r="C260" s="167" t="s">
        <v>639</v>
      </c>
      <c r="D260" s="188" t="s">
        <v>663</v>
      </c>
      <c r="E260" s="185">
        <v>45764.0</v>
      </c>
      <c r="F260" s="189" t="s">
        <v>655</v>
      </c>
      <c r="G260" s="169"/>
      <c r="H260" s="170"/>
    </row>
    <row r="261">
      <c r="A261" s="165" t="b">
        <v>1</v>
      </c>
      <c r="B261" s="170"/>
      <c r="C261" s="167" t="s">
        <v>594</v>
      </c>
      <c r="D261" s="188" t="s">
        <v>656</v>
      </c>
      <c r="E261" s="185">
        <v>45763.0</v>
      </c>
      <c r="F261" s="189" t="s">
        <v>655</v>
      </c>
      <c r="G261" s="169"/>
      <c r="H261" s="170"/>
    </row>
    <row r="262">
      <c r="A262" s="178" t="b">
        <v>0</v>
      </c>
      <c r="B262" s="170"/>
      <c r="C262" s="167" t="s">
        <v>649</v>
      </c>
      <c r="D262" s="188" t="s">
        <v>656</v>
      </c>
      <c r="E262" s="185">
        <v>45764.0</v>
      </c>
      <c r="F262" s="189" t="s">
        <v>655</v>
      </c>
      <c r="G262" s="169"/>
      <c r="H262" s="170"/>
    </row>
    <row r="263">
      <c r="A263" s="178" t="b">
        <v>0</v>
      </c>
      <c r="B263" s="170"/>
      <c r="C263" s="167" t="s">
        <v>650</v>
      </c>
      <c r="D263" s="188" t="s">
        <v>654</v>
      </c>
      <c r="E263" s="185">
        <v>45762.0</v>
      </c>
      <c r="F263" s="189" t="s">
        <v>664</v>
      </c>
      <c r="G263" s="169"/>
      <c r="H263" s="170"/>
    </row>
    <row r="264">
      <c r="A264" s="173"/>
      <c r="B264" s="175"/>
      <c r="C264" s="175"/>
      <c r="D264" s="175"/>
      <c r="E264" s="175"/>
      <c r="F264" s="175"/>
      <c r="G264" s="175"/>
      <c r="H264" s="175"/>
    </row>
    <row r="265">
      <c r="A265" s="165" t="b">
        <v>1</v>
      </c>
      <c r="B265" s="170"/>
      <c r="C265" s="167" t="s">
        <v>665</v>
      </c>
      <c r="D265" s="188" t="s">
        <v>654</v>
      </c>
      <c r="E265" s="185">
        <v>45762.0</v>
      </c>
      <c r="F265" s="189" t="s">
        <v>655</v>
      </c>
      <c r="G265" s="169"/>
      <c r="H265" s="170"/>
    </row>
    <row r="266">
      <c r="A266" s="165" t="b">
        <v>0</v>
      </c>
      <c r="B266" s="170"/>
      <c r="C266" s="167" t="s">
        <v>666</v>
      </c>
      <c r="D266" s="188" t="s">
        <v>663</v>
      </c>
      <c r="E266" s="185">
        <v>45785.0</v>
      </c>
      <c r="F266" s="189" t="s">
        <v>655</v>
      </c>
      <c r="G266" s="169"/>
      <c r="H266" s="170"/>
    </row>
    <row r="267">
      <c r="A267" s="178" t="b">
        <v>0</v>
      </c>
      <c r="B267" s="170"/>
      <c r="C267" s="167" t="s">
        <v>642</v>
      </c>
      <c r="D267" s="168"/>
      <c r="E267" s="170"/>
      <c r="F267" s="168"/>
      <c r="G267" s="169"/>
      <c r="H267" s="170"/>
    </row>
    <row r="268">
      <c r="A268" s="178" t="b">
        <v>0</v>
      </c>
      <c r="B268" s="170"/>
      <c r="C268" s="168"/>
      <c r="D268" s="168"/>
      <c r="E268" s="170"/>
      <c r="F268" s="168"/>
      <c r="G268" s="169"/>
      <c r="H268" s="170"/>
    </row>
    <row r="269">
      <c r="A269" s="178" t="b">
        <v>0</v>
      </c>
      <c r="B269" s="170"/>
      <c r="C269" s="167" t="s">
        <v>667</v>
      </c>
      <c r="D269" s="168"/>
      <c r="E269" s="170"/>
      <c r="F269" s="168"/>
      <c r="G269" s="169"/>
      <c r="H269" s="170"/>
    </row>
    <row r="270">
      <c r="A270" s="178" t="b">
        <v>0</v>
      </c>
      <c r="B270" s="170"/>
      <c r="C270" s="167" t="s">
        <v>668</v>
      </c>
      <c r="D270" s="168"/>
      <c r="E270" s="170"/>
      <c r="F270" s="168"/>
      <c r="G270" s="169"/>
      <c r="H270" s="170"/>
    </row>
    <row r="271">
      <c r="A271" s="178" t="b">
        <v>0</v>
      </c>
      <c r="B271" s="170"/>
      <c r="C271" s="167" t="s">
        <v>669</v>
      </c>
      <c r="D271" s="168"/>
      <c r="E271" s="170"/>
      <c r="F271" s="168"/>
      <c r="G271" s="169"/>
      <c r="H271" s="170"/>
    </row>
    <row r="272">
      <c r="A272" s="178" t="b">
        <v>0</v>
      </c>
      <c r="B272" s="170"/>
      <c r="C272" s="168"/>
      <c r="D272" s="168"/>
      <c r="E272" s="166"/>
      <c r="F272" s="168"/>
      <c r="G272" s="169"/>
      <c r="H272" s="170"/>
    </row>
    <row r="273">
      <c r="A273" s="160"/>
      <c r="B273" s="161" t="s">
        <v>670</v>
      </c>
      <c r="C273" s="162"/>
      <c r="D273" s="162"/>
      <c r="E273" s="162"/>
      <c r="F273" s="162"/>
      <c r="G273" s="172"/>
      <c r="H273" s="162"/>
    </row>
    <row r="274" outlineLevel="1">
      <c r="A274" s="173"/>
      <c r="B274" s="174" t="s">
        <v>671</v>
      </c>
      <c r="C274" s="175"/>
      <c r="D274" s="175"/>
      <c r="E274" s="175"/>
      <c r="F274" s="175"/>
      <c r="G274" s="175"/>
      <c r="H274" s="175"/>
    </row>
    <row r="275" outlineLevel="1">
      <c r="A275" s="178" t="b">
        <v>0</v>
      </c>
      <c r="B275" s="170"/>
      <c r="C275" s="167" t="s">
        <v>672</v>
      </c>
      <c r="D275" s="168"/>
      <c r="E275" s="166"/>
      <c r="F275" s="168"/>
      <c r="G275" s="190" t="s">
        <v>673</v>
      </c>
      <c r="H275" s="170"/>
    </row>
    <row r="276" outlineLevel="1">
      <c r="A276" s="173"/>
      <c r="B276" s="174" t="s">
        <v>674</v>
      </c>
      <c r="C276" s="175"/>
      <c r="D276" s="175"/>
      <c r="E276" s="175"/>
      <c r="F276" s="175"/>
      <c r="G276" s="175"/>
      <c r="H276" s="175"/>
    </row>
    <row r="277" outlineLevel="1">
      <c r="A277" s="178" t="b">
        <v>0</v>
      </c>
      <c r="B277" s="170"/>
      <c r="C277" s="167" t="s">
        <v>675</v>
      </c>
      <c r="D277" s="168"/>
      <c r="E277" s="166"/>
      <c r="F277" s="168"/>
      <c r="G277" s="190" t="s">
        <v>676</v>
      </c>
      <c r="H277" s="170"/>
    </row>
    <row r="278" outlineLevel="1">
      <c r="A278" s="173"/>
      <c r="B278" s="174" t="s">
        <v>677</v>
      </c>
      <c r="C278" s="175"/>
      <c r="D278" s="175"/>
      <c r="E278" s="175"/>
      <c r="F278" s="175"/>
      <c r="G278" s="175"/>
      <c r="H278" s="175"/>
    </row>
    <row r="279" outlineLevel="1">
      <c r="A279" s="178" t="b">
        <v>0</v>
      </c>
      <c r="B279" s="170"/>
      <c r="C279" s="167" t="s">
        <v>678</v>
      </c>
      <c r="D279" s="168"/>
      <c r="E279" s="166"/>
      <c r="F279" s="168"/>
      <c r="G279" s="190" t="s">
        <v>679</v>
      </c>
      <c r="H279" s="170"/>
    </row>
    <row r="280" outlineLevel="1">
      <c r="A280" s="178" t="b">
        <v>0</v>
      </c>
      <c r="B280" s="170"/>
      <c r="C280" s="167" t="s">
        <v>680</v>
      </c>
      <c r="D280" s="168"/>
      <c r="E280" s="166"/>
      <c r="F280" s="168"/>
      <c r="G280" s="190" t="s">
        <v>681</v>
      </c>
      <c r="H280" s="170"/>
    </row>
    <row r="281" outlineLevel="1">
      <c r="A281" s="173"/>
      <c r="B281" s="174" t="s">
        <v>682</v>
      </c>
      <c r="C281" s="175"/>
      <c r="D281" s="175"/>
      <c r="E281" s="175"/>
      <c r="F281" s="175"/>
      <c r="G281" s="175"/>
      <c r="H281" s="175"/>
    </row>
    <row r="282" outlineLevel="1">
      <c r="A282" s="178" t="b">
        <v>0</v>
      </c>
      <c r="B282" s="170"/>
      <c r="C282" s="167" t="s">
        <v>683</v>
      </c>
      <c r="D282" s="168"/>
      <c r="E282" s="166"/>
      <c r="F282" s="168"/>
      <c r="G282" s="190" t="s">
        <v>684</v>
      </c>
      <c r="H282" s="170"/>
    </row>
    <row r="283" outlineLevel="1">
      <c r="A283" s="173"/>
      <c r="B283" s="174" t="s">
        <v>685</v>
      </c>
      <c r="C283" s="175"/>
      <c r="D283" s="175"/>
      <c r="E283" s="175"/>
      <c r="F283" s="175"/>
      <c r="G283" s="175"/>
      <c r="H283" s="175"/>
    </row>
    <row r="284" outlineLevel="1">
      <c r="A284" s="178" t="b">
        <v>0</v>
      </c>
      <c r="B284" s="170"/>
      <c r="C284" s="167" t="s">
        <v>686</v>
      </c>
      <c r="D284" s="168"/>
      <c r="E284" s="166"/>
      <c r="F284" s="168"/>
      <c r="G284" s="190" t="s">
        <v>687</v>
      </c>
      <c r="H284" s="170"/>
    </row>
    <row r="285" outlineLevel="1">
      <c r="A285" s="178" t="b">
        <v>0</v>
      </c>
      <c r="B285" s="170"/>
      <c r="C285" s="167" t="s">
        <v>688</v>
      </c>
      <c r="D285" s="168"/>
      <c r="E285" s="166"/>
      <c r="F285" s="168"/>
      <c r="G285" s="169"/>
      <c r="H285" s="170"/>
    </row>
    <row r="286" outlineLevel="1">
      <c r="A286" s="178" t="b">
        <v>0</v>
      </c>
      <c r="B286" s="170"/>
      <c r="C286" s="167" t="s">
        <v>689</v>
      </c>
      <c r="D286" s="168"/>
      <c r="E286" s="166"/>
      <c r="F286" s="168"/>
      <c r="G286" s="190" t="s">
        <v>690</v>
      </c>
      <c r="H286" s="170"/>
    </row>
    <row r="287" outlineLevel="1">
      <c r="A287" s="173"/>
      <c r="B287" s="174" t="s">
        <v>691</v>
      </c>
      <c r="C287" s="175"/>
      <c r="D287" s="175"/>
      <c r="E287" s="175"/>
      <c r="F287" s="175"/>
      <c r="G287" s="175"/>
      <c r="H287" s="175"/>
    </row>
    <row r="288" outlineLevel="1">
      <c r="A288" s="178" t="b">
        <v>0</v>
      </c>
      <c r="B288" s="170"/>
      <c r="C288" s="167" t="s">
        <v>692</v>
      </c>
      <c r="D288" s="168"/>
      <c r="E288" s="166"/>
      <c r="F288" s="168"/>
      <c r="G288" s="190" t="s">
        <v>693</v>
      </c>
      <c r="H288" s="170"/>
    </row>
    <row r="289" outlineLevel="1">
      <c r="A289" s="178" t="b">
        <v>0</v>
      </c>
      <c r="B289" s="170"/>
      <c r="C289" s="167" t="s">
        <v>694</v>
      </c>
      <c r="D289" s="168"/>
      <c r="E289" s="166"/>
      <c r="F289" s="168"/>
      <c r="G289" s="190" t="s">
        <v>695</v>
      </c>
      <c r="H289" s="170"/>
    </row>
    <row r="290" outlineLevel="1">
      <c r="A290" s="178" t="b">
        <v>0</v>
      </c>
      <c r="B290" s="170"/>
      <c r="C290" s="167" t="s">
        <v>696</v>
      </c>
      <c r="D290" s="168"/>
      <c r="E290" s="166"/>
      <c r="F290" s="168"/>
      <c r="G290" s="190" t="s">
        <v>697</v>
      </c>
      <c r="H290" s="170"/>
    </row>
    <row r="291" outlineLevel="1">
      <c r="A291" s="178" t="b">
        <v>0</v>
      </c>
      <c r="B291" s="170"/>
      <c r="C291" s="167" t="s">
        <v>698</v>
      </c>
      <c r="D291" s="168"/>
      <c r="E291" s="166"/>
      <c r="F291" s="168"/>
      <c r="G291" s="169"/>
      <c r="H291" s="170"/>
    </row>
    <row r="292" outlineLevel="1">
      <c r="A292" s="173"/>
      <c r="B292" s="174" t="s">
        <v>699</v>
      </c>
      <c r="C292" s="175"/>
      <c r="D292" s="175"/>
      <c r="E292" s="175"/>
      <c r="F292" s="175"/>
      <c r="G292" s="175"/>
      <c r="H292" s="175"/>
    </row>
    <row r="293" outlineLevel="1">
      <c r="A293" s="178" t="b">
        <v>0</v>
      </c>
      <c r="B293" s="170"/>
      <c r="C293" s="167" t="s">
        <v>700</v>
      </c>
      <c r="D293" s="168"/>
      <c r="E293" s="166"/>
      <c r="F293" s="168"/>
      <c r="G293" s="190" t="s">
        <v>701</v>
      </c>
      <c r="H293" s="170"/>
    </row>
    <row r="294" outlineLevel="1">
      <c r="A294" s="178" t="b">
        <v>0</v>
      </c>
      <c r="B294" s="170"/>
      <c r="C294" s="167" t="s">
        <v>702</v>
      </c>
      <c r="D294" s="168"/>
      <c r="E294" s="166"/>
      <c r="F294" s="168"/>
      <c r="G294" s="190" t="s">
        <v>703</v>
      </c>
      <c r="H294" s="170"/>
    </row>
    <row r="295" outlineLevel="1">
      <c r="A295" s="178" t="b">
        <v>0</v>
      </c>
      <c r="B295" s="170"/>
      <c r="C295" s="167" t="s">
        <v>704</v>
      </c>
      <c r="D295" s="168"/>
      <c r="E295" s="166"/>
      <c r="F295" s="168"/>
      <c r="G295" s="190" t="s">
        <v>701</v>
      </c>
      <c r="H295" s="170"/>
    </row>
    <row r="296" outlineLevel="1">
      <c r="A296" s="178" t="b">
        <v>0</v>
      </c>
      <c r="B296" s="170"/>
      <c r="C296" s="167" t="s">
        <v>705</v>
      </c>
      <c r="D296" s="168"/>
      <c r="E296" s="166"/>
      <c r="F296" s="168"/>
      <c r="G296" s="190" t="s">
        <v>706</v>
      </c>
      <c r="H296" s="170"/>
    </row>
    <row r="297" outlineLevel="1">
      <c r="A297" s="173"/>
      <c r="B297" s="174" t="s">
        <v>707</v>
      </c>
      <c r="C297" s="175"/>
      <c r="D297" s="175"/>
      <c r="E297" s="175"/>
      <c r="F297" s="175"/>
      <c r="G297" s="175"/>
      <c r="H297" s="175"/>
    </row>
    <row r="298" outlineLevel="1">
      <c r="A298" s="178" t="b">
        <v>0</v>
      </c>
      <c r="B298" s="170"/>
      <c r="C298" s="167" t="s">
        <v>708</v>
      </c>
      <c r="D298" s="168"/>
      <c r="E298" s="166"/>
      <c r="F298" s="168"/>
      <c r="G298" s="169"/>
      <c r="H298" s="170"/>
    </row>
    <row r="299" outlineLevel="1">
      <c r="A299" s="178" t="b">
        <v>0</v>
      </c>
      <c r="B299" s="170"/>
      <c r="C299" s="167" t="s">
        <v>709</v>
      </c>
      <c r="D299" s="168"/>
      <c r="E299" s="166"/>
      <c r="F299" s="168"/>
      <c r="G299" s="169"/>
      <c r="H299" s="170"/>
    </row>
    <row r="300" outlineLevel="1">
      <c r="A300" s="178" t="b">
        <v>0</v>
      </c>
      <c r="B300" s="170"/>
      <c r="C300" s="167" t="s">
        <v>710</v>
      </c>
      <c r="D300" s="168"/>
      <c r="E300" s="166"/>
      <c r="F300" s="168"/>
      <c r="G300" s="169"/>
      <c r="H300" s="170"/>
    </row>
    <row r="301" outlineLevel="1">
      <c r="A301" s="173"/>
      <c r="B301" s="174" t="s">
        <v>711</v>
      </c>
      <c r="C301" s="175"/>
      <c r="D301" s="175"/>
      <c r="E301" s="166"/>
      <c r="F301" s="175"/>
      <c r="G301" s="175"/>
      <c r="H301" s="175"/>
    </row>
    <row r="302" outlineLevel="1">
      <c r="A302" s="178" t="b">
        <v>0</v>
      </c>
      <c r="B302" s="170"/>
      <c r="C302" s="167" t="s">
        <v>712</v>
      </c>
      <c r="D302" s="168"/>
      <c r="E302" s="166"/>
      <c r="F302" s="168"/>
      <c r="G302" s="190" t="s">
        <v>713</v>
      </c>
      <c r="H302" s="170"/>
    </row>
    <row r="303" outlineLevel="1">
      <c r="A303" s="178" t="b">
        <v>0</v>
      </c>
      <c r="B303" s="170"/>
      <c r="C303" s="167" t="s">
        <v>714</v>
      </c>
      <c r="D303" s="168"/>
      <c r="E303" s="166"/>
      <c r="F303" s="168"/>
      <c r="G303" s="190" t="s">
        <v>715</v>
      </c>
      <c r="H303" s="170"/>
    </row>
    <row r="304" outlineLevel="1">
      <c r="A304" s="178" t="b">
        <v>0</v>
      </c>
      <c r="B304" s="170"/>
      <c r="C304" s="167" t="s">
        <v>716</v>
      </c>
      <c r="D304" s="168"/>
      <c r="E304" s="166"/>
      <c r="F304" s="168"/>
      <c r="G304" s="190" t="s">
        <v>717</v>
      </c>
      <c r="H304" s="170"/>
    </row>
    <row r="305" outlineLevel="1">
      <c r="A305" s="173"/>
      <c r="B305" s="174" t="s">
        <v>718</v>
      </c>
      <c r="C305" s="175"/>
      <c r="D305" s="175"/>
      <c r="E305" s="166"/>
      <c r="F305" s="175"/>
      <c r="G305" s="175"/>
      <c r="H305" s="175"/>
    </row>
    <row r="306" outlineLevel="1">
      <c r="A306" s="178" t="b">
        <v>0</v>
      </c>
      <c r="B306" s="170"/>
      <c r="C306" s="167" t="s">
        <v>719</v>
      </c>
      <c r="D306" s="168"/>
      <c r="E306" s="166"/>
      <c r="F306" s="168"/>
      <c r="G306" s="169"/>
      <c r="H306" s="170"/>
    </row>
    <row r="307" outlineLevel="1">
      <c r="A307" s="173"/>
      <c r="B307" s="174" t="s">
        <v>720</v>
      </c>
      <c r="C307" s="175"/>
      <c r="D307" s="175"/>
      <c r="E307" s="166"/>
      <c r="F307" s="175"/>
      <c r="G307" s="175"/>
      <c r="H307" s="175"/>
    </row>
    <row r="308" outlineLevel="1">
      <c r="A308" s="178" t="b">
        <v>0</v>
      </c>
      <c r="B308" s="170"/>
      <c r="C308" s="167" t="s">
        <v>721</v>
      </c>
      <c r="D308" s="168"/>
      <c r="E308" s="166"/>
      <c r="F308" s="168"/>
      <c r="G308" s="190" t="s">
        <v>722</v>
      </c>
      <c r="H308" s="170"/>
    </row>
    <row r="309" outlineLevel="1">
      <c r="A309" s="173"/>
      <c r="B309" s="174" t="s">
        <v>723</v>
      </c>
      <c r="C309" s="175"/>
      <c r="D309" s="175"/>
      <c r="E309" s="166"/>
      <c r="F309" s="175"/>
      <c r="G309" s="175"/>
      <c r="H309" s="175"/>
    </row>
    <row r="310" outlineLevel="1">
      <c r="A310" s="178" t="b">
        <v>0</v>
      </c>
      <c r="B310" s="170"/>
      <c r="C310" s="167" t="s">
        <v>724</v>
      </c>
      <c r="D310" s="168"/>
      <c r="E310" s="166"/>
      <c r="F310" s="168"/>
      <c r="G310" s="169"/>
      <c r="H310" s="170"/>
    </row>
    <row r="311" outlineLevel="1">
      <c r="A311" s="178" t="b">
        <v>0</v>
      </c>
      <c r="B311" s="170"/>
      <c r="C311" s="167" t="s">
        <v>725</v>
      </c>
      <c r="D311" s="168"/>
      <c r="E311" s="166"/>
      <c r="F311" s="168"/>
      <c r="G311" s="169"/>
      <c r="H311" s="170"/>
    </row>
    <row r="312" outlineLevel="1">
      <c r="A312" s="173"/>
      <c r="B312" s="174" t="s">
        <v>726</v>
      </c>
      <c r="C312" s="175"/>
      <c r="D312" s="175"/>
      <c r="E312" s="166"/>
      <c r="F312" s="175"/>
      <c r="G312" s="175"/>
      <c r="H312" s="175"/>
    </row>
    <row r="313" outlineLevel="1">
      <c r="A313" s="178" t="b">
        <v>0</v>
      </c>
      <c r="B313" s="170"/>
      <c r="C313" s="167" t="s">
        <v>727</v>
      </c>
      <c r="D313" s="168"/>
      <c r="E313" s="166"/>
      <c r="F313" s="168"/>
      <c r="G313" s="169"/>
      <c r="H313" s="170"/>
    </row>
    <row r="314" outlineLevel="1">
      <c r="A314" s="173"/>
      <c r="B314" s="174" t="s">
        <v>728</v>
      </c>
      <c r="C314" s="175"/>
      <c r="D314" s="175"/>
      <c r="E314" s="166"/>
      <c r="F314" s="175"/>
      <c r="G314" s="175"/>
      <c r="H314" s="175"/>
    </row>
    <row r="315" outlineLevel="1">
      <c r="A315" s="178" t="b">
        <v>0</v>
      </c>
      <c r="B315" s="170"/>
      <c r="C315" s="167" t="s">
        <v>729</v>
      </c>
      <c r="D315" s="168"/>
      <c r="E315" s="166"/>
      <c r="F315" s="168"/>
      <c r="G315" s="169"/>
      <c r="H315" s="170"/>
    </row>
    <row r="316" outlineLevel="1">
      <c r="A316" s="178" t="b">
        <v>0</v>
      </c>
      <c r="B316" s="170"/>
      <c r="C316" s="167" t="s">
        <v>730</v>
      </c>
      <c r="D316" s="168"/>
      <c r="E316" s="166"/>
      <c r="F316" s="168"/>
      <c r="G316" s="169"/>
      <c r="H316" s="170"/>
    </row>
    <row r="317" outlineLevel="1">
      <c r="A317" s="173"/>
      <c r="B317" s="174" t="s">
        <v>731</v>
      </c>
      <c r="C317" s="175"/>
      <c r="D317" s="175"/>
      <c r="E317" s="166"/>
      <c r="F317" s="175"/>
      <c r="G317" s="175"/>
      <c r="H317" s="175"/>
    </row>
    <row r="318" outlineLevel="1">
      <c r="A318" s="178" t="b">
        <v>0</v>
      </c>
      <c r="B318" s="170"/>
      <c r="C318" s="167" t="s">
        <v>732</v>
      </c>
      <c r="D318" s="168"/>
      <c r="E318" s="166"/>
      <c r="F318" s="168"/>
      <c r="G318" s="190" t="s">
        <v>733</v>
      </c>
      <c r="H318" s="170"/>
    </row>
    <row r="319" outlineLevel="1">
      <c r="A319" s="178" t="b">
        <v>0</v>
      </c>
      <c r="B319" s="170"/>
      <c r="C319" s="167" t="s">
        <v>734</v>
      </c>
      <c r="D319" s="168"/>
      <c r="E319" s="166"/>
      <c r="F319" s="168"/>
      <c r="G319" s="168"/>
      <c r="H319" s="170"/>
    </row>
    <row r="320" outlineLevel="1">
      <c r="A320" s="173"/>
      <c r="B320" s="174" t="s">
        <v>735</v>
      </c>
      <c r="C320" s="175"/>
      <c r="D320" s="175"/>
      <c r="E320" s="166"/>
      <c r="F320" s="175"/>
      <c r="G320" s="175"/>
      <c r="H320" s="175"/>
    </row>
    <row r="321" outlineLevel="1">
      <c r="A321" s="178" t="b">
        <v>0</v>
      </c>
      <c r="B321" s="170"/>
      <c r="C321" s="167" t="s">
        <v>736</v>
      </c>
      <c r="D321" s="168"/>
      <c r="E321" s="166"/>
      <c r="F321" s="168"/>
      <c r="G321" s="190" t="s">
        <v>737</v>
      </c>
      <c r="H321" s="170"/>
    </row>
    <row r="322" outlineLevel="1">
      <c r="A322" s="173"/>
      <c r="B322" s="174" t="s">
        <v>738</v>
      </c>
      <c r="C322" s="175"/>
      <c r="D322" s="175"/>
      <c r="E322" s="166"/>
      <c r="F322" s="175"/>
      <c r="G322" s="175"/>
      <c r="H322" s="175"/>
    </row>
    <row r="323" outlineLevel="1">
      <c r="A323" s="178" t="b">
        <v>0</v>
      </c>
      <c r="B323" s="170"/>
      <c r="C323" s="167" t="s">
        <v>739</v>
      </c>
      <c r="D323" s="168"/>
      <c r="E323" s="166"/>
      <c r="F323" s="168"/>
      <c r="G323" s="169"/>
      <c r="H323" s="170"/>
    </row>
    <row r="324" outlineLevel="1">
      <c r="A324" s="178" t="b">
        <v>0</v>
      </c>
      <c r="B324" s="170"/>
      <c r="C324" s="167" t="s">
        <v>740</v>
      </c>
      <c r="D324" s="168"/>
      <c r="E324" s="166"/>
      <c r="F324" s="168"/>
      <c r="G324" s="169"/>
      <c r="H324" s="170"/>
    </row>
    <row r="325" outlineLevel="1">
      <c r="A325" s="178" t="b">
        <v>0</v>
      </c>
      <c r="B325" s="170"/>
      <c r="C325" s="167" t="s">
        <v>741</v>
      </c>
      <c r="D325" s="168"/>
      <c r="E325" s="166"/>
      <c r="F325" s="168"/>
      <c r="G325" s="169"/>
      <c r="H325" s="170"/>
    </row>
    <row r="326" outlineLevel="1">
      <c r="A326" s="173"/>
      <c r="B326" s="174" t="s">
        <v>742</v>
      </c>
      <c r="C326" s="175"/>
      <c r="D326" s="175"/>
      <c r="E326" s="166"/>
      <c r="F326" s="175"/>
      <c r="G326" s="175"/>
      <c r="H326" s="175"/>
    </row>
    <row r="327" outlineLevel="1">
      <c r="A327" s="178" t="b">
        <v>0</v>
      </c>
      <c r="B327" s="170"/>
      <c r="C327" s="167" t="s">
        <v>743</v>
      </c>
      <c r="D327" s="168"/>
      <c r="E327" s="166"/>
      <c r="F327" s="168"/>
      <c r="G327" s="190" t="s">
        <v>744</v>
      </c>
      <c r="H327" s="170"/>
    </row>
    <row r="328" outlineLevel="1">
      <c r="A328" s="178" t="b">
        <v>0</v>
      </c>
      <c r="B328" s="170"/>
      <c r="C328" s="167" t="s">
        <v>745</v>
      </c>
      <c r="D328" s="168"/>
      <c r="E328" s="166"/>
      <c r="F328" s="168"/>
      <c r="G328" s="190" t="s">
        <v>744</v>
      </c>
      <c r="H328" s="170"/>
    </row>
    <row r="329" outlineLevel="1">
      <c r="A329" s="178" t="b">
        <v>0</v>
      </c>
      <c r="B329" s="170"/>
      <c r="C329" s="167" t="s">
        <v>746</v>
      </c>
      <c r="D329" s="168"/>
      <c r="E329" s="166"/>
      <c r="F329" s="168"/>
      <c r="G329" s="190" t="s">
        <v>744</v>
      </c>
      <c r="H329" s="170"/>
    </row>
    <row r="330" outlineLevel="1">
      <c r="A330" s="178" t="b">
        <v>0</v>
      </c>
      <c r="B330" s="170"/>
      <c r="C330" s="167" t="s">
        <v>747</v>
      </c>
      <c r="D330" s="168"/>
      <c r="E330" s="166"/>
      <c r="F330" s="168"/>
      <c r="G330" s="190" t="s">
        <v>744</v>
      </c>
      <c r="H330" s="170"/>
    </row>
    <row r="331" outlineLevel="1">
      <c r="A331" s="178" t="b">
        <v>0</v>
      </c>
      <c r="B331" s="170"/>
      <c r="C331" s="167" t="s">
        <v>748</v>
      </c>
      <c r="D331" s="168"/>
      <c r="E331" s="166"/>
      <c r="F331" s="168"/>
      <c r="G331" s="190" t="s">
        <v>744</v>
      </c>
      <c r="H331" s="170"/>
    </row>
    <row r="332" outlineLevel="1">
      <c r="A332" s="178" t="b">
        <v>0</v>
      </c>
      <c r="B332" s="170"/>
      <c r="C332" s="167" t="s">
        <v>749</v>
      </c>
      <c r="D332" s="168"/>
      <c r="E332" s="166"/>
      <c r="F332" s="168"/>
      <c r="G332" s="190" t="s">
        <v>744</v>
      </c>
      <c r="H332" s="170"/>
    </row>
    <row r="333" outlineLevel="1">
      <c r="A333" s="178" t="b">
        <v>0</v>
      </c>
      <c r="B333" s="170"/>
      <c r="C333" s="167" t="s">
        <v>750</v>
      </c>
      <c r="D333" s="168"/>
      <c r="E333" s="166"/>
      <c r="F333" s="168"/>
      <c r="G333" s="190" t="s">
        <v>744</v>
      </c>
      <c r="H333" s="170"/>
    </row>
    <row r="334" outlineLevel="1">
      <c r="A334" s="178" t="b">
        <v>0</v>
      </c>
      <c r="B334" s="170"/>
      <c r="C334" s="167" t="s">
        <v>751</v>
      </c>
      <c r="D334" s="168"/>
      <c r="E334" s="166"/>
      <c r="F334" s="168"/>
      <c r="G334" s="190" t="s">
        <v>744</v>
      </c>
      <c r="H334" s="170"/>
    </row>
    <row r="335" outlineLevel="1">
      <c r="A335" s="178" t="b">
        <v>0</v>
      </c>
      <c r="B335" s="170"/>
      <c r="C335" s="167" t="s">
        <v>752</v>
      </c>
      <c r="D335" s="168"/>
      <c r="E335" s="166"/>
      <c r="F335" s="168"/>
      <c r="G335" s="190" t="s">
        <v>744</v>
      </c>
      <c r="H335" s="170"/>
    </row>
    <row r="336" outlineLevel="1">
      <c r="A336" s="173"/>
      <c r="B336" s="175"/>
      <c r="C336" s="175"/>
      <c r="D336" s="175"/>
      <c r="E336" s="166"/>
      <c r="F336" s="175"/>
      <c r="G336" s="175"/>
      <c r="H336" s="175"/>
    </row>
    <row r="337" outlineLevel="1">
      <c r="A337" s="178" t="b">
        <v>0</v>
      </c>
      <c r="B337" s="170"/>
      <c r="C337" s="167" t="s">
        <v>594</v>
      </c>
      <c r="D337" s="168"/>
      <c r="E337" s="166"/>
      <c r="F337" s="168"/>
      <c r="G337" s="169"/>
      <c r="H337" s="170"/>
    </row>
    <row r="338" outlineLevel="1">
      <c r="A338" s="160"/>
      <c r="B338" s="162"/>
      <c r="C338" s="162"/>
      <c r="D338" s="162"/>
      <c r="E338" s="166"/>
      <c r="F338" s="162"/>
      <c r="G338" s="172"/>
      <c r="H338" s="162"/>
    </row>
    <row r="339" outlineLevel="1">
      <c r="A339" s="173"/>
      <c r="B339" s="175"/>
      <c r="C339" s="175"/>
      <c r="D339" s="175"/>
      <c r="E339" s="166"/>
      <c r="F339" s="175"/>
      <c r="G339" s="175"/>
      <c r="H339" s="175"/>
    </row>
    <row r="340" outlineLevel="1">
      <c r="A340" s="178" t="b">
        <v>0</v>
      </c>
      <c r="B340" s="170"/>
      <c r="C340" s="168"/>
      <c r="D340" s="168"/>
      <c r="E340" s="166"/>
      <c r="F340" s="168"/>
      <c r="G340" s="169"/>
      <c r="H340" s="170"/>
    </row>
    <row r="341" outlineLevel="1">
      <c r="A341" s="178" t="b">
        <v>0</v>
      </c>
      <c r="B341" s="170"/>
      <c r="C341" s="168"/>
      <c r="D341" s="168"/>
      <c r="E341" s="166"/>
      <c r="F341" s="168"/>
      <c r="G341" s="169"/>
      <c r="H341" s="170"/>
    </row>
    <row r="342" outlineLevel="1">
      <c r="A342" s="178" t="b">
        <v>0</v>
      </c>
      <c r="B342" s="170"/>
      <c r="C342" s="168"/>
      <c r="D342" s="168"/>
      <c r="E342" s="166"/>
      <c r="F342" s="168"/>
      <c r="G342" s="169"/>
      <c r="H342" s="170"/>
    </row>
    <row r="343" outlineLevel="1">
      <c r="A343" s="178" t="b">
        <v>0</v>
      </c>
      <c r="B343" s="170"/>
      <c r="C343" s="167" t="s">
        <v>753</v>
      </c>
      <c r="D343" s="168"/>
      <c r="E343" s="166"/>
      <c r="F343" s="168"/>
      <c r="G343" s="169"/>
      <c r="H343" s="170"/>
    </row>
    <row r="344" outlineLevel="1">
      <c r="A344" s="178" t="b">
        <v>0</v>
      </c>
      <c r="B344" s="170"/>
      <c r="C344" s="167" t="s">
        <v>754</v>
      </c>
      <c r="D344" s="168"/>
      <c r="E344" s="166"/>
      <c r="F344" s="168"/>
      <c r="G344" s="169"/>
      <c r="H344" s="170"/>
    </row>
    <row r="345">
      <c r="A345" s="178" t="b">
        <v>0</v>
      </c>
      <c r="B345" s="170"/>
      <c r="C345" s="168"/>
      <c r="D345" s="168"/>
      <c r="E345" s="166"/>
      <c r="F345" s="168"/>
      <c r="G345" s="169"/>
      <c r="H345" s="170"/>
    </row>
    <row r="346">
      <c r="A346" s="178" t="b">
        <v>0</v>
      </c>
      <c r="B346" s="170"/>
      <c r="C346" s="168"/>
      <c r="D346" s="168"/>
      <c r="E346" s="166"/>
      <c r="F346" s="168"/>
      <c r="G346" s="169"/>
      <c r="H346" s="170"/>
    </row>
    <row r="347">
      <c r="A347" s="178" t="b">
        <v>0</v>
      </c>
      <c r="B347" s="170"/>
      <c r="C347" s="168"/>
      <c r="D347" s="168"/>
      <c r="E347" s="166"/>
      <c r="F347" s="168"/>
      <c r="G347" s="169"/>
      <c r="H347" s="170"/>
    </row>
    <row r="348">
      <c r="A348" s="178" t="b">
        <v>0</v>
      </c>
      <c r="B348" s="170"/>
      <c r="C348" s="168"/>
      <c r="D348" s="168"/>
      <c r="E348" s="166"/>
      <c r="F348" s="168"/>
      <c r="G348" s="169"/>
      <c r="H348" s="170"/>
    </row>
    <row r="349">
      <c r="A349" s="178" t="b">
        <v>0</v>
      </c>
      <c r="B349" s="170"/>
      <c r="C349" s="168"/>
      <c r="D349" s="168"/>
      <c r="E349" s="166"/>
      <c r="F349" s="168"/>
      <c r="G349" s="169"/>
      <c r="H349" s="170"/>
    </row>
    <row r="350">
      <c r="A350" s="178" t="b">
        <v>0</v>
      </c>
      <c r="B350" s="170"/>
      <c r="C350" s="168"/>
      <c r="D350" s="168"/>
      <c r="E350" s="166"/>
      <c r="F350" s="168"/>
      <c r="G350" s="169"/>
      <c r="H350" s="170"/>
    </row>
    <row r="351">
      <c r="A351" s="178" t="b">
        <v>0</v>
      </c>
      <c r="B351" s="170"/>
      <c r="C351" s="168"/>
      <c r="D351" s="168"/>
      <c r="E351" s="166"/>
      <c r="F351" s="168"/>
      <c r="G351" s="169"/>
      <c r="H351" s="170"/>
    </row>
    <row r="352">
      <c r="A352" s="178" t="b">
        <v>0</v>
      </c>
      <c r="B352" s="170"/>
      <c r="C352" s="168"/>
      <c r="D352" s="168"/>
      <c r="E352" s="166"/>
      <c r="F352" s="168"/>
      <c r="G352" s="169"/>
      <c r="H352" s="170"/>
    </row>
    <row r="353">
      <c r="A353" s="178" t="b">
        <v>0</v>
      </c>
      <c r="B353" s="170"/>
      <c r="C353" s="168"/>
      <c r="D353" s="168"/>
      <c r="E353" s="166"/>
      <c r="F353" s="168"/>
      <c r="G353" s="169"/>
      <c r="H353" s="170"/>
    </row>
    <row r="354">
      <c r="A354" s="178" t="b">
        <v>0</v>
      </c>
      <c r="B354" s="170"/>
      <c r="C354" s="168"/>
      <c r="D354" s="168"/>
      <c r="E354" s="166"/>
      <c r="F354" s="168"/>
      <c r="G354" s="169"/>
      <c r="H354" s="170"/>
    </row>
    <row r="355">
      <c r="A355" s="178" t="b">
        <v>0</v>
      </c>
      <c r="B355" s="170"/>
      <c r="C355" s="168"/>
      <c r="D355" s="168"/>
      <c r="E355" s="166"/>
      <c r="F355" s="168"/>
      <c r="G355" s="169"/>
      <c r="H355" s="170"/>
    </row>
    <row r="356">
      <c r="A356" s="178" t="b">
        <v>0</v>
      </c>
      <c r="B356" s="170"/>
      <c r="C356" s="168"/>
      <c r="D356" s="168"/>
      <c r="E356" s="166"/>
      <c r="F356" s="168"/>
      <c r="G356" s="169"/>
      <c r="H356" s="170"/>
    </row>
    <row r="357">
      <c r="A357" s="178" t="b">
        <v>0</v>
      </c>
      <c r="B357" s="170"/>
      <c r="C357" s="168"/>
      <c r="D357" s="168"/>
      <c r="E357" s="166"/>
      <c r="F357" s="168"/>
      <c r="G357" s="169"/>
      <c r="H357" s="170"/>
    </row>
    <row r="358">
      <c r="A358" s="178" t="b">
        <v>0</v>
      </c>
      <c r="B358" s="170"/>
      <c r="C358" s="168"/>
      <c r="D358" s="168"/>
      <c r="E358" s="166"/>
      <c r="F358" s="168"/>
      <c r="G358" s="169"/>
      <c r="H358" s="170"/>
    </row>
    <row r="359">
      <c r="A359" s="178" t="b">
        <v>0</v>
      </c>
      <c r="B359" s="170"/>
      <c r="C359" s="168"/>
      <c r="D359" s="168"/>
      <c r="E359" s="166"/>
      <c r="F359" s="168"/>
      <c r="G359" s="169"/>
      <c r="H359" s="170"/>
    </row>
    <row r="360">
      <c r="A360" s="178" t="b">
        <v>0</v>
      </c>
      <c r="B360" s="170"/>
      <c r="C360" s="168"/>
      <c r="D360" s="168"/>
      <c r="E360" s="166"/>
      <c r="F360" s="168"/>
      <c r="G360" s="169"/>
      <c r="H360" s="170"/>
    </row>
    <row r="361">
      <c r="A361" s="178" t="b">
        <v>0</v>
      </c>
      <c r="B361" s="170"/>
      <c r="C361" s="168"/>
      <c r="D361" s="168"/>
      <c r="E361" s="166"/>
      <c r="F361" s="168"/>
      <c r="G361" s="169"/>
      <c r="H361" s="170"/>
    </row>
    <row r="362">
      <c r="A362" s="178" t="b">
        <v>0</v>
      </c>
      <c r="B362" s="170"/>
      <c r="C362" s="168"/>
      <c r="D362" s="168"/>
      <c r="E362" s="166"/>
      <c r="F362" s="168"/>
      <c r="G362" s="169"/>
      <c r="H362" s="170"/>
    </row>
    <row r="363">
      <c r="A363" s="178" t="b">
        <v>0</v>
      </c>
      <c r="B363" s="170"/>
      <c r="C363" s="168"/>
      <c r="D363" s="168"/>
      <c r="E363" s="166"/>
      <c r="F363" s="168"/>
      <c r="G363" s="169"/>
      <c r="H363" s="170"/>
    </row>
    <row r="364">
      <c r="A364" s="178" t="b">
        <v>0</v>
      </c>
      <c r="B364" s="170"/>
      <c r="C364" s="168"/>
      <c r="D364" s="168"/>
      <c r="E364" s="166"/>
      <c r="F364" s="168"/>
      <c r="G364" s="169"/>
      <c r="H364" s="170"/>
    </row>
    <row r="365">
      <c r="A365" s="178" t="b">
        <v>0</v>
      </c>
      <c r="B365" s="170"/>
      <c r="C365" s="168"/>
      <c r="D365" s="168"/>
      <c r="E365" s="166"/>
      <c r="F365" s="168"/>
      <c r="G365" s="169"/>
      <c r="H365" s="170"/>
    </row>
    <row r="366">
      <c r="A366" s="178" t="b">
        <v>0</v>
      </c>
      <c r="B366" s="170"/>
      <c r="C366" s="168"/>
      <c r="D366" s="168"/>
      <c r="E366" s="166"/>
      <c r="F366" s="168"/>
      <c r="G366" s="169"/>
      <c r="H366" s="170"/>
    </row>
    <row r="367">
      <c r="A367" s="178" t="b">
        <v>0</v>
      </c>
      <c r="B367" s="170"/>
      <c r="C367" s="168"/>
      <c r="D367" s="168"/>
      <c r="E367" s="166"/>
      <c r="F367" s="168"/>
      <c r="G367" s="169"/>
      <c r="H367" s="170"/>
    </row>
    <row r="368">
      <c r="A368" s="178" t="b">
        <v>0</v>
      </c>
      <c r="B368" s="170"/>
      <c r="C368" s="168"/>
      <c r="D368" s="168"/>
      <c r="E368" s="166"/>
      <c r="F368" s="168"/>
      <c r="G368" s="169"/>
      <c r="H368" s="170"/>
    </row>
    <row r="369">
      <c r="A369" s="178" t="b">
        <v>0</v>
      </c>
      <c r="B369" s="170"/>
      <c r="C369" s="168"/>
      <c r="D369" s="168"/>
      <c r="E369" s="166"/>
      <c r="F369" s="168"/>
      <c r="G369" s="169"/>
      <c r="H369" s="170"/>
    </row>
    <row r="370">
      <c r="A370" s="178" t="b">
        <v>0</v>
      </c>
      <c r="B370" s="170"/>
      <c r="C370" s="168"/>
      <c r="D370" s="168"/>
      <c r="E370" s="166"/>
      <c r="F370" s="168"/>
      <c r="G370" s="169"/>
      <c r="H370" s="170"/>
    </row>
  </sheetData>
  <mergeCells count="1">
    <mergeCell ref="A1:H1"/>
  </mergeCells>
  <dataValidations>
    <dataValidation type="list" allowBlank="1" showErrorMessage="1" sqref="F4:F48 F51:F56 F58:F69 F71:F77 F79:F85 F87:F95 F97:F106 F108:F111 F113:F114 F116:F124 F127:F132 F134:F145 F147:F153 F155:F161 F163:F171 F173:F183 F185:F188 F190:F193 F197:F202 F204:F215 F217:F223 F225:F231 F233:F241 F243:F253 F255:F258 F260:F263 F265:F272 F275 F277 F279:F280 F282 F284:F286 F288:F291 F293:F296 F298:F300 F302:F304 F306 F308 F310:F311 F313 F315:F316 F318:F319 F321 F323:F325 F327:F335 F337 F340:F370">
      <formula1>"Product Manager,Hub Manager ,Team,Enabling/ Platform team,Finance team ,Design team,DevOps team,Stakeholders"</formula1>
    </dataValidation>
    <dataValidation type="list" allowBlank="1" sqref="D4:D48 D51:D56 D58:D69 D71:D77 D79:D85 D87:D95 D97:D106 D108:D111 D113:D114 D116:D124 D127:D132 D134:D145 D147:D153 D155:D161 D163:D171 D173:D183 D185:D188 D190:D193 D197:D202 D204:D215 D217:D223 D225:D231 D233:D241 D243:D253 D255:D258 D260:D263 D265:D272 D275 D277 D279:D280 D282 D284:D286 D288:D291 D293:D296 D298:D300 D302:D304 D306 D308 D310:D311 D313 D315:D316 D318:D319 D321 D323:D325 D327:D335 D337 D340:D370">
      <formula1>"Email,Meeting,Workshop,Task,Other"</formula1>
    </dataValidation>
    <dataValidation type="custom" allowBlank="1" showDropDown="1" sqref="E4:E48 E51:E56 E58:E69 E71:E77 E79:E85 E87:E95 E97:E106 E108:E111 E113:E114 E116:E124 E127:E132 E134:E145 E147:E153 E155:E161 E163:E171 E173:E183 E185:E188 E197:E202 E204:E215 E217:E223 E225:E231 E233:E241 E243:E253 E255:E258 E260:E263 E265:E266 E272 E275 E277 E279:E280 E282 E284:E286 E288:E291 E293:E296 E298:E370">
      <formula1>OR(NOT(ISERROR(DATEVALUE(E4))), AND(ISNUMBER(E4), LEFT(CELL("format", E4))="D"))</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0" outlineLevelRow="1"/>
  <cols>
    <col customWidth="1" min="1" max="1" width="28.71"/>
    <col customWidth="1" min="2" max="6" width="10.86"/>
    <col customWidth="1" min="7" max="11" width="14.43"/>
    <col customWidth="1" min="12" max="12" width="14.57"/>
    <col customWidth="1" min="13" max="20" width="14.43"/>
    <col customWidth="1" min="21" max="21" width="53.71"/>
    <col customWidth="1" min="22" max="22" width="15.86"/>
  </cols>
  <sheetData>
    <row r="1" ht="37.5" customHeight="1">
      <c r="A1" s="1"/>
      <c r="B1" s="1" t="str">
        <f>CONCAT('Roadmap setting'!B3," - Team performance")</f>
        <v>SuperMarty project - Team performance</v>
      </c>
      <c r="U1" s="1"/>
      <c r="V1" s="1"/>
    </row>
    <row r="2" ht="26.25" customHeight="1">
      <c r="A2" s="70" t="s">
        <v>755</v>
      </c>
      <c r="B2" s="191" t="s">
        <v>756</v>
      </c>
      <c r="C2" s="192"/>
      <c r="D2" s="193" t="s">
        <v>757</v>
      </c>
      <c r="E2" s="192"/>
      <c r="F2" s="194"/>
      <c r="G2" s="195" t="s">
        <v>758</v>
      </c>
      <c r="H2" s="192"/>
      <c r="I2" s="192"/>
      <c r="J2" s="192"/>
      <c r="K2" s="194"/>
      <c r="L2" s="70" t="s">
        <v>759</v>
      </c>
      <c r="M2" s="192"/>
      <c r="N2" s="192"/>
      <c r="O2" s="192"/>
      <c r="P2" s="194"/>
      <c r="Q2" s="70" t="s">
        <v>760</v>
      </c>
      <c r="R2" s="192"/>
      <c r="S2" s="192"/>
      <c r="T2" s="194"/>
      <c r="U2" s="70" t="s">
        <v>73</v>
      </c>
      <c r="V2" s="196"/>
    </row>
    <row r="3" ht="26.25" customHeight="1">
      <c r="B3" s="197" t="s">
        <v>761</v>
      </c>
      <c r="C3" s="198" t="s">
        <v>762</v>
      </c>
      <c r="D3" s="199" t="s">
        <v>763</v>
      </c>
      <c r="E3" s="199" t="s">
        <v>764</v>
      </c>
      <c r="F3" s="199" t="s">
        <v>765</v>
      </c>
      <c r="G3" s="197" t="s">
        <v>766</v>
      </c>
      <c r="H3" s="200" t="s">
        <v>738</v>
      </c>
      <c r="I3" s="200" t="s">
        <v>36</v>
      </c>
      <c r="J3" s="200" t="s">
        <v>767</v>
      </c>
      <c r="K3" s="200" t="s">
        <v>768</v>
      </c>
      <c r="L3" s="197" t="s">
        <v>769</v>
      </c>
      <c r="M3" s="200" t="s">
        <v>770</v>
      </c>
      <c r="N3" s="200" t="s">
        <v>771</v>
      </c>
      <c r="O3" s="200" t="s">
        <v>772</v>
      </c>
      <c r="P3" s="198" t="s">
        <v>773</v>
      </c>
      <c r="Q3" s="200" t="s">
        <v>774</v>
      </c>
      <c r="R3" s="200" t="s">
        <v>775</v>
      </c>
      <c r="S3" s="200" t="s">
        <v>776</v>
      </c>
      <c r="T3" s="198" t="s">
        <v>777</v>
      </c>
      <c r="V3" s="196" t="s">
        <v>778</v>
      </c>
    </row>
    <row r="4" ht="18.75" customHeight="1" collapsed="1">
      <c r="A4" s="201" t="s">
        <v>779</v>
      </c>
      <c r="B4" s="202">
        <f t="shared" ref="B4:T4" si="1">IFERROR(AVERAGE(B$5:B$24),)</f>
        <v>0.694797069</v>
      </c>
      <c r="C4" s="202">
        <f t="shared" si="1"/>
        <v>1.077495421</v>
      </c>
      <c r="D4" s="203">
        <f t="shared" si="1"/>
        <v>21.5</v>
      </c>
      <c r="E4" s="203">
        <f t="shared" si="1"/>
        <v>41.33333333</v>
      </c>
      <c r="F4" s="203">
        <f t="shared" si="1"/>
        <v>40.75</v>
      </c>
      <c r="G4" s="202">
        <f t="shared" si="1"/>
        <v>0.9166666667</v>
      </c>
      <c r="H4" s="202">
        <f t="shared" si="1"/>
        <v>1</v>
      </c>
      <c r="I4" s="202">
        <f t="shared" si="1"/>
        <v>0.9</v>
      </c>
      <c r="J4" s="202">
        <f t="shared" si="1"/>
        <v>1.1875</v>
      </c>
      <c r="K4" s="202">
        <f t="shared" si="1"/>
        <v>1.035714286</v>
      </c>
      <c r="L4" s="202">
        <f t="shared" si="1"/>
        <v>1.104166667</v>
      </c>
      <c r="M4" s="202">
        <f t="shared" si="1"/>
        <v>1.071428571</v>
      </c>
      <c r="N4" s="202">
        <f t="shared" si="1"/>
        <v>0.9722222222</v>
      </c>
      <c r="O4" s="202">
        <f t="shared" si="1"/>
        <v>1.035714286</v>
      </c>
      <c r="P4" s="202">
        <f t="shared" si="1"/>
        <v>1.09375</v>
      </c>
      <c r="Q4" s="202">
        <f t="shared" si="1"/>
        <v>1</v>
      </c>
      <c r="R4" s="202">
        <f t="shared" si="1"/>
        <v>1</v>
      </c>
      <c r="S4" s="202">
        <f t="shared" si="1"/>
        <v>1.166666667</v>
      </c>
      <c r="T4" s="202">
        <f t="shared" si="1"/>
        <v>1.023809524</v>
      </c>
      <c r="U4" s="204"/>
      <c r="V4" s="205"/>
    </row>
    <row r="5" ht="18.75" hidden="1" customHeight="1" outlineLevel="1">
      <c r="A5" s="206" t="str">
        <f>Resources!$A4</f>
        <v>Mahsa Amiri</v>
      </c>
      <c r="B5" s="207" t="str">
        <f t="shared" ref="B5:B24" si="2">IF(AND(ISNUMBER($D5),ISNUMBER($F5)),IF($E5&gt;($D5-1),(($F5-$E5)*2)/$E5,(($F5-$D5)*2)/$D5)+100%,"")</f>
        <v/>
      </c>
      <c r="C5" s="207">
        <f t="shared" ref="C5:C24" si="3">IFERROR(IF(ISTEXT($A5),AVERAGE($G5:$T5),""))</f>
        <v>1.023809524</v>
      </c>
      <c r="D5" s="208">
        <f t="array" ref="D5">IF(ISTEXT($A5),Round(XLOOKUP($A5,Resources!$A$4:$A$23,Resources!$AB$4:$AB$23)*'Roadmap setting'!$B$10,0),"")</f>
        <v>19</v>
      </c>
      <c r="E5" s="208" t="str">
        <f>IFERROR(__xludf.DUMMYFUNCTION("IFERROR(IF(ISTEXT($A5),AVERAGE(FILTER(E$47:E160, ARRAYFORMULA(ISNUMBER(SEARCH($A5, $A$47:$A160))))),""""),)
"),"")</f>
        <v/>
      </c>
      <c r="F5" s="208" t="str">
        <f>IFERROR(__xludf.DUMMYFUNCTION("IFERROR(IF(ISTEXT($A5),AVERAGE(FILTER(F$47:F160, ARRAYFORMULA(ISNUMBER(SEARCH($A5, $A$47:$A160))))),""""),)
"),"")</f>
        <v/>
      </c>
      <c r="G5" s="207">
        <f t="array" ref="G5">IF(ISTEXT($A5), (IFERROR((SUMPRODUCT(($A$47:$A160 = $A5) * (G$47:G160 &lt;&gt; "") * IF(G$47:G160 = "Bad", -2, IF(G$47:G160 = "Below par", -1, IF(G$47:G160 = "Very well", 1, IF(G$47:G160 = "Excellent", 2, 0))))) / (COUNTIFS($A$47:$A160, $A5, G$47:G160, "&lt;&gt;")) * 25 + 50) / 50, "")),"")</f>
        <v>0.75</v>
      </c>
      <c r="H5" s="207">
        <f t="array" ref="H5">IF(ISTEXT($A5), (IFERROR((SUMPRODUCT(($A$47:$A160 = $A5) * (H$47:H160 &lt;&gt; "") * IF(H$47:H160 = "Bad", -2, IF(H$47:H160 = "Below par", -1, IF(H$47:H160 = "Very well", 1, IF(H$47:H160 = "Excellent", 2, 0))))) / (COUNTIFS($A$47:$A160, $A5, H$47:H160, "&lt;&gt;")) * 25 + 50) / 50, "")),"")</f>
        <v>1</v>
      </c>
      <c r="I5" s="207">
        <f t="array" ref="I5">IF(ISTEXT($A5), (IFERROR((SUMPRODUCT(($A$47:$A160 = $A5) * (I$47:I160 &lt;&gt; "") * IF(I$47:I160 = "Bad", -2, IF(I$47:I160 = "Below par", -1, IF(I$47:I160 = "Very well", 1, IF(I$47:I160 = "Excellent", 2, 0))))) / (COUNTIFS($A$47:$A160, $A5, I$47:I160, "&lt;&gt;")) * 25 + 50) / 50, "")),"")</f>
        <v>1</v>
      </c>
      <c r="J5" s="207">
        <f t="array" ref="J5">IF(ISTEXT($A5), (IFERROR((SUMPRODUCT(($A$47:$A160 = $A5) * (J$47:J160 &lt;&gt; "") * IF(J$47:J160 = "Bad", -2, IF(J$47:J160 = "Below par", -1, IF(J$47:J160 = "Very well", 1, IF(J$47:J160 = "Excellent", 2, 0))))) / (COUNTIFS($A$47:$A160, $A5, J$47:J160, "&lt;&gt;")) * 25 + 50) / 50, "")),"")</f>
        <v>1</v>
      </c>
      <c r="K5" s="207">
        <f t="array" ref="K5">IF(ISTEXT($A5), (IFERROR((SUMPRODUCT(($A$47:$A160 = $A5) * (K$47:K160 &lt;&gt; "") * IF(K$47:K160 = "Bad", -2, IF(K$47:K160 = "Below par", -1, IF(K$47:K160 = "Very well", 1, IF(K$47:K160 = "Excellent", 2, 0))))) / (COUNTIFS($A$47:$A160, $A5, K$47:K160, "&lt;&gt;")) * 25 + 50) / 50, "")),"")</f>
        <v>1</v>
      </c>
      <c r="L5" s="207">
        <f t="array" ref="L5">IF(ISTEXT($A5), (IFERROR((SUMPRODUCT(($A$47:$A160 = $A5) * (L$47:L160 &lt;&gt; "") * IF(L$47:L160 = "Bad", -2, IF(L$47:L160 = "Below par", -1, IF(L$47:L160 = "Very well", 1, IF(L$47:L160 = "Excellent", 2, 0))))) / (COUNTIFS($A$47:$A160, $A5, L$47:L160, "&lt;&gt;")) * 25 + 50) / 50, "")),"")</f>
        <v>1.333333333</v>
      </c>
      <c r="M5" s="207">
        <f t="array" ref="M5">IF(ISTEXT($A5), (IFERROR((SUMPRODUCT(($A$47:$A160 = $A5) * (M$47:M160 &lt;&gt; "") * IF(M$47:M160 = "Bad", -2, IF(M$47:M160 = "Below par", -1, IF(M$47:M160 = "Very well", 1, IF(M$47:M160 = "Excellent", 2, 0))))) / (COUNTIFS($A$47:$A160, $A5, M$47:M160, "&lt;&gt;")) * 25 + 50) / 50, "")),"")</f>
        <v>1</v>
      </c>
      <c r="N5" s="207">
        <f t="array" ref="N5">IF(ISTEXT($A5), (IFERROR((SUMPRODUCT(($A$47:$A160 = $A5) * (N$47:N160 &lt;&gt; "") * IF(N$47:N160 = "Bad", -2, IF(N$47:N160 = "Below par", -1, IF(N$47:N160 = "Very well", 1, IF(N$47:N160 = "Excellent", 2, 0))))) / (COUNTIFS($A$47:$A160, $A5, N$47:N160, "&lt;&gt;")) * 25 + 50) / 50, "")),"")</f>
        <v>1</v>
      </c>
      <c r="O5" s="207">
        <f t="array" ref="O5">IF(ISTEXT($A5), (IFERROR((SUMPRODUCT(($A$47:$A160 = $A5) * (O$47:O160 &lt;&gt; "") * IF(O$47:O160 = "Bad", -2, IF(O$47:O160 = "Below par", -1, IF(O$47:O160 = "Very well", 1, IF(O$47:O160 = "Excellent", 2, 0))))) / (COUNTIFS($A$47:$A160, $A5, O$47:O160, "&lt;&gt;")) * 25 + 50) / 50, "")),"")</f>
        <v>1</v>
      </c>
      <c r="P5" s="207">
        <f t="array" ref="P5">IF(ISTEXT($A5), (IFERROR((SUMPRODUCT(($A$47:$A160 = $A5) * (P$47:P160 &lt;&gt; "") * IF(P$47:P160 = "Bad", -2, IF(P$47:P160 = "Below par", -1, IF(P$47:P160 = "Very well", 1, IF(P$47:P160 = "Excellent", 2, 0))))) / (COUNTIFS($A$47:$A160, $A5, P$47:P160, "&lt;&gt;")) * 25 + 50) / 50, "")),"")</f>
        <v>1.25</v>
      </c>
      <c r="Q5" s="207">
        <f t="array" ref="Q5">IF(ISTEXT($A5), (IFERROR((SUMPRODUCT(($A$47:$A160 = $A5) * (Q$47:Q160 &lt;&gt; "") * IF(Q$47:Q160 = "Bad", -2, IF(Q$47:Q160 = "Below par", -1, IF(Q$47:Q160 = "Very well", 1, IF(Q$47:Q160 = "Excellent", 2, 0))))) / (COUNTIFS($A$47:$A160, $A5, Q$47:Q160, "&lt;&gt;")) * 25 + 50) / 50, "")),"")</f>
        <v>1</v>
      </c>
      <c r="R5" s="207">
        <f t="array" ref="R5">IF(ISTEXT($A5), (IFERROR((SUMPRODUCT(($A$47:$A160 = $A5) * (R$47:R160 &lt;&gt; "") * IF(R$47:R160 = "Bad", -2, IF(R$47:R160 = "Below par", -1, IF(R$47:R160 = "Very well", 1, IF(R$47:R160 = "Excellent", 2, 0))))) / (COUNTIFS($A$47:$A160, $A5, R$47:R160, "&lt;&gt;")) * 25 + 50) / 50, "")),"")</f>
        <v>1</v>
      </c>
      <c r="S5" s="207">
        <f t="array" ref="S5">IF(ISTEXT($A5), (IFERROR((SUMPRODUCT(($A$47:$A160 = $A5) * (S$47:S160 &lt;&gt; "") * IF(S$47:S160 = "Bad", -2, IF(S$47:S160 = "Below par", -1, IF(S$47:S160 = "Very well", 1, IF(S$47:S160 = "Excellent", 2, 0))))) / (COUNTIFS($A$47:$A160, $A5, S$47:S160, "&lt;&gt;")) * 25 + 50) / 50, "")),"")</f>
        <v>1</v>
      </c>
      <c r="T5" s="207">
        <f t="array" ref="T5">IF(ISTEXT($A5), (IFERROR((SUMPRODUCT(($A$47:$A160 = $A5) * (T$47:T160 &lt;&gt; "") * IF(T$47:T160 = "Bad", -2, IF(T$47:T160 = "Below par", -1, IF(T$47:T160 = "Very well", 1, IF(T$47:T160 = "Excellent", 2, 0))))) / (COUNTIFS($A$47:$A160, $A5, T$47:T160, "&lt;&gt;")) * 25 + 50) / 50, "")),"")</f>
        <v>1</v>
      </c>
      <c r="U5" s="209"/>
      <c r="V5" s="210"/>
    </row>
    <row r="6" ht="18.75" hidden="1" customHeight="1" outlineLevel="1">
      <c r="A6" s="206" t="str">
        <f>Resources!$A5</f>
        <v>Javad Zaki</v>
      </c>
      <c r="B6" s="207" t="str">
        <f t="shared" si="2"/>
        <v/>
      </c>
      <c r="C6" s="207">
        <f t="shared" si="3"/>
        <v>1</v>
      </c>
      <c r="D6" s="208">
        <f t="array" ref="D6">IF(ISTEXT($A6),Round(XLOOKUP($A6,Resources!$A$4:$A$23,Resources!$AB$4:$AB$23)*'Roadmap setting'!$B$10,0),"")</f>
        <v>7</v>
      </c>
      <c r="E6" s="208" t="str">
        <f>IFERROR(__xludf.DUMMYFUNCTION("IFERROR(IF(ISTEXT($A6),AVERAGE(FILTER(E$47:E160, ARRAYFORMULA(ISNUMBER(SEARCH($A6, $A$47:$A160))))),""""),)
"),"")</f>
        <v/>
      </c>
      <c r="F6" s="208" t="str">
        <f>IFERROR(__xludf.DUMMYFUNCTION("IFERROR(IF(ISTEXT($A6),AVERAGE(FILTER(F$47:F160, ARRAYFORMULA(ISNUMBER(SEARCH($A6, $A$47:$A160))))),""""),)
"),"")</f>
        <v/>
      </c>
      <c r="G6" s="207" t="str">
        <f t="array" ref="G6">IF(ISTEXT($A6), (IFERROR((SUMPRODUCT(($A$47:$A160 = $A6) * (G$47:G160 &lt;&gt; "") * IF(G$47:G160 = "Bad", -2, IF(G$47:G160 = "Below par", -1, IF(G$47:G160 = "Very well", 1, IF(G$47:G160 = "Excellent", 2, 0))))) / (COUNTIFS($A$47:$A160, $A6, G$47:G160, "&lt;&gt;")) * 25 + 50) / 50, "")),"")</f>
        <v/>
      </c>
      <c r="H6" s="207">
        <f t="array" ref="H6">IF(ISTEXT($A6), (IFERROR((SUMPRODUCT(($A$47:$A160 = $A6) * (H$47:H160 &lt;&gt; "") * IF(H$47:H160 = "Bad", -2, IF(H$47:H160 = "Below par", -1, IF(H$47:H160 = "Very well", 1, IF(H$47:H160 = "Excellent", 2, 0))))) / (COUNTIFS($A$47:$A160, $A6, H$47:H160, "&lt;&gt;")) * 25 + 50) / 50, "")),"")</f>
        <v>1</v>
      </c>
      <c r="I6" s="207" t="str">
        <f t="array" ref="I6">IF(ISTEXT($A6), (IFERROR((SUMPRODUCT(($A$47:$A160 = $A6) * (I$47:I160 &lt;&gt; "") * IF(I$47:I160 = "Bad", -2, IF(I$47:I160 = "Below par", -1, IF(I$47:I160 = "Very well", 1, IF(I$47:I160 = "Excellent", 2, 0))))) / (COUNTIFS($A$47:$A160, $A6, I$47:I160, "&lt;&gt;")) * 25 + 50) / 50, "")),"")</f>
        <v/>
      </c>
      <c r="J6" s="207">
        <f t="array" ref="J6">IF(ISTEXT($A6), (IFERROR((SUMPRODUCT(($A$47:$A160 = $A6) * (J$47:J160 &lt;&gt; "") * IF(J$47:J160 = "Bad", -2, IF(J$47:J160 = "Below par", -1, IF(J$47:J160 = "Very well", 1, IF(J$47:J160 = "Excellent", 2, 0))))) / (COUNTIFS($A$47:$A160, $A6, J$47:J160, "&lt;&gt;")) * 25 + 50) / 50, "")),"")</f>
        <v>1</v>
      </c>
      <c r="K6" s="207">
        <f t="array" ref="K6">IF(ISTEXT($A6), (IFERROR((SUMPRODUCT(($A$47:$A160 = $A6) * (K$47:K160 &lt;&gt; "") * IF(K$47:K160 = "Bad", -2, IF(K$47:K160 = "Below par", -1, IF(K$47:K160 = "Very well", 1, IF(K$47:K160 = "Excellent", 2, 0))))) / (COUNTIFS($A$47:$A160, $A6, K$47:K160, "&lt;&gt;")) * 25 + 50) / 50, "")),"")</f>
        <v>1</v>
      </c>
      <c r="L6" s="207">
        <f t="array" ref="L6">IF(ISTEXT($A6), (IFERROR((SUMPRODUCT(($A$47:$A160 = $A6) * (L$47:L160 &lt;&gt; "") * IF(L$47:L160 = "Bad", -2, IF(L$47:L160 = "Below par", -1, IF(L$47:L160 = "Very well", 1, IF(L$47:L160 = "Excellent", 2, 0))))) / (COUNTIFS($A$47:$A160, $A6, L$47:L160, "&lt;&gt;")) * 25 + 50) / 50, "")),"")</f>
        <v>1</v>
      </c>
      <c r="M6" s="207">
        <f t="array" ref="M6">IF(ISTEXT($A6), (IFERROR((SUMPRODUCT(($A$47:$A160 = $A6) * (M$47:M160 &lt;&gt; "") * IF(M$47:M160 = "Bad", -2, IF(M$47:M160 = "Below par", -1, IF(M$47:M160 = "Very well", 1, IF(M$47:M160 = "Excellent", 2, 0))))) / (COUNTIFS($A$47:$A160, $A6, M$47:M160, "&lt;&gt;")) * 25 + 50) / 50, "")),"")</f>
        <v>1</v>
      </c>
      <c r="N6" s="207" t="str">
        <f t="array" ref="N6">IF(ISTEXT($A6), (IFERROR((SUMPRODUCT(($A$47:$A160 = $A6) * (N$47:N160 &lt;&gt; "") * IF(N$47:N160 = "Bad", -2, IF(N$47:N160 = "Below par", -1, IF(N$47:N160 = "Very well", 1, IF(N$47:N160 = "Excellent", 2, 0))))) / (COUNTIFS($A$47:$A160, $A6, N$47:N160, "&lt;&gt;")) * 25 + 50) / 50, "")),"")</f>
        <v/>
      </c>
      <c r="O6" s="207">
        <f t="array" ref="O6">IF(ISTEXT($A6), (IFERROR((SUMPRODUCT(($A$47:$A160 = $A6) * (O$47:O160 &lt;&gt; "") * IF(O$47:O160 = "Bad", -2, IF(O$47:O160 = "Below par", -1, IF(O$47:O160 = "Very well", 1, IF(O$47:O160 = "Excellent", 2, 0))))) / (COUNTIFS($A$47:$A160, $A6, O$47:O160, "&lt;&gt;")) * 25 + 50) / 50, "")),"")</f>
        <v>1</v>
      </c>
      <c r="P6" s="207">
        <f t="array" ref="P6">IF(ISTEXT($A6), (IFERROR((SUMPRODUCT(($A$47:$A160 = $A6) * (P$47:P160 &lt;&gt; "") * IF(P$47:P160 = "Bad", -2, IF(P$47:P160 = "Below par", -1, IF(P$47:P160 = "Very well", 1, IF(P$47:P160 = "Excellent", 2, 0))))) / (COUNTIFS($A$47:$A160, $A6, P$47:P160, "&lt;&gt;")) * 25 + 50) / 50, "")),"")</f>
        <v>1</v>
      </c>
      <c r="Q6" s="207" t="str">
        <f t="array" ref="Q6">IF(ISTEXT($A6), (IFERROR((SUMPRODUCT(($A$47:$A160 = $A6) * (Q$47:Q160 &lt;&gt; "") * IF(Q$47:Q160 = "Bad", -2, IF(Q$47:Q160 = "Below par", -1, IF(Q$47:Q160 = "Very well", 1, IF(Q$47:Q160 = "Excellent", 2, 0))))) / (COUNTIFS($A$47:$A160, $A6, Q$47:Q160, "&lt;&gt;")) * 25 + 50) / 50, "")),"")</f>
        <v/>
      </c>
      <c r="R6" s="207" t="str">
        <f t="array" ref="R6">IF(ISTEXT($A6), (IFERROR((SUMPRODUCT(($A$47:$A160 = $A6) * (R$47:R160 &lt;&gt; "") * IF(R$47:R160 = "Bad", -2, IF(R$47:R160 = "Below par", -1, IF(R$47:R160 = "Very well", 1, IF(R$47:R160 = "Excellent", 2, 0))))) / (COUNTIFS($A$47:$A160, $A6, R$47:R160, "&lt;&gt;")) * 25 + 50) / 50, "")),"")</f>
        <v/>
      </c>
      <c r="S6" s="207" t="str">
        <f t="array" ref="S6">IF(ISTEXT($A6), (IFERROR((SUMPRODUCT(($A$47:$A160 = $A6) * (S$47:S160 &lt;&gt; "") * IF(S$47:S160 = "Bad", -2, IF(S$47:S160 = "Below par", -1, IF(S$47:S160 = "Very well", 1, IF(S$47:S160 = "Excellent", 2, 0))))) / (COUNTIFS($A$47:$A160, $A6, S$47:S160, "&lt;&gt;")) * 25 + 50) / 50, "")),"")</f>
        <v/>
      </c>
      <c r="T6" s="207">
        <f t="array" ref="T6">IF(ISTEXT($A6), (IFERROR((SUMPRODUCT(($A$47:$A160 = $A6) * (T$47:T160 &lt;&gt; "") * IF(T$47:T160 = "Bad", -2, IF(T$47:T160 = "Below par", -1, IF(T$47:T160 = "Very well", 1, IF(T$47:T160 = "Excellent", 2, 0))))) / (COUNTIFS($A$47:$A160, $A6, T$47:T160, "&lt;&gt;")) * 25 + 50) / 50, "")),"")</f>
        <v>1</v>
      </c>
      <c r="U6" s="209"/>
      <c r="V6" s="210"/>
    </row>
    <row r="7" ht="18.75" hidden="1" customHeight="1" outlineLevel="1">
      <c r="A7" s="206" t="str">
        <f>Resources!$A6</f>
        <v>Komeyl Mohebbian</v>
      </c>
      <c r="B7" s="207">
        <f t="shared" si="2"/>
        <v>0.2021276596</v>
      </c>
      <c r="C7" s="207">
        <f t="shared" si="3"/>
        <v>1.5</v>
      </c>
      <c r="D7" s="208">
        <f t="array" ref="D7">IF(ISTEXT($A7),Round(XLOOKUP($A7,Resources!$A$4:$A$23,Resources!$AB$4:$AB$23)*'Roadmap setting'!$B$10,0),"")</f>
        <v>47</v>
      </c>
      <c r="E7" s="208">
        <f>IFERROR(__xludf.DUMMYFUNCTION("IFERROR(IF(ISTEXT($A7),AVERAGE(FILTER(E$47:E160, ARRAYFORMULA(ISNUMBER(SEARCH($A7, $A$47:$A160))))),""""),)
"),28.25)</f>
        <v>28.25</v>
      </c>
      <c r="F7" s="208">
        <f>IFERROR(__xludf.DUMMYFUNCTION("IFERROR(IF(ISTEXT($A7),AVERAGE(FILTER(F$47:F160, ARRAYFORMULA(ISNUMBER(SEARCH($A7, $A$47:$A160))))),""""),)
"),28.25)</f>
        <v>28.25</v>
      </c>
      <c r="G7" s="207" t="str">
        <f t="array" ref="G7">IF(ISTEXT($A7), (IFERROR((SUMPRODUCT(($A$47:$A160 = $A7) * (G$47:G160 &lt;&gt; "") * IF(G$47:G160 = "Bad", -2, IF(G$47:G160 = "Below par", -1, IF(G$47:G160 = "Very well", 1, IF(G$47:G160 = "Excellent", 2, 0))))) / (COUNTIFS($A$47:$A160, $A7, G$47:G160, "&lt;&gt;")) * 25 + 50) / 50, "")),"")</f>
        <v/>
      </c>
      <c r="H7" s="207" t="str">
        <f t="array" ref="H7">IF(ISTEXT($A7), (IFERROR((SUMPRODUCT(($A$47:$A160 = $A7) * (H$47:H160 &lt;&gt; "") * IF(H$47:H160 = "Bad", -2, IF(H$47:H160 = "Below par", -1, IF(H$47:H160 = "Very well", 1, IF(H$47:H160 = "Excellent", 2, 0))))) / (COUNTIFS($A$47:$A160, $A7, H$47:H160, "&lt;&gt;")) * 25 + 50) / 50, "")),"")</f>
        <v/>
      </c>
      <c r="I7" s="207" t="str">
        <f t="array" ref="I7">IF(ISTEXT($A7), (IFERROR((SUMPRODUCT(($A$47:$A160 = $A7) * (I$47:I160 &lt;&gt; "") * IF(I$47:I160 = "Bad", -2, IF(I$47:I160 = "Below par", -1, IF(I$47:I160 = "Very well", 1, IF(I$47:I160 = "Excellent", 2, 0))))) / (COUNTIFS($A$47:$A160, $A7, I$47:I160, "&lt;&gt;")) * 25 + 50) / 50, "")),"")</f>
        <v/>
      </c>
      <c r="J7" s="207">
        <f t="array" ref="J7">IF(ISTEXT($A7), (IFERROR((SUMPRODUCT(($A$47:$A160 = $A7) * (J$47:J160 &lt;&gt; "") * IF(J$47:J160 = "Bad", -2, IF(J$47:J160 = "Below par", -1, IF(J$47:J160 = "Very well", 1, IF(J$47:J160 = "Excellent", 2, 0))))) / (COUNTIFS($A$47:$A160, $A7, J$47:J160, "&lt;&gt;")) * 25 + 50) / 50, "")),"")</f>
        <v>1.5</v>
      </c>
      <c r="K7" s="207" t="str">
        <f t="array" ref="K7">IF(ISTEXT($A7), (IFERROR((SUMPRODUCT(($A$47:$A160 = $A7) * (K$47:K160 &lt;&gt; "") * IF(K$47:K160 = "Bad", -2, IF(K$47:K160 = "Below par", -1, IF(K$47:K160 = "Very well", 1, IF(K$47:K160 = "Excellent", 2, 0))))) / (COUNTIFS($A$47:$A160, $A7, K$47:K160, "&lt;&gt;")) * 25 + 50) / 50, "")),"")</f>
        <v/>
      </c>
      <c r="L7" s="207">
        <f t="array" ref="L7">IF(ISTEXT($A7), (IFERROR((SUMPRODUCT(($A$47:$A160 = $A7) * (L$47:L160 &lt;&gt; "") * IF(L$47:L160 = "Bad", -2, IF(L$47:L160 = "Below par", -1, IF(L$47:L160 = "Very well", 1, IF(L$47:L160 = "Excellent", 2, 0))))) / (COUNTIFS($A$47:$A160, $A7, L$47:L160, "&lt;&gt;")) * 25 + 50) / 50, "")),"")</f>
        <v>1.5</v>
      </c>
      <c r="M7" s="207" t="str">
        <f t="array" ref="M7">IF(ISTEXT($A7), (IFERROR((SUMPRODUCT(($A$47:$A160 = $A7) * (M$47:M160 &lt;&gt; "") * IF(M$47:M160 = "Bad", -2, IF(M$47:M160 = "Below par", -1, IF(M$47:M160 = "Very well", 1, IF(M$47:M160 = "Excellent", 2, 0))))) / (COUNTIFS($A$47:$A160, $A7, M$47:M160, "&lt;&gt;")) * 25 + 50) / 50, "")),"")</f>
        <v/>
      </c>
      <c r="N7" s="207" t="str">
        <f t="array" ref="N7">IF(ISTEXT($A7), (IFERROR((SUMPRODUCT(($A$47:$A160 = $A7) * (N$47:N160 &lt;&gt; "") * IF(N$47:N160 = "Bad", -2, IF(N$47:N160 = "Below par", -1, IF(N$47:N160 = "Very well", 1, IF(N$47:N160 = "Excellent", 2, 0))))) / (COUNTIFS($A$47:$A160, $A7, N$47:N160, "&lt;&gt;")) * 25 + 50) / 50, "")),"")</f>
        <v/>
      </c>
      <c r="O7" s="207" t="str">
        <f t="array" ref="O7">IF(ISTEXT($A7), (IFERROR((SUMPRODUCT(($A$47:$A160 = $A7) * (O$47:O160 &lt;&gt; "") * IF(O$47:O160 = "Bad", -2, IF(O$47:O160 = "Below par", -1, IF(O$47:O160 = "Very well", 1, IF(O$47:O160 = "Excellent", 2, 0))))) / (COUNTIFS($A$47:$A160, $A7, O$47:O160, "&lt;&gt;")) * 25 + 50) / 50, "")),"")</f>
        <v/>
      </c>
      <c r="P7" s="207">
        <f t="array" ref="P7">IF(ISTEXT($A7), (IFERROR((SUMPRODUCT(($A$47:$A160 = $A7) * (P$47:P160 &lt;&gt; "") * IF(P$47:P160 = "Bad", -2, IF(P$47:P160 = "Below par", -1, IF(P$47:P160 = "Very well", 1, IF(P$47:P160 = "Excellent", 2, 0))))) / (COUNTIFS($A$47:$A160, $A7, P$47:P160, "&lt;&gt;")) * 25 + 50) / 50, "")),"")</f>
        <v>1.5</v>
      </c>
      <c r="Q7" s="207" t="str">
        <f t="array" ref="Q7">IF(ISTEXT($A7), (IFERROR((SUMPRODUCT(($A$47:$A160 = $A7) * (Q$47:Q160 &lt;&gt; "") * IF(Q$47:Q160 = "Bad", -2, IF(Q$47:Q160 = "Below par", -1, IF(Q$47:Q160 = "Very well", 1, IF(Q$47:Q160 = "Excellent", 2, 0))))) / (COUNTIFS($A$47:$A160, $A7, Q$47:Q160, "&lt;&gt;")) * 25 + 50) / 50, "")),"")</f>
        <v/>
      </c>
      <c r="R7" s="207" t="str">
        <f t="array" ref="R7">IF(ISTEXT($A7), (IFERROR((SUMPRODUCT(($A$47:$A160 = $A7) * (R$47:R160 &lt;&gt; "") * IF(R$47:R160 = "Bad", -2, IF(R$47:R160 = "Below par", -1, IF(R$47:R160 = "Very well", 1, IF(R$47:R160 = "Excellent", 2, 0))))) / (COUNTIFS($A$47:$A160, $A7, R$47:R160, "&lt;&gt;")) * 25 + 50) / 50, "")),"")</f>
        <v/>
      </c>
      <c r="S7" s="207">
        <f t="array" ref="S7">IF(ISTEXT($A7), (IFERROR((SUMPRODUCT(($A$47:$A160 = $A7) * (S$47:S160 &lt;&gt; "") * IF(S$47:S160 = "Bad", -2, IF(S$47:S160 = "Below par", -1, IF(S$47:S160 = "Very well", 1, IF(S$47:S160 = "Excellent", 2, 0))))) / (COUNTIFS($A$47:$A160, $A7, S$47:S160, "&lt;&gt;")) * 25 + 50) / 50, "")),"")</f>
        <v>1.5</v>
      </c>
      <c r="T7" s="207" t="str">
        <f t="array" ref="T7">IF(ISTEXT($A7), (IFERROR((SUMPRODUCT(($A$47:$A160 = $A7) * (T$47:T160 &lt;&gt; "") * IF(T$47:T160 = "Bad", -2, IF(T$47:T160 = "Below par", -1, IF(T$47:T160 = "Very well", 1, IF(T$47:T160 = "Excellent", 2, 0))))) / (COUNTIFS($A$47:$A160, $A7, T$47:T160, "&lt;&gt;")) * 25 + 50) / 50, "")),"")</f>
        <v/>
      </c>
      <c r="U7" s="209"/>
      <c r="V7" s="210"/>
    </row>
    <row r="8" ht="18.75" hidden="1" customHeight="1" outlineLevel="1">
      <c r="A8" s="206" t="str">
        <f>Resources!$A7</f>
        <v>Alireza Ebrahimzadeh</v>
      </c>
      <c r="B8" s="207">
        <f t="shared" si="2"/>
        <v>0.6768060837</v>
      </c>
      <c r="C8" s="207">
        <f t="shared" si="3"/>
        <v>0.9903846154</v>
      </c>
      <c r="D8" s="208">
        <f t="array" ref="D8">IF(ISTEXT($A8),Round(XLOOKUP($A8,Resources!$A$4:$A$23,Resources!$AB$4:$AB$23)*'Roadmap setting'!$B$10,0),"")</f>
        <v>12</v>
      </c>
      <c r="E8" s="208">
        <f>IFERROR(__xludf.DUMMYFUNCTION("IFERROR(IF(ISTEXT($A8),AVERAGE(FILTER(E$47:E160, ARRAYFORMULA(ISNUMBER(SEARCH($A8, $A$47:$A160))))),""""),)
"),43.833333333333336)</f>
        <v>43.83333333</v>
      </c>
      <c r="F8" s="208">
        <f>IFERROR(__xludf.DUMMYFUNCTION("IFERROR(IF(ISTEXT($A8),AVERAGE(FILTER(F$47:F160, ARRAYFORMULA(ISNUMBER(SEARCH($A8, $A$47:$A160))))),""""),)
"),36.75)</f>
        <v>36.75</v>
      </c>
      <c r="G8" s="207">
        <f t="array" ref="G8">IF(ISTEXT($A8), (IFERROR((SUMPRODUCT(($A$47:$A160 = $A8) * (G$47:G160 &lt;&gt; "") * IF(G$47:G160 = "Bad", -2, IF(G$47:G160 = "Below par", -1, IF(G$47:G160 = "Very well", 1, IF(G$47:G160 = "Excellent", 2, 0))))) / (COUNTIFS($A$47:$A160, $A8, G$47:G160, "&lt;&gt;")) * 25 + 50) / 50, "")),"")</f>
        <v>1</v>
      </c>
      <c r="H8" s="207">
        <f t="array" ref="H8">IF(ISTEXT($A8), (IFERROR((SUMPRODUCT(($A$47:$A160 = $A8) * (H$47:H160 &lt;&gt; "") * IF(H$47:H160 = "Bad", -2, IF(H$47:H160 = "Below par", -1, IF(H$47:H160 = "Very well", 1, IF(H$47:H160 = "Excellent", 2, 0))))) / (COUNTIFS($A$47:$A160, $A8, H$47:H160, "&lt;&gt;")) * 25 + 50) / 50, "")),"")</f>
        <v>1</v>
      </c>
      <c r="I8" s="207">
        <f t="array" ref="I8">IF(ISTEXT($A8), (IFERROR((SUMPRODUCT(($A$47:$A160 = $A8) * (I$47:I160 &lt;&gt; "") * IF(I$47:I160 = "Bad", -2, IF(I$47:I160 = "Below par", -1, IF(I$47:I160 = "Very well", 1, IF(I$47:I160 = "Excellent", 2, 0))))) / (COUNTIFS($A$47:$A160, $A8, I$47:I160, "&lt;&gt;")) * 25 + 50) / 50, "")),"")</f>
        <v>0.5</v>
      </c>
      <c r="J8" s="207">
        <f t="array" ref="J8">IF(ISTEXT($A8), (IFERROR((SUMPRODUCT(($A$47:$A160 = $A8) * (J$47:J160 &lt;&gt; "") * IF(J$47:J160 = "Bad", -2, IF(J$47:J160 = "Below par", -1, IF(J$47:J160 = "Very well", 1, IF(J$47:J160 = "Excellent", 2, 0))))) / (COUNTIFS($A$47:$A160, $A8, J$47:J160, "&lt;&gt;")) * 25 + 50) / 50, "")),"")</f>
        <v>1.375</v>
      </c>
      <c r="K8" s="207">
        <f t="array" ref="K8">IF(ISTEXT($A8), (IFERROR((SUMPRODUCT(($A$47:$A160 = $A8) * (K$47:K160 &lt;&gt; "") * IF(K$47:K160 = "Bad", -2, IF(K$47:K160 = "Below par", -1, IF(K$47:K160 = "Very well", 1, IF(K$47:K160 = "Excellent", 2, 0))))) / (COUNTIFS($A$47:$A160, $A8, K$47:K160, "&lt;&gt;")) * 25 + 50) / 50, "")),"")</f>
        <v>1.25</v>
      </c>
      <c r="L8" s="207">
        <f t="array" ref="L8">IF(ISTEXT($A8), (IFERROR((SUMPRODUCT(($A$47:$A160 = $A8) * (L$47:L160 &lt;&gt; "") * IF(L$47:L160 = "Bad", -2, IF(L$47:L160 = "Below par", -1, IF(L$47:L160 = "Very well", 1, IF(L$47:L160 = "Excellent", 2, 0))))) / (COUNTIFS($A$47:$A160, $A8, L$47:L160, "&lt;&gt;")) * 25 + 50) / 50, "")),"")</f>
        <v>0.75</v>
      </c>
      <c r="M8" s="207">
        <f t="array" ref="M8">IF(ISTEXT($A8), (IFERROR((SUMPRODUCT(($A$47:$A160 = $A8) * (M$47:M160 &lt;&gt; "") * IF(M$47:M160 = "Bad", -2, IF(M$47:M160 = "Below par", -1, IF(M$47:M160 = "Very well", 1, IF(M$47:M160 = "Excellent", 2, 0))))) / (COUNTIFS($A$47:$A160, $A8, M$47:M160, "&lt;&gt;")) * 25 + 50) / 50, "")),"")</f>
        <v>1</v>
      </c>
      <c r="N8" s="207">
        <f t="array" ref="N8">IF(ISTEXT($A8), (IFERROR((SUMPRODUCT(($A$47:$A160 = $A8) * (N$47:N160 &lt;&gt; "") * IF(N$47:N160 = "Bad", -2, IF(N$47:N160 = "Below par", -1, IF(N$47:N160 = "Very well", 1, IF(N$47:N160 = "Excellent", 2, 0))))) / (COUNTIFS($A$47:$A160, $A8, N$47:N160, "&lt;&gt;")) * 25 + 50) / 50, "")),"")</f>
        <v>0.8333333333</v>
      </c>
      <c r="O8" s="207">
        <f t="array" ref="O8">IF(ISTEXT($A8), (IFERROR((SUMPRODUCT(($A$47:$A160 = $A8) * (O$47:O160 &lt;&gt; "") * IF(O$47:O160 = "Bad", -2, IF(O$47:O160 = "Below par", -1, IF(O$47:O160 = "Very well", 1, IF(O$47:O160 = "Excellent", 2, 0))))) / (COUNTIFS($A$47:$A160, $A8, O$47:O160, "&lt;&gt;")) * 25 + 50) / 50, "")),"")</f>
        <v>1</v>
      </c>
      <c r="P8" s="207">
        <f t="array" ref="P8">IF(ISTEXT($A8), (IFERROR((SUMPRODUCT(($A$47:$A160 = $A8) * (P$47:P160 &lt;&gt; "") * IF(P$47:P160 = "Bad", -2, IF(P$47:P160 = "Below par", -1, IF(P$47:P160 = "Very well", 1, IF(P$47:P160 = "Excellent", 2, 0))))) / (COUNTIFS($A$47:$A160, $A8, P$47:P160, "&lt;&gt;")) * 25 + 50) / 50, "")),"")</f>
        <v>1</v>
      </c>
      <c r="Q8" s="207">
        <f t="array" ref="Q8">IF(ISTEXT($A8), (IFERROR((SUMPRODUCT(($A$47:$A160 = $A8) * (Q$47:Q160 &lt;&gt; "") * IF(Q$47:Q160 = "Bad", -2, IF(Q$47:Q160 = "Below par", -1, IF(Q$47:Q160 = "Very well", 1, IF(Q$47:Q160 = "Excellent", 2, 0))))) / (COUNTIFS($A$47:$A160, $A8, Q$47:Q160, "&lt;&gt;")) * 25 + 50) / 50, "")),"")</f>
        <v>1</v>
      </c>
      <c r="R8" s="207">
        <f t="array" ref="R8">IF(ISTEXT($A8), (IFERROR((SUMPRODUCT(($A$47:$A160 = $A8) * (R$47:R160 &lt;&gt; "") * IF(R$47:R160 = "Bad", -2, IF(R$47:R160 = "Below par", -1, IF(R$47:R160 = "Very well", 1, IF(R$47:R160 = "Excellent", 2, 0))))) / (COUNTIFS($A$47:$A160, $A8, R$47:R160, "&lt;&gt;")) * 25 + 50) / 50, "")),"")</f>
        <v>1</v>
      </c>
      <c r="S8" s="207" t="str">
        <f t="array" ref="S8">IF(ISTEXT($A8), (IFERROR((SUMPRODUCT(($A$47:$A160 = $A8) * (S$47:S160 &lt;&gt; "") * IF(S$47:S160 = "Bad", -2, IF(S$47:S160 = "Below par", -1, IF(S$47:S160 = "Very well", 1, IF(S$47:S160 = "Excellent", 2, 0))))) / (COUNTIFS($A$47:$A160, $A8, S$47:S160, "&lt;&gt;")) * 25 + 50) / 50, "")),"")</f>
        <v/>
      </c>
      <c r="T8" s="207">
        <f t="array" ref="T8">IF(ISTEXT($A8), (IFERROR((SUMPRODUCT(($A$47:$A160 = $A8) * (T$47:T160 &lt;&gt; "") * IF(T$47:T160 = "Bad", -2, IF(T$47:T160 = "Below par", -1, IF(T$47:T160 = "Very well", 1, IF(T$47:T160 = "Excellent", 2, 0))))) / (COUNTIFS($A$47:$A160, $A8, T$47:T160, "&lt;&gt;")) * 25 + 50) / 50, "")),"")</f>
        <v>1.166666667</v>
      </c>
      <c r="U8" s="209"/>
      <c r="V8" s="210"/>
    </row>
    <row r="9" ht="18.75" hidden="1" customHeight="1" outlineLevel="1">
      <c r="A9" s="206" t="str">
        <f>Resources!$A8</f>
        <v>Maziar Gholami</v>
      </c>
      <c r="B9" s="207" t="str">
        <f t="shared" si="2"/>
        <v/>
      </c>
      <c r="C9" s="207">
        <f t="shared" si="3"/>
        <v>1</v>
      </c>
      <c r="D9" s="208">
        <f t="array" ref="D9">IF(ISTEXT($A9),Round(XLOOKUP($A9,Resources!$A$4:$A$23,Resources!$AB$4:$AB$23)*'Roadmap setting'!$B$10,0),"")</f>
        <v>19</v>
      </c>
      <c r="E9" s="208" t="str">
        <f>IFERROR(__xludf.DUMMYFUNCTION("IFERROR(IF(ISTEXT($A9),AVERAGE(FILTER(E$47:E160, ARRAYFORMULA(ISNUMBER(SEARCH($A9, $A$47:$A160))))),""""),)
"),"")</f>
        <v/>
      </c>
      <c r="F9" s="208" t="str">
        <f>IFERROR(__xludf.DUMMYFUNCTION("IFERROR(IF(ISTEXT($A9),AVERAGE(FILTER(F$47:F160, ARRAYFORMULA(ISNUMBER(SEARCH($A9, $A$47:$A160))))),""""),)
"),"")</f>
        <v/>
      </c>
      <c r="G9" s="207">
        <f t="array" ref="G9">IF(ISTEXT($A9), (IFERROR((SUMPRODUCT(($A$47:$A160 = $A9) * (G$47:G160 &lt;&gt; "") * IF(G$47:G160 = "Bad", -2, IF(G$47:G160 = "Below par", -1, IF(G$47:G160 = "Very well", 1, IF(G$47:G160 = "Excellent", 2, 0))))) / (COUNTIFS($A$47:$A160, $A9, G$47:G160, "&lt;&gt;")) * 25 + 50) / 50, "")),"")</f>
        <v>0.75</v>
      </c>
      <c r="H9" s="207">
        <f t="array" ref="H9">IF(ISTEXT($A9), (IFERROR((SUMPRODUCT(($A$47:$A160 = $A9) * (H$47:H160 &lt;&gt; "") * IF(H$47:H160 = "Bad", -2, IF(H$47:H160 = "Below par", -1, IF(H$47:H160 = "Very well", 1, IF(H$47:H160 = "Excellent", 2, 0))))) / (COUNTIFS($A$47:$A160, $A9, H$47:H160, "&lt;&gt;")) * 25 + 50) / 50, "")),"")</f>
        <v>1</v>
      </c>
      <c r="I9" s="207">
        <f t="array" ref="I9">IF(ISTEXT($A9), (IFERROR((SUMPRODUCT(($A$47:$A160 = $A9) * (I$47:I160 &lt;&gt; "") * IF(I$47:I160 = "Bad", -2, IF(I$47:I160 = "Below par", -1, IF(I$47:I160 = "Very well", 1, IF(I$47:I160 = "Excellent", 2, 0))))) / (COUNTIFS($A$47:$A160, $A9, I$47:I160, "&lt;&gt;")) * 25 + 50) / 50, "")),"")</f>
        <v>1</v>
      </c>
      <c r="J9" s="207">
        <f t="array" ref="J9">IF(ISTEXT($A9), (IFERROR((SUMPRODUCT(($A$47:$A160 = $A9) * (J$47:J160 &lt;&gt; "") * IF(J$47:J160 = "Bad", -2, IF(J$47:J160 = "Below par", -1, IF(J$47:J160 = "Very well", 1, IF(J$47:J160 = "Excellent", 2, 0))))) / (COUNTIFS($A$47:$A160, $A9, J$47:J160, "&lt;&gt;")) * 25 + 50) / 50, "")),"")</f>
        <v>1.25</v>
      </c>
      <c r="K9" s="207">
        <f t="array" ref="K9">IF(ISTEXT($A9), (IFERROR((SUMPRODUCT(($A$47:$A160 = $A9) * (K$47:K160 &lt;&gt; "") * IF(K$47:K160 = "Bad", -2, IF(K$47:K160 = "Below par", -1, IF(K$47:K160 = "Very well", 1, IF(K$47:K160 = "Excellent", 2, 0))))) / (COUNTIFS($A$47:$A160, $A9, K$47:K160, "&lt;&gt;")) * 25 + 50) / 50, "")),"")</f>
        <v>1</v>
      </c>
      <c r="L9" s="207">
        <f t="array" ref="L9">IF(ISTEXT($A9), (IFERROR((SUMPRODUCT(($A$47:$A160 = $A9) * (L$47:L160 &lt;&gt; "") * IF(L$47:L160 = "Bad", -2, IF(L$47:L160 = "Below par", -1, IF(L$47:L160 = "Very well", 1, IF(L$47:L160 = "Excellent", 2, 0))))) / (COUNTIFS($A$47:$A160, $A9, L$47:L160, "&lt;&gt;")) * 25 + 50) / 50, "")),"")</f>
        <v>1</v>
      </c>
      <c r="M9" s="207">
        <f t="array" ref="M9">IF(ISTEXT($A9), (IFERROR((SUMPRODUCT(($A$47:$A160 = $A9) * (M$47:M160 &lt;&gt; "") * IF(M$47:M160 = "Bad", -2, IF(M$47:M160 = "Below par", -1, IF(M$47:M160 = "Very well", 1, IF(M$47:M160 = "Excellent", 2, 0))))) / (COUNTIFS($A$47:$A160, $A9, M$47:M160, "&lt;&gt;")) * 25 + 50) / 50, "")),"")</f>
        <v>1</v>
      </c>
      <c r="N9" s="207">
        <f t="array" ref="N9">IF(ISTEXT($A9), (IFERROR((SUMPRODUCT(($A$47:$A160 = $A9) * (N$47:N160 &lt;&gt; "") * IF(N$47:N160 = "Bad", -2, IF(N$47:N160 = "Below par", -1, IF(N$47:N160 = "Very well", 1, IF(N$47:N160 = "Excellent", 2, 0))))) / (COUNTIFS($A$47:$A160, $A9, N$47:N160, "&lt;&gt;")) * 25 + 50) / 50, "")),"")</f>
        <v>1</v>
      </c>
      <c r="O9" s="207">
        <f t="array" ref="O9">IF(ISTEXT($A9), (IFERROR((SUMPRODUCT(($A$47:$A160 = $A9) * (O$47:O160 &lt;&gt; "") * IF(O$47:O160 = "Bad", -2, IF(O$47:O160 = "Below par", -1, IF(O$47:O160 = "Very well", 1, IF(O$47:O160 = "Excellent", 2, 0))))) / (COUNTIFS($A$47:$A160, $A9, O$47:O160, "&lt;&gt;")) * 25 + 50) / 50, "")),"")</f>
        <v>1</v>
      </c>
      <c r="P9" s="207">
        <f t="array" ref="P9">IF(ISTEXT($A9), (IFERROR((SUMPRODUCT(($A$47:$A160 = $A9) * (P$47:P160 &lt;&gt; "") * IF(P$47:P160 = "Bad", -2, IF(P$47:P160 = "Below par", -1, IF(P$47:P160 = "Very well", 1, IF(P$47:P160 = "Excellent", 2, 0))))) / (COUNTIFS($A$47:$A160, $A9, P$47:P160, "&lt;&gt;")) * 25 + 50) / 50, "")),"")</f>
        <v>1</v>
      </c>
      <c r="Q9" s="207">
        <f t="array" ref="Q9">IF(ISTEXT($A9), (IFERROR((SUMPRODUCT(($A$47:$A160 = $A9) * (Q$47:Q160 &lt;&gt; "") * IF(Q$47:Q160 = "Bad", -2, IF(Q$47:Q160 = "Below par", -1, IF(Q$47:Q160 = "Very well", 1, IF(Q$47:Q160 = "Excellent", 2, 0))))) / (COUNTIFS($A$47:$A160, $A9, Q$47:Q160, "&lt;&gt;")) * 25 + 50) / 50, "")),"")</f>
        <v>1</v>
      </c>
      <c r="R9" s="207">
        <f t="array" ref="R9">IF(ISTEXT($A9), (IFERROR((SUMPRODUCT(($A$47:$A160 = $A9) * (R$47:R160 &lt;&gt; "") * IF(R$47:R160 = "Bad", -2, IF(R$47:R160 = "Below par", -1, IF(R$47:R160 = "Very well", 1, IF(R$47:R160 = "Excellent", 2, 0))))) / (COUNTIFS($A$47:$A160, $A9, R$47:R160, "&lt;&gt;")) * 25 + 50) / 50, "")),"")</f>
        <v>1</v>
      </c>
      <c r="S9" s="207">
        <f t="array" ref="S9">IF(ISTEXT($A9), (IFERROR((SUMPRODUCT(($A$47:$A160 = $A9) * (S$47:S160 &lt;&gt; "") * IF(S$47:S160 = "Bad", -2, IF(S$47:S160 = "Below par", -1, IF(S$47:S160 = "Very well", 1, IF(S$47:S160 = "Excellent", 2, 0))))) / (COUNTIFS($A$47:$A160, $A9, S$47:S160, "&lt;&gt;")) * 25 + 50) / 50, "")),"")</f>
        <v>1</v>
      </c>
      <c r="T9" s="207">
        <f t="array" ref="T9">IF(ISTEXT($A9), (IFERROR((SUMPRODUCT(($A$47:$A160 = $A9) * (T$47:T160 &lt;&gt; "") * IF(T$47:T160 = "Bad", -2, IF(T$47:T160 = "Below par", -1, IF(T$47:T160 = "Very well", 1, IF(T$47:T160 = "Excellent", 2, 0))))) / (COUNTIFS($A$47:$A160, $A9, T$47:T160, "&lt;&gt;")) * 25 + 50) / 50, "")),"")</f>
        <v>1</v>
      </c>
      <c r="U9" s="209"/>
      <c r="V9" s="210"/>
    </row>
    <row r="10" ht="18.75" hidden="1" customHeight="1" outlineLevel="1">
      <c r="A10" s="206" t="str">
        <f>Resources!$A9</f>
        <v>Farzaneh Sadeghi</v>
      </c>
      <c r="B10" s="207" t="str">
        <f t="shared" si="2"/>
        <v/>
      </c>
      <c r="C10" s="207">
        <f t="shared" si="3"/>
        <v>1</v>
      </c>
      <c r="D10" s="208">
        <f t="array" ref="D10">IF(ISTEXT($A10),Round(XLOOKUP($A10,Resources!$A$4:$A$23,Resources!$AB$4:$AB$23)*'Roadmap setting'!$B$10,0),"")</f>
        <v>12</v>
      </c>
      <c r="E10" s="208" t="str">
        <f>IFERROR(__xludf.DUMMYFUNCTION("IFERROR(IF(ISTEXT($A10),AVERAGE(FILTER(E$47:E160, ARRAYFORMULA(ISNUMBER(SEARCH($A10, $A$47:$A160))))),""""),)
"),"")</f>
        <v/>
      </c>
      <c r="F10" s="208" t="str">
        <f>IFERROR(__xludf.DUMMYFUNCTION("IFERROR(IF(ISTEXT($A10),AVERAGE(FILTER(F$47:F160, ARRAYFORMULA(ISNUMBER(SEARCH($A10, $A$47:$A160))))),""""),)
"),"")</f>
        <v/>
      </c>
      <c r="G10" s="207">
        <f t="array" ref="G10">IF(ISTEXT($A10), (IFERROR((SUMPRODUCT(($A$47:$A160 = $A10) * (G$47:G160 &lt;&gt; "") * IF(G$47:G160 = "Bad", -2, IF(G$47:G160 = "Below par", -1, IF(G$47:G160 = "Very well", 1, IF(G$47:G160 = "Excellent", 2, 0))))) / (COUNTIFS($A$47:$A160, $A10, G$47:G160, "&lt;&gt;")) * 25 + 50) / 50, "")),"")</f>
        <v>1</v>
      </c>
      <c r="H10" s="207">
        <f t="array" ref="H10">IF(ISTEXT($A10), (IFERROR((SUMPRODUCT(($A$47:$A160 = $A10) * (H$47:H160 &lt;&gt; "") * IF(H$47:H160 = "Bad", -2, IF(H$47:H160 = "Below par", -1, IF(H$47:H160 = "Very well", 1, IF(H$47:H160 = "Excellent", 2, 0))))) / (COUNTIFS($A$47:$A160, $A10, H$47:H160, "&lt;&gt;")) * 25 + 50) / 50, "")),"")</f>
        <v>1</v>
      </c>
      <c r="I10" s="207" t="str">
        <f t="array" ref="I10">IF(ISTEXT($A10), (IFERROR((SUMPRODUCT(($A$47:$A160 = $A10) * (I$47:I160 &lt;&gt; "") * IF(I$47:I160 = "Bad", -2, IF(I$47:I160 = "Below par", -1, IF(I$47:I160 = "Very well", 1, IF(I$47:I160 = "Excellent", 2, 0))))) / (COUNTIFS($A$47:$A160, $A10, I$47:I160, "&lt;&gt;")) * 25 + 50) / 50, "")),"")</f>
        <v/>
      </c>
      <c r="J10" s="207">
        <f t="array" ref="J10">IF(ISTEXT($A10), (IFERROR((SUMPRODUCT(($A$47:$A160 = $A10) * (J$47:J160 &lt;&gt; "") * IF(J$47:J160 = "Bad", -2, IF(J$47:J160 = "Below par", -1, IF(J$47:J160 = "Very well", 1, IF(J$47:J160 = "Excellent", 2, 0))))) / (COUNTIFS($A$47:$A160, $A10, J$47:J160, "&lt;&gt;")) * 25 + 50) / 50, "")),"")</f>
        <v>1</v>
      </c>
      <c r="K10" s="207">
        <f t="array" ref="K10">IF(ISTEXT($A10), (IFERROR((SUMPRODUCT(($A$47:$A160 = $A10) * (K$47:K160 &lt;&gt; "") * IF(K$47:K160 = "Bad", -2, IF(K$47:K160 = "Below par", -1, IF(K$47:K160 = "Very well", 1, IF(K$47:K160 = "Excellent", 2, 0))))) / (COUNTIFS($A$47:$A160, $A10, K$47:K160, "&lt;&gt;")) * 25 + 50) / 50, "")),"")</f>
        <v>1</v>
      </c>
      <c r="L10" s="207">
        <f t="array" ref="L10">IF(ISTEXT($A10), (IFERROR((SUMPRODUCT(($A$47:$A160 = $A10) * (L$47:L160 &lt;&gt; "") * IF(L$47:L160 = "Bad", -2, IF(L$47:L160 = "Below par", -1, IF(L$47:L160 = "Very well", 1, IF(L$47:L160 = "Excellent", 2, 0))))) / (COUNTIFS($A$47:$A160, $A10, L$47:L160, "&lt;&gt;")) * 25 + 50) / 50, "")),"")</f>
        <v>1</v>
      </c>
      <c r="M10" s="207">
        <f t="array" ref="M10">IF(ISTEXT($A10), (IFERROR((SUMPRODUCT(($A$47:$A160 = $A10) * (M$47:M160 &lt;&gt; "") * IF(M$47:M160 = "Bad", -2, IF(M$47:M160 = "Below par", -1, IF(M$47:M160 = "Very well", 1, IF(M$47:M160 = "Excellent", 2, 0))))) / (COUNTIFS($A$47:$A160, $A10, M$47:M160, "&lt;&gt;")) * 25 + 50) / 50, "")),"")</f>
        <v>1</v>
      </c>
      <c r="N10" s="207">
        <f t="array" ref="N10">IF(ISTEXT($A10), (IFERROR((SUMPRODUCT(($A$47:$A160 = $A10) * (N$47:N160 &lt;&gt; "") * IF(N$47:N160 = "Bad", -2, IF(N$47:N160 = "Below par", -1, IF(N$47:N160 = "Very well", 1, IF(N$47:N160 = "Excellent", 2, 0))))) / (COUNTIFS($A$47:$A160, $A10, N$47:N160, "&lt;&gt;")) * 25 + 50) / 50, "")),"")</f>
        <v>1</v>
      </c>
      <c r="O10" s="207">
        <f t="array" ref="O10">IF(ISTEXT($A10), (IFERROR((SUMPRODUCT(($A$47:$A160 = $A10) * (O$47:O160 &lt;&gt; "") * IF(O$47:O160 = "Bad", -2, IF(O$47:O160 = "Below par", -1, IF(O$47:O160 = "Very well", 1, IF(O$47:O160 = "Excellent", 2, 0))))) / (COUNTIFS($A$47:$A160, $A10, O$47:O160, "&lt;&gt;")) * 25 + 50) / 50, "")),"")</f>
        <v>1</v>
      </c>
      <c r="P10" s="207">
        <f t="array" ref="P10">IF(ISTEXT($A10), (IFERROR((SUMPRODUCT(($A$47:$A160 = $A10) * (P$47:P160 &lt;&gt; "") * IF(P$47:P160 = "Bad", -2, IF(P$47:P160 = "Below par", -1, IF(P$47:P160 = "Very well", 1, IF(P$47:P160 = "Excellent", 2, 0))))) / (COUNTIFS($A$47:$A160, $A10, P$47:P160, "&lt;&gt;")) * 25 + 50) / 50, "")),"")</f>
        <v>1</v>
      </c>
      <c r="Q10" s="207">
        <f t="array" ref="Q10">IF(ISTEXT($A10), (IFERROR((SUMPRODUCT(($A$47:$A160 = $A10) * (Q$47:Q160 &lt;&gt; "") * IF(Q$47:Q160 = "Bad", -2, IF(Q$47:Q160 = "Below par", -1, IF(Q$47:Q160 = "Very well", 1, IF(Q$47:Q160 = "Excellent", 2, 0))))) / (COUNTIFS($A$47:$A160, $A10, Q$47:Q160, "&lt;&gt;")) * 25 + 50) / 50, "")),"")</f>
        <v>1</v>
      </c>
      <c r="R10" s="207">
        <f t="array" ref="R10">IF(ISTEXT($A10), (IFERROR((SUMPRODUCT(($A$47:$A160 = $A10) * (R$47:R160 &lt;&gt; "") * IF(R$47:R160 = "Bad", -2, IF(R$47:R160 = "Below par", -1, IF(R$47:R160 = "Very well", 1, IF(R$47:R160 = "Excellent", 2, 0))))) / (COUNTIFS($A$47:$A160, $A10, R$47:R160, "&lt;&gt;")) * 25 + 50) / 50, "")),"")</f>
        <v>1</v>
      </c>
      <c r="S10" s="207" t="str">
        <f t="array" ref="S10">IF(ISTEXT($A10), (IFERROR((SUMPRODUCT(($A$47:$A160 = $A10) * (S$47:S160 &lt;&gt; "") * IF(S$47:S160 = "Bad", -2, IF(S$47:S160 = "Below par", -1, IF(S$47:S160 = "Very well", 1, IF(S$47:S160 = "Excellent", 2, 0))))) / (COUNTIFS($A$47:$A160, $A10, S$47:S160, "&lt;&gt;")) * 25 + 50) / 50, "")),"")</f>
        <v/>
      </c>
      <c r="T10" s="207">
        <f t="array" ref="T10">IF(ISTEXT($A10), (IFERROR((SUMPRODUCT(($A$47:$A160 = $A10) * (T$47:T160 &lt;&gt; "") * IF(T$47:T160 = "Bad", -2, IF(T$47:T160 = "Below par", -1, IF(T$47:T160 = "Very well", 1, IF(T$47:T160 = "Excellent", 2, 0))))) / (COUNTIFS($A$47:$A160, $A10, T$47:T160, "&lt;&gt;")) * 25 + 50) / 50, "")),"")</f>
        <v>1</v>
      </c>
      <c r="U10" s="209"/>
      <c r="V10" s="210"/>
    </row>
    <row r="11" ht="18.75" hidden="1" customHeight="1" outlineLevel="1">
      <c r="A11" s="206" t="str">
        <f>Resources!$A10</f>
        <v>Vahid Sarhaddi</v>
      </c>
      <c r="B11" s="207" t="str">
        <f t="shared" si="2"/>
        <v/>
      </c>
      <c r="C11" s="207">
        <f t="shared" si="3"/>
        <v>1</v>
      </c>
      <c r="D11" s="208">
        <f t="array" ref="D11">IF(ISTEXT($A11),Round(XLOOKUP($A11,Resources!$A$4:$A$23,Resources!$AB$4:$AB$23)*'Roadmap setting'!$B$10,0),"")</f>
        <v>12</v>
      </c>
      <c r="E11" s="208" t="str">
        <f>IFERROR(__xludf.DUMMYFUNCTION("IFERROR(IF(ISTEXT($A11),AVERAGE(FILTER(E$47:E160, ARRAYFORMULA(ISNUMBER(SEARCH($A11, $A$47:$A160))))),""""),)
"),"")</f>
        <v/>
      </c>
      <c r="F11" s="208" t="str">
        <f>IFERROR(__xludf.DUMMYFUNCTION("IFERROR(IF(ISTEXT($A11),AVERAGE(FILTER(F$47:F160, ARRAYFORMULA(ISNUMBER(SEARCH($A11, $A$47:$A160))))),""""),)
"),"")</f>
        <v/>
      </c>
      <c r="G11" s="207">
        <f t="array" ref="G11">IF(ISTEXT($A11), (IFERROR((SUMPRODUCT(($A$47:$A160 = $A11) * (G$47:G160 &lt;&gt; "") * IF(G$47:G160 = "Bad", -2, IF(G$47:G160 = "Below par", -1, IF(G$47:G160 = "Very well", 1, IF(G$47:G160 = "Excellent", 2, 0))))) / (COUNTIFS($A$47:$A160, $A11, G$47:G160, "&lt;&gt;")) * 25 + 50) / 50, "")),"")</f>
        <v>1</v>
      </c>
      <c r="H11" s="207">
        <f t="array" ref="H11">IF(ISTEXT($A11), (IFERROR((SUMPRODUCT(($A$47:$A160 = $A11) * (H$47:H160 &lt;&gt; "") * IF(H$47:H160 = "Bad", -2, IF(H$47:H160 = "Below par", -1, IF(H$47:H160 = "Very well", 1, IF(H$47:H160 = "Excellent", 2, 0))))) / (COUNTIFS($A$47:$A160, $A11, H$47:H160, "&lt;&gt;")) * 25 + 50) / 50, "")),"")</f>
        <v>1</v>
      </c>
      <c r="I11" s="207">
        <f t="array" ref="I11">IF(ISTEXT($A11), (IFERROR((SUMPRODUCT(($A$47:$A160 = $A11) * (I$47:I160 &lt;&gt; "") * IF(I$47:I160 = "Bad", -2, IF(I$47:I160 = "Below par", -1, IF(I$47:I160 = "Very well", 1, IF(I$47:I160 = "Excellent", 2, 0))))) / (COUNTIFS($A$47:$A160, $A11, I$47:I160, "&lt;&gt;")) * 25 + 50) / 50, "")),"")</f>
        <v>1</v>
      </c>
      <c r="J11" s="207">
        <f t="array" ref="J11">IF(ISTEXT($A11), (IFERROR((SUMPRODUCT(($A$47:$A160 = $A11) * (J$47:J160 &lt;&gt; "") * IF(J$47:J160 = "Bad", -2, IF(J$47:J160 = "Below par", -1, IF(J$47:J160 = "Very well", 1, IF(J$47:J160 = "Excellent", 2, 0))))) / (COUNTIFS($A$47:$A160, $A11, J$47:J160, "&lt;&gt;")) * 25 + 50) / 50, "")),"")</f>
        <v>1</v>
      </c>
      <c r="K11" s="207">
        <f t="array" ref="K11">IF(ISTEXT($A11), (IFERROR((SUMPRODUCT(($A$47:$A160 = $A11) * (K$47:K160 &lt;&gt; "") * IF(K$47:K160 = "Bad", -2, IF(K$47:K160 = "Below par", -1, IF(K$47:K160 = "Very well", 1, IF(K$47:K160 = "Excellent", 2, 0))))) / (COUNTIFS($A$47:$A160, $A11, K$47:K160, "&lt;&gt;")) * 25 + 50) / 50, "")),"")</f>
        <v>1</v>
      </c>
      <c r="L11" s="207">
        <f t="array" ref="L11">IF(ISTEXT($A11), (IFERROR((SUMPRODUCT(($A$47:$A160 = $A11) * (L$47:L160 &lt;&gt; "") * IF(L$47:L160 = "Bad", -2, IF(L$47:L160 = "Below par", -1, IF(L$47:L160 = "Very well", 1, IF(L$47:L160 = "Excellent", 2, 0))))) / (COUNTIFS($A$47:$A160, $A11, L$47:L160, "&lt;&gt;")) * 25 + 50) / 50, "")),"")</f>
        <v>0.75</v>
      </c>
      <c r="M11" s="207">
        <f t="array" ref="M11">IF(ISTEXT($A11), (IFERROR((SUMPRODUCT(($A$47:$A160 = $A11) * (M$47:M160 &lt;&gt; "") * IF(M$47:M160 = "Bad", -2, IF(M$47:M160 = "Below par", -1, IF(M$47:M160 = "Very well", 1, IF(M$47:M160 = "Excellent", 2, 0))))) / (COUNTIFS($A$47:$A160, $A11, M$47:M160, "&lt;&gt;")) * 25 + 50) / 50, "")),"")</f>
        <v>1</v>
      </c>
      <c r="N11" s="207">
        <f t="array" ref="N11">IF(ISTEXT($A11), (IFERROR((SUMPRODUCT(($A$47:$A160 = $A11) * (N$47:N160 &lt;&gt; "") * IF(N$47:N160 = "Bad", -2, IF(N$47:N160 = "Below par", -1, IF(N$47:N160 = "Very well", 1, IF(N$47:N160 = "Excellent", 2, 0))))) / (COUNTIFS($A$47:$A160, $A11, N$47:N160, "&lt;&gt;")) * 25 + 50) / 50, "")),"")</f>
        <v>1</v>
      </c>
      <c r="O11" s="207">
        <f t="array" ref="O11">IF(ISTEXT($A11), (IFERROR((SUMPRODUCT(($A$47:$A160 = $A11) * (O$47:O160 &lt;&gt; "") * IF(O$47:O160 = "Bad", -2, IF(O$47:O160 = "Below par", -1, IF(O$47:O160 = "Very well", 1, IF(O$47:O160 = "Excellent", 2, 0))))) / (COUNTIFS($A$47:$A160, $A11, O$47:O160, "&lt;&gt;")) * 25 + 50) / 50, "")),"")</f>
        <v>1.25</v>
      </c>
      <c r="P11" s="207">
        <f t="array" ref="P11">IF(ISTEXT($A11), (IFERROR((SUMPRODUCT(($A$47:$A160 = $A11) * (P$47:P160 &lt;&gt; "") * IF(P$47:P160 = "Bad", -2, IF(P$47:P160 = "Below par", -1, IF(P$47:P160 = "Very well", 1, IF(P$47:P160 = "Excellent", 2, 0))))) / (COUNTIFS($A$47:$A160, $A11, P$47:P160, "&lt;&gt;")) * 25 + 50) / 50, "")),"")</f>
        <v>1</v>
      </c>
      <c r="Q11" s="207">
        <f t="array" ref="Q11">IF(ISTEXT($A11), (IFERROR((SUMPRODUCT(($A$47:$A160 = $A11) * (Q$47:Q160 &lt;&gt; "") * IF(Q$47:Q160 = "Bad", -2, IF(Q$47:Q160 = "Below par", -1, IF(Q$47:Q160 = "Very well", 1, IF(Q$47:Q160 = "Excellent", 2, 0))))) / (COUNTIFS($A$47:$A160, $A11, Q$47:Q160, "&lt;&gt;")) * 25 + 50) / 50, "")),"")</f>
        <v>1</v>
      </c>
      <c r="R11" s="207">
        <f t="array" ref="R11">IF(ISTEXT($A11), (IFERROR((SUMPRODUCT(($A$47:$A160 = $A11) * (R$47:R160 &lt;&gt; "") * IF(R$47:R160 = "Bad", -2, IF(R$47:R160 = "Below par", -1, IF(R$47:R160 = "Very well", 1, IF(R$47:R160 = "Excellent", 2, 0))))) / (COUNTIFS($A$47:$A160, $A11, R$47:R160, "&lt;&gt;")) * 25 + 50) / 50, "")),"")</f>
        <v>1</v>
      </c>
      <c r="S11" s="207" t="str">
        <f t="array" ref="S11">IF(ISTEXT($A11), (IFERROR((SUMPRODUCT(($A$47:$A160 = $A11) * (S$47:S160 &lt;&gt; "") * IF(S$47:S160 = "Bad", -2, IF(S$47:S160 = "Below par", -1, IF(S$47:S160 = "Very well", 1, IF(S$47:S160 = "Excellent", 2, 0))))) / (COUNTIFS($A$47:$A160, $A11, S$47:S160, "&lt;&gt;")) * 25 + 50) / 50, "")),"")</f>
        <v/>
      </c>
      <c r="T11" s="207">
        <f t="array" ref="T11">IF(ISTEXT($A11), (IFERROR((SUMPRODUCT(($A$47:$A160 = $A11) * (T$47:T160 &lt;&gt; "") * IF(T$47:T160 = "Bad", -2, IF(T$47:T160 = "Below par", -1, IF(T$47:T160 = "Very well", 1, IF(T$47:T160 = "Excellent", 2, 0))))) / (COUNTIFS($A$47:$A160, $A11, T$47:T160, "&lt;&gt;")) * 25 + 50) / 50, "")),"")</f>
        <v>1</v>
      </c>
      <c r="U11" s="209"/>
      <c r="V11" s="210"/>
    </row>
    <row r="12" ht="18.75" hidden="1" customHeight="1" outlineLevel="1">
      <c r="A12" s="206" t="str">
        <f>Resources!$A11</f>
        <v>Nayyer Jafari</v>
      </c>
      <c r="B12" s="207" t="str">
        <f t="shared" si="2"/>
        <v/>
      </c>
      <c r="C12" s="207" t="str">
        <f t="shared" si="3"/>
        <v/>
      </c>
      <c r="D12" s="208">
        <f t="array" ref="D12">IF(ISTEXT($A12),Round(XLOOKUP($A12,Resources!$A$4:$A$23,Resources!$AB$4:$AB$23)*'Roadmap setting'!$B$10,0),"")</f>
        <v>0</v>
      </c>
      <c r="E12" s="208" t="str">
        <f>IFERROR(__xludf.DUMMYFUNCTION("IFERROR(IF(ISTEXT($A12),AVERAGE(FILTER(E$47:E160, ARRAYFORMULA(ISNUMBER(SEARCH($A12, $A$47:$A160))))),""""),)
"),"")</f>
        <v/>
      </c>
      <c r="F12" s="208" t="str">
        <f>IFERROR(__xludf.DUMMYFUNCTION("IFERROR(IF(ISTEXT($A12),AVERAGE(FILTER(F$47:F160, ARRAYFORMULA(ISNUMBER(SEARCH($A12, $A$47:$A160))))),""""),)
"),"")</f>
        <v/>
      </c>
      <c r="G12" s="207" t="str">
        <f t="array" ref="G12">IF(ISTEXT($A12), (IFERROR((SUMPRODUCT(($A$47:$A160 = $A12) * (G$47:G160 &lt;&gt; "") * IF(G$47:G160 = "Bad", -2, IF(G$47:G160 = "Below par", -1, IF(G$47:G160 = "Very well", 1, IF(G$47:G160 = "Excellent", 2, 0))))) / (COUNTIFS($A$47:$A160, $A12, G$47:G160, "&lt;&gt;")) * 25 + 50) / 50, "")),"")</f>
        <v/>
      </c>
      <c r="H12" s="207" t="str">
        <f t="array" ref="H12">IF(ISTEXT($A12), (IFERROR((SUMPRODUCT(($A$47:$A160 = $A12) * (H$47:H160 &lt;&gt; "") * IF(H$47:H160 = "Bad", -2, IF(H$47:H160 = "Below par", -1, IF(H$47:H160 = "Very well", 1, IF(H$47:H160 = "Excellent", 2, 0))))) / (COUNTIFS($A$47:$A160, $A12, H$47:H160, "&lt;&gt;")) * 25 + 50) / 50, "")),"")</f>
        <v/>
      </c>
      <c r="I12" s="207" t="str">
        <f t="array" ref="I12">IF(ISTEXT($A12), (IFERROR((SUMPRODUCT(($A$47:$A160 = $A12) * (I$47:I160 &lt;&gt; "") * IF(I$47:I160 = "Bad", -2, IF(I$47:I160 = "Below par", -1, IF(I$47:I160 = "Very well", 1, IF(I$47:I160 = "Excellent", 2, 0))))) / (COUNTIFS($A$47:$A160, $A12, I$47:I160, "&lt;&gt;")) * 25 + 50) / 50, "")),"")</f>
        <v/>
      </c>
      <c r="J12" s="207" t="str">
        <f t="array" ref="J12">IF(ISTEXT($A12), (IFERROR((SUMPRODUCT(($A$47:$A160 = $A12) * (J$47:J160 &lt;&gt; "") * IF(J$47:J160 = "Bad", -2, IF(J$47:J160 = "Below par", -1, IF(J$47:J160 = "Very well", 1, IF(J$47:J160 = "Excellent", 2, 0))))) / (COUNTIFS($A$47:$A160, $A12, J$47:J160, "&lt;&gt;")) * 25 + 50) / 50, "")),"")</f>
        <v/>
      </c>
      <c r="K12" s="207" t="str">
        <f t="array" ref="K12">IF(ISTEXT($A12), (IFERROR((SUMPRODUCT(($A$47:$A160 = $A12) * (K$47:K160 &lt;&gt; "") * IF(K$47:K160 = "Bad", -2, IF(K$47:K160 = "Below par", -1, IF(K$47:K160 = "Very well", 1, IF(K$47:K160 = "Excellent", 2, 0))))) / (COUNTIFS($A$47:$A160, $A12, K$47:K160, "&lt;&gt;")) * 25 + 50) / 50, "")),"")</f>
        <v/>
      </c>
      <c r="L12" s="207" t="str">
        <f t="array" ref="L12">IF(ISTEXT($A12), (IFERROR((SUMPRODUCT(($A$47:$A160 = $A12) * (L$47:L160 &lt;&gt; "") * IF(L$47:L160 = "Bad", -2, IF(L$47:L160 = "Below par", -1, IF(L$47:L160 = "Very well", 1, IF(L$47:L160 = "Excellent", 2, 0))))) / (COUNTIFS($A$47:$A160, $A12, L$47:L160, "&lt;&gt;")) * 25 + 50) / 50, "")),"")</f>
        <v/>
      </c>
      <c r="M12" s="207" t="str">
        <f t="array" ref="M12">IF(ISTEXT($A12), (IFERROR((SUMPRODUCT(($A$47:$A160 = $A12) * (M$47:M160 &lt;&gt; "") * IF(M$47:M160 = "Bad", -2, IF(M$47:M160 = "Below par", -1, IF(M$47:M160 = "Very well", 1, IF(M$47:M160 = "Excellent", 2, 0))))) / (COUNTIFS($A$47:$A160, $A12, M$47:M160, "&lt;&gt;")) * 25 + 50) / 50, "")),"")</f>
        <v/>
      </c>
      <c r="N12" s="207" t="str">
        <f t="array" ref="N12">IF(ISTEXT($A12), (IFERROR((SUMPRODUCT(($A$47:$A160 = $A12) * (N$47:N160 &lt;&gt; "") * IF(N$47:N160 = "Bad", -2, IF(N$47:N160 = "Below par", -1, IF(N$47:N160 = "Very well", 1, IF(N$47:N160 = "Excellent", 2, 0))))) / (COUNTIFS($A$47:$A160, $A12, N$47:N160, "&lt;&gt;")) * 25 + 50) / 50, "")),"")</f>
        <v/>
      </c>
      <c r="O12" s="207" t="str">
        <f t="array" ref="O12">IF(ISTEXT($A12), (IFERROR((SUMPRODUCT(($A$47:$A160 = $A12) * (O$47:O160 &lt;&gt; "") * IF(O$47:O160 = "Bad", -2, IF(O$47:O160 = "Below par", -1, IF(O$47:O160 = "Very well", 1, IF(O$47:O160 = "Excellent", 2, 0))))) / (COUNTIFS($A$47:$A160, $A12, O$47:O160, "&lt;&gt;")) * 25 + 50) / 50, "")),"")</f>
        <v/>
      </c>
      <c r="P12" s="207" t="str">
        <f t="array" ref="P12">IF(ISTEXT($A12), (IFERROR((SUMPRODUCT(($A$47:$A160 = $A12) * (P$47:P160 &lt;&gt; "") * IF(P$47:P160 = "Bad", -2, IF(P$47:P160 = "Below par", -1, IF(P$47:P160 = "Very well", 1, IF(P$47:P160 = "Excellent", 2, 0))))) / (COUNTIFS($A$47:$A160, $A12, P$47:P160, "&lt;&gt;")) * 25 + 50) / 50, "")),"")</f>
        <v/>
      </c>
      <c r="Q12" s="207" t="str">
        <f t="array" ref="Q12">IF(ISTEXT($A12), (IFERROR((SUMPRODUCT(($A$47:$A160 = $A12) * (Q$47:Q160 &lt;&gt; "") * IF(Q$47:Q160 = "Bad", -2, IF(Q$47:Q160 = "Below par", -1, IF(Q$47:Q160 = "Very well", 1, IF(Q$47:Q160 = "Excellent", 2, 0))))) / (COUNTIFS($A$47:$A160, $A12, Q$47:Q160, "&lt;&gt;")) * 25 + 50) / 50, "")),"")</f>
        <v/>
      </c>
      <c r="R12" s="207" t="str">
        <f t="array" ref="R12">IF(ISTEXT($A12), (IFERROR((SUMPRODUCT(($A$47:$A160 = $A12) * (R$47:R160 &lt;&gt; "") * IF(R$47:R160 = "Bad", -2, IF(R$47:R160 = "Below par", -1, IF(R$47:R160 = "Very well", 1, IF(R$47:R160 = "Excellent", 2, 0))))) / (COUNTIFS($A$47:$A160, $A12, R$47:R160, "&lt;&gt;")) * 25 + 50) / 50, "")),"")</f>
        <v/>
      </c>
      <c r="S12" s="207" t="str">
        <f t="array" ref="S12">IF(ISTEXT($A12), (IFERROR((SUMPRODUCT(($A$47:$A160 = $A12) * (S$47:S160 &lt;&gt; "") * IF(S$47:S160 = "Bad", -2, IF(S$47:S160 = "Below par", -1, IF(S$47:S160 = "Very well", 1, IF(S$47:S160 = "Excellent", 2, 0))))) / (COUNTIFS($A$47:$A160, $A12, S$47:S160, "&lt;&gt;")) * 25 + 50) / 50, "")),"")</f>
        <v/>
      </c>
      <c r="T12" s="207" t="str">
        <f t="array" ref="T12">IF(ISTEXT($A12), (IFERROR((SUMPRODUCT(($A$47:$A160 = $A12) * (T$47:T160 &lt;&gt; "") * IF(T$47:T160 = "Bad", -2, IF(T$47:T160 = "Below par", -1, IF(T$47:T160 = "Very well", 1, IF(T$47:T160 = "Excellent", 2, 0))))) / (COUNTIFS($A$47:$A160, $A12, T$47:T160, "&lt;&gt;")) * 25 + 50) / 50, "")),"")</f>
        <v/>
      </c>
      <c r="U12" s="209"/>
      <c r="V12" s="210"/>
    </row>
    <row r="13" ht="18.75" hidden="1" customHeight="1" outlineLevel="1">
      <c r="A13" s="206" t="str">
        <f>Resources!$A12</f>
        <v>Parya Ardalani</v>
      </c>
      <c r="B13" s="207" t="str">
        <f t="shared" si="2"/>
        <v/>
      </c>
      <c r="C13" s="207" t="str">
        <f t="shared" si="3"/>
        <v/>
      </c>
      <c r="D13" s="208">
        <f t="array" ref="D13">IF(ISTEXT($A13),Round(XLOOKUP($A13,Resources!$A$4:$A$23,Resources!$AB$4:$AB$23)*'Roadmap setting'!$B$10,0),"")</f>
        <v>47</v>
      </c>
      <c r="E13" s="208" t="str">
        <f>IFERROR(__xludf.DUMMYFUNCTION("IFERROR(IF(ISTEXT($A13),AVERAGE(FILTER(E$47:E160, ARRAYFORMULA(ISNUMBER(SEARCH($A13, $A$47:$A160))))),""""),)
"),"")</f>
        <v/>
      </c>
      <c r="F13" s="208" t="str">
        <f>IFERROR(__xludf.DUMMYFUNCTION("IFERROR(IF(ISTEXT($A13),AVERAGE(FILTER(F$47:F160, ARRAYFORMULA(ISNUMBER(SEARCH($A13, $A$47:$A160))))),""""),)
"),"")</f>
        <v/>
      </c>
      <c r="G13" s="207" t="str">
        <f t="array" ref="G13">IF(ISTEXT($A13), (IFERROR((SUMPRODUCT(($A$47:$A160 = $A13) * (G$47:G160 &lt;&gt; "") * IF(G$47:G160 = "Bad", -2, IF(G$47:G160 = "Below par", -1, IF(G$47:G160 = "Very well", 1, IF(G$47:G160 = "Excellent", 2, 0))))) / (COUNTIFS($A$47:$A160, $A13, G$47:G160, "&lt;&gt;")) * 25 + 50) / 50, "")),"")</f>
        <v/>
      </c>
      <c r="H13" s="207" t="str">
        <f t="array" ref="H13">IF(ISTEXT($A13), (IFERROR((SUMPRODUCT(($A$47:$A160 = $A13) * (H$47:H160 &lt;&gt; "") * IF(H$47:H160 = "Bad", -2, IF(H$47:H160 = "Below par", -1, IF(H$47:H160 = "Very well", 1, IF(H$47:H160 = "Excellent", 2, 0))))) / (COUNTIFS($A$47:$A160, $A13, H$47:H160, "&lt;&gt;")) * 25 + 50) / 50, "")),"")</f>
        <v/>
      </c>
      <c r="I13" s="207" t="str">
        <f t="array" ref="I13">IF(ISTEXT($A13), (IFERROR((SUMPRODUCT(($A$47:$A160 = $A13) * (I$47:I160 &lt;&gt; "") * IF(I$47:I160 = "Bad", -2, IF(I$47:I160 = "Below par", -1, IF(I$47:I160 = "Very well", 1, IF(I$47:I160 = "Excellent", 2, 0))))) / (COUNTIFS($A$47:$A160, $A13, I$47:I160, "&lt;&gt;")) * 25 + 50) / 50, "")),"")</f>
        <v/>
      </c>
      <c r="J13" s="207" t="str">
        <f t="array" ref="J13">IF(ISTEXT($A13), (IFERROR((SUMPRODUCT(($A$47:$A160 = $A13) * (J$47:J160 &lt;&gt; "") * IF(J$47:J160 = "Bad", -2, IF(J$47:J160 = "Below par", -1, IF(J$47:J160 = "Very well", 1, IF(J$47:J160 = "Excellent", 2, 0))))) / (COUNTIFS($A$47:$A160, $A13, J$47:J160, "&lt;&gt;")) * 25 + 50) / 50, "")),"")</f>
        <v/>
      </c>
      <c r="K13" s="207" t="str">
        <f t="array" ref="K13">IF(ISTEXT($A13), (IFERROR((SUMPRODUCT(($A$47:$A160 = $A13) * (K$47:K160 &lt;&gt; "") * IF(K$47:K160 = "Bad", -2, IF(K$47:K160 = "Below par", -1, IF(K$47:K160 = "Very well", 1, IF(K$47:K160 = "Excellent", 2, 0))))) / (COUNTIFS($A$47:$A160, $A13, K$47:K160, "&lt;&gt;")) * 25 + 50) / 50, "")),"")</f>
        <v/>
      </c>
      <c r="L13" s="207" t="str">
        <f t="array" ref="L13">IF(ISTEXT($A13), (IFERROR((SUMPRODUCT(($A$47:$A160 = $A13) * (L$47:L160 &lt;&gt; "") * IF(L$47:L160 = "Bad", -2, IF(L$47:L160 = "Below par", -1, IF(L$47:L160 = "Very well", 1, IF(L$47:L160 = "Excellent", 2, 0))))) / (COUNTIFS($A$47:$A160, $A13, L$47:L160, "&lt;&gt;")) * 25 + 50) / 50, "")),"")</f>
        <v/>
      </c>
      <c r="M13" s="207" t="str">
        <f t="array" ref="M13">IF(ISTEXT($A13), (IFERROR((SUMPRODUCT(($A$47:$A160 = $A13) * (M$47:M160 &lt;&gt; "") * IF(M$47:M160 = "Bad", -2, IF(M$47:M160 = "Below par", -1, IF(M$47:M160 = "Very well", 1, IF(M$47:M160 = "Excellent", 2, 0))))) / (COUNTIFS($A$47:$A160, $A13, M$47:M160, "&lt;&gt;")) * 25 + 50) / 50, "")),"")</f>
        <v/>
      </c>
      <c r="N13" s="207" t="str">
        <f t="array" ref="N13">IF(ISTEXT($A13), (IFERROR((SUMPRODUCT(($A$47:$A160 = $A13) * (N$47:N160 &lt;&gt; "") * IF(N$47:N160 = "Bad", -2, IF(N$47:N160 = "Below par", -1, IF(N$47:N160 = "Very well", 1, IF(N$47:N160 = "Excellent", 2, 0))))) / (COUNTIFS($A$47:$A160, $A13, N$47:N160, "&lt;&gt;")) * 25 + 50) / 50, "")),"")</f>
        <v/>
      </c>
      <c r="O13" s="207" t="str">
        <f t="array" ref="O13">IF(ISTEXT($A13), (IFERROR((SUMPRODUCT(($A$47:$A160 = $A13) * (O$47:O160 &lt;&gt; "") * IF(O$47:O160 = "Bad", -2, IF(O$47:O160 = "Below par", -1, IF(O$47:O160 = "Very well", 1, IF(O$47:O160 = "Excellent", 2, 0))))) / (COUNTIFS($A$47:$A160, $A13, O$47:O160, "&lt;&gt;")) * 25 + 50) / 50, "")),"")</f>
        <v/>
      </c>
      <c r="P13" s="207" t="str">
        <f t="array" ref="P13">IF(ISTEXT($A13), (IFERROR((SUMPRODUCT(($A$47:$A160 = $A13) * (P$47:P160 &lt;&gt; "") * IF(P$47:P160 = "Bad", -2, IF(P$47:P160 = "Below par", -1, IF(P$47:P160 = "Very well", 1, IF(P$47:P160 = "Excellent", 2, 0))))) / (COUNTIFS($A$47:$A160, $A13, P$47:P160, "&lt;&gt;")) * 25 + 50) / 50, "")),"")</f>
        <v/>
      </c>
      <c r="Q13" s="207" t="str">
        <f t="array" ref="Q13">IF(ISTEXT($A13), (IFERROR((SUMPRODUCT(($A$47:$A160 = $A13) * (Q$47:Q160 &lt;&gt; "") * IF(Q$47:Q160 = "Bad", -2, IF(Q$47:Q160 = "Below par", -1, IF(Q$47:Q160 = "Very well", 1, IF(Q$47:Q160 = "Excellent", 2, 0))))) / (COUNTIFS($A$47:$A160, $A13, Q$47:Q160, "&lt;&gt;")) * 25 + 50) / 50, "")),"")</f>
        <v/>
      </c>
      <c r="R13" s="207" t="str">
        <f t="array" ref="R13">IF(ISTEXT($A13), (IFERROR((SUMPRODUCT(($A$47:$A160 = $A13) * (R$47:R160 &lt;&gt; "") * IF(R$47:R160 = "Bad", -2, IF(R$47:R160 = "Below par", -1, IF(R$47:R160 = "Very well", 1, IF(R$47:R160 = "Excellent", 2, 0))))) / (COUNTIFS($A$47:$A160, $A13, R$47:R160, "&lt;&gt;")) * 25 + 50) / 50, "")),"")</f>
        <v/>
      </c>
      <c r="S13" s="207" t="str">
        <f t="array" ref="S13">IF(ISTEXT($A13), (IFERROR((SUMPRODUCT(($A$47:$A160 = $A13) * (S$47:S160 &lt;&gt; "") * IF(S$47:S160 = "Bad", -2, IF(S$47:S160 = "Below par", -1, IF(S$47:S160 = "Very well", 1, IF(S$47:S160 = "Excellent", 2, 0))))) / (COUNTIFS($A$47:$A160, $A13, S$47:S160, "&lt;&gt;")) * 25 + 50) / 50, "")),"")</f>
        <v/>
      </c>
      <c r="T13" s="207" t="str">
        <f t="array" ref="T13">IF(ISTEXT($A13), (IFERROR((SUMPRODUCT(($A$47:$A160 = $A13) * (T$47:T160 &lt;&gt; "") * IF(T$47:T160 = "Bad", -2, IF(T$47:T160 = "Below par", -1, IF(T$47:T160 = "Very well", 1, IF(T$47:T160 = "Excellent", 2, 0))))) / (COUNTIFS($A$47:$A160, $A13, T$47:T160, "&lt;&gt;")) * 25 + 50) / 50, "")),"")</f>
        <v/>
      </c>
      <c r="U13" s="209"/>
      <c r="V13" s="210"/>
    </row>
    <row r="14" ht="18.75" hidden="1" customHeight="1" outlineLevel="1">
      <c r="A14" s="206" t="str">
        <f>Resources!$A13</f>
        <v>Amin Mohabbat</v>
      </c>
      <c r="B14" s="207">
        <f t="shared" si="2"/>
        <v>1.205457464</v>
      </c>
      <c r="C14" s="207">
        <f t="shared" si="3"/>
        <v>1.105769231</v>
      </c>
      <c r="D14" s="208">
        <f t="array" ref="D14">IF(ISTEXT($A14),Round(XLOOKUP($A14,Resources!$A$4:$A$23,Resources!$AB$4:$AB$23)*'Roadmap setting'!$B$10,0),"")</f>
        <v>40</v>
      </c>
      <c r="E14" s="208">
        <f>IFERROR(__xludf.DUMMYFUNCTION("IFERROR(IF(ISTEXT($A14),AVERAGE(FILTER(E$47:E160, ARRAYFORMULA(ISNUMBER(SEARCH($A14, $A$47:$A160))))),""""),)
"),51.916666666666664)</f>
        <v>51.91666667</v>
      </c>
      <c r="F14" s="208">
        <f>IFERROR(__xludf.DUMMYFUNCTION("IFERROR(IF(ISTEXT($A14),AVERAGE(FILTER(F$47:F160, ARRAYFORMULA(ISNUMBER(SEARCH($A14, $A$47:$A160))))),""""),)
"),57.25)</f>
        <v>57.25</v>
      </c>
      <c r="G14" s="207">
        <f t="array" ref="G14">IF(ISTEXT($A14), (IFERROR((SUMPRODUCT(($A$47:$A160 = $A14) * (G$47:G160 &lt;&gt; "") * IF(G$47:G160 = "Bad", -2, IF(G$47:G160 = "Below par", -1, IF(G$47:G160 = "Very well", 1, IF(G$47:G160 = "Excellent", 2, 0))))) / (COUNTIFS($A$47:$A160, $A14, G$47:G160, "&lt;&gt;")) * 25 + 50) / 50, "")),"")</f>
        <v>1</v>
      </c>
      <c r="H14" s="207">
        <f t="array" ref="H14">IF(ISTEXT($A14), (IFERROR((SUMPRODUCT(($A$47:$A160 = $A14) * (H$47:H160 &lt;&gt; "") * IF(H$47:H160 = "Bad", -2, IF(H$47:H160 = "Below par", -1, IF(H$47:H160 = "Very well", 1, IF(H$47:H160 = "Excellent", 2, 0))))) / (COUNTIFS($A$47:$A160, $A14, H$47:H160, "&lt;&gt;")) * 25 + 50) / 50, "")),"")</f>
        <v>1</v>
      </c>
      <c r="I14" s="207">
        <f t="array" ref="I14">IF(ISTEXT($A14), (IFERROR((SUMPRODUCT(($A$47:$A160 = $A14) * (I$47:I160 &lt;&gt; "") * IF(I$47:I160 = "Bad", -2, IF(I$47:I160 = "Below par", -1, IF(I$47:I160 = "Very well", 1, IF(I$47:I160 = "Excellent", 2, 0))))) / (COUNTIFS($A$47:$A160, $A14, I$47:I160, "&lt;&gt;")) * 25 + 50) / 50, "")),"")</f>
        <v>1</v>
      </c>
      <c r="J14" s="207">
        <f t="array" ref="J14">IF(ISTEXT($A14), (IFERROR((SUMPRODUCT(($A$47:$A160 = $A14) * (J$47:J160 &lt;&gt; "") * IF(J$47:J160 = "Bad", -2, IF(J$47:J160 = "Below par", -1, IF(J$47:J160 = "Very well", 1, IF(J$47:J160 = "Excellent", 2, 0))))) / (COUNTIFS($A$47:$A160, $A14, J$47:J160, "&lt;&gt;")) * 25 + 50) / 50, "")),"")</f>
        <v>1.375</v>
      </c>
      <c r="K14" s="207">
        <f t="array" ref="K14">IF(ISTEXT($A14), (IFERROR((SUMPRODUCT(($A$47:$A160 = $A14) * (K$47:K160 &lt;&gt; "") * IF(K$47:K160 = "Bad", -2, IF(K$47:K160 = "Below par", -1, IF(K$47:K160 = "Very well", 1, IF(K$47:K160 = "Excellent", 2, 0))))) / (COUNTIFS($A$47:$A160, $A14, K$47:K160, "&lt;&gt;")) * 25 + 50) / 50, "")),"")</f>
        <v>1</v>
      </c>
      <c r="L14" s="207">
        <f t="array" ref="L14">IF(ISTEXT($A14), (IFERROR((SUMPRODUCT(($A$47:$A160 = $A14) * (L$47:L160 &lt;&gt; "") * IF(L$47:L160 = "Bad", -2, IF(L$47:L160 = "Below par", -1, IF(L$47:L160 = "Very well", 1, IF(L$47:L160 = "Excellent", 2, 0))))) / (COUNTIFS($A$47:$A160, $A14, L$47:L160, "&lt;&gt;")) * 25 + 50) / 50, "")),"")</f>
        <v>1.5</v>
      </c>
      <c r="M14" s="207">
        <f t="array" ref="M14">IF(ISTEXT($A14), (IFERROR((SUMPRODUCT(($A$47:$A160 = $A14) * (M$47:M160 &lt;&gt; "") * IF(M$47:M160 = "Bad", -2, IF(M$47:M160 = "Below par", -1, IF(M$47:M160 = "Very well", 1, IF(M$47:M160 = "Excellent", 2, 0))))) / (COUNTIFS($A$47:$A160, $A14, M$47:M160, "&lt;&gt;")) * 25 + 50) / 50, "")),"")</f>
        <v>1.5</v>
      </c>
      <c r="N14" s="207">
        <f t="array" ref="N14">IF(ISTEXT($A14), (IFERROR((SUMPRODUCT(($A$47:$A160 = $A14) * (N$47:N160 &lt;&gt; "") * IF(N$47:N160 = "Bad", -2, IF(N$47:N160 = "Below par", -1, IF(N$47:N160 = "Very well", 1, IF(N$47:N160 = "Excellent", 2, 0))))) / (COUNTIFS($A$47:$A160, $A14, N$47:N160, "&lt;&gt;")) * 25 + 50) / 50, "")),"")</f>
        <v>1</v>
      </c>
      <c r="O14" s="207">
        <f t="array" ref="O14">IF(ISTEXT($A14), (IFERROR((SUMPRODUCT(($A$47:$A160 = $A14) * (O$47:O160 &lt;&gt; "") * IF(O$47:O160 = "Bad", -2, IF(O$47:O160 = "Below par", -1, IF(O$47:O160 = "Very well", 1, IF(O$47:O160 = "Excellent", 2, 0))))) / (COUNTIFS($A$47:$A160, $A14, O$47:O160, "&lt;&gt;")) * 25 + 50) / 50, "")),"")</f>
        <v>1</v>
      </c>
      <c r="P14" s="207">
        <f t="array" ref="P14">IF(ISTEXT($A14), (IFERROR((SUMPRODUCT(($A$47:$A160 = $A14) * (P$47:P160 &lt;&gt; "") * IF(P$47:P160 = "Bad", -2, IF(P$47:P160 = "Below par", -1, IF(P$47:P160 = "Very well", 1, IF(P$47:P160 = "Excellent", 2, 0))))) / (COUNTIFS($A$47:$A160, $A14, P$47:P160, "&lt;&gt;")) * 25 + 50) / 50, "")),"")</f>
        <v>1</v>
      </c>
      <c r="Q14" s="207">
        <f t="array" ref="Q14">IF(ISTEXT($A14), (IFERROR((SUMPRODUCT(($A$47:$A160 = $A14) * (Q$47:Q160 &lt;&gt; "") * IF(Q$47:Q160 = "Bad", -2, IF(Q$47:Q160 = "Below par", -1, IF(Q$47:Q160 = "Very well", 1, IF(Q$47:Q160 = "Excellent", 2, 0))))) / (COUNTIFS($A$47:$A160, $A14, Q$47:Q160, "&lt;&gt;")) * 25 + 50) / 50, "")),"")</f>
        <v>1</v>
      </c>
      <c r="R14" s="207">
        <f t="array" ref="R14">IF(ISTEXT($A14), (IFERROR((SUMPRODUCT(($A$47:$A160 = $A14) * (R$47:R160 &lt;&gt; "") * IF(R$47:R160 = "Bad", -2, IF(R$47:R160 = "Below par", -1, IF(R$47:R160 = "Very well", 1, IF(R$47:R160 = "Excellent", 2, 0))))) / (COUNTIFS($A$47:$A160, $A14, R$47:R160, "&lt;&gt;")) * 25 + 50) / 50, "")),"")</f>
        <v>1</v>
      </c>
      <c r="S14" s="207" t="str">
        <f t="array" ref="S14">IF(ISTEXT($A14), (IFERROR((SUMPRODUCT(($A$47:$A160 = $A14) * (S$47:S160 &lt;&gt; "") * IF(S$47:S160 = "Bad", -2, IF(S$47:S160 = "Below par", -1, IF(S$47:S160 = "Very well", 1, IF(S$47:S160 = "Excellent", 2, 0))))) / (COUNTIFS($A$47:$A160, $A14, S$47:S160, "&lt;&gt;")) * 25 + 50) / 50, "")),"")</f>
        <v/>
      </c>
      <c r="T14" s="207">
        <f t="array" ref="T14">IF(ISTEXT($A14), (IFERROR((SUMPRODUCT(($A$47:$A160 = $A14) * (T$47:T160 &lt;&gt; "") * IF(T$47:T160 = "Bad", -2, IF(T$47:T160 = "Below par", -1, IF(T$47:T160 = "Very well", 1, IF(T$47:T160 = "Excellent", 2, 0))))) / (COUNTIFS($A$47:$A160, $A14, T$47:T160, "&lt;&gt;")) * 25 + 50) / 50, "")),"")</f>
        <v>1</v>
      </c>
      <c r="U14" s="209"/>
      <c r="V14" s="210"/>
    </row>
    <row r="15" ht="18.75" hidden="1" customHeight="1" outlineLevel="1">
      <c r="A15" s="211" t="str">
        <f>Resources!$A14</f>
        <v/>
      </c>
      <c r="B15" s="207" t="str">
        <f t="shared" si="2"/>
        <v/>
      </c>
      <c r="C15" s="207" t="str">
        <f t="shared" si="3"/>
        <v/>
      </c>
      <c r="D15" s="208" t="str">
        <f t="array" ref="D15">IF(ISTEXT($A15),Round(XLOOKUP($A15,Resources!$A$4:$A$23,Resources!$AB$4:$AB$23)*'Roadmap setting'!$B$10,0),"")</f>
        <v/>
      </c>
      <c r="E15" s="208" t="str">
        <f>IFERROR(__xludf.DUMMYFUNCTION("IFERROR(IF(ISTEXT($A15),AVERAGE(FILTER(E$47:E160, ARRAYFORMULA(ISNUMBER(SEARCH($A15, $A$47:$A160))))),""""),)
"),"")</f>
        <v/>
      </c>
      <c r="F15" s="208" t="str">
        <f>IFERROR(__xludf.DUMMYFUNCTION("IFERROR(IF(ISTEXT($A15),AVERAGE(FILTER(F$47:F160, ARRAYFORMULA(ISNUMBER(SEARCH($A15, $A$47:$A160))))),""""),)
"),"")</f>
        <v/>
      </c>
      <c r="G15" s="207" t="str">
        <f t="array" ref="G15">IF(ISTEXT($A15), (IFERROR((SUMPRODUCT(($A$47:$A160 = $A15) * (G$47:G160 &lt;&gt; "") * IF(G$47:G160 = "Bad", -2, IF(G$47:G160 = "Below par", -1, IF(G$47:G160 = "Very well", 1, IF(G$47:G160 = "Excellent", 2, 0))))) / (COUNTIFS($A$47:$A160, $A15, G$47:G160, "&lt;&gt;")) * 25 + 50) / 50, "")),"")</f>
        <v/>
      </c>
      <c r="H15" s="207" t="str">
        <f t="array" ref="H15">IF(ISTEXT($A15), (IFERROR((SUMPRODUCT(($A$47:$A160 = $A15) * (H$47:H160 &lt;&gt; "") * IF(H$47:H160 = "Bad", -2, IF(H$47:H160 = "Below par", -1, IF(H$47:H160 = "Very well", 1, IF(H$47:H160 = "Excellent", 2, 0))))) / (COUNTIFS($A$47:$A160, $A15, H$47:H160, "&lt;&gt;")) * 25 + 50) / 50, "")),"")</f>
        <v/>
      </c>
      <c r="I15" s="207" t="str">
        <f t="array" ref="I15">IF(ISTEXT($A15), (IFERROR((SUMPRODUCT(($A$47:$A160 = $A15) * (I$47:I160 &lt;&gt; "") * IF(I$47:I160 = "Bad", -2, IF(I$47:I160 = "Below par", -1, IF(I$47:I160 = "Very well", 1, IF(I$47:I160 = "Excellent", 2, 0))))) / (COUNTIFS($A$47:$A160, $A15, I$47:I160, "&lt;&gt;")) * 25 + 50) / 50, "")),"")</f>
        <v/>
      </c>
      <c r="J15" s="207" t="str">
        <f t="array" ref="J15">IF(ISTEXT($A15), (IFERROR((SUMPRODUCT(($A$47:$A160 = $A15) * (J$47:J160 &lt;&gt; "") * IF(J$47:J160 = "Bad", -2, IF(J$47:J160 = "Below par", -1, IF(J$47:J160 = "Very well", 1, IF(J$47:J160 = "Excellent", 2, 0))))) / (COUNTIFS($A$47:$A160, $A15, J$47:J160, "&lt;&gt;")) * 25 + 50) / 50, "")),"")</f>
        <v/>
      </c>
      <c r="K15" s="207" t="str">
        <f t="array" ref="K15">IF(ISTEXT($A15), (IFERROR((SUMPRODUCT(($A$47:$A160 = $A15) * (K$47:K160 &lt;&gt; "") * IF(K$47:K160 = "Bad", -2, IF(K$47:K160 = "Below par", -1, IF(K$47:K160 = "Very well", 1, IF(K$47:K160 = "Excellent", 2, 0))))) / (COUNTIFS($A$47:$A160, $A15, K$47:K160, "&lt;&gt;")) * 25 + 50) / 50, "")),"")</f>
        <v/>
      </c>
      <c r="L15" s="207" t="str">
        <f t="array" ref="L15">IF(ISTEXT($A15), (IFERROR((SUMPRODUCT(($A$47:$A160 = $A15) * (L$47:L160 &lt;&gt; "") * IF(L$47:L160 = "Bad", -2, IF(L$47:L160 = "Below par", -1, IF(L$47:L160 = "Very well", 1, IF(L$47:L160 = "Excellent", 2, 0))))) / (COUNTIFS($A$47:$A160, $A15, L$47:L160, "&lt;&gt;")) * 25 + 50) / 50, "")),"")</f>
        <v/>
      </c>
      <c r="M15" s="207" t="str">
        <f t="array" ref="M15">IF(ISTEXT($A15), (IFERROR((SUMPRODUCT(($A$47:$A160 = $A15) * (M$47:M160 &lt;&gt; "") * IF(M$47:M160 = "Bad", -2, IF(M$47:M160 = "Below par", -1, IF(M$47:M160 = "Very well", 1, IF(M$47:M160 = "Excellent", 2, 0))))) / (COUNTIFS($A$47:$A160, $A15, M$47:M160, "&lt;&gt;")) * 25 + 50) / 50, "")),"")</f>
        <v/>
      </c>
      <c r="N15" s="207" t="str">
        <f t="array" ref="N15">IF(ISTEXT($A15), (IFERROR((SUMPRODUCT(($A$47:$A160 = $A15) * (N$47:N160 &lt;&gt; "") * IF(N$47:N160 = "Bad", -2, IF(N$47:N160 = "Below par", -1, IF(N$47:N160 = "Very well", 1, IF(N$47:N160 = "Excellent", 2, 0))))) / (COUNTIFS($A$47:$A160, $A15, N$47:N160, "&lt;&gt;")) * 25 + 50) / 50, "")),"")</f>
        <v/>
      </c>
      <c r="O15" s="207" t="str">
        <f t="array" ref="O15">IF(ISTEXT($A15), (IFERROR((SUMPRODUCT(($A$47:$A160 = $A15) * (O$47:O160 &lt;&gt; "") * IF(O$47:O160 = "Bad", -2, IF(O$47:O160 = "Below par", -1, IF(O$47:O160 = "Very well", 1, IF(O$47:O160 = "Excellent", 2, 0))))) / (COUNTIFS($A$47:$A160, $A15, O$47:O160, "&lt;&gt;")) * 25 + 50) / 50, "")),"")</f>
        <v/>
      </c>
      <c r="P15" s="207" t="str">
        <f t="array" ref="P15">IF(ISTEXT($A15), (IFERROR((SUMPRODUCT(($A$47:$A160 = $A15) * (P$47:P160 &lt;&gt; "") * IF(P$47:P160 = "Bad", -2, IF(P$47:P160 = "Below par", -1, IF(P$47:P160 = "Very well", 1, IF(P$47:P160 = "Excellent", 2, 0))))) / (COUNTIFS($A$47:$A160, $A15, P$47:P160, "&lt;&gt;")) * 25 + 50) / 50, "")),"")</f>
        <v/>
      </c>
      <c r="Q15" s="207" t="str">
        <f t="array" ref="Q15">IF(ISTEXT($A15), (IFERROR((SUMPRODUCT(($A$47:$A160 = $A15) * (Q$47:Q160 &lt;&gt; "") * IF(Q$47:Q160 = "Bad", -2, IF(Q$47:Q160 = "Below par", -1, IF(Q$47:Q160 = "Very well", 1, IF(Q$47:Q160 = "Excellent", 2, 0))))) / (COUNTIFS($A$47:$A160, $A15, Q$47:Q160, "&lt;&gt;")) * 25 + 50) / 50, "")),"")</f>
        <v/>
      </c>
      <c r="R15" s="207" t="str">
        <f t="array" ref="R15">IF(ISTEXT($A15), (IFERROR((SUMPRODUCT(($A$47:$A160 = $A15) * (R$47:R160 &lt;&gt; "") * IF(R$47:R160 = "Bad", -2, IF(R$47:R160 = "Below par", -1, IF(R$47:R160 = "Very well", 1, IF(R$47:R160 = "Excellent", 2, 0))))) / (COUNTIFS($A$47:$A160, $A15, R$47:R160, "&lt;&gt;")) * 25 + 50) / 50, "")),"")</f>
        <v/>
      </c>
      <c r="S15" s="207" t="str">
        <f t="array" ref="S15">IF(ISTEXT($A15), (IFERROR((SUMPRODUCT(($A$47:$A160 = $A15) * (S$47:S160 &lt;&gt; "") * IF(S$47:S160 = "Bad", -2, IF(S$47:S160 = "Below par", -1, IF(S$47:S160 = "Very well", 1, IF(S$47:S160 = "Excellent", 2, 0))))) / (COUNTIFS($A$47:$A160, $A15, S$47:S160, "&lt;&gt;")) * 25 + 50) / 50, "")),"")</f>
        <v/>
      </c>
      <c r="T15" s="207" t="str">
        <f t="array" ref="T15">IF(ISTEXT($A15), (IFERROR((SUMPRODUCT(($A$47:$A160 = $A15) * (T$47:T160 &lt;&gt; "") * IF(T$47:T160 = "Bad", -2, IF(T$47:T160 = "Below par", -1, IF(T$47:T160 = "Very well", 1, IF(T$47:T160 = "Excellent", 2, 0))))) / (COUNTIFS($A$47:$A160, $A15, T$47:T160, "&lt;&gt;")) * 25 + 50) / 50, "")),"")</f>
        <v/>
      </c>
      <c r="U15" s="209"/>
      <c r="V15" s="210"/>
    </row>
    <row r="16" ht="18.75" hidden="1" customHeight="1" outlineLevel="1">
      <c r="A16" s="211" t="str">
        <f>Resources!$A15</f>
        <v/>
      </c>
      <c r="B16" s="207" t="str">
        <f t="shared" si="2"/>
        <v/>
      </c>
      <c r="C16" s="207" t="str">
        <f t="shared" si="3"/>
        <v/>
      </c>
      <c r="D16" s="208" t="str">
        <f t="array" ref="D16">IF(ISTEXT($A16),Round(XLOOKUP($A16,Resources!$A$4:$A$23,Resources!$AB$4:$AB$23)*'Roadmap setting'!$B$10,0),"")</f>
        <v/>
      </c>
      <c r="E16" s="208" t="str">
        <f>IFERROR(__xludf.DUMMYFUNCTION("IFERROR(IF(ISTEXT($A16),AVERAGE(FILTER(E$47:E160, ARRAYFORMULA(ISNUMBER(SEARCH($A16, $A$47:$A160))))),""""),)
"),"")</f>
        <v/>
      </c>
      <c r="F16" s="208" t="str">
        <f>IFERROR(__xludf.DUMMYFUNCTION("IFERROR(IF(ISTEXT($A16),AVERAGE(FILTER(F$47:F160, ARRAYFORMULA(ISNUMBER(SEARCH($A16, $A$47:$A160))))),""""),)
"),"")</f>
        <v/>
      </c>
      <c r="G16" s="207" t="str">
        <f t="array" ref="G16">IF(ISTEXT($A16), (IFERROR((SUMPRODUCT(($A$47:$A160 = $A16) * (G$47:G160 &lt;&gt; "") * IF(G$47:G160 = "Bad", -2, IF(G$47:G160 = "Below par", -1, IF(G$47:G160 = "Very well", 1, IF(G$47:G160 = "Excellent", 2, 0))))) / (COUNTIFS($A$47:$A160, $A16, G$47:G160, "&lt;&gt;")) * 25 + 50) / 50, "")),"")</f>
        <v/>
      </c>
      <c r="H16" s="207" t="str">
        <f t="array" ref="H16">IF(ISTEXT($A16), (IFERROR((SUMPRODUCT(($A$47:$A160 = $A16) * (H$47:H160 &lt;&gt; "") * IF(H$47:H160 = "Bad", -2, IF(H$47:H160 = "Below par", -1, IF(H$47:H160 = "Very well", 1, IF(H$47:H160 = "Excellent", 2, 0))))) / (COUNTIFS($A$47:$A160, $A16, H$47:H160, "&lt;&gt;")) * 25 + 50) / 50, "")),"")</f>
        <v/>
      </c>
      <c r="I16" s="207" t="str">
        <f t="array" ref="I16">IF(ISTEXT($A16), (IFERROR((SUMPRODUCT(($A$47:$A160 = $A16) * (I$47:I160 &lt;&gt; "") * IF(I$47:I160 = "Bad", -2, IF(I$47:I160 = "Below par", -1, IF(I$47:I160 = "Very well", 1, IF(I$47:I160 = "Excellent", 2, 0))))) / (COUNTIFS($A$47:$A160, $A16, I$47:I160, "&lt;&gt;")) * 25 + 50) / 50, "")),"")</f>
        <v/>
      </c>
      <c r="J16" s="207" t="str">
        <f t="array" ref="J16">IF(ISTEXT($A16), (IFERROR((SUMPRODUCT(($A$47:$A160 = $A16) * (J$47:J160 &lt;&gt; "") * IF(J$47:J160 = "Bad", -2, IF(J$47:J160 = "Below par", -1, IF(J$47:J160 = "Very well", 1, IF(J$47:J160 = "Excellent", 2, 0))))) / (COUNTIFS($A$47:$A160, $A16, J$47:J160, "&lt;&gt;")) * 25 + 50) / 50, "")),"")</f>
        <v/>
      </c>
      <c r="K16" s="207" t="str">
        <f t="array" ref="K16">IF(ISTEXT($A16), (IFERROR((SUMPRODUCT(($A$47:$A160 = $A16) * (K$47:K160 &lt;&gt; "") * IF(K$47:K160 = "Bad", -2, IF(K$47:K160 = "Below par", -1, IF(K$47:K160 = "Very well", 1, IF(K$47:K160 = "Excellent", 2, 0))))) / (COUNTIFS($A$47:$A160, $A16, K$47:K160, "&lt;&gt;")) * 25 + 50) / 50, "")),"")</f>
        <v/>
      </c>
      <c r="L16" s="207" t="str">
        <f t="array" ref="L16">IF(ISTEXT($A16), (IFERROR((SUMPRODUCT(($A$47:$A160 = $A16) * (L$47:L160 &lt;&gt; "") * IF(L$47:L160 = "Bad", -2, IF(L$47:L160 = "Below par", -1, IF(L$47:L160 = "Very well", 1, IF(L$47:L160 = "Excellent", 2, 0))))) / (COUNTIFS($A$47:$A160, $A16, L$47:L160, "&lt;&gt;")) * 25 + 50) / 50, "")),"")</f>
        <v/>
      </c>
      <c r="M16" s="207" t="str">
        <f t="array" ref="M16">IF(ISTEXT($A16), (IFERROR((SUMPRODUCT(($A$47:$A160 = $A16) * (M$47:M160 &lt;&gt; "") * IF(M$47:M160 = "Bad", -2, IF(M$47:M160 = "Below par", -1, IF(M$47:M160 = "Very well", 1, IF(M$47:M160 = "Excellent", 2, 0))))) / (COUNTIFS($A$47:$A160, $A16, M$47:M160, "&lt;&gt;")) * 25 + 50) / 50, "")),"")</f>
        <v/>
      </c>
      <c r="N16" s="207" t="str">
        <f t="array" ref="N16">IF(ISTEXT($A16), (IFERROR((SUMPRODUCT(($A$47:$A160 = $A16) * (N$47:N160 &lt;&gt; "") * IF(N$47:N160 = "Bad", -2, IF(N$47:N160 = "Below par", -1, IF(N$47:N160 = "Very well", 1, IF(N$47:N160 = "Excellent", 2, 0))))) / (COUNTIFS($A$47:$A160, $A16, N$47:N160, "&lt;&gt;")) * 25 + 50) / 50, "")),"")</f>
        <v/>
      </c>
      <c r="O16" s="207" t="str">
        <f t="array" ref="O16">IF(ISTEXT($A16), (IFERROR((SUMPRODUCT(($A$47:$A160 = $A16) * (O$47:O160 &lt;&gt; "") * IF(O$47:O160 = "Bad", -2, IF(O$47:O160 = "Below par", -1, IF(O$47:O160 = "Very well", 1, IF(O$47:O160 = "Excellent", 2, 0))))) / (COUNTIFS($A$47:$A160, $A16, O$47:O160, "&lt;&gt;")) * 25 + 50) / 50, "")),"")</f>
        <v/>
      </c>
      <c r="P16" s="207" t="str">
        <f t="array" ref="P16">IF(ISTEXT($A16), (IFERROR((SUMPRODUCT(($A$47:$A160 = $A16) * (P$47:P160 &lt;&gt; "") * IF(P$47:P160 = "Bad", -2, IF(P$47:P160 = "Below par", -1, IF(P$47:P160 = "Very well", 1, IF(P$47:P160 = "Excellent", 2, 0))))) / (COUNTIFS($A$47:$A160, $A16, P$47:P160, "&lt;&gt;")) * 25 + 50) / 50, "")),"")</f>
        <v/>
      </c>
      <c r="Q16" s="207" t="str">
        <f t="array" ref="Q16">IF(ISTEXT($A16), (IFERROR((SUMPRODUCT(($A$47:$A160 = $A16) * (Q$47:Q160 &lt;&gt; "") * IF(Q$47:Q160 = "Bad", -2, IF(Q$47:Q160 = "Below par", -1, IF(Q$47:Q160 = "Very well", 1, IF(Q$47:Q160 = "Excellent", 2, 0))))) / (COUNTIFS($A$47:$A160, $A16, Q$47:Q160, "&lt;&gt;")) * 25 + 50) / 50, "")),"")</f>
        <v/>
      </c>
      <c r="R16" s="207" t="str">
        <f t="array" ref="R16">IF(ISTEXT($A16), (IFERROR((SUMPRODUCT(($A$47:$A160 = $A16) * (R$47:R160 &lt;&gt; "") * IF(R$47:R160 = "Bad", -2, IF(R$47:R160 = "Below par", -1, IF(R$47:R160 = "Very well", 1, IF(R$47:R160 = "Excellent", 2, 0))))) / (COUNTIFS($A$47:$A160, $A16, R$47:R160, "&lt;&gt;")) * 25 + 50) / 50, "")),"")</f>
        <v/>
      </c>
      <c r="S16" s="207" t="str">
        <f t="array" ref="S16">IF(ISTEXT($A16), (IFERROR((SUMPRODUCT(($A$47:$A160 = $A16) * (S$47:S160 &lt;&gt; "") * IF(S$47:S160 = "Bad", -2, IF(S$47:S160 = "Below par", -1, IF(S$47:S160 = "Very well", 1, IF(S$47:S160 = "Excellent", 2, 0))))) / (COUNTIFS($A$47:$A160, $A16, S$47:S160, "&lt;&gt;")) * 25 + 50) / 50, "")),"")</f>
        <v/>
      </c>
      <c r="T16" s="207" t="str">
        <f t="array" ref="T16">IF(ISTEXT($A16), (IFERROR((SUMPRODUCT(($A$47:$A160 = $A16) * (T$47:T160 &lt;&gt; "") * IF(T$47:T160 = "Bad", -2, IF(T$47:T160 = "Below par", -1, IF(T$47:T160 = "Very well", 1, IF(T$47:T160 = "Excellent", 2, 0))))) / (COUNTIFS($A$47:$A160, $A16, T$47:T160, "&lt;&gt;")) * 25 + 50) / 50, "")),"")</f>
        <v/>
      </c>
      <c r="U16" s="209"/>
      <c r="V16" s="210"/>
    </row>
    <row r="17" ht="18.75" hidden="1" customHeight="1" outlineLevel="1">
      <c r="A17" s="211" t="str">
        <f>Resources!$A16</f>
        <v/>
      </c>
      <c r="B17" s="207" t="str">
        <f t="shared" si="2"/>
        <v/>
      </c>
      <c r="C17" s="207" t="str">
        <f t="shared" si="3"/>
        <v/>
      </c>
      <c r="D17" s="208" t="str">
        <f t="array" ref="D17">IF(ISTEXT($A17),Round(XLOOKUP($A17,Resources!$A$4:$A$23,Resources!$AB$4:$AB$23)*'Roadmap setting'!$B$10,0),"")</f>
        <v/>
      </c>
      <c r="E17" s="208" t="str">
        <f>IFERROR(__xludf.DUMMYFUNCTION("IFERROR(IF(ISTEXT($A17),AVERAGE(FILTER(E$47:E160, ARRAYFORMULA(ISNUMBER(SEARCH($A17, $A$47:$A160))))),""""),)
"),"")</f>
        <v/>
      </c>
      <c r="F17" s="208" t="str">
        <f>IFERROR(__xludf.DUMMYFUNCTION("IFERROR(IF(ISTEXT($A17),AVERAGE(FILTER(F$47:F160, ARRAYFORMULA(ISNUMBER(SEARCH($A17, $A$47:$A160))))),""""),)
"),"")</f>
        <v/>
      </c>
      <c r="G17" s="207" t="str">
        <f t="array" ref="G17">IF(ISTEXT($A17), (IFERROR((SUMPRODUCT(($A$47:$A160 = $A17) * (G$47:G160 &lt;&gt; "") * IF(G$47:G160 = "Bad", -2, IF(G$47:G160 = "Below par", -1, IF(G$47:G160 = "Very well", 1, IF(G$47:G160 = "Excellent", 2, 0))))) / (COUNTIFS($A$47:$A160, $A17, G$47:G160, "&lt;&gt;")) * 25 + 50) / 50, "")),"")</f>
        <v/>
      </c>
      <c r="H17" s="207" t="str">
        <f t="array" ref="H17">IF(ISTEXT($A17), (IFERROR((SUMPRODUCT(($A$47:$A160 = $A17) * (H$47:H160 &lt;&gt; "") * IF(H$47:H160 = "Bad", -2, IF(H$47:H160 = "Below par", -1, IF(H$47:H160 = "Very well", 1, IF(H$47:H160 = "Excellent", 2, 0))))) / (COUNTIFS($A$47:$A160, $A17, H$47:H160, "&lt;&gt;")) * 25 + 50) / 50, "")),"")</f>
        <v/>
      </c>
      <c r="I17" s="207" t="str">
        <f t="array" ref="I17">IF(ISTEXT($A17), (IFERROR((SUMPRODUCT(($A$47:$A160 = $A17) * (I$47:I160 &lt;&gt; "") * IF(I$47:I160 = "Bad", -2, IF(I$47:I160 = "Below par", -1, IF(I$47:I160 = "Very well", 1, IF(I$47:I160 = "Excellent", 2, 0))))) / (COUNTIFS($A$47:$A160, $A17, I$47:I160, "&lt;&gt;")) * 25 + 50) / 50, "")),"")</f>
        <v/>
      </c>
      <c r="J17" s="207" t="str">
        <f t="array" ref="J17">IF(ISTEXT($A17), (IFERROR((SUMPRODUCT(($A$47:$A160 = $A17) * (J$47:J160 &lt;&gt; "") * IF(J$47:J160 = "Bad", -2, IF(J$47:J160 = "Below par", -1, IF(J$47:J160 = "Very well", 1, IF(J$47:J160 = "Excellent", 2, 0))))) / (COUNTIFS($A$47:$A160, $A17, J$47:J160, "&lt;&gt;")) * 25 + 50) / 50, "")),"")</f>
        <v/>
      </c>
      <c r="K17" s="207" t="str">
        <f t="array" ref="K17">IF(ISTEXT($A17), (IFERROR((SUMPRODUCT(($A$47:$A160 = $A17) * (K$47:K160 &lt;&gt; "") * IF(K$47:K160 = "Bad", -2, IF(K$47:K160 = "Below par", -1, IF(K$47:K160 = "Very well", 1, IF(K$47:K160 = "Excellent", 2, 0))))) / (COUNTIFS($A$47:$A160, $A17, K$47:K160, "&lt;&gt;")) * 25 + 50) / 50, "")),"")</f>
        <v/>
      </c>
      <c r="L17" s="207" t="str">
        <f t="array" ref="L17">IF(ISTEXT($A17), (IFERROR((SUMPRODUCT(($A$47:$A160 = $A17) * (L$47:L160 &lt;&gt; "") * IF(L$47:L160 = "Bad", -2, IF(L$47:L160 = "Below par", -1, IF(L$47:L160 = "Very well", 1, IF(L$47:L160 = "Excellent", 2, 0))))) / (COUNTIFS($A$47:$A160, $A17, L$47:L160, "&lt;&gt;")) * 25 + 50) / 50, "")),"")</f>
        <v/>
      </c>
      <c r="M17" s="207" t="str">
        <f t="array" ref="M17">IF(ISTEXT($A17), (IFERROR((SUMPRODUCT(($A$47:$A160 = $A17) * (M$47:M160 &lt;&gt; "") * IF(M$47:M160 = "Bad", -2, IF(M$47:M160 = "Below par", -1, IF(M$47:M160 = "Very well", 1, IF(M$47:M160 = "Excellent", 2, 0))))) / (COUNTIFS($A$47:$A160, $A17, M$47:M160, "&lt;&gt;")) * 25 + 50) / 50, "")),"")</f>
        <v/>
      </c>
      <c r="N17" s="207" t="str">
        <f t="array" ref="N17">IF(ISTEXT($A17), (IFERROR((SUMPRODUCT(($A$47:$A160 = $A17) * (N$47:N160 &lt;&gt; "") * IF(N$47:N160 = "Bad", -2, IF(N$47:N160 = "Below par", -1, IF(N$47:N160 = "Very well", 1, IF(N$47:N160 = "Excellent", 2, 0))))) / (COUNTIFS($A$47:$A160, $A17, N$47:N160, "&lt;&gt;")) * 25 + 50) / 50, "")),"")</f>
        <v/>
      </c>
      <c r="O17" s="207" t="str">
        <f t="array" ref="O17">IF(ISTEXT($A17), (IFERROR((SUMPRODUCT(($A$47:$A160 = $A17) * (O$47:O160 &lt;&gt; "") * IF(O$47:O160 = "Bad", -2, IF(O$47:O160 = "Below par", -1, IF(O$47:O160 = "Very well", 1, IF(O$47:O160 = "Excellent", 2, 0))))) / (COUNTIFS($A$47:$A160, $A17, O$47:O160, "&lt;&gt;")) * 25 + 50) / 50, "")),"")</f>
        <v/>
      </c>
      <c r="P17" s="207" t="str">
        <f t="array" ref="P17">IF(ISTEXT($A17), (IFERROR((SUMPRODUCT(($A$47:$A160 = $A17) * (P$47:P160 &lt;&gt; "") * IF(P$47:P160 = "Bad", -2, IF(P$47:P160 = "Below par", -1, IF(P$47:P160 = "Very well", 1, IF(P$47:P160 = "Excellent", 2, 0))))) / (COUNTIFS($A$47:$A160, $A17, P$47:P160, "&lt;&gt;")) * 25 + 50) / 50, "")),"")</f>
        <v/>
      </c>
      <c r="Q17" s="207" t="str">
        <f t="array" ref="Q17">IF(ISTEXT($A17), (IFERROR((SUMPRODUCT(($A$47:$A160 = $A17) * (Q$47:Q160 &lt;&gt; "") * IF(Q$47:Q160 = "Bad", -2, IF(Q$47:Q160 = "Below par", -1, IF(Q$47:Q160 = "Very well", 1, IF(Q$47:Q160 = "Excellent", 2, 0))))) / (COUNTIFS($A$47:$A160, $A17, Q$47:Q160, "&lt;&gt;")) * 25 + 50) / 50, "")),"")</f>
        <v/>
      </c>
      <c r="R17" s="207" t="str">
        <f t="array" ref="R17">IF(ISTEXT($A17), (IFERROR((SUMPRODUCT(($A$47:$A160 = $A17) * (R$47:R160 &lt;&gt; "") * IF(R$47:R160 = "Bad", -2, IF(R$47:R160 = "Below par", -1, IF(R$47:R160 = "Very well", 1, IF(R$47:R160 = "Excellent", 2, 0))))) / (COUNTIFS($A$47:$A160, $A17, R$47:R160, "&lt;&gt;")) * 25 + 50) / 50, "")),"")</f>
        <v/>
      </c>
      <c r="S17" s="207" t="str">
        <f t="array" ref="S17">IF(ISTEXT($A17), (IFERROR((SUMPRODUCT(($A$47:$A160 = $A17) * (S$47:S160 &lt;&gt; "") * IF(S$47:S160 = "Bad", -2, IF(S$47:S160 = "Below par", -1, IF(S$47:S160 = "Very well", 1, IF(S$47:S160 = "Excellent", 2, 0))))) / (COUNTIFS($A$47:$A160, $A17, S$47:S160, "&lt;&gt;")) * 25 + 50) / 50, "")),"")</f>
        <v/>
      </c>
      <c r="T17" s="207" t="str">
        <f t="array" ref="T17">IF(ISTEXT($A17), (IFERROR((SUMPRODUCT(($A$47:$A160 = $A17) * (T$47:T160 &lt;&gt; "") * IF(T$47:T160 = "Bad", -2, IF(T$47:T160 = "Below par", -1, IF(T$47:T160 = "Very well", 1, IF(T$47:T160 = "Excellent", 2, 0))))) / (COUNTIFS($A$47:$A160, $A17, T$47:T160, "&lt;&gt;")) * 25 + 50) / 50, "")),"")</f>
        <v/>
      </c>
      <c r="U17" s="209"/>
      <c r="V17" s="210"/>
    </row>
    <row r="18" ht="18.75" hidden="1" customHeight="1" outlineLevel="1">
      <c r="A18" s="211" t="str">
        <f>Resources!$A17</f>
        <v/>
      </c>
      <c r="B18" s="207" t="str">
        <f t="shared" si="2"/>
        <v/>
      </c>
      <c r="C18" s="207" t="str">
        <f t="shared" si="3"/>
        <v/>
      </c>
      <c r="D18" s="208" t="str">
        <f t="array" ref="D18">IF(ISTEXT($A18),Round(XLOOKUP($A18,Resources!$A$4:$A$23,Resources!$AB$4:$AB$23)*'Roadmap setting'!$B$10,0),"")</f>
        <v/>
      </c>
      <c r="E18" s="208" t="str">
        <f>IFERROR(__xludf.DUMMYFUNCTION("IFERROR(IF(ISTEXT($A18),AVERAGE(FILTER(E$47:E160, ARRAYFORMULA(ISNUMBER(SEARCH($A18, $A$47:$A160))))),""""),)
"),"")</f>
        <v/>
      </c>
      <c r="F18" s="208" t="str">
        <f>IFERROR(__xludf.DUMMYFUNCTION("IFERROR(IF(ISTEXT($A18),AVERAGE(FILTER(F$47:F160, ARRAYFORMULA(ISNUMBER(SEARCH($A18, $A$47:$A160))))),""""),)
"),"")</f>
        <v/>
      </c>
      <c r="G18" s="207" t="str">
        <f t="array" ref="G18">IF(ISTEXT($A18), (IFERROR((SUMPRODUCT(($A$47:$A160 = $A18) * (G$47:G160 &lt;&gt; "") * IF(G$47:G160 = "Bad", -2, IF(G$47:G160 = "Below par", -1, IF(G$47:G160 = "Very well", 1, IF(G$47:G160 = "Excellent", 2, 0))))) / (COUNTIFS($A$47:$A160, $A18, G$47:G160, "&lt;&gt;")) * 25 + 50) / 50, "")),"")</f>
        <v/>
      </c>
      <c r="H18" s="207" t="str">
        <f t="array" ref="H18">IF(ISTEXT($A18), (IFERROR((SUMPRODUCT(($A$47:$A160 = $A18) * (H$47:H160 &lt;&gt; "") * IF(H$47:H160 = "Bad", -2, IF(H$47:H160 = "Below par", -1, IF(H$47:H160 = "Very well", 1, IF(H$47:H160 = "Excellent", 2, 0))))) / (COUNTIFS($A$47:$A160, $A18, H$47:H160, "&lt;&gt;")) * 25 + 50) / 50, "")),"")</f>
        <v/>
      </c>
      <c r="I18" s="207" t="str">
        <f t="array" ref="I18">IF(ISTEXT($A18), (IFERROR((SUMPRODUCT(($A$47:$A160 = $A18) * (I$47:I160 &lt;&gt; "") * IF(I$47:I160 = "Bad", -2, IF(I$47:I160 = "Below par", -1, IF(I$47:I160 = "Very well", 1, IF(I$47:I160 = "Excellent", 2, 0))))) / (COUNTIFS($A$47:$A160, $A18, I$47:I160, "&lt;&gt;")) * 25 + 50) / 50, "")),"")</f>
        <v/>
      </c>
      <c r="J18" s="207" t="str">
        <f t="array" ref="J18">IF(ISTEXT($A18), (IFERROR((SUMPRODUCT(($A$47:$A160 = $A18) * (J$47:J160 &lt;&gt; "") * IF(J$47:J160 = "Bad", -2, IF(J$47:J160 = "Below par", -1, IF(J$47:J160 = "Very well", 1, IF(J$47:J160 = "Excellent", 2, 0))))) / (COUNTIFS($A$47:$A160, $A18, J$47:J160, "&lt;&gt;")) * 25 + 50) / 50, "")),"")</f>
        <v/>
      </c>
      <c r="K18" s="207" t="str">
        <f t="array" ref="K18">IF(ISTEXT($A18), (IFERROR((SUMPRODUCT(($A$47:$A160 = $A18) * (K$47:K160 &lt;&gt; "") * IF(K$47:K160 = "Bad", -2, IF(K$47:K160 = "Below par", -1, IF(K$47:K160 = "Very well", 1, IF(K$47:K160 = "Excellent", 2, 0))))) / (COUNTIFS($A$47:$A160, $A18, K$47:K160, "&lt;&gt;")) * 25 + 50) / 50, "")),"")</f>
        <v/>
      </c>
      <c r="L18" s="207" t="str">
        <f t="array" ref="L18">IF(ISTEXT($A18), (IFERROR((SUMPRODUCT(($A$47:$A160 = $A18) * (L$47:L160 &lt;&gt; "") * IF(L$47:L160 = "Bad", -2, IF(L$47:L160 = "Below par", -1, IF(L$47:L160 = "Very well", 1, IF(L$47:L160 = "Excellent", 2, 0))))) / (COUNTIFS($A$47:$A160, $A18, L$47:L160, "&lt;&gt;")) * 25 + 50) / 50, "")),"")</f>
        <v/>
      </c>
      <c r="M18" s="207" t="str">
        <f t="array" ref="M18">IF(ISTEXT($A18), (IFERROR((SUMPRODUCT(($A$47:$A160 = $A18) * (M$47:M160 &lt;&gt; "") * IF(M$47:M160 = "Bad", -2, IF(M$47:M160 = "Below par", -1, IF(M$47:M160 = "Very well", 1, IF(M$47:M160 = "Excellent", 2, 0))))) / (COUNTIFS($A$47:$A160, $A18, M$47:M160, "&lt;&gt;")) * 25 + 50) / 50, "")),"")</f>
        <v/>
      </c>
      <c r="N18" s="207" t="str">
        <f t="array" ref="N18">IF(ISTEXT($A18), (IFERROR((SUMPRODUCT(($A$47:$A160 = $A18) * (N$47:N160 &lt;&gt; "") * IF(N$47:N160 = "Bad", -2, IF(N$47:N160 = "Below par", -1, IF(N$47:N160 = "Very well", 1, IF(N$47:N160 = "Excellent", 2, 0))))) / (COUNTIFS($A$47:$A160, $A18, N$47:N160, "&lt;&gt;")) * 25 + 50) / 50, "")),"")</f>
        <v/>
      </c>
      <c r="O18" s="207" t="str">
        <f t="array" ref="O18">IF(ISTEXT($A18), (IFERROR((SUMPRODUCT(($A$47:$A160 = $A18) * (O$47:O160 &lt;&gt; "") * IF(O$47:O160 = "Bad", -2, IF(O$47:O160 = "Below par", -1, IF(O$47:O160 = "Very well", 1, IF(O$47:O160 = "Excellent", 2, 0))))) / (COUNTIFS($A$47:$A160, $A18, O$47:O160, "&lt;&gt;")) * 25 + 50) / 50, "")),"")</f>
        <v/>
      </c>
      <c r="P18" s="207" t="str">
        <f t="array" ref="P18">IF(ISTEXT($A18), (IFERROR((SUMPRODUCT(($A$47:$A160 = $A18) * (P$47:P160 &lt;&gt; "") * IF(P$47:P160 = "Bad", -2, IF(P$47:P160 = "Below par", -1, IF(P$47:P160 = "Very well", 1, IF(P$47:P160 = "Excellent", 2, 0))))) / (COUNTIFS($A$47:$A160, $A18, P$47:P160, "&lt;&gt;")) * 25 + 50) / 50, "")),"")</f>
        <v/>
      </c>
      <c r="Q18" s="207" t="str">
        <f t="array" ref="Q18">IF(ISTEXT($A18), (IFERROR((SUMPRODUCT(($A$47:$A160 = $A18) * (Q$47:Q160 &lt;&gt; "") * IF(Q$47:Q160 = "Bad", -2, IF(Q$47:Q160 = "Below par", -1, IF(Q$47:Q160 = "Very well", 1, IF(Q$47:Q160 = "Excellent", 2, 0))))) / (COUNTIFS($A$47:$A160, $A18, Q$47:Q160, "&lt;&gt;")) * 25 + 50) / 50, "")),"")</f>
        <v/>
      </c>
      <c r="R18" s="207" t="str">
        <f t="array" ref="R18">IF(ISTEXT($A18), (IFERROR((SUMPRODUCT(($A$47:$A160 = $A18) * (R$47:R160 &lt;&gt; "") * IF(R$47:R160 = "Bad", -2, IF(R$47:R160 = "Below par", -1, IF(R$47:R160 = "Very well", 1, IF(R$47:R160 = "Excellent", 2, 0))))) / (COUNTIFS($A$47:$A160, $A18, R$47:R160, "&lt;&gt;")) * 25 + 50) / 50, "")),"")</f>
        <v/>
      </c>
      <c r="S18" s="207" t="str">
        <f t="array" ref="S18">IF(ISTEXT($A18), (IFERROR((SUMPRODUCT(($A$47:$A160 = $A18) * (S$47:S160 &lt;&gt; "") * IF(S$47:S160 = "Bad", -2, IF(S$47:S160 = "Below par", -1, IF(S$47:S160 = "Very well", 1, IF(S$47:S160 = "Excellent", 2, 0))))) / (COUNTIFS($A$47:$A160, $A18, S$47:S160, "&lt;&gt;")) * 25 + 50) / 50, "")),"")</f>
        <v/>
      </c>
      <c r="T18" s="207" t="str">
        <f t="array" ref="T18">IF(ISTEXT($A18), (IFERROR((SUMPRODUCT(($A$47:$A160 = $A18) * (T$47:T160 &lt;&gt; "") * IF(T$47:T160 = "Bad", -2, IF(T$47:T160 = "Below par", -1, IF(T$47:T160 = "Very well", 1, IF(T$47:T160 = "Excellent", 2, 0))))) / (COUNTIFS($A$47:$A160, $A18, T$47:T160, "&lt;&gt;")) * 25 + 50) / 50, "")),"")</f>
        <v/>
      </c>
      <c r="U18" s="209"/>
      <c r="V18" s="210"/>
    </row>
    <row r="19" ht="18.75" hidden="1" customHeight="1" outlineLevel="1">
      <c r="A19" s="211" t="str">
        <f>Resources!$A18</f>
        <v/>
      </c>
      <c r="B19" s="207" t="str">
        <f t="shared" si="2"/>
        <v/>
      </c>
      <c r="C19" s="207" t="str">
        <f t="shared" si="3"/>
        <v/>
      </c>
      <c r="D19" s="208" t="str">
        <f t="array" ref="D19">IF(ISTEXT($A19),Round(XLOOKUP($A19,Resources!$A$4:$A$23,Resources!$AB$4:$AB$23)*'Roadmap setting'!$B$10,0),"")</f>
        <v/>
      </c>
      <c r="E19" s="208" t="str">
        <f>IFERROR(__xludf.DUMMYFUNCTION("IFERROR(IF(ISTEXT($A19),AVERAGE(FILTER(E$47:E160, ARRAYFORMULA(ISNUMBER(SEARCH($A19, $A$47:$A160))))),""""),)
"),"")</f>
        <v/>
      </c>
      <c r="F19" s="208" t="str">
        <f>IFERROR(__xludf.DUMMYFUNCTION("IFERROR(IF(ISTEXT($A19),AVERAGE(FILTER(F$47:F160, ARRAYFORMULA(ISNUMBER(SEARCH($A19, $A$47:$A160))))),""""),)
"),"")</f>
        <v/>
      </c>
      <c r="G19" s="207" t="str">
        <f t="array" ref="G19">IF(ISTEXT($A19), (IFERROR((SUMPRODUCT(($A$47:$A160 = $A19) * (G$47:G160 &lt;&gt; "") * IF(G$47:G160 = "Bad", -2, IF(G$47:G160 = "Below par", -1, IF(G$47:G160 = "Very well", 1, IF(G$47:G160 = "Excellent", 2, 0))))) / (COUNTIFS($A$47:$A160, $A19, G$47:G160, "&lt;&gt;")) * 25 + 50) / 50, "")),"")</f>
        <v/>
      </c>
      <c r="H19" s="207" t="str">
        <f t="array" ref="H19">IF(ISTEXT($A19), (IFERROR((SUMPRODUCT(($A$47:$A160 = $A19) * (H$47:H160 &lt;&gt; "") * IF(H$47:H160 = "Bad", -2, IF(H$47:H160 = "Below par", -1, IF(H$47:H160 = "Very well", 1, IF(H$47:H160 = "Excellent", 2, 0))))) / (COUNTIFS($A$47:$A160, $A19, H$47:H160, "&lt;&gt;")) * 25 + 50) / 50, "")),"")</f>
        <v/>
      </c>
      <c r="I19" s="207" t="str">
        <f t="array" ref="I19">IF(ISTEXT($A19), (IFERROR((SUMPRODUCT(($A$47:$A160 = $A19) * (I$47:I160 &lt;&gt; "") * IF(I$47:I160 = "Bad", -2, IF(I$47:I160 = "Below par", -1, IF(I$47:I160 = "Very well", 1, IF(I$47:I160 = "Excellent", 2, 0))))) / (COUNTIFS($A$47:$A160, $A19, I$47:I160, "&lt;&gt;")) * 25 + 50) / 50, "")),"")</f>
        <v/>
      </c>
      <c r="J19" s="207" t="str">
        <f t="array" ref="J19">IF(ISTEXT($A19), (IFERROR((SUMPRODUCT(($A$47:$A160 = $A19) * (J$47:J160 &lt;&gt; "") * IF(J$47:J160 = "Bad", -2, IF(J$47:J160 = "Below par", -1, IF(J$47:J160 = "Very well", 1, IF(J$47:J160 = "Excellent", 2, 0))))) / (COUNTIFS($A$47:$A160, $A19, J$47:J160, "&lt;&gt;")) * 25 + 50) / 50, "")),"")</f>
        <v/>
      </c>
      <c r="K19" s="207" t="str">
        <f t="array" ref="K19">IF(ISTEXT($A19), (IFERROR((SUMPRODUCT(($A$47:$A160 = $A19) * (K$47:K160 &lt;&gt; "") * IF(K$47:K160 = "Bad", -2, IF(K$47:K160 = "Below par", -1, IF(K$47:K160 = "Very well", 1, IF(K$47:K160 = "Excellent", 2, 0))))) / (COUNTIFS($A$47:$A160, $A19, K$47:K160, "&lt;&gt;")) * 25 + 50) / 50, "")),"")</f>
        <v/>
      </c>
      <c r="L19" s="207" t="str">
        <f t="array" ref="L19">IF(ISTEXT($A19), (IFERROR((SUMPRODUCT(($A$47:$A160 = $A19) * (L$47:L160 &lt;&gt; "") * IF(L$47:L160 = "Bad", -2, IF(L$47:L160 = "Below par", -1, IF(L$47:L160 = "Very well", 1, IF(L$47:L160 = "Excellent", 2, 0))))) / (COUNTIFS($A$47:$A160, $A19, L$47:L160, "&lt;&gt;")) * 25 + 50) / 50, "")),"")</f>
        <v/>
      </c>
      <c r="M19" s="207" t="str">
        <f t="array" ref="M19">IF(ISTEXT($A19), (IFERROR((SUMPRODUCT(($A$47:$A160 = $A19) * (M$47:M160 &lt;&gt; "") * IF(M$47:M160 = "Bad", -2, IF(M$47:M160 = "Below par", -1, IF(M$47:M160 = "Very well", 1, IF(M$47:M160 = "Excellent", 2, 0))))) / (COUNTIFS($A$47:$A160, $A19, M$47:M160, "&lt;&gt;")) * 25 + 50) / 50, "")),"")</f>
        <v/>
      </c>
      <c r="N19" s="207" t="str">
        <f t="array" ref="N19">IF(ISTEXT($A19), (IFERROR((SUMPRODUCT(($A$47:$A160 = $A19) * (N$47:N160 &lt;&gt; "") * IF(N$47:N160 = "Bad", -2, IF(N$47:N160 = "Below par", -1, IF(N$47:N160 = "Very well", 1, IF(N$47:N160 = "Excellent", 2, 0))))) / (COUNTIFS($A$47:$A160, $A19, N$47:N160, "&lt;&gt;")) * 25 + 50) / 50, "")),"")</f>
        <v/>
      </c>
      <c r="O19" s="207" t="str">
        <f t="array" ref="O19">IF(ISTEXT($A19), (IFERROR((SUMPRODUCT(($A$47:$A160 = $A19) * (O$47:O160 &lt;&gt; "") * IF(O$47:O160 = "Bad", -2, IF(O$47:O160 = "Below par", -1, IF(O$47:O160 = "Very well", 1, IF(O$47:O160 = "Excellent", 2, 0))))) / (COUNTIFS($A$47:$A160, $A19, O$47:O160, "&lt;&gt;")) * 25 + 50) / 50, "")),"")</f>
        <v/>
      </c>
      <c r="P19" s="207" t="str">
        <f t="array" ref="P19">IF(ISTEXT($A19), (IFERROR((SUMPRODUCT(($A$47:$A160 = $A19) * (P$47:P160 &lt;&gt; "") * IF(P$47:P160 = "Bad", -2, IF(P$47:P160 = "Below par", -1, IF(P$47:P160 = "Very well", 1, IF(P$47:P160 = "Excellent", 2, 0))))) / (COUNTIFS($A$47:$A160, $A19, P$47:P160, "&lt;&gt;")) * 25 + 50) / 50, "")),"")</f>
        <v/>
      </c>
      <c r="Q19" s="207" t="str">
        <f t="array" ref="Q19">IF(ISTEXT($A19), (IFERROR((SUMPRODUCT(($A$47:$A160 = $A19) * (Q$47:Q160 &lt;&gt; "") * IF(Q$47:Q160 = "Bad", -2, IF(Q$47:Q160 = "Below par", -1, IF(Q$47:Q160 = "Very well", 1, IF(Q$47:Q160 = "Excellent", 2, 0))))) / (COUNTIFS($A$47:$A160, $A19, Q$47:Q160, "&lt;&gt;")) * 25 + 50) / 50, "")),"")</f>
        <v/>
      </c>
      <c r="R19" s="207" t="str">
        <f t="array" ref="R19">IF(ISTEXT($A19), (IFERROR((SUMPRODUCT(($A$47:$A160 = $A19) * (R$47:R160 &lt;&gt; "") * IF(R$47:R160 = "Bad", -2, IF(R$47:R160 = "Below par", -1, IF(R$47:R160 = "Very well", 1, IF(R$47:R160 = "Excellent", 2, 0))))) / (COUNTIFS($A$47:$A160, $A19, R$47:R160, "&lt;&gt;")) * 25 + 50) / 50, "")),"")</f>
        <v/>
      </c>
      <c r="S19" s="207" t="str">
        <f t="array" ref="S19">IF(ISTEXT($A19), (IFERROR((SUMPRODUCT(($A$47:$A160 = $A19) * (S$47:S160 &lt;&gt; "") * IF(S$47:S160 = "Bad", -2, IF(S$47:S160 = "Below par", -1, IF(S$47:S160 = "Very well", 1, IF(S$47:S160 = "Excellent", 2, 0))))) / (COUNTIFS($A$47:$A160, $A19, S$47:S160, "&lt;&gt;")) * 25 + 50) / 50, "")),"")</f>
        <v/>
      </c>
      <c r="T19" s="207" t="str">
        <f t="array" ref="T19">IF(ISTEXT($A19), (IFERROR((SUMPRODUCT(($A$47:$A160 = $A19) * (T$47:T160 &lt;&gt; "") * IF(T$47:T160 = "Bad", -2, IF(T$47:T160 = "Below par", -1, IF(T$47:T160 = "Very well", 1, IF(T$47:T160 = "Excellent", 2, 0))))) / (COUNTIFS($A$47:$A160, $A19, T$47:T160, "&lt;&gt;")) * 25 + 50) / 50, "")),"")</f>
        <v/>
      </c>
      <c r="U19" s="209"/>
      <c r="V19" s="210"/>
    </row>
    <row r="20" ht="18.75" hidden="1" customHeight="1" outlineLevel="1">
      <c r="A20" s="211" t="str">
        <f>Resources!$A19</f>
        <v/>
      </c>
      <c r="B20" s="207" t="str">
        <f t="shared" si="2"/>
        <v/>
      </c>
      <c r="C20" s="207" t="str">
        <f t="shared" si="3"/>
        <v/>
      </c>
      <c r="D20" s="208" t="str">
        <f t="array" ref="D20">IF(ISTEXT($A20),Round(XLOOKUP($A20,Resources!$A$4:$A$23,Resources!$AB$4:$AB$23)*'Roadmap setting'!$B$10,0),"")</f>
        <v/>
      </c>
      <c r="E20" s="208" t="str">
        <f>IFERROR(__xludf.DUMMYFUNCTION("IFERROR(IF(ISTEXT($A20),AVERAGE(FILTER(E$47:E160, ARRAYFORMULA(ISNUMBER(SEARCH($A20, $A$47:$A160))))),""""),)
"),"")</f>
        <v/>
      </c>
      <c r="F20" s="208" t="str">
        <f>IFERROR(__xludf.DUMMYFUNCTION("IFERROR(IF(ISTEXT($A20),AVERAGE(FILTER(F$47:F160, ARRAYFORMULA(ISNUMBER(SEARCH($A20, $A$47:$A160))))),""""),)
"),"")</f>
        <v/>
      </c>
      <c r="G20" s="207" t="str">
        <f t="array" ref="G20">IF(ISTEXT($A20), (IFERROR((SUMPRODUCT(($A$47:$A160 = $A20) * (G$47:G160 &lt;&gt; "") * IF(G$47:G160 = "Bad", -2, IF(G$47:G160 = "Below par", -1, IF(G$47:G160 = "Very well", 1, IF(G$47:G160 = "Excellent", 2, 0))))) / (COUNTIFS($A$47:$A160, $A20, G$47:G160, "&lt;&gt;")) * 25 + 50) / 50, "")),"")</f>
        <v/>
      </c>
      <c r="H20" s="207" t="str">
        <f t="array" ref="H20">IF(ISTEXT($A20), (IFERROR((SUMPRODUCT(($A$47:$A160 = $A20) * (H$47:H160 &lt;&gt; "") * IF(H$47:H160 = "Bad", -2, IF(H$47:H160 = "Below par", -1, IF(H$47:H160 = "Very well", 1, IF(H$47:H160 = "Excellent", 2, 0))))) / (COUNTIFS($A$47:$A160, $A20, H$47:H160, "&lt;&gt;")) * 25 + 50) / 50, "")),"")</f>
        <v/>
      </c>
      <c r="I20" s="207" t="str">
        <f t="array" ref="I20">IF(ISTEXT($A20), (IFERROR((SUMPRODUCT(($A$47:$A160 = $A20) * (I$47:I160 &lt;&gt; "") * IF(I$47:I160 = "Bad", -2, IF(I$47:I160 = "Below par", -1, IF(I$47:I160 = "Very well", 1, IF(I$47:I160 = "Excellent", 2, 0))))) / (COUNTIFS($A$47:$A160, $A20, I$47:I160, "&lt;&gt;")) * 25 + 50) / 50, "")),"")</f>
        <v/>
      </c>
      <c r="J20" s="207" t="str">
        <f t="array" ref="J20">IF(ISTEXT($A20), (IFERROR((SUMPRODUCT(($A$47:$A160 = $A20) * (J$47:J160 &lt;&gt; "") * IF(J$47:J160 = "Bad", -2, IF(J$47:J160 = "Below par", -1, IF(J$47:J160 = "Very well", 1, IF(J$47:J160 = "Excellent", 2, 0))))) / (COUNTIFS($A$47:$A160, $A20, J$47:J160, "&lt;&gt;")) * 25 + 50) / 50, "")),"")</f>
        <v/>
      </c>
      <c r="K20" s="207" t="str">
        <f t="array" ref="K20">IF(ISTEXT($A20), (IFERROR((SUMPRODUCT(($A$47:$A160 = $A20) * (K$47:K160 &lt;&gt; "") * IF(K$47:K160 = "Bad", -2, IF(K$47:K160 = "Below par", -1, IF(K$47:K160 = "Very well", 1, IF(K$47:K160 = "Excellent", 2, 0))))) / (COUNTIFS($A$47:$A160, $A20, K$47:K160, "&lt;&gt;")) * 25 + 50) / 50, "")),"")</f>
        <v/>
      </c>
      <c r="L20" s="207" t="str">
        <f t="array" ref="L20">IF(ISTEXT($A20), (IFERROR((SUMPRODUCT(($A$47:$A160 = $A20) * (L$47:L160 &lt;&gt; "") * IF(L$47:L160 = "Bad", -2, IF(L$47:L160 = "Below par", -1, IF(L$47:L160 = "Very well", 1, IF(L$47:L160 = "Excellent", 2, 0))))) / (COUNTIFS($A$47:$A160, $A20, L$47:L160, "&lt;&gt;")) * 25 + 50) / 50, "")),"")</f>
        <v/>
      </c>
      <c r="M20" s="207" t="str">
        <f t="array" ref="M20">IF(ISTEXT($A20), (IFERROR((SUMPRODUCT(($A$47:$A160 = $A20) * (M$47:M160 &lt;&gt; "") * IF(M$47:M160 = "Bad", -2, IF(M$47:M160 = "Below par", -1, IF(M$47:M160 = "Very well", 1, IF(M$47:M160 = "Excellent", 2, 0))))) / (COUNTIFS($A$47:$A160, $A20, M$47:M160, "&lt;&gt;")) * 25 + 50) / 50, "")),"")</f>
        <v/>
      </c>
      <c r="N20" s="207" t="str">
        <f t="array" ref="N20">IF(ISTEXT($A20), (IFERROR((SUMPRODUCT(($A$47:$A160 = $A20) * (N$47:N160 &lt;&gt; "") * IF(N$47:N160 = "Bad", -2, IF(N$47:N160 = "Below par", -1, IF(N$47:N160 = "Very well", 1, IF(N$47:N160 = "Excellent", 2, 0))))) / (COUNTIFS($A$47:$A160, $A20, N$47:N160, "&lt;&gt;")) * 25 + 50) / 50, "")),"")</f>
        <v/>
      </c>
      <c r="O20" s="207" t="str">
        <f t="array" ref="O20">IF(ISTEXT($A20), (IFERROR((SUMPRODUCT(($A$47:$A160 = $A20) * (O$47:O160 &lt;&gt; "") * IF(O$47:O160 = "Bad", -2, IF(O$47:O160 = "Below par", -1, IF(O$47:O160 = "Very well", 1, IF(O$47:O160 = "Excellent", 2, 0))))) / (COUNTIFS($A$47:$A160, $A20, O$47:O160, "&lt;&gt;")) * 25 + 50) / 50, "")),"")</f>
        <v/>
      </c>
      <c r="P20" s="207" t="str">
        <f t="array" ref="P20">IF(ISTEXT($A20), (IFERROR((SUMPRODUCT(($A$47:$A160 = $A20) * (P$47:P160 &lt;&gt; "") * IF(P$47:P160 = "Bad", -2, IF(P$47:P160 = "Below par", -1, IF(P$47:P160 = "Very well", 1, IF(P$47:P160 = "Excellent", 2, 0))))) / (COUNTIFS($A$47:$A160, $A20, P$47:P160, "&lt;&gt;")) * 25 + 50) / 50, "")),"")</f>
        <v/>
      </c>
      <c r="Q20" s="207" t="str">
        <f t="array" ref="Q20">IF(ISTEXT($A20), (IFERROR((SUMPRODUCT(($A$47:$A160 = $A20) * (Q$47:Q160 &lt;&gt; "") * IF(Q$47:Q160 = "Bad", -2, IF(Q$47:Q160 = "Below par", -1, IF(Q$47:Q160 = "Very well", 1, IF(Q$47:Q160 = "Excellent", 2, 0))))) / (COUNTIFS($A$47:$A160, $A20, Q$47:Q160, "&lt;&gt;")) * 25 + 50) / 50, "")),"")</f>
        <v/>
      </c>
      <c r="R20" s="207" t="str">
        <f t="array" ref="R20">IF(ISTEXT($A20), (IFERROR((SUMPRODUCT(($A$47:$A160 = $A20) * (R$47:R160 &lt;&gt; "") * IF(R$47:R160 = "Bad", -2, IF(R$47:R160 = "Below par", -1, IF(R$47:R160 = "Very well", 1, IF(R$47:R160 = "Excellent", 2, 0))))) / (COUNTIFS($A$47:$A160, $A20, R$47:R160, "&lt;&gt;")) * 25 + 50) / 50, "")),"")</f>
        <v/>
      </c>
      <c r="S20" s="207" t="str">
        <f t="array" ref="S20">IF(ISTEXT($A20), (IFERROR((SUMPRODUCT(($A$47:$A160 = $A20) * (S$47:S160 &lt;&gt; "") * IF(S$47:S160 = "Bad", -2, IF(S$47:S160 = "Below par", -1, IF(S$47:S160 = "Very well", 1, IF(S$47:S160 = "Excellent", 2, 0))))) / (COUNTIFS($A$47:$A160, $A20, S$47:S160, "&lt;&gt;")) * 25 + 50) / 50, "")),"")</f>
        <v/>
      </c>
      <c r="T20" s="207" t="str">
        <f t="array" ref="T20">IF(ISTEXT($A20), (IFERROR((SUMPRODUCT(($A$47:$A160 = $A20) * (T$47:T160 &lt;&gt; "") * IF(T$47:T160 = "Bad", -2, IF(T$47:T160 = "Below par", -1, IF(T$47:T160 = "Very well", 1, IF(T$47:T160 = "Excellent", 2, 0))))) / (COUNTIFS($A$47:$A160, $A20, T$47:T160, "&lt;&gt;")) * 25 + 50) / 50, "")),"")</f>
        <v/>
      </c>
      <c r="U20" s="209"/>
      <c r="V20" s="210"/>
    </row>
    <row r="21" ht="18.75" hidden="1" customHeight="1" outlineLevel="1">
      <c r="A21" s="211" t="str">
        <f>Resources!$A20</f>
        <v/>
      </c>
      <c r="B21" s="207" t="str">
        <f t="shared" si="2"/>
        <v/>
      </c>
      <c r="C21" s="207" t="str">
        <f t="shared" si="3"/>
        <v/>
      </c>
      <c r="D21" s="208" t="str">
        <f t="array" ref="D21">IF(ISTEXT($A21),Round(XLOOKUP($A21,Resources!$A$4:$A$23,Resources!$AB$4:$AB$23)*'Roadmap setting'!$B$10,0),"")</f>
        <v/>
      </c>
      <c r="E21" s="208" t="str">
        <f>IFERROR(__xludf.DUMMYFUNCTION("IFERROR(IF(ISTEXT($A21),AVERAGE(FILTER(E$47:E160, ARRAYFORMULA(ISNUMBER(SEARCH($A21, $A$47:$A160))))),""""),)
"),"")</f>
        <v/>
      </c>
      <c r="F21" s="208" t="str">
        <f>IFERROR(__xludf.DUMMYFUNCTION("IFERROR(IF(ISTEXT($A21),AVERAGE(FILTER(F$47:F160, ARRAYFORMULA(ISNUMBER(SEARCH($A21, $A$47:$A160))))),""""),)
"),"")</f>
        <v/>
      </c>
      <c r="G21" s="207" t="str">
        <f t="array" ref="G21">IF(ISTEXT($A21), (IFERROR((SUMPRODUCT(($A$47:$A160 = $A21) * (G$47:G160 &lt;&gt; "") * IF(G$47:G160 = "Bad", -2, IF(G$47:G160 = "Below par", -1, IF(G$47:G160 = "Very well", 1, IF(G$47:G160 = "Excellent", 2, 0))))) / (COUNTIFS($A$47:$A160, $A21, G$47:G160, "&lt;&gt;")) * 25 + 50) / 50, "")),"")</f>
        <v/>
      </c>
      <c r="H21" s="207" t="str">
        <f t="array" ref="H21">IF(ISTEXT($A21), (IFERROR((SUMPRODUCT(($A$47:$A160 = $A21) * (H$47:H160 &lt;&gt; "") * IF(H$47:H160 = "Bad", -2, IF(H$47:H160 = "Below par", -1, IF(H$47:H160 = "Very well", 1, IF(H$47:H160 = "Excellent", 2, 0))))) / (COUNTIFS($A$47:$A160, $A21, H$47:H160, "&lt;&gt;")) * 25 + 50) / 50, "")),"")</f>
        <v/>
      </c>
      <c r="I21" s="207" t="str">
        <f t="array" ref="I21">IF(ISTEXT($A21), (IFERROR((SUMPRODUCT(($A$47:$A160 = $A21) * (I$47:I160 &lt;&gt; "") * IF(I$47:I160 = "Bad", -2, IF(I$47:I160 = "Below par", -1, IF(I$47:I160 = "Very well", 1, IF(I$47:I160 = "Excellent", 2, 0))))) / (COUNTIFS($A$47:$A160, $A21, I$47:I160, "&lt;&gt;")) * 25 + 50) / 50, "")),"")</f>
        <v/>
      </c>
      <c r="J21" s="207" t="str">
        <f t="array" ref="J21">IF(ISTEXT($A21), (IFERROR((SUMPRODUCT(($A$47:$A160 = $A21) * (J$47:J160 &lt;&gt; "") * IF(J$47:J160 = "Bad", -2, IF(J$47:J160 = "Below par", -1, IF(J$47:J160 = "Very well", 1, IF(J$47:J160 = "Excellent", 2, 0))))) / (COUNTIFS($A$47:$A160, $A21, J$47:J160, "&lt;&gt;")) * 25 + 50) / 50, "")),"")</f>
        <v/>
      </c>
      <c r="K21" s="207" t="str">
        <f t="array" ref="K21">IF(ISTEXT($A21), (IFERROR((SUMPRODUCT(($A$47:$A160 = $A21) * (K$47:K160 &lt;&gt; "") * IF(K$47:K160 = "Bad", -2, IF(K$47:K160 = "Below par", -1, IF(K$47:K160 = "Very well", 1, IF(K$47:K160 = "Excellent", 2, 0))))) / (COUNTIFS($A$47:$A160, $A21, K$47:K160, "&lt;&gt;")) * 25 + 50) / 50, "")),"")</f>
        <v/>
      </c>
      <c r="L21" s="207" t="str">
        <f t="array" ref="L21">IF(ISTEXT($A21), (IFERROR((SUMPRODUCT(($A$47:$A160 = $A21) * (L$47:L160 &lt;&gt; "") * IF(L$47:L160 = "Bad", -2, IF(L$47:L160 = "Below par", -1, IF(L$47:L160 = "Very well", 1, IF(L$47:L160 = "Excellent", 2, 0))))) / (COUNTIFS($A$47:$A160, $A21, L$47:L160, "&lt;&gt;")) * 25 + 50) / 50, "")),"")</f>
        <v/>
      </c>
      <c r="M21" s="207" t="str">
        <f t="array" ref="M21">IF(ISTEXT($A21), (IFERROR((SUMPRODUCT(($A$47:$A160 = $A21) * (M$47:M160 &lt;&gt; "") * IF(M$47:M160 = "Bad", -2, IF(M$47:M160 = "Below par", -1, IF(M$47:M160 = "Very well", 1, IF(M$47:M160 = "Excellent", 2, 0))))) / (COUNTIFS($A$47:$A160, $A21, M$47:M160, "&lt;&gt;")) * 25 + 50) / 50, "")),"")</f>
        <v/>
      </c>
      <c r="N21" s="207" t="str">
        <f t="array" ref="N21">IF(ISTEXT($A21), (IFERROR((SUMPRODUCT(($A$47:$A160 = $A21) * (N$47:N160 &lt;&gt; "") * IF(N$47:N160 = "Bad", -2, IF(N$47:N160 = "Below par", -1, IF(N$47:N160 = "Very well", 1, IF(N$47:N160 = "Excellent", 2, 0))))) / (COUNTIFS($A$47:$A160, $A21, N$47:N160, "&lt;&gt;")) * 25 + 50) / 50, "")),"")</f>
        <v/>
      </c>
      <c r="O21" s="207" t="str">
        <f t="array" ref="O21">IF(ISTEXT($A21), (IFERROR((SUMPRODUCT(($A$47:$A160 = $A21) * (O$47:O160 &lt;&gt; "") * IF(O$47:O160 = "Bad", -2, IF(O$47:O160 = "Below par", -1, IF(O$47:O160 = "Very well", 1, IF(O$47:O160 = "Excellent", 2, 0))))) / (COUNTIFS($A$47:$A160, $A21, O$47:O160, "&lt;&gt;")) * 25 + 50) / 50, "")),"")</f>
        <v/>
      </c>
      <c r="P21" s="207" t="str">
        <f t="array" ref="P21">IF(ISTEXT($A21), (IFERROR((SUMPRODUCT(($A$47:$A160 = $A21) * (P$47:P160 &lt;&gt; "") * IF(P$47:P160 = "Bad", -2, IF(P$47:P160 = "Below par", -1, IF(P$47:P160 = "Very well", 1, IF(P$47:P160 = "Excellent", 2, 0))))) / (COUNTIFS($A$47:$A160, $A21, P$47:P160, "&lt;&gt;")) * 25 + 50) / 50, "")),"")</f>
        <v/>
      </c>
      <c r="Q21" s="207" t="str">
        <f t="array" ref="Q21">IF(ISTEXT($A21), (IFERROR((SUMPRODUCT(($A$47:$A160 = $A21) * (Q$47:Q160 &lt;&gt; "") * IF(Q$47:Q160 = "Bad", -2, IF(Q$47:Q160 = "Below par", -1, IF(Q$47:Q160 = "Very well", 1, IF(Q$47:Q160 = "Excellent", 2, 0))))) / (COUNTIFS($A$47:$A160, $A21, Q$47:Q160, "&lt;&gt;")) * 25 + 50) / 50, "")),"")</f>
        <v/>
      </c>
      <c r="R21" s="207" t="str">
        <f t="array" ref="R21">IF(ISTEXT($A21), (IFERROR((SUMPRODUCT(($A$47:$A160 = $A21) * (R$47:R160 &lt;&gt; "") * IF(R$47:R160 = "Bad", -2, IF(R$47:R160 = "Below par", -1, IF(R$47:R160 = "Very well", 1, IF(R$47:R160 = "Excellent", 2, 0))))) / (COUNTIFS($A$47:$A160, $A21, R$47:R160, "&lt;&gt;")) * 25 + 50) / 50, "")),"")</f>
        <v/>
      </c>
      <c r="S21" s="207" t="str">
        <f t="array" ref="S21">IF(ISTEXT($A21), (IFERROR((SUMPRODUCT(($A$47:$A160 = $A21) * (S$47:S160 &lt;&gt; "") * IF(S$47:S160 = "Bad", -2, IF(S$47:S160 = "Below par", -1, IF(S$47:S160 = "Very well", 1, IF(S$47:S160 = "Excellent", 2, 0))))) / (COUNTIFS($A$47:$A160, $A21, S$47:S160, "&lt;&gt;")) * 25 + 50) / 50, "")),"")</f>
        <v/>
      </c>
      <c r="T21" s="207" t="str">
        <f t="array" ref="T21">IF(ISTEXT($A21), (IFERROR((SUMPRODUCT(($A$47:$A160 = $A21) * (T$47:T160 &lt;&gt; "") * IF(T$47:T160 = "Bad", -2, IF(T$47:T160 = "Below par", -1, IF(T$47:T160 = "Very well", 1, IF(T$47:T160 = "Excellent", 2, 0))))) / (COUNTIFS($A$47:$A160, $A21, T$47:T160, "&lt;&gt;")) * 25 + 50) / 50, "")),"")</f>
        <v/>
      </c>
      <c r="U21" s="209"/>
      <c r="V21" s="210"/>
    </row>
    <row r="22" ht="18.75" hidden="1" customHeight="1" outlineLevel="1">
      <c r="A22" s="211" t="str">
        <f>Resources!$A21</f>
        <v/>
      </c>
      <c r="B22" s="207" t="str">
        <f t="shared" si="2"/>
        <v/>
      </c>
      <c r="C22" s="207" t="str">
        <f t="shared" si="3"/>
        <v/>
      </c>
      <c r="D22" s="208" t="str">
        <f t="array" ref="D22">IF(ISTEXT($A22),Round(XLOOKUP($A22,Resources!$A$4:$A$23,Resources!$AB$4:$AB$23)*'Roadmap setting'!$B$10,0),"")</f>
        <v/>
      </c>
      <c r="E22" s="208" t="str">
        <f>IFERROR(__xludf.DUMMYFUNCTION("IFERROR(IF(ISTEXT($A22),AVERAGE(FILTER(E$47:E160, ARRAYFORMULA(ISNUMBER(SEARCH($A22, $A$47:$A160))))),""""),)
"),"")</f>
        <v/>
      </c>
      <c r="F22" s="208" t="str">
        <f>IFERROR(__xludf.DUMMYFUNCTION("IFERROR(IF(ISTEXT($A22),AVERAGE(FILTER(F$47:F160, ARRAYFORMULA(ISNUMBER(SEARCH($A22, $A$47:$A160))))),""""),)
"),"")</f>
        <v/>
      </c>
      <c r="G22" s="207" t="str">
        <f t="array" ref="G22">IF(ISTEXT($A22), (IFERROR((SUMPRODUCT(($A$47:$A160 = $A22) * (G$47:G160 &lt;&gt; "") * IF(G$47:G160 = "Bad", -2, IF(G$47:G160 = "Below par", -1, IF(G$47:G160 = "Very well", 1, IF(G$47:G160 = "Excellent", 2, 0))))) / (COUNTIFS($A$47:$A160, $A22, G$47:G160, "&lt;&gt;")) * 25 + 50) / 50, "")),"")</f>
        <v/>
      </c>
      <c r="H22" s="207" t="str">
        <f t="array" ref="H22">IF(ISTEXT($A22), (IFERROR((SUMPRODUCT(($A$47:$A160 = $A22) * (H$47:H160 &lt;&gt; "") * IF(H$47:H160 = "Bad", -2, IF(H$47:H160 = "Below par", -1, IF(H$47:H160 = "Very well", 1, IF(H$47:H160 = "Excellent", 2, 0))))) / (COUNTIFS($A$47:$A160, $A22, H$47:H160, "&lt;&gt;")) * 25 + 50) / 50, "")),"")</f>
        <v/>
      </c>
      <c r="I22" s="207" t="str">
        <f t="array" ref="I22">IF(ISTEXT($A22), (IFERROR((SUMPRODUCT(($A$47:$A160 = $A22) * (I$47:I160 &lt;&gt; "") * IF(I$47:I160 = "Bad", -2, IF(I$47:I160 = "Below par", -1, IF(I$47:I160 = "Very well", 1, IF(I$47:I160 = "Excellent", 2, 0))))) / (COUNTIFS($A$47:$A160, $A22, I$47:I160, "&lt;&gt;")) * 25 + 50) / 50, "")),"")</f>
        <v/>
      </c>
      <c r="J22" s="207" t="str">
        <f t="array" ref="J22">IF(ISTEXT($A22), (IFERROR((SUMPRODUCT(($A$47:$A160 = $A22) * (J$47:J160 &lt;&gt; "") * IF(J$47:J160 = "Bad", -2, IF(J$47:J160 = "Below par", -1, IF(J$47:J160 = "Very well", 1, IF(J$47:J160 = "Excellent", 2, 0))))) / (COUNTIFS($A$47:$A160, $A22, J$47:J160, "&lt;&gt;")) * 25 + 50) / 50, "")),"")</f>
        <v/>
      </c>
      <c r="K22" s="207" t="str">
        <f t="array" ref="K22">IF(ISTEXT($A22), (IFERROR((SUMPRODUCT(($A$47:$A160 = $A22) * (K$47:K160 &lt;&gt; "") * IF(K$47:K160 = "Bad", -2, IF(K$47:K160 = "Below par", -1, IF(K$47:K160 = "Very well", 1, IF(K$47:K160 = "Excellent", 2, 0))))) / (COUNTIFS($A$47:$A160, $A22, K$47:K160, "&lt;&gt;")) * 25 + 50) / 50, "")),"")</f>
        <v/>
      </c>
      <c r="L22" s="207" t="str">
        <f t="array" ref="L22">IF(ISTEXT($A22), (IFERROR((SUMPRODUCT(($A$47:$A160 = $A22) * (L$47:L160 &lt;&gt; "") * IF(L$47:L160 = "Bad", -2, IF(L$47:L160 = "Below par", -1, IF(L$47:L160 = "Very well", 1, IF(L$47:L160 = "Excellent", 2, 0))))) / (COUNTIFS($A$47:$A160, $A22, L$47:L160, "&lt;&gt;")) * 25 + 50) / 50, "")),"")</f>
        <v/>
      </c>
      <c r="M22" s="207" t="str">
        <f t="array" ref="M22">IF(ISTEXT($A22), (IFERROR((SUMPRODUCT(($A$47:$A160 = $A22) * (M$47:M160 &lt;&gt; "") * IF(M$47:M160 = "Bad", -2, IF(M$47:M160 = "Below par", -1, IF(M$47:M160 = "Very well", 1, IF(M$47:M160 = "Excellent", 2, 0))))) / (COUNTIFS($A$47:$A160, $A22, M$47:M160, "&lt;&gt;")) * 25 + 50) / 50, "")),"")</f>
        <v/>
      </c>
      <c r="N22" s="207" t="str">
        <f t="array" ref="N22">IF(ISTEXT($A22), (IFERROR((SUMPRODUCT(($A$47:$A160 = $A22) * (N$47:N160 &lt;&gt; "") * IF(N$47:N160 = "Bad", -2, IF(N$47:N160 = "Below par", -1, IF(N$47:N160 = "Very well", 1, IF(N$47:N160 = "Excellent", 2, 0))))) / (COUNTIFS($A$47:$A160, $A22, N$47:N160, "&lt;&gt;")) * 25 + 50) / 50, "")),"")</f>
        <v/>
      </c>
      <c r="O22" s="207" t="str">
        <f t="array" ref="O22">IF(ISTEXT($A22), (IFERROR((SUMPRODUCT(($A$47:$A160 = $A22) * (O$47:O160 &lt;&gt; "") * IF(O$47:O160 = "Bad", -2, IF(O$47:O160 = "Below par", -1, IF(O$47:O160 = "Very well", 1, IF(O$47:O160 = "Excellent", 2, 0))))) / (COUNTIFS($A$47:$A160, $A22, O$47:O160, "&lt;&gt;")) * 25 + 50) / 50, "")),"")</f>
        <v/>
      </c>
      <c r="P22" s="207" t="str">
        <f t="array" ref="P22">IF(ISTEXT($A22), (IFERROR((SUMPRODUCT(($A$47:$A160 = $A22) * (P$47:P160 &lt;&gt; "") * IF(P$47:P160 = "Bad", -2, IF(P$47:P160 = "Below par", -1, IF(P$47:P160 = "Very well", 1, IF(P$47:P160 = "Excellent", 2, 0))))) / (COUNTIFS($A$47:$A160, $A22, P$47:P160, "&lt;&gt;")) * 25 + 50) / 50, "")),"")</f>
        <v/>
      </c>
      <c r="Q22" s="207" t="str">
        <f t="array" ref="Q22">IF(ISTEXT($A22), (IFERROR((SUMPRODUCT(($A$47:$A160 = $A22) * (Q$47:Q160 &lt;&gt; "") * IF(Q$47:Q160 = "Bad", -2, IF(Q$47:Q160 = "Below par", -1, IF(Q$47:Q160 = "Very well", 1, IF(Q$47:Q160 = "Excellent", 2, 0))))) / (COUNTIFS($A$47:$A160, $A22, Q$47:Q160, "&lt;&gt;")) * 25 + 50) / 50, "")),"")</f>
        <v/>
      </c>
      <c r="R22" s="207" t="str">
        <f t="array" ref="R22">IF(ISTEXT($A22), (IFERROR((SUMPRODUCT(($A$47:$A160 = $A22) * (R$47:R160 &lt;&gt; "") * IF(R$47:R160 = "Bad", -2, IF(R$47:R160 = "Below par", -1, IF(R$47:R160 = "Very well", 1, IF(R$47:R160 = "Excellent", 2, 0))))) / (COUNTIFS($A$47:$A160, $A22, R$47:R160, "&lt;&gt;")) * 25 + 50) / 50, "")),"")</f>
        <v/>
      </c>
      <c r="S22" s="207" t="str">
        <f t="array" ref="S22">IF(ISTEXT($A22), (IFERROR((SUMPRODUCT(($A$47:$A160 = $A22) * (S$47:S160 &lt;&gt; "") * IF(S$47:S160 = "Bad", -2, IF(S$47:S160 = "Below par", -1, IF(S$47:S160 = "Very well", 1, IF(S$47:S160 = "Excellent", 2, 0))))) / (COUNTIFS($A$47:$A160, $A22, S$47:S160, "&lt;&gt;")) * 25 + 50) / 50, "")),"")</f>
        <v/>
      </c>
      <c r="T22" s="207" t="str">
        <f t="array" ref="T22">IF(ISTEXT($A22), (IFERROR((SUMPRODUCT(($A$47:$A160 = $A22) * (T$47:T160 &lt;&gt; "") * IF(T$47:T160 = "Bad", -2, IF(T$47:T160 = "Below par", -1, IF(T$47:T160 = "Very well", 1, IF(T$47:T160 = "Excellent", 2, 0))))) / (COUNTIFS($A$47:$A160, $A22, T$47:T160, "&lt;&gt;")) * 25 + 50) / 50, "")),"")</f>
        <v/>
      </c>
      <c r="U22" s="209"/>
      <c r="V22" s="210"/>
    </row>
    <row r="23" ht="18.75" hidden="1" customHeight="1" outlineLevel="1">
      <c r="A23" s="211" t="str">
        <f>Resources!$A22</f>
        <v/>
      </c>
      <c r="B23" s="207" t="str">
        <f t="shared" si="2"/>
        <v/>
      </c>
      <c r="C23" s="207" t="str">
        <f t="shared" si="3"/>
        <v/>
      </c>
      <c r="D23" s="208" t="str">
        <f t="array" ref="D23">IF(ISTEXT($A23),Round(XLOOKUP($A23,Resources!$A$4:$A$23,Resources!$AB$4:$AB$23)*'Roadmap setting'!$B$10,0),"")</f>
        <v/>
      </c>
      <c r="E23" s="208" t="str">
        <f>IFERROR(__xludf.DUMMYFUNCTION("IFERROR(IF(ISTEXT($A23),AVERAGE(FILTER(E$47:E160, ARRAYFORMULA(ISNUMBER(SEARCH($A23, $A$47:$A160))))),""""),)
"),"")</f>
        <v/>
      </c>
      <c r="F23" s="208" t="str">
        <f>IFERROR(__xludf.DUMMYFUNCTION("IFERROR(IF(ISTEXT($A23),AVERAGE(FILTER(F$47:F160, ARRAYFORMULA(ISNUMBER(SEARCH($A23, $A$47:$A160))))),""""),)
"),"")</f>
        <v/>
      </c>
      <c r="G23" s="207" t="str">
        <f t="array" ref="G23">IF(ISTEXT($A23), (IFERROR((SUMPRODUCT(($A$47:$A160 = $A23) * (G$47:G160 &lt;&gt; "") * IF(G$47:G160 = "Bad", -2, IF(G$47:G160 = "Below par", -1, IF(G$47:G160 = "Very well", 1, IF(G$47:G160 = "Excellent", 2, 0))))) / (COUNTIFS($A$47:$A160, $A23, G$47:G160, "&lt;&gt;")) * 25 + 50) / 50, "")),"")</f>
        <v/>
      </c>
      <c r="H23" s="207" t="str">
        <f t="array" ref="H23">IF(ISTEXT($A23), (IFERROR((SUMPRODUCT(($A$47:$A160 = $A23) * (H$47:H160 &lt;&gt; "") * IF(H$47:H160 = "Bad", -2, IF(H$47:H160 = "Below par", -1, IF(H$47:H160 = "Very well", 1, IF(H$47:H160 = "Excellent", 2, 0))))) / (COUNTIFS($A$47:$A160, $A23, H$47:H160, "&lt;&gt;")) * 25 + 50) / 50, "")),"")</f>
        <v/>
      </c>
      <c r="I23" s="207" t="str">
        <f t="array" ref="I23">IF(ISTEXT($A23), (IFERROR((SUMPRODUCT(($A$47:$A160 = $A23) * (I$47:I160 &lt;&gt; "") * IF(I$47:I160 = "Bad", -2, IF(I$47:I160 = "Below par", -1, IF(I$47:I160 = "Very well", 1, IF(I$47:I160 = "Excellent", 2, 0))))) / (COUNTIFS($A$47:$A160, $A23, I$47:I160, "&lt;&gt;")) * 25 + 50) / 50, "")),"")</f>
        <v/>
      </c>
      <c r="J23" s="207" t="str">
        <f t="array" ref="J23">IF(ISTEXT($A23), (IFERROR((SUMPRODUCT(($A$47:$A160 = $A23) * (J$47:J160 &lt;&gt; "") * IF(J$47:J160 = "Bad", -2, IF(J$47:J160 = "Below par", -1, IF(J$47:J160 = "Very well", 1, IF(J$47:J160 = "Excellent", 2, 0))))) / (COUNTIFS($A$47:$A160, $A23, J$47:J160, "&lt;&gt;")) * 25 + 50) / 50, "")),"")</f>
        <v/>
      </c>
      <c r="K23" s="207" t="str">
        <f t="array" ref="K23">IF(ISTEXT($A23), (IFERROR((SUMPRODUCT(($A$47:$A160 = $A23) * (K$47:K160 &lt;&gt; "") * IF(K$47:K160 = "Bad", -2, IF(K$47:K160 = "Below par", -1, IF(K$47:K160 = "Very well", 1, IF(K$47:K160 = "Excellent", 2, 0))))) / (COUNTIFS($A$47:$A160, $A23, K$47:K160, "&lt;&gt;")) * 25 + 50) / 50, "")),"")</f>
        <v/>
      </c>
      <c r="L23" s="207" t="str">
        <f t="array" ref="L23">IF(ISTEXT($A23), (IFERROR((SUMPRODUCT(($A$47:$A160 = $A23) * (L$47:L160 &lt;&gt; "") * IF(L$47:L160 = "Bad", -2, IF(L$47:L160 = "Below par", -1, IF(L$47:L160 = "Very well", 1, IF(L$47:L160 = "Excellent", 2, 0))))) / (COUNTIFS($A$47:$A160, $A23, L$47:L160, "&lt;&gt;")) * 25 + 50) / 50, "")),"")</f>
        <v/>
      </c>
      <c r="M23" s="207" t="str">
        <f t="array" ref="M23">IF(ISTEXT($A23), (IFERROR((SUMPRODUCT(($A$47:$A160 = $A23) * (M$47:M160 &lt;&gt; "") * IF(M$47:M160 = "Bad", -2, IF(M$47:M160 = "Below par", -1, IF(M$47:M160 = "Very well", 1, IF(M$47:M160 = "Excellent", 2, 0))))) / (COUNTIFS($A$47:$A160, $A23, M$47:M160, "&lt;&gt;")) * 25 + 50) / 50, "")),"")</f>
        <v/>
      </c>
      <c r="N23" s="207" t="str">
        <f t="array" ref="N23">IF(ISTEXT($A23), (IFERROR((SUMPRODUCT(($A$47:$A160 = $A23) * (N$47:N160 &lt;&gt; "") * IF(N$47:N160 = "Bad", -2, IF(N$47:N160 = "Below par", -1, IF(N$47:N160 = "Very well", 1, IF(N$47:N160 = "Excellent", 2, 0))))) / (COUNTIFS($A$47:$A160, $A23, N$47:N160, "&lt;&gt;")) * 25 + 50) / 50, "")),"")</f>
        <v/>
      </c>
      <c r="O23" s="207" t="str">
        <f t="array" ref="O23">IF(ISTEXT($A23), (IFERROR((SUMPRODUCT(($A$47:$A160 = $A23) * (O$47:O160 &lt;&gt; "") * IF(O$47:O160 = "Bad", -2, IF(O$47:O160 = "Below par", -1, IF(O$47:O160 = "Very well", 1, IF(O$47:O160 = "Excellent", 2, 0))))) / (COUNTIFS($A$47:$A160, $A23, O$47:O160, "&lt;&gt;")) * 25 + 50) / 50, "")),"")</f>
        <v/>
      </c>
      <c r="P23" s="207" t="str">
        <f t="array" ref="P23">IF(ISTEXT($A23), (IFERROR((SUMPRODUCT(($A$47:$A160 = $A23) * (P$47:P160 &lt;&gt; "") * IF(P$47:P160 = "Bad", -2, IF(P$47:P160 = "Below par", -1, IF(P$47:P160 = "Very well", 1, IF(P$47:P160 = "Excellent", 2, 0))))) / (COUNTIFS($A$47:$A160, $A23, P$47:P160, "&lt;&gt;")) * 25 + 50) / 50, "")),"")</f>
        <v/>
      </c>
      <c r="Q23" s="207" t="str">
        <f t="array" ref="Q23">IF(ISTEXT($A23), (IFERROR((SUMPRODUCT(($A$47:$A160 = $A23) * (Q$47:Q160 &lt;&gt; "") * IF(Q$47:Q160 = "Bad", -2, IF(Q$47:Q160 = "Below par", -1, IF(Q$47:Q160 = "Very well", 1, IF(Q$47:Q160 = "Excellent", 2, 0))))) / (COUNTIFS($A$47:$A160, $A23, Q$47:Q160, "&lt;&gt;")) * 25 + 50) / 50, "")),"")</f>
        <v/>
      </c>
      <c r="R23" s="207" t="str">
        <f t="array" ref="R23">IF(ISTEXT($A23), (IFERROR((SUMPRODUCT(($A$47:$A160 = $A23) * (R$47:R160 &lt;&gt; "") * IF(R$47:R160 = "Bad", -2, IF(R$47:R160 = "Below par", -1, IF(R$47:R160 = "Very well", 1, IF(R$47:R160 = "Excellent", 2, 0))))) / (COUNTIFS($A$47:$A160, $A23, R$47:R160, "&lt;&gt;")) * 25 + 50) / 50, "")),"")</f>
        <v/>
      </c>
      <c r="S23" s="207" t="str">
        <f t="array" ref="S23">IF(ISTEXT($A23), (IFERROR((SUMPRODUCT(($A$47:$A160 = $A23) * (S$47:S160 &lt;&gt; "") * IF(S$47:S160 = "Bad", -2, IF(S$47:S160 = "Below par", -1, IF(S$47:S160 = "Very well", 1, IF(S$47:S160 = "Excellent", 2, 0))))) / (COUNTIFS($A$47:$A160, $A23, S$47:S160, "&lt;&gt;")) * 25 + 50) / 50, "")),"")</f>
        <v/>
      </c>
      <c r="T23" s="207" t="str">
        <f t="array" ref="T23">IF(ISTEXT($A23), (IFERROR((SUMPRODUCT(($A$47:$A160 = $A23) * (T$47:T160 &lt;&gt; "") * IF(T$47:T160 = "Bad", -2, IF(T$47:T160 = "Below par", -1, IF(T$47:T160 = "Very well", 1, IF(T$47:T160 = "Excellent", 2, 0))))) / (COUNTIFS($A$47:$A160, $A23, T$47:T160, "&lt;&gt;")) * 25 + 50) / 50, "")),"")</f>
        <v/>
      </c>
      <c r="U23" s="212"/>
      <c r="V23" s="213"/>
    </row>
    <row r="24" ht="18.75" hidden="1" customHeight="1" outlineLevel="1">
      <c r="A24" s="211" t="str">
        <f>Resources!$A23</f>
        <v/>
      </c>
      <c r="B24" s="207" t="str">
        <f t="shared" si="2"/>
        <v/>
      </c>
      <c r="C24" s="207" t="str">
        <f t="shared" si="3"/>
        <v/>
      </c>
      <c r="D24" s="208" t="str">
        <f t="array" ref="D24">IF(ISTEXT($A24),Round(XLOOKUP($A24,Resources!$A$4:$A$23,Resources!$AB$4:$AB$23)*'Roadmap setting'!$B$10,0),"")</f>
        <v/>
      </c>
      <c r="E24" s="208" t="str">
        <f>IFERROR(__xludf.DUMMYFUNCTION("IFERROR(IF(ISTEXT($A24),AVERAGE(FILTER(E$47:E160, ARRAYFORMULA(ISNUMBER(SEARCH($A24, $A$47:$A160))))),""""),)
"),"")</f>
        <v/>
      </c>
      <c r="F24" s="208" t="str">
        <f>IFERROR(__xludf.DUMMYFUNCTION("IFERROR(IF(ISTEXT($A24),AVERAGE(FILTER(F$47:F160, ARRAYFORMULA(ISNUMBER(SEARCH($A24, $A$47:$A160))))),""""),)
"),"")</f>
        <v/>
      </c>
      <c r="G24" s="207" t="str">
        <f t="array" ref="G24">IF(ISTEXT($A24), (IFERROR((SUMPRODUCT(($A$47:$A160 = $A24) * (G$47:G160 &lt;&gt; "") * IF(G$47:G160 = "Bad", -2, IF(G$47:G160 = "Below par", -1, IF(G$47:G160 = "Very well", 1, IF(G$47:G160 = "Excellent", 2, 0))))) / (COUNTIFS($A$47:$A160, $A24, G$47:G160, "&lt;&gt;")) * 25 + 50) / 50, "")),"")</f>
        <v/>
      </c>
      <c r="H24" s="207" t="str">
        <f t="array" ref="H24">IF(ISTEXT($A24), (IFERROR((SUMPRODUCT(($A$47:$A160 = $A24) * (H$47:H160 &lt;&gt; "") * IF(H$47:H160 = "Bad", -2, IF(H$47:H160 = "Below par", -1, IF(H$47:H160 = "Very well", 1, IF(H$47:H160 = "Excellent", 2, 0))))) / (COUNTIFS($A$47:$A160, $A24, H$47:H160, "&lt;&gt;")) * 25 + 50) / 50, "")),"")</f>
        <v/>
      </c>
      <c r="I24" s="207" t="str">
        <f t="array" ref="I24">IF(ISTEXT($A24), (IFERROR((SUMPRODUCT(($A$47:$A160 = $A24) * (I$47:I160 &lt;&gt; "") * IF(I$47:I160 = "Bad", -2, IF(I$47:I160 = "Below par", -1, IF(I$47:I160 = "Very well", 1, IF(I$47:I160 = "Excellent", 2, 0))))) / (COUNTIFS($A$47:$A160, $A24, I$47:I160, "&lt;&gt;")) * 25 + 50) / 50, "")),"")</f>
        <v/>
      </c>
      <c r="J24" s="207" t="str">
        <f t="array" ref="J24">IF(ISTEXT($A24), (IFERROR((SUMPRODUCT(($A$47:$A160 = $A24) * (J$47:J160 &lt;&gt; "") * IF(J$47:J160 = "Bad", -2, IF(J$47:J160 = "Below par", -1, IF(J$47:J160 = "Very well", 1, IF(J$47:J160 = "Excellent", 2, 0))))) / (COUNTIFS($A$47:$A160, $A24, J$47:J160, "&lt;&gt;")) * 25 + 50) / 50, "")),"")</f>
        <v/>
      </c>
      <c r="K24" s="207" t="str">
        <f t="array" ref="K24">IF(ISTEXT($A24), (IFERROR((SUMPRODUCT(($A$47:$A160 = $A24) * (K$47:K160 &lt;&gt; "") * IF(K$47:K160 = "Bad", -2, IF(K$47:K160 = "Below par", -1, IF(K$47:K160 = "Very well", 1, IF(K$47:K160 = "Excellent", 2, 0))))) / (COUNTIFS($A$47:$A160, $A24, K$47:K160, "&lt;&gt;")) * 25 + 50) / 50, "")),"")</f>
        <v/>
      </c>
      <c r="L24" s="207" t="str">
        <f t="array" ref="L24">IF(ISTEXT($A24), (IFERROR((SUMPRODUCT(($A$47:$A160 = $A24) * (L$47:L160 &lt;&gt; "") * IF(L$47:L160 = "Bad", -2, IF(L$47:L160 = "Below par", -1, IF(L$47:L160 = "Very well", 1, IF(L$47:L160 = "Excellent", 2, 0))))) / (COUNTIFS($A$47:$A160, $A24, L$47:L160, "&lt;&gt;")) * 25 + 50) / 50, "")),"")</f>
        <v/>
      </c>
      <c r="M24" s="207" t="str">
        <f t="array" ref="M24">IF(ISTEXT($A24), (IFERROR((SUMPRODUCT(($A$47:$A160 = $A24) * (M$47:M160 &lt;&gt; "") * IF(M$47:M160 = "Bad", -2, IF(M$47:M160 = "Below par", -1, IF(M$47:M160 = "Very well", 1, IF(M$47:M160 = "Excellent", 2, 0))))) / (COUNTIFS($A$47:$A160, $A24, M$47:M160, "&lt;&gt;")) * 25 + 50) / 50, "")),"")</f>
        <v/>
      </c>
      <c r="N24" s="207" t="str">
        <f t="array" ref="N24">IF(ISTEXT($A24), (IFERROR((SUMPRODUCT(($A$47:$A160 = $A24) * (N$47:N160 &lt;&gt; "") * IF(N$47:N160 = "Bad", -2, IF(N$47:N160 = "Below par", -1, IF(N$47:N160 = "Very well", 1, IF(N$47:N160 = "Excellent", 2, 0))))) / (COUNTIFS($A$47:$A160, $A24, N$47:N160, "&lt;&gt;")) * 25 + 50) / 50, "")),"")</f>
        <v/>
      </c>
      <c r="O24" s="207" t="str">
        <f t="array" ref="O24">IF(ISTEXT($A24), (IFERROR((SUMPRODUCT(($A$47:$A160 = $A24) * (O$47:O160 &lt;&gt; "") * IF(O$47:O160 = "Bad", -2, IF(O$47:O160 = "Below par", -1, IF(O$47:O160 = "Very well", 1, IF(O$47:O160 = "Excellent", 2, 0))))) / (COUNTIFS($A$47:$A160, $A24, O$47:O160, "&lt;&gt;")) * 25 + 50) / 50, "")),"")</f>
        <v/>
      </c>
      <c r="P24" s="207" t="str">
        <f t="array" ref="P24">IF(ISTEXT($A24), (IFERROR((SUMPRODUCT(($A$47:$A160 = $A24) * (P$47:P160 &lt;&gt; "") * IF(P$47:P160 = "Bad", -2, IF(P$47:P160 = "Below par", -1, IF(P$47:P160 = "Very well", 1, IF(P$47:P160 = "Excellent", 2, 0))))) / (COUNTIFS($A$47:$A160, $A24, P$47:P160, "&lt;&gt;")) * 25 + 50) / 50, "")),"")</f>
        <v/>
      </c>
      <c r="Q24" s="207" t="str">
        <f t="array" ref="Q24">IF(ISTEXT($A24), (IFERROR((SUMPRODUCT(($A$47:$A160 = $A24) * (Q$47:Q160 &lt;&gt; "") * IF(Q$47:Q160 = "Bad", -2, IF(Q$47:Q160 = "Below par", -1, IF(Q$47:Q160 = "Very well", 1, IF(Q$47:Q160 = "Excellent", 2, 0))))) / (COUNTIFS($A$47:$A160, $A24, Q$47:Q160, "&lt;&gt;")) * 25 + 50) / 50, "")),"")</f>
        <v/>
      </c>
      <c r="R24" s="207" t="str">
        <f t="array" ref="R24">IF(ISTEXT($A24), (IFERROR((SUMPRODUCT(($A$47:$A160 = $A24) * (R$47:R160 &lt;&gt; "") * IF(R$47:R160 = "Bad", -2, IF(R$47:R160 = "Below par", -1, IF(R$47:R160 = "Very well", 1, IF(R$47:R160 = "Excellent", 2, 0))))) / (COUNTIFS($A$47:$A160, $A24, R$47:R160, "&lt;&gt;")) * 25 + 50) / 50, "")),"")</f>
        <v/>
      </c>
      <c r="S24" s="207" t="str">
        <f t="array" ref="S24">IF(ISTEXT($A24), (IFERROR((SUMPRODUCT(($A$47:$A160 = $A24) * (S$47:S160 &lt;&gt; "") * IF(S$47:S160 = "Bad", -2, IF(S$47:S160 = "Below par", -1, IF(S$47:S160 = "Very well", 1, IF(S$47:S160 = "Excellent", 2, 0))))) / (COUNTIFS($A$47:$A160, $A24, S$47:S160, "&lt;&gt;")) * 25 + 50) / 50, "")),"")</f>
        <v/>
      </c>
      <c r="T24" s="207" t="str">
        <f t="array" ref="T24">IF(ISTEXT($A24), (IFERROR((SUMPRODUCT(($A$47:$A160 = $A24) * (T$47:T160 &lt;&gt; "") * IF(T$47:T160 = "Bad", -2, IF(T$47:T160 = "Below par", -1, IF(T$47:T160 = "Very well", 1, IF(T$47:T160 = "Excellent", 2, 0))))) / (COUNTIFS($A$47:$A160, $A24, T$47:T160, "&lt;&gt;")) * 25 + 50) / 50, "")),"")</f>
        <v/>
      </c>
      <c r="U24" s="209"/>
      <c r="V24" s="210"/>
    </row>
    <row r="25" ht="18.75" customHeight="1" collapsed="1">
      <c r="A25" s="201" t="str">
        <f>IFERROR(__xludf.DUMMYFUNCTION("CONCAT(IF(ISTEXT($A26),IF(INDIRECT(""B"" &amp; (IFERROR(MATCH(MAX(FILTER(C$3:C160, B$3:B160=""Sprint nr:"")), C$3:C160, 0) + 3)))+INDIRECT(""B"" &amp; (IFERROR(MATCH(MAX(FILTER(C$3:C160, B$3:B160=""Sprint nr:"")), C$3:C160, 0) + 5, """"))) ,IF(IFERROR(MAX(FILTER("&amp;"C$3:C160, B$3:B160=""Sprint nr:"")), 1)&lt;3,IF(IFERROR(MAX(FILTER(C$3:C160, B$3:B160=""Sprint nr:"")), 1)&lt;2,1,2),3),IF(IFERROR(MAX(FILTER(C$3:C160, B$3:B160=""Sprint nr:"")), 1)&lt;4,1,3)),""""),"" last sprint performance"")"),"3 last sprint performance")</f>
        <v>3 last sprint performance</v>
      </c>
      <c r="B25" s="202">
        <f t="shared" ref="B25:T25" si="4">IFERROR(AVERAGE(B$26:B$45),)</f>
        <v>0.8829787234</v>
      </c>
      <c r="C25" s="202">
        <f t="shared" si="4"/>
        <v>1.19047619</v>
      </c>
      <c r="D25" s="203">
        <f t="shared" si="4"/>
        <v>21.5</v>
      </c>
      <c r="E25" s="203">
        <f t="shared" si="4"/>
        <v>45.25</v>
      </c>
      <c r="F25" s="203">
        <f t="shared" si="4"/>
        <v>45.25</v>
      </c>
      <c r="G25" s="202">
        <f t="shared" si="4"/>
        <v>0.95</v>
      </c>
      <c r="H25" s="202" t="str">
        <f t="shared" si="4"/>
        <v/>
      </c>
      <c r="I25" s="202" t="str">
        <f t="shared" si="4"/>
        <v/>
      </c>
      <c r="J25" s="202">
        <f t="shared" si="4"/>
        <v>1.75</v>
      </c>
      <c r="K25" s="202" t="str">
        <f t="shared" si="4"/>
        <v/>
      </c>
      <c r="L25" s="202">
        <f t="shared" si="4"/>
        <v>1.5</v>
      </c>
      <c r="M25" s="202">
        <f t="shared" si="4"/>
        <v>1.75</v>
      </c>
      <c r="N25" s="202" t="str">
        <f t="shared" si="4"/>
        <v/>
      </c>
      <c r="O25" s="202" t="str">
        <f t="shared" si="4"/>
        <v/>
      </c>
      <c r="P25" s="202">
        <f t="shared" si="4"/>
        <v>1.5</v>
      </c>
      <c r="Q25" s="202" t="str">
        <f t="shared" si="4"/>
        <v/>
      </c>
      <c r="R25" s="202" t="str">
        <f t="shared" si="4"/>
        <v/>
      </c>
      <c r="S25" s="202">
        <f t="shared" si="4"/>
        <v>1.5</v>
      </c>
      <c r="T25" s="202">
        <f t="shared" si="4"/>
        <v>0.5</v>
      </c>
      <c r="U25" s="204"/>
      <c r="V25" s="205"/>
    </row>
    <row r="26" ht="18.75" hidden="1" customHeight="1" outlineLevel="1">
      <c r="A26" s="206" t="str">
        <f>Resources!$A4</f>
        <v>Mahsa Amiri</v>
      </c>
      <c r="B26" s="207" t="str">
        <f t="shared" ref="B26:B45" si="5">IF(AND(ISNUMBER($D26),ISNUMBER($F26)),IF($E26&gt;($D26-1),(($F26-$E26)*2)/$E26,(($F26-$D26)*2)/$D26)+100%,"")</f>
        <v/>
      </c>
      <c r="C26" s="207">
        <f t="shared" ref="C26:C43" si="6">IFERROR(IF(ISTEXT($A26),AVERAGE($G26:$T26),""))</f>
        <v>1.5</v>
      </c>
      <c r="D26" s="208">
        <f t="array" ref="D26">IF(ISTEXT($A26),Round(XLOOKUP($A26,Resources!$A$4:$A$23,Resources!$AB$4:$AB$23)*'Roadmap setting'!$B$10,0),"")</f>
        <v>19</v>
      </c>
      <c r="E26" s="208" t="str">
        <f>IFERROR(__xludf.DUMMYFUNCTION("IF(ISTEXT($A26),IFERROR(AVERAGE(FILTER(INDIRECT(""E""&amp;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ARRAYFORMULA(ISNUMBER(SEARCH($A26, INDIRECT(""A"" &amp; IFERRO"&amp;"R(MATCH(MAX(FILTER($C$3:$C160, $B$3:$B160=""Sprint nr:"",$C$3:$C160=MAX(FILTER($C$3:$C160, $B$3:$B160=""Sprint nr:""))-LEFT($A$25,2)+1)), $C$3:$C160, 0) + 2, ""N/A"") &amp; "":A"" &amp; IF(INDIRECT(""B"" &amp; (IFERROR(MATCH(MAX(FILTER($C$3:$C160, $B$3:$B160=""Sprint"&amp;" nr:"")), $C$3:$C160, 0) + 3, """"))),"""",IFERROR(MATCH(MAX(FILTER($C$3:$C160, $B$3:$B160=""Sprint nr:"")), $C$3:$C160, 0) + 1, """")))))))),""""),"""")"),"")</f>
        <v/>
      </c>
      <c r="F26" s="208" t="str">
        <f>IFERROR(__xludf.DUMMYFUNCTION("IF(ISTEXT($A26),IFERROR(AVERAGE(FILTER(INDIRECT(""F""&amp;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ARRAYFORMULA(ISNUMBER(SEARCH($A26, INDIRECT(""A"" &amp; IFERRO"&amp;"R(MATCH(MAX(FILTER($C$3:$C160, $B$3:$B160=""Sprint nr:"",$C$3:$C160=MAX(FILTER($C$3:$C160, $B$3:$B160=""Sprint nr:""))-LEFT($A$25,2)+1)), $C$3:$C160, 0) + 2, ""N/A"") &amp; "":A"" &amp; IF(INDIRECT(""B"" &amp; (IFERROR(MATCH(MAX(FILTER($C$3:$C160, $B$3:$B160=""Sprint"&amp;" nr:"")), $C$3:$C160, 0) + 3, """"))),"""",IFERROR(MATCH(MAX(FILTER($C$3:$C160, $B$3:$B160=""Sprint nr:"")), $C$3:$C160, 0) + 1, """")))))))),""""),"""")"),"")</f>
        <v/>
      </c>
      <c r="G26" s="207" t="str">
        <f t="array" ref="G26">IF(ISTEXT($A26), (IFERROR((SUMPRODUCT((INDIRECT("A"&amp;$B$46&amp;":A") = $A26) * (INDIRECT(G$46&amp;$B$46&amp;":"&amp;G$46) &lt;&gt; "") * IF(INDIRECT(G$46&amp;$B$46&amp;":"&amp;G$46) = "Bad", -2, IF(INDIRECT(G$46&amp;$B$46&amp;":"&amp;G$46) = "Below par", -1, IF(INDIRECT(G$46&amp;$B$46&amp;":"&amp;G$46) = "Very well", 1, IF(INDIRECT(G$46&amp;$B$46&amp;":"&amp;G$46) = "Excellent", 2, 0))))) / (COUNTIFS(INDIRECT("A"&amp;$B$46&amp;":A"), $A26, INDIRECT(G$46&amp;$B$46&amp;":"&amp;G$46), "&lt;&gt;")) * 25 + 50) / 50, "")),"")</f>
        <v/>
      </c>
      <c r="H26" s="207" t="str">
        <f t="array" ref="H26">IF(ISTEXT($A26), (IFERROR((SUMPRODUCT((INDIRECT("A"&amp;$B$46&amp;":A") = $A26) * (INDIRECT(H$46&amp;$B$46&amp;":"&amp;H$46) &lt;&gt; "") * IF(INDIRECT(H$46&amp;$B$46&amp;":"&amp;H$46) = "Bad", -2, IF(INDIRECT(H$46&amp;$B$46&amp;":"&amp;H$46) = "Below par", -1, IF(INDIRECT(H$46&amp;$B$46&amp;":"&amp;H$46) = "Very well", 1, IF(INDIRECT(H$46&amp;$B$46&amp;":"&amp;H$46) = "Excellent", 2, 0))))) / (COUNTIFS(INDIRECT("A"&amp;$B$46&amp;":A"), $A26, INDIRECT(H$46&amp;$B$46&amp;":"&amp;H$46), "&lt;&gt;")) * 25 + 50) / 50, "")),"")</f>
        <v/>
      </c>
      <c r="I26" s="207" t="str">
        <f t="array" ref="I26">IF(ISTEXT($A26), (IFERROR((SUMPRODUCT((INDIRECT("A"&amp;$B$46&amp;":A") = $A26) * (INDIRECT(I$46&amp;$B$46&amp;":"&amp;I$46) &lt;&gt; "") * IF(INDIRECT(I$46&amp;$B$46&amp;":"&amp;I$46) = "Bad", -2, IF(INDIRECT(I$46&amp;$B$46&amp;":"&amp;I$46) = "Below par", -1, IF(INDIRECT(I$46&amp;$B$46&amp;":"&amp;I$46) = "Very well", 1, IF(INDIRECT(I$46&amp;$B$46&amp;":"&amp;I$46) = "Excellent", 2, 0))))) / (COUNTIFS(INDIRECT("A"&amp;$B$46&amp;":A"), $A26, INDIRECT(I$46&amp;$B$46&amp;":"&amp;I$46), "&lt;&gt;")) * 25 + 50) / 50, "")),"")</f>
        <v/>
      </c>
      <c r="J26" s="207" t="str">
        <f t="array" ref="J26">IF(ISTEXT($A26), (IFERROR((SUMPRODUCT((INDIRECT("A"&amp;$B$46&amp;":A") = $A26) * (INDIRECT(J$46&amp;$B$46&amp;":"&amp;J$46) &lt;&gt; "") * IF(INDIRECT(J$46&amp;$B$46&amp;":"&amp;J$46) = "Bad", -2, IF(INDIRECT(J$46&amp;$B$46&amp;":"&amp;J$46) = "Below par", -1, IF(INDIRECT(J$46&amp;$B$46&amp;":"&amp;J$46) = "Very well", 1, IF(INDIRECT(J$46&amp;$B$46&amp;":"&amp;J$46) = "Excellent", 2, 0))))) / (COUNTIFS(INDIRECT("A"&amp;$B$46&amp;":A"), $A26, INDIRECT(J$46&amp;$B$46&amp;":"&amp;J$46), "&lt;&gt;")) * 25 + 50) / 50, "")),"")</f>
        <v/>
      </c>
      <c r="K26" s="207" t="str">
        <f t="array" ref="K26">IF(ISTEXT($A26), (IFERROR((SUMPRODUCT((INDIRECT("A"&amp;$B$46&amp;":A") = $A26) * (INDIRECT(K$46&amp;$B$46&amp;":"&amp;K$46) &lt;&gt; "") * IF(INDIRECT(K$46&amp;$B$46&amp;":"&amp;K$46) = "Bad", -2, IF(INDIRECT(K$46&amp;$B$46&amp;":"&amp;K$46) = "Below par", -1, IF(INDIRECT(K$46&amp;$B$46&amp;":"&amp;K$46) = "Very well", 1, IF(INDIRECT(K$46&amp;$B$46&amp;":"&amp;K$46) = "Excellent", 2, 0))))) / (COUNTIFS(INDIRECT("A"&amp;$B$46&amp;":A"), $A26, INDIRECT(K$46&amp;$B$46&amp;":"&amp;K$46), "&lt;&gt;")) * 25 + 50) / 50, "")),"")</f>
        <v/>
      </c>
      <c r="L26" s="207">
        <f t="array" ref="L26">IF(ISTEXT($A26), (IFERROR((SUMPRODUCT((INDIRECT("A"&amp;$B$46&amp;":A") = $A26) * (INDIRECT(L$46&amp;$B$46&amp;":"&amp;L$46) &lt;&gt; "") * IF(INDIRECT(L$46&amp;$B$46&amp;":"&amp;L$46) = "Bad", -2, IF(INDIRECT(L$46&amp;$B$46&amp;":"&amp;L$46) = "Below par", -1, IF(INDIRECT(L$46&amp;$B$46&amp;":"&amp;L$46) = "Very well", 1, IF(INDIRECT(L$46&amp;$B$46&amp;":"&amp;L$46) = "Excellent", 2, 0))))) / (COUNTIFS(INDIRECT("A"&amp;$B$46&amp;":A"), $A26, INDIRECT(L$46&amp;$B$46&amp;":"&amp;L$46), "&lt;&gt;")) * 25 + 50) / 50, "")),"")</f>
        <v>1.5</v>
      </c>
      <c r="M26" s="207" t="str">
        <f t="array" ref="M26">IF(ISTEXT($A26), (IFERROR((SUMPRODUCT((INDIRECT("A"&amp;$B$46&amp;":A") = $A26) * (INDIRECT(M$46&amp;$B$46&amp;":"&amp;M$46) &lt;&gt; "") * IF(INDIRECT(M$46&amp;$B$46&amp;":"&amp;M$46) = "Bad", -2, IF(INDIRECT(M$46&amp;$B$46&amp;":"&amp;M$46) = "Below par", -1, IF(INDIRECT(M$46&amp;$B$46&amp;":"&amp;M$46) = "Very well", 1, IF(INDIRECT(M$46&amp;$B$46&amp;":"&amp;M$46) = "Excellent", 2, 0))))) / (COUNTIFS(INDIRECT("A"&amp;$B$46&amp;":A"), $A26, INDIRECT(M$46&amp;$B$46&amp;":"&amp;M$46), "&lt;&gt;")) * 25 + 50) / 50, "")),"")</f>
        <v/>
      </c>
      <c r="N26" s="207" t="str">
        <f t="array" ref="N26">IF(ISTEXT($A26), (IFERROR((SUMPRODUCT((INDIRECT("A"&amp;$B$46&amp;":A") = $A26) * (INDIRECT(N$46&amp;$B$46&amp;":"&amp;N$46) &lt;&gt; "") * IF(INDIRECT(N$46&amp;$B$46&amp;":"&amp;N$46) = "Bad", -2, IF(INDIRECT(N$46&amp;$B$46&amp;":"&amp;N$46) = "Below par", -1, IF(INDIRECT(N$46&amp;$B$46&amp;":"&amp;N$46) = "Very well", 1, IF(INDIRECT(N$46&amp;$B$46&amp;":"&amp;N$46) = "Excellent", 2, 0))))) / (COUNTIFS(INDIRECT("A"&amp;$B$46&amp;":A"), $A26, INDIRECT(N$46&amp;$B$46&amp;":"&amp;N$46), "&lt;&gt;")) * 25 + 50) / 50, "")),"")</f>
        <v/>
      </c>
      <c r="O26" s="207" t="str">
        <f t="array" ref="O26">IF(ISTEXT($A26), (IFERROR((SUMPRODUCT((INDIRECT("A"&amp;$B$46&amp;":A") = $A26) * (INDIRECT(O$46&amp;$B$46&amp;":"&amp;O$46) &lt;&gt; "") * IF(INDIRECT(O$46&amp;$B$46&amp;":"&amp;O$46) = "Bad", -2, IF(INDIRECT(O$46&amp;$B$46&amp;":"&amp;O$46) = "Below par", -1, IF(INDIRECT(O$46&amp;$B$46&amp;":"&amp;O$46) = "Very well", 1, IF(INDIRECT(O$46&amp;$B$46&amp;":"&amp;O$46) = "Excellent", 2, 0))))) / (COUNTIFS(INDIRECT("A"&amp;$B$46&amp;":A"), $A26, INDIRECT(O$46&amp;$B$46&amp;":"&amp;O$46), "&lt;&gt;")) * 25 + 50) / 50, "")),"")</f>
        <v/>
      </c>
      <c r="P26" s="207">
        <f t="array" ref="P26">IF(ISTEXT($A26), (IFERROR((SUMPRODUCT((INDIRECT("A"&amp;$B$46&amp;":A") = $A26) * (INDIRECT(P$46&amp;$B$46&amp;":"&amp;P$46) &lt;&gt; "") * IF(INDIRECT(P$46&amp;$B$46&amp;":"&amp;P$46) = "Bad", -2, IF(INDIRECT(P$46&amp;$B$46&amp;":"&amp;P$46) = "Below par", -1, IF(INDIRECT(P$46&amp;$B$46&amp;":"&amp;P$46) = "Very well", 1, IF(INDIRECT(P$46&amp;$B$46&amp;":"&amp;P$46) = "Excellent", 2, 0))))) / (COUNTIFS(INDIRECT("A"&amp;$B$46&amp;":A"), $A26, INDIRECT(P$46&amp;$B$46&amp;":"&amp;P$46), "&lt;&gt;")) * 25 + 50) / 50, "")),"")</f>
        <v>1.5</v>
      </c>
      <c r="Q26" s="207" t="str">
        <f t="array" ref="Q26">IF(ISTEXT($A26), (IFERROR((SUMPRODUCT((INDIRECT("A"&amp;$B$46&amp;":A") = $A26) * (INDIRECT(Q$46&amp;$B$46&amp;":"&amp;Q$46) &lt;&gt; "") * IF(INDIRECT(Q$46&amp;$B$46&amp;":"&amp;Q$46) = "Bad", -2, IF(INDIRECT(Q$46&amp;$B$46&amp;":"&amp;Q$46) = "Below par", -1, IF(INDIRECT(Q$46&amp;$B$46&amp;":"&amp;Q$46) = "Very well", 1, IF(INDIRECT(Q$46&amp;$B$46&amp;":"&amp;Q$46) = "Excellent", 2, 0))))) / (COUNTIFS(INDIRECT("A"&amp;$B$46&amp;":A"), $A26, INDIRECT(Q$46&amp;$B$46&amp;":"&amp;Q$46), "&lt;&gt;")) * 25 + 50) / 50, "")),"")</f>
        <v/>
      </c>
      <c r="R26" s="207" t="str">
        <f t="array" ref="R26">IF(ISTEXT($A26), (IFERROR((SUMPRODUCT((INDIRECT("A"&amp;$B$46&amp;":A") = $A26) * (INDIRECT(R$46&amp;$B$46&amp;":"&amp;R$46) &lt;&gt; "") * IF(INDIRECT(R$46&amp;$B$46&amp;":"&amp;R$46) = "Bad", -2, IF(INDIRECT(R$46&amp;$B$46&amp;":"&amp;R$46) = "Below par", -1, IF(INDIRECT(R$46&amp;$B$46&amp;":"&amp;R$46) = "Very well", 1, IF(INDIRECT(R$46&amp;$B$46&amp;":"&amp;R$46) = "Excellent", 2, 0))))) / (COUNTIFS(INDIRECT("A"&amp;$B$46&amp;":A"), $A26, INDIRECT(R$46&amp;$B$46&amp;":"&amp;R$46), "&lt;&gt;")) * 25 + 50) / 50, "")),"")</f>
        <v/>
      </c>
      <c r="S26" s="207" t="str">
        <f t="array" ref="S26">IF(ISTEXT($A26), (IFERROR((SUMPRODUCT((INDIRECT("A"&amp;$B$46&amp;":A") = $A26) * (INDIRECT(S$46&amp;$B$46&amp;":"&amp;S$46) &lt;&gt; "") * IF(INDIRECT(S$46&amp;$B$46&amp;":"&amp;S$46) = "Bad", -2, IF(INDIRECT(S$46&amp;$B$46&amp;":"&amp;S$46) = "Below par", -1, IF(INDIRECT(S$46&amp;$B$46&amp;":"&amp;S$46) = "Very well", 1, IF(INDIRECT(S$46&amp;$B$46&amp;":"&amp;S$46) = "Excellent", 2, 0))))) / (COUNTIFS(INDIRECT("A"&amp;$B$46&amp;":A"), $A26, INDIRECT(S$46&amp;$B$46&amp;":"&amp;S$46), "&lt;&gt;")) * 25 + 50) / 50, "")),"")</f>
        <v/>
      </c>
      <c r="T26" s="207" t="str">
        <f t="array" ref="T26">IF(ISTEXT($A26), (IFERROR((SUMPRODUCT((INDIRECT("A"&amp;$B$46&amp;":A") = $A26) * (INDIRECT(T$46&amp;$B$46&amp;":"&amp;T$46) &lt;&gt; "") * IF(INDIRECT(T$46&amp;$B$46&amp;":"&amp;T$46) = "Bad", -2, IF(INDIRECT(T$46&amp;$B$46&amp;":"&amp;T$46) = "Below par", -1, IF(INDIRECT(T$46&amp;$B$46&amp;":"&amp;T$46) = "Very well", 1, IF(INDIRECT(T$46&amp;$B$46&amp;":"&amp;T$46) = "Excellent", 2, 0))))) / (COUNTIFS(INDIRECT("A"&amp;$B$46&amp;":A"), $A26, INDIRECT(T$46&amp;$B$46&amp;":"&amp;T$46), "&lt;&gt;")) * 25 + 50) / 50, "")),"")</f>
        <v/>
      </c>
      <c r="U26" s="209"/>
      <c r="V26" s="210"/>
    </row>
    <row r="27" ht="18.75" hidden="1" customHeight="1" outlineLevel="1">
      <c r="A27" s="206" t="str">
        <f>Resources!$A5</f>
        <v>Javad Zaki</v>
      </c>
      <c r="B27" s="207" t="str">
        <f t="shared" si="5"/>
        <v/>
      </c>
      <c r="C27" s="207" t="str">
        <f t="shared" si="6"/>
        <v/>
      </c>
      <c r="D27" s="208">
        <f t="array" ref="D27">IF(ISTEXT($A27),Round(XLOOKUP($A27,Resources!$A$4:$A$23,Resources!$AB$4:$AB$23)*'Roadmap setting'!$B$10,0),"")</f>
        <v>7</v>
      </c>
      <c r="E27" s="208" t="str">
        <f>IFERROR(__xludf.DUMMYFUNCTION("IF(ISTEXT($A27),IFERROR(AVERAGE(FILTER(INDIRECT(""E""&amp;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ARRAYFORMULA(ISNUMBER(SEARCH($A27, INDIRECT(""A"" &amp; IFERRO"&amp;"R(MATCH(MAX(FILTER($C$3:$C160, $B$3:$B160=""Sprint nr:"",$C$3:$C160=MAX(FILTER($C$3:$C160, $B$3:$B160=""Sprint nr:""))-LEFT($A$25,2)+1)), $C$3:$C160, 0) + 2, ""N/A"") &amp; "":A"" &amp; IF(INDIRECT(""B"" &amp; (IFERROR(MATCH(MAX(FILTER($C$3:$C160, $B$3:$B160=""Sprint"&amp;" nr:"")), $C$3:$C160, 0) + 3, """"))),"""",IFERROR(MATCH(MAX(FILTER($C$3:$C160, $B$3:$B160=""Sprint nr:"")), $C$3:$C160, 0) + 1, """")))))))),""""),"""")"),"")</f>
        <v/>
      </c>
      <c r="F27" s="208" t="str">
        <f>IFERROR(__xludf.DUMMYFUNCTION("IF(ISTEXT($A27),IFERROR(AVERAGE(FILTER(INDIRECT(""F""&amp;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ARRAYFORMULA(ISNUMBER(SEARCH($A27, INDIRECT(""A"" &amp; IFERRO"&amp;"R(MATCH(MAX(FILTER($C$3:$C160, $B$3:$B160=""Sprint nr:"",$C$3:$C160=MAX(FILTER($C$3:$C160, $B$3:$B160=""Sprint nr:""))-LEFT($A$25,2)+1)), $C$3:$C160, 0) + 2, ""N/A"") &amp; "":A"" &amp; IF(INDIRECT(""B"" &amp; (IFERROR(MATCH(MAX(FILTER($C$3:$C160, $B$3:$B160=""Sprint"&amp;" nr:"")), $C$3:$C160, 0) + 3, """"))),"""",IFERROR(MATCH(MAX(FILTER($C$3:$C160, $B$3:$B160=""Sprint nr:"")), $C$3:$C160, 0) + 1, """")))))))),""""),"""")"),"")</f>
        <v/>
      </c>
      <c r="G27" s="207" t="str">
        <f t="array" ref="G27">IF(ISTEXT($A27), (IFERROR((SUMPRODUCT(($A$47:$A160 = $A27) * (G$47:G160 &lt;&gt; "") * IF(G$47:G160 = "Bad", -2, IF(G$47:G160 = "Below par", -1, IF(G$47:G160 = "Very well", 1, IF(G$47:G160 = "Excellent", 2, 0))))) / (COUNTIFS($A$47:$A160, $A27, G$47:G160, "&lt;&gt;")) * 25 + 50) / 50, "")),"")</f>
        <v/>
      </c>
      <c r="H27" s="207" t="str">
        <f t="array" ref="H27">IF(ISTEXT($A27), (IFERROR((SUMPRODUCT((INDIRECT("A"&amp;$B$46&amp;":A") = $A27) * (INDIRECT(H$46&amp;$B$46&amp;":"&amp;H$46) &lt;&gt; "") * IF(INDIRECT(H$46&amp;$B$46&amp;":"&amp;H$46) = "Bad", -2, IF(INDIRECT(H$46&amp;$B$46&amp;":"&amp;H$46) = "Below par", -1, IF(INDIRECT(H$46&amp;$B$46&amp;":"&amp;H$46) = "Very well", 1, IF(INDIRECT(H$46&amp;$B$46&amp;":"&amp;H$46) = "Excellent", 2, 0))))) / (COUNTIFS(INDIRECT("A"&amp;$B$46&amp;":A"), $A27, INDIRECT(H$46&amp;$B$46&amp;":"&amp;H$46), "&lt;&gt;")) * 25 + 50) / 50, "")),"")</f>
        <v/>
      </c>
      <c r="I27" s="207" t="str">
        <f t="array" ref="I27">IF(ISTEXT($A27), (IFERROR((SUMPRODUCT((INDIRECT("A"&amp;$B$46&amp;":A") = $A27) * (INDIRECT(I$46&amp;$B$46&amp;":"&amp;I$46) &lt;&gt; "") * IF(INDIRECT(I$46&amp;$B$46&amp;":"&amp;I$46) = "Bad", -2, IF(INDIRECT(I$46&amp;$B$46&amp;":"&amp;I$46) = "Below par", -1, IF(INDIRECT(I$46&amp;$B$46&amp;":"&amp;I$46) = "Very well", 1, IF(INDIRECT(I$46&amp;$B$46&amp;":"&amp;I$46) = "Excellent", 2, 0))))) / (COUNTIFS(INDIRECT("A"&amp;$B$46&amp;":A"), $A27, INDIRECT(I$46&amp;$B$46&amp;":"&amp;I$46), "&lt;&gt;")) * 25 + 50) / 50, "")),"")</f>
        <v/>
      </c>
      <c r="J27" s="207" t="str">
        <f t="array" ref="J27">IF(ISTEXT($A27), (IFERROR((SUMPRODUCT((INDIRECT("A"&amp;$B$46&amp;":A") = $A27) * (INDIRECT(J$46&amp;$B$46&amp;":"&amp;J$46) &lt;&gt; "") * IF(INDIRECT(J$46&amp;$B$46&amp;":"&amp;J$46) = "Bad", -2, IF(INDIRECT(J$46&amp;$B$46&amp;":"&amp;J$46) = "Below par", -1, IF(INDIRECT(J$46&amp;$B$46&amp;":"&amp;J$46) = "Very well", 1, IF(INDIRECT(J$46&amp;$B$46&amp;":"&amp;J$46) = "Excellent", 2, 0))))) / (COUNTIFS(INDIRECT("A"&amp;$B$46&amp;":A"), $A27, INDIRECT(J$46&amp;$B$46&amp;":"&amp;J$46), "&lt;&gt;")) * 25 + 50) / 50, "")),"")</f>
        <v/>
      </c>
      <c r="K27" s="207" t="str">
        <f t="array" ref="K27">IF(ISTEXT($A27), (IFERROR((SUMPRODUCT((INDIRECT("A"&amp;$B$46&amp;":A") = $A27) * (INDIRECT(K$46&amp;$B$46&amp;":"&amp;K$46) &lt;&gt; "") * IF(INDIRECT(K$46&amp;$B$46&amp;":"&amp;K$46) = "Bad", -2, IF(INDIRECT(K$46&amp;$B$46&amp;":"&amp;K$46) = "Below par", -1, IF(INDIRECT(K$46&amp;$B$46&amp;":"&amp;K$46) = "Very well", 1, IF(INDIRECT(K$46&amp;$B$46&amp;":"&amp;K$46) = "Excellent", 2, 0))))) / (COUNTIFS(INDIRECT("A"&amp;$B$46&amp;":A"), $A27, INDIRECT(K$46&amp;$B$46&amp;":"&amp;K$46), "&lt;&gt;")) * 25 + 50) / 50, "")),"")</f>
        <v/>
      </c>
      <c r="L27" s="207" t="str">
        <f t="array" ref="L27">IF(ISTEXT($A27), (IFERROR((SUMPRODUCT((INDIRECT("A"&amp;$B$46&amp;":A") = $A27) * (INDIRECT(L$46&amp;$B$46&amp;":"&amp;L$46) &lt;&gt; "") * IF(INDIRECT(L$46&amp;$B$46&amp;":"&amp;L$46) = "Bad", -2, IF(INDIRECT(L$46&amp;$B$46&amp;":"&amp;L$46) = "Below par", -1, IF(INDIRECT(L$46&amp;$B$46&amp;":"&amp;L$46) = "Very well", 1, IF(INDIRECT(L$46&amp;$B$46&amp;":"&amp;L$46) = "Excellent", 2, 0))))) / (COUNTIFS(INDIRECT("A"&amp;$B$46&amp;":A"), $A27, INDIRECT(L$46&amp;$B$46&amp;":"&amp;L$46), "&lt;&gt;")) * 25 + 50) / 50, "")),"")</f>
        <v/>
      </c>
      <c r="M27" s="207" t="str">
        <f t="array" ref="M27">IF(ISTEXT($A27), (IFERROR((SUMPRODUCT((INDIRECT("A"&amp;$B$46&amp;":A") = $A27) * (INDIRECT(M$46&amp;$B$46&amp;":"&amp;M$46) &lt;&gt; "") * IF(INDIRECT(M$46&amp;$B$46&amp;":"&amp;M$46) = "Bad", -2, IF(INDIRECT(M$46&amp;$B$46&amp;":"&amp;M$46) = "Below par", -1, IF(INDIRECT(M$46&amp;$B$46&amp;":"&amp;M$46) = "Very well", 1, IF(INDIRECT(M$46&amp;$B$46&amp;":"&amp;M$46) = "Excellent", 2, 0))))) / (COUNTIFS(INDIRECT("A"&amp;$B$46&amp;":A"), $A27, INDIRECT(M$46&amp;$B$46&amp;":"&amp;M$46), "&lt;&gt;")) * 25 + 50) / 50, "")),"")</f>
        <v/>
      </c>
      <c r="N27" s="207" t="str">
        <f t="array" ref="N27">IF(ISTEXT($A27), (IFERROR((SUMPRODUCT((INDIRECT("A"&amp;$B$46&amp;":A") = $A27) * (INDIRECT(N$46&amp;$B$46&amp;":"&amp;N$46) &lt;&gt; "") * IF(INDIRECT(N$46&amp;$B$46&amp;":"&amp;N$46) = "Bad", -2, IF(INDIRECT(N$46&amp;$B$46&amp;":"&amp;N$46) = "Below par", -1, IF(INDIRECT(N$46&amp;$B$46&amp;":"&amp;N$46) = "Very well", 1, IF(INDIRECT(N$46&amp;$B$46&amp;":"&amp;N$46) = "Excellent", 2, 0))))) / (COUNTIFS(INDIRECT("A"&amp;$B$46&amp;":A"), $A27, INDIRECT(N$46&amp;$B$46&amp;":"&amp;N$46), "&lt;&gt;")) * 25 + 50) / 50, "")),"")</f>
        <v/>
      </c>
      <c r="O27" s="207" t="str">
        <f t="array" ref="O27">IF(ISTEXT($A27), (IFERROR((SUMPRODUCT((INDIRECT("A"&amp;$B$46&amp;":A") = $A27) * (INDIRECT(O$46&amp;$B$46&amp;":"&amp;O$46) &lt;&gt; "") * IF(INDIRECT(O$46&amp;$B$46&amp;":"&amp;O$46) = "Bad", -2, IF(INDIRECT(O$46&amp;$B$46&amp;":"&amp;O$46) = "Below par", -1, IF(INDIRECT(O$46&amp;$B$46&amp;":"&amp;O$46) = "Very well", 1, IF(INDIRECT(O$46&amp;$B$46&amp;":"&amp;O$46) = "Excellent", 2, 0))))) / (COUNTIFS(INDIRECT("A"&amp;$B$46&amp;":A"), $A27, INDIRECT(O$46&amp;$B$46&amp;":"&amp;O$46), "&lt;&gt;")) * 25 + 50) / 50, "")),"")</f>
        <v/>
      </c>
      <c r="P27" s="207" t="str">
        <f t="array" ref="P27">IF(ISTEXT($A27), (IFERROR((SUMPRODUCT((INDIRECT("A"&amp;$B$46&amp;":A") = $A27) * (INDIRECT(P$46&amp;$B$46&amp;":"&amp;P$46) &lt;&gt; "") * IF(INDIRECT(P$46&amp;$B$46&amp;":"&amp;P$46) = "Bad", -2, IF(INDIRECT(P$46&amp;$B$46&amp;":"&amp;P$46) = "Below par", -1, IF(INDIRECT(P$46&amp;$B$46&amp;":"&amp;P$46) = "Very well", 1, IF(INDIRECT(P$46&amp;$B$46&amp;":"&amp;P$46) = "Excellent", 2, 0))))) / (COUNTIFS(INDIRECT("A"&amp;$B$46&amp;":A"), $A27, INDIRECT(P$46&amp;$B$46&amp;":"&amp;P$46), "&lt;&gt;")) * 25 + 50) / 50, "")),"")</f>
        <v/>
      </c>
      <c r="Q27" s="207" t="str">
        <f t="array" ref="Q27">IF(ISTEXT($A27), (IFERROR((SUMPRODUCT((INDIRECT("A"&amp;$B$46&amp;":A") = $A27) * (INDIRECT(Q$46&amp;$B$46&amp;":"&amp;Q$46) &lt;&gt; "") * IF(INDIRECT(Q$46&amp;$B$46&amp;":"&amp;Q$46) = "Bad", -2, IF(INDIRECT(Q$46&amp;$B$46&amp;":"&amp;Q$46) = "Below par", -1, IF(INDIRECT(Q$46&amp;$B$46&amp;":"&amp;Q$46) = "Very well", 1, IF(INDIRECT(Q$46&amp;$B$46&amp;":"&amp;Q$46) = "Excellent", 2, 0))))) / (COUNTIFS(INDIRECT("A"&amp;$B$46&amp;":A"), $A27, INDIRECT(Q$46&amp;$B$46&amp;":"&amp;Q$46), "&lt;&gt;")) * 25 + 50) / 50, "")),"")</f>
        <v/>
      </c>
      <c r="R27" s="207" t="str">
        <f t="array" ref="R27">IF(ISTEXT($A27), (IFERROR((SUMPRODUCT((INDIRECT("A"&amp;$B$46&amp;":A") = $A27) * (INDIRECT(R$46&amp;$B$46&amp;":"&amp;R$46) &lt;&gt; "") * IF(INDIRECT(R$46&amp;$B$46&amp;":"&amp;R$46) = "Bad", -2, IF(INDIRECT(R$46&amp;$B$46&amp;":"&amp;R$46) = "Below par", -1, IF(INDIRECT(R$46&amp;$B$46&amp;":"&amp;R$46) = "Very well", 1, IF(INDIRECT(R$46&amp;$B$46&amp;":"&amp;R$46) = "Excellent", 2, 0))))) / (COUNTIFS(INDIRECT("A"&amp;$B$46&amp;":A"), $A27, INDIRECT(R$46&amp;$B$46&amp;":"&amp;R$46), "&lt;&gt;")) * 25 + 50) / 50, "")),"")</f>
        <v/>
      </c>
      <c r="S27" s="207" t="str">
        <f t="array" ref="S27">IF(ISTEXT($A27), (IFERROR((SUMPRODUCT((INDIRECT("A"&amp;$B$46&amp;":A") = $A27) * (INDIRECT(S$46&amp;$B$46&amp;":"&amp;S$46) &lt;&gt; "") * IF(INDIRECT(S$46&amp;$B$46&amp;":"&amp;S$46) = "Bad", -2, IF(INDIRECT(S$46&amp;$B$46&amp;":"&amp;S$46) = "Below par", -1, IF(INDIRECT(S$46&amp;$B$46&amp;":"&amp;S$46) = "Very well", 1, IF(INDIRECT(S$46&amp;$B$46&amp;":"&amp;S$46) = "Excellent", 2, 0))))) / (COUNTIFS(INDIRECT("A"&amp;$B$46&amp;":A"), $A27, INDIRECT(S$46&amp;$B$46&amp;":"&amp;S$46), "&lt;&gt;")) * 25 + 50) / 50, "")),"")</f>
        <v/>
      </c>
      <c r="T27" s="207" t="str">
        <f t="array" ref="T27">IF(ISTEXT($A27), (IFERROR((SUMPRODUCT((INDIRECT("A"&amp;$B$46&amp;":A") = $A27) * (INDIRECT(T$46&amp;$B$46&amp;":"&amp;T$46) &lt;&gt; "") * IF(INDIRECT(T$46&amp;$B$46&amp;":"&amp;T$46) = "Bad", -2, IF(INDIRECT(T$46&amp;$B$46&amp;":"&amp;T$46) = "Below par", -1, IF(INDIRECT(T$46&amp;$B$46&amp;":"&amp;T$46) = "Very well", 1, IF(INDIRECT(T$46&amp;$B$46&amp;":"&amp;T$46) = "Excellent", 2, 0))))) / (COUNTIFS(INDIRECT("A"&amp;$B$46&amp;":A"), $A27, INDIRECT(T$46&amp;$B$46&amp;":"&amp;T$46), "&lt;&gt;")) * 25 + 50) / 50, "")),"")</f>
        <v/>
      </c>
      <c r="U27" s="209"/>
      <c r="V27" s="210"/>
    </row>
    <row r="28" ht="18.75" hidden="1" customHeight="1" outlineLevel="1">
      <c r="A28" s="206" t="str">
        <f>Resources!$A6</f>
        <v>Komeyl Mohebbian</v>
      </c>
      <c r="B28" s="207">
        <f t="shared" si="5"/>
        <v>0.7659574468</v>
      </c>
      <c r="C28" s="207">
        <f t="shared" si="6"/>
        <v>1.5</v>
      </c>
      <c r="D28" s="208">
        <f t="array" ref="D28">IF(ISTEXT($A28),Round(XLOOKUP($A28,Resources!$A$4:$A$23,Resources!$AB$4:$AB$23)*'Roadmap setting'!$B$10,0),"")</f>
        <v>47</v>
      </c>
      <c r="E28" s="208">
        <f>IFERROR(__xludf.DUMMYFUNCTION("IF(ISTEXT($A28),IFERROR(AVERAGE(FILTER(INDIRECT(""E""&amp;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ARRAYFORMULA(ISNUMBER(SEARCH($A28, INDIRECT(""A"" &amp; IFERRO"&amp;"R(MATCH(MAX(FILTER($C$3:$C160, $B$3:$B160=""Sprint nr:"",$C$3:$C160=MAX(FILTER($C$3:$C160, $B$3:$B160=""Sprint nr:""))-LEFT($A$25,2)+1)), $C$3:$C160, 0) + 2, ""N/A"") &amp; "":A"" &amp; IF(INDIRECT(""B"" &amp; (IFERROR(MATCH(MAX(FILTER($C$3:$C160, $B$3:$B160=""Sprint"&amp;" nr:"")), $C$3:$C160, 0) + 3, """"))),"""",IFERROR(MATCH(MAX(FILTER($C$3:$C160, $B$3:$B160=""Sprint nr:"")), $C$3:$C160, 0) + 1, """")))))))),""""),"""")"),41.5)</f>
        <v>41.5</v>
      </c>
      <c r="F28" s="208">
        <f>IFERROR(__xludf.DUMMYFUNCTION("IF(ISTEXT($A28),IFERROR(AVERAGE(FILTER(INDIRECT(""F""&amp;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ARRAYFORMULA(ISNUMBER(SEARCH($A28, INDIRECT(""A"" &amp; IFERRO"&amp;"R(MATCH(MAX(FILTER($C$3:$C160, $B$3:$B160=""Sprint nr:"",$C$3:$C160=MAX(FILTER($C$3:$C160, $B$3:$B160=""Sprint nr:""))-LEFT($A$25,2)+1)), $C$3:$C160, 0) + 2, ""N/A"") &amp; "":A"" &amp; IF(INDIRECT(""B"" &amp; (IFERROR(MATCH(MAX(FILTER($C$3:$C160, $B$3:$B160=""Sprint"&amp;" nr:"")), $C$3:$C160, 0) + 3, """"))),"""",IFERROR(MATCH(MAX(FILTER($C$3:$C160, $B$3:$B160=""Sprint nr:"")), $C$3:$C160, 0) + 1, """")))))))),""""),"""")"),41.5)</f>
        <v>41.5</v>
      </c>
      <c r="G28" s="207" t="str">
        <f t="array" ref="G28">IF(ISTEXT($A28), (IFERROR((SUMPRODUCT(($A$47:$A160 = $A28) * (G$47:G160 &lt;&gt; "") * IF(G$47:G160 = "Bad", -2, IF(G$47:G160 = "Below par", -1, IF(G$47:G160 = "Very well", 1, IF(G$47:G160 = "Excellent", 2, 0))))) / (COUNTIFS($A$47:$A160, $A28, G$47:G160, "&lt;&gt;")) * 25 + 50) / 50, "")),"")</f>
        <v/>
      </c>
      <c r="H28" s="207" t="str">
        <f t="array" ref="H28">IF(ISTEXT($A28), (IFERROR((SUMPRODUCT((INDIRECT("A"&amp;$B$46&amp;":A") = $A28) * (INDIRECT(H$46&amp;$B$46&amp;":"&amp;H$46) &lt;&gt; "") * IF(INDIRECT(H$46&amp;$B$46&amp;":"&amp;H$46) = "Bad", -2, IF(INDIRECT(H$46&amp;$B$46&amp;":"&amp;H$46) = "Below par", -1, IF(INDIRECT(H$46&amp;$B$46&amp;":"&amp;H$46) = "Very well", 1, IF(INDIRECT(H$46&amp;$B$46&amp;":"&amp;H$46) = "Excellent", 2, 0))))) / (COUNTIFS(INDIRECT("A"&amp;$B$46&amp;":A"), $A28, INDIRECT(H$46&amp;$B$46&amp;":"&amp;H$46), "&lt;&gt;")) * 25 + 50) / 50, "")),"")</f>
        <v/>
      </c>
      <c r="I28" s="207" t="str">
        <f t="array" ref="I28">IF(ISTEXT($A28), (IFERROR((SUMPRODUCT((INDIRECT("A"&amp;$B$46&amp;":A") = $A28) * (INDIRECT(I$46&amp;$B$46&amp;":"&amp;I$46) &lt;&gt; "") * IF(INDIRECT(I$46&amp;$B$46&amp;":"&amp;I$46) = "Bad", -2, IF(INDIRECT(I$46&amp;$B$46&amp;":"&amp;I$46) = "Below par", -1, IF(INDIRECT(I$46&amp;$B$46&amp;":"&amp;I$46) = "Very well", 1, IF(INDIRECT(I$46&amp;$B$46&amp;":"&amp;I$46) = "Excellent", 2, 0))))) / (COUNTIFS(INDIRECT("A"&amp;$B$46&amp;":A"), $A28, INDIRECT(I$46&amp;$B$46&amp;":"&amp;I$46), "&lt;&gt;")) * 25 + 50) / 50, "")),"")</f>
        <v/>
      </c>
      <c r="J28" s="207" t="str">
        <f t="array" ref="J28">IF(ISTEXT($A28), (IFERROR((SUMPRODUCT((INDIRECT("A"&amp;$B$46&amp;":A") = $A28) * (INDIRECT(J$46&amp;$B$46&amp;":"&amp;J$46) &lt;&gt; "") * IF(INDIRECT(J$46&amp;$B$46&amp;":"&amp;J$46) = "Bad", -2, IF(INDIRECT(J$46&amp;$B$46&amp;":"&amp;J$46) = "Below par", -1, IF(INDIRECT(J$46&amp;$B$46&amp;":"&amp;J$46) = "Very well", 1, IF(INDIRECT(J$46&amp;$B$46&amp;":"&amp;J$46) = "Excellent", 2, 0))))) / (COUNTIFS(INDIRECT("A"&amp;$B$46&amp;":A"), $A28, INDIRECT(J$46&amp;$B$46&amp;":"&amp;J$46), "&lt;&gt;")) * 25 + 50) / 50, "")),"")</f>
        <v/>
      </c>
      <c r="K28" s="207" t="str">
        <f t="array" ref="K28">IF(ISTEXT($A28), (IFERROR((SUMPRODUCT((INDIRECT("A"&amp;$B$46&amp;":A") = $A28) * (INDIRECT(K$46&amp;$B$46&amp;":"&amp;K$46) &lt;&gt; "") * IF(INDIRECT(K$46&amp;$B$46&amp;":"&amp;K$46) = "Bad", -2, IF(INDIRECT(K$46&amp;$B$46&amp;":"&amp;K$46) = "Below par", -1, IF(INDIRECT(K$46&amp;$B$46&amp;":"&amp;K$46) = "Very well", 1, IF(INDIRECT(K$46&amp;$B$46&amp;":"&amp;K$46) = "Excellent", 2, 0))))) / (COUNTIFS(INDIRECT("A"&amp;$B$46&amp;":A"), $A28, INDIRECT(K$46&amp;$B$46&amp;":"&amp;K$46), "&lt;&gt;")) * 25 + 50) / 50, "")),"")</f>
        <v/>
      </c>
      <c r="L28" s="207">
        <f t="array" ref="L28">IF(ISTEXT($A28), (IFERROR((SUMPRODUCT((INDIRECT("A"&amp;$B$46&amp;":A") = $A28) * (INDIRECT(L$46&amp;$B$46&amp;":"&amp;L$46) &lt;&gt; "") * IF(INDIRECT(L$46&amp;$B$46&amp;":"&amp;L$46) = "Bad", -2, IF(INDIRECT(L$46&amp;$B$46&amp;":"&amp;L$46) = "Below par", -1, IF(INDIRECT(L$46&amp;$B$46&amp;":"&amp;L$46) = "Very well", 1, IF(INDIRECT(L$46&amp;$B$46&amp;":"&amp;L$46) = "Excellent", 2, 0))))) / (COUNTIFS(INDIRECT("A"&amp;$B$46&amp;":A"), $A28, INDIRECT(L$46&amp;$B$46&amp;":"&amp;L$46), "&lt;&gt;")) * 25 + 50) / 50, "")),"")</f>
        <v>1.5</v>
      </c>
      <c r="M28" s="207" t="str">
        <f t="array" ref="M28">IF(ISTEXT($A28), (IFERROR((SUMPRODUCT((INDIRECT("A"&amp;$B$46&amp;":A") = $A28) * (INDIRECT(M$46&amp;$B$46&amp;":"&amp;M$46) &lt;&gt; "") * IF(INDIRECT(M$46&amp;$B$46&amp;":"&amp;M$46) = "Bad", -2, IF(INDIRECT(M$46&amp;$B$46&amp;":"&amp;M$46) = "Below par", -1, IF(INDIRECT(M$46&amp;$B$46&amp;":"&amp;M$46) = "Very well", 1, IF(INDIRECT(M$46&amp;$B$46&amp;":"&amp;M$46) = "Excellent", 2, 0))))) / (COUNTIFS(INDIRECT("A"&amp;$B$46&amp;":A"), $A28, INDIRECT(M$46&amp;$B$46&amp;":"&amp;M$46), "&lt;&gt;")) * 25 + 50) / 50, "")),"")</f>
        <v/>
      </c>
      <c r="N28" s="207" t="str">
        <f t="array" ref="N28">IF(ISTEXT($A28), (IFERROR((SUMPRODUCT((INDIRECT("A"&amp;$B$46&amp;":A") = $A28) * (INDIRECT(N$46&amp;$B$46&amp;":"&amp;N$46) &lt;&gt; "") * IF(INDIRECT(N$46&amp;$B$46&amp;":"&amp;N$46) = "Bad", -2, IF(INDIRECT(N$46&amp;$B$46&amp;":"&amp;N$46) = "Below par", -1, IF(INDIRECT(N$46&amp;$B$46&amp;":"&amp;N$46) = "Very well", 1, IF(INDIRECT(N$46&amp;$B$46&amp;":"&amp;N$46) = "Excellent", 2, 0))))) / (COUNTIFS(INDIRECT("A"&amp;$B$46&amp;":A"), $A28, INDIRECT(N$46&amp;$B$46&amp;":"&amp;N$46), "&lt;&gt;")) * 25 + 50) / 50, "")),"")</f>
        <v/>
      </c>
      <c r="O28" s="207" t="str">
        <f t="array" ref="O28">IF(ISTEXT($A28), (IFERROR((SUMPRODUCT((INDIRECT("A"&amp;$B$46&amp;":A") = $A28) * (INDIRECT(O$46&amp;$B$46&amp;":"&amp;O$46) &lt;&gt; "") * IF(INDIRECT(O$46&amp;$B$46&amp;":"&amp;O$46) = "Bad", -2, IF(INDIRECT(O$46&amp;$B$46&amp;":"&amp;O$46) = "Below par", -1, IF(INDIRECT(O$46&amp;$B$46&amp;":"&amp;O$46) = "Very well", 1, IF(INDIRECT(O$46&amp;$B$46&amp;":"&amp;O$46) = "Excellent", 2, 0))))) / (COUNTIFS(INDIRECT("A"&amp;$B$46&amp;":A"), $A28, INDIRECT(O$46&amp;$B$46&amp;":"&amp;O$46), "&lt;&gt;")) * 25 + 50) / 50, "")),"")</f>
        <v/>
      </c>
      <c r="P28" s="207">
        <f t="array" ref="P28">IF(ISTEXT($A28), (IFERROR((SUMPRODUCT((INDIRECT("A"&amp;$B$46&amp;":A") = $A28) * (INDIRECT(P$46&amp;$B$46&amp;":"&amp;P$46) &lt;&gt; "") * IF(INDIRECT(P$46&amp;$B$46&amp;":"&amp;P$46) = "Bad", -2, IF(INDIRECT(P$46&amp;$B$46&amp;":"&amp;P$46) = "Below par", -1, IF(INDIRECT(P$46&amp;$B$46&amp;":"&amp;P$46) = "Very well", 1, IF(INDIRECT(P$46&amp;$B$46&amp;":"&amp;P$46) = "Excellent", 2, 0))))) / (COUNTIFS(INDIRECT("A"&amp;$B$46&amp;":A"), $A28, INDIRECT(P$46&amp;$B$46&amp;":"&amp;P$46), "&lt;&gt;")) * 25 + 50) / 50, "")),"")</f>
        <v>1.5</v>
      </c>
      <c r="Q28" s="207" t="str">
        <f t="array" ref="Q28">IF(ISTEXT($A28), (IFERROR((SUMPRODUCT((INDIRECT("A"&amp;$B$46&amp;":A") = $A28) * (INDIRECT(Q$46&amp;$B$46&amp;":"&amp;Q$46) &lt;&gt; "") * IF(INDIRECT(Q$46&amp;$B$46&amp;":"&amp;Q$46) = "Bad", -2, IF(INDIRECT(Q$46&amp;$B$46&amp;":"&amp;Q$46) = "Below par", -1, IF(INDIRECT(Q$46&amp;$B$46&amp;":"&amp;Q$46) = "Very well", 1, IF(INDIRECT(Q$46&amp;$B$46&amp;":"&amp;Q$46) = "Excellent", 2, 0))))) / (COUNTIFS(INDIRECT("A"&amp;$B$46&amp;":A"), $A28, INDIRECT(Q$46&amp;$B$46&amp;":"&amp;Q$46), "&lt;&gt;")) * 25 + 50) / 50, "")),"")</f>
        <v/>
      </c>
      <c r="R28" s="207" t="str">
        <f t="array" ref="R28">IF(ISTEXT($A28), (IFERROR((SUMPRODUCT((INDIRECT("A"&amp;$B$46&amp;":A") = $A28) * (INDIRECT(R$46&amp;$B$46&amp;":"&amp;R$46) &lt;&gt; "") * IF(INDIRECT(R$46&amp;$B$46&amp;":"&amp;R$46) = "Bad", -2, IF(INDIRECT(R$46&amp;$B$46&amp;":"&amp;R$46) = "Below par", -1, IF(INDIRECT(R$46&amp;$B$46&amp;":"&amp;R$46) = "Very well", 1, IF(INDIRECT(R$46&amp;$B$46&amp;":"&amp;R$46) = "Excellent", 2, 0))))) / (COUNTIFS(INDIRECT("A"&amp;$B$46&amp;":A"), $A28, INDIRECT(R$46&amp;$B$46&amp;":"&amp;R$46), "&lt;&gt;")) * 25 + 50) / 50, "")),"")</f>
        <v/>
      </c>
      <c r="S28" s="207">
        <f t="array" ref="S28">IF(ISTEXT($A28), (IFERROR((SUMPRODUCT((INDIRECT("A"&amp;$B$46&amp;":A") = $A28) * (INDIRECT(S$46&amp;$B$46&amp;":"&amp;S$46) &lt;&gt; "") * IF(INDIRECT(S$46&amp;$B$46&amp;":"&amp;S$46) = "Bad", -2, IF(INDIRECT(S$46&amp;$B$46&amp;":"&amp;S$46) = "Below par", -1, IF(INDIRECT(S$46&amp;$B$46&amp;":"&amp;S$46) = "Very well", 1, IF(INDIRECT(S$46&amp;$B$46&amp;":"&amp;S$46) = "Excellent", 2, 0))))) / (COUNTIFS(INDIRECT("A"&amp;$B$46&amp;":A"), $A28, INDIRECT(S$46&amp;$B$46&amp;":"&amp;S$46), "&lt;&gt;")) * 25 + 50) / 50, "")),"")</f>
        <v>1.5</v>
      </c>
      <c r="T28" s="207" t="str">
        <f t="array" ref="T28">IF(ISTEXT($A28), (IFERROR((SUMPRODUCT((INDIRECT("A"&amp;$B$46&amp;":A") = $A28) * (INDIRECT(T$46&amp;$B$46&amp;":"&amp;T$46) &lt;&gt; "") * IF(INDIRECT(T$46&amp;$B$46&amp;":"&amp;T$46) = "Bad", -2, IF(INDIRECT(T$46&amp;$B$46&amp;":"&amp;T$46) = "Below par", -1, IF(INDIRECT(T$46&amp;$B$46&amp;":"&amp;T$46) = "Very well", 1, IF(INDIRECT(T$46&amp;$B$46&amp;":"&amp;T$46) = "Excellent", 2, 0))))) / (COUNTIFS(INDIRECT("A"&amp;$B$46&amp;":A"), $A28, INDIRECT(T$46&amp;$B$46&amp;":"&amp;T$46), "&lt;&gt;")) * 25 + 50) / 50, "")),"")</f>
        <v/>
      </c>
      <c r="U28" s="209"/>
      <c r="V28" s="210"/>
    </row>
    <row r="29" ht="18.75" hidden="1" customHeight="1" outlineLevel="1">
      <c r="A29" s="206" t="str">
        <f>Resources!$A7</f>
        <v>Alireza Ebrahimzadeh</v>
      </c>
      <c r="B29" s="207" t="str">
        <f t="shared" si="5"/>
        <v/>
      </c>
      <c r="C29" s="207">
        <f t="shared" si="6"/>
        <v>1.166666667</v>
      </c>
      <c r="D29" s="208">
        <f t="array" ref="D29">IF(ISTEXT($A29),Round(XLOOKUP($A29,Resources!$A$4:$A$23,Resources!$AB$4:$AB$23)*'Roadmap setting'!$B$10,0),"")</f>
        <v>12</v>
      </c>
      <c r="E29" s="208" t="str">
        <f>IFERROR(__xludf.DUMMYFUNCTION("IF(ISTEXT($A29),IFERROR(AVERAGE(FILTER(INDIRECT(""E""&amp;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ARRAYFORMULA(ISNUMBER(SEARCH($A29, INDIRECT(""A"" &amp; IFERRO"&amp;"R(MATCH(MAX(FILTER($C$3:$C160, $B$3:$B160=""Sprint nr:"",$C$3:$C160=MAX(FILTER($C$3:$C160, $B$3:$B160=""Sprint nr:""))-LEFT($A$25,2)+1)), $C$3:$C160, 0) + 2, ""N/A"") &amp; "":A"" &amp; IF(INDIRECT(""B"" &amp; (IFERROR(MATCH(MAX(FILTER($C$3:$C160, $B$3:$B160=""Sprint"&amp;" nr:"")), $C$3:$C160, 0) + 3, """"))),"""",IFERROR(MATCH(MAX(FILTER($C$3:$C160, $B$3:$B160=""Sprint nr:"")), $C$3:$C160, 0) + 1, """")))))))),""""),"""")"),"")</f>
        <v/>
      </c>
      <c r="F29" s="208" t="str">
        <f>IFERROR(__xludf.DUMMYFUNCTION("IF(ISTEXT($A29),IFERROR(AVERAGE(FILTER(INDIRECT(""F""&amp;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ARRAYFORMULA(ISNUMBER(SEARCH($A29, INDIRECT(""A"" &amp; IFERRO"&amp;"R(MATCH(MAX(FILTER($C$3:$C160, $B$3:$B160=""Sprint nr:"",$C$3:$C160=MAX(FILTER($C$3:$C160, $B$3:$B160=""Sprint nr:""))-LEFT($A$25,2)+1)), $C$3:$C160, 0) + 2, ""N/A"") &amp; "":A"" &amp; IF(INDIRECT(""B"" &amp; (IFERROR(MATCH(MAX(FILTER($C$3:$C160, $B$3:$B160=""Sprint"&amp;" nr:"")), $C$3:$C160, 0) + 3, """"))),"""",IFERROR(MATCH(MAX(FILTER($C$3:$C160, $B$3:$B160=""Sprint nr:"")), $C$3:$C160, 0) + 1, """")))))))),""""),"""")"),"")</f>
        <v/>
      </c>
      <c r="G29" s="207">
        <f t="array" ref="G29">IF(ISTEXT($A29), (IFERROR((SUMPRODUCT(($A$47:$A160 = $A29) * (G$47:G160 &lt;&gt; "") * IF(G$47:G160 = "Bad", -2, IF(G$47:G160 = "Below par", -1, IF(G$47:G160 = "Very well", 1, IF(G$47:G160 = "Excellent", 2, 0))))) / (COUNTIFS($A$47:$A160, $A29, G$47:G160, "&lt;&gt;")) * 25 + 50) / 50, "")),"")</f>
        <v>1</v>
      </c>
      <c r="H29" s="207" t="str">
        <f t="array" ref="H29">IF(ISTEXT($A29), (IFERROR((SUMPRODUCT((INDIRECT("A"&amp;$B$46&amp;":A") = $A29) * (INDIRECT(H$46&amp;$B$46&amp;":"&amp;H$46) &lt;&gt; "") * IF(INDIRECT(H$46&amp;$B$46&amp;":"&amp;H$46) = "Bad", -2, IF(INDIRECT(H$46&amp;$B$46&amp;":"&amp;H$46) = "Below par", -1, IF(INDIRECT(H$46&amp;$B$46&amp;":"&amp;H$46) = "Very well", 1, IF(INDIRECT(H$46&amp;$B$46&amp;":"&amp;H$46) = "Excellent", 2, 0))))) / (COUNTIFS(INDIRECT("A"&amp;$B$46&amp;":A"), $A29, INDIRECT(H$46&amp;$B$46&amp;":"&amp;H$46), "&lt;&gt;")) * 25 + 50) / 50, "")),"")</f>
        <v/>
      </c>
      <c r="I29" s="207" t="str">
        <f t="array" ref="I29">IF(ISTEXT($A29), (IFERROR((SUMPRODUCT((INDIRECT("A"&amp;$B$46&amp;":A") = $A29) * (INDIRECT(I$46&amp;$B$46&amp;":"&amp;I$46) &lt;&gt; "") * IF(INDIRECT(I$46&amp;$B$46&amp;":"&amp;I$46) = "Bad", -2, IF(INDIRECT(I$46&amp;$B$46&amp;":"&amp;I$46) = "Below par", -1, IF(INDIRECT(I$46&amp;$B$46&amp;":"&amp;I$46) = "Very well", 1, IF(INDIRECT(I$46&amp;$B$46&amp;":"&amp;I$46) = "Excellent", 2, 0))))) / (COUNTIFS(INDIRECT("A"&amp;$B$46&amp;":A"), $A29, INDIRECT(I$46&amp;$B$46&amp;":"&amp;I$46), "&lt;&gt;")) * 25 + 50) / 50, "")),"")</f>
        <v/>
      </c>
      <c r="J29" s="207">
        <f t="array" ref="J29">IF(ISTEXT($A29), (IFERROR((SUMPRODUCT((INDIRECT("A"&amp;$B$46&amp;":A") = $A29) * (INDIRECT(J$46&amp;$B$46&amp;":"&amp;J$46) &lt;&gt; "") * IF(INDIRECT(J$46&amp;$B$46&amp;":"&amp;J$46) = "Bad", -2, IF(INDIRECT(J$46&amp;$B$46&amp;":"&amp;J$46) = "Below par", -1, IF(INDIRECT(J$46&amp;$B$46&amp;":"&amp;J$46) = "Very well", 1, IF(INDIRECT(J$46&amp;$B$46&amp;":"&amp;J$46) = "Excellent", 2, 0))))) / (COUNTIFS(INDIRECT("A"&amp;$B$46&amp;":A"), $A29, INDIRECT(J$46&amp;$B$46&amp;":"&amp;J$46), "&lt;&gt;")) * 25 + 50) / 50, "")),"")</f>
        <v>2</v>
      </c>
      <c r="K29" s="207" t="str">
        <f t="array" ref="K29">IF(ISTEXT($A29), (IFERROR((SUMPRODUCT((INDIRECT("A"&amp;$B$46&amp;":A") = $A29) * (INDIRECT(K$46&amp;$B$46&amp;":"&amp;K$46) &lt;&gt; "") * IF(INDIRECT(K$46&amp;$B$46&amp;":"&amp;K$46) = "Bad", -2, IF(INDIRECT(K$46&amp;$B$46&amp;":"&amp;K$46) = "Below par", -1, IF(INDIRECT(K$46&amp;$B$46&amp;":"&amp;K$46) = "Very well", 1, IF(INDIRECT(K$46&amp;$B$46&amp;":"&amp;K$46) = "Excellent", 2, 0))))) / (COUNTIFS(INDIRECT("A"&amp;$B$46&amp;":A"), $A29, INDIRECT(K$46&amp;$B$46&amp;":"&amp;K$46), "&lt;&gt;")) * 25 + 50) / 50, "")),"")</f>
        <v/>
      </c>
      <c r="L29" s="207" t="str">
        <f t="array" ref="L29">IF(ISTEXT($A29), (IFERROR((SUMPRODUCT((INDIRECT("A"&amp;$B$46&amp;":A") = $A29) * (INDIRECT(L$46&amp;$B$46&amp;":"&amp;L$46) &lt;&gt; "") * IF(INDIRECT(L$46&amp;$B$46&amp;":"&amp;L$46) = "Bad", -2, IF(INDIRECT(L$46&amp;$B$46&amp;":"&amp;L$46) = "Below par", -1, IF(INDIRECT(L$46&amp;$B$46&amp;":"&amp;L$46) = "Very well", 1, IF(INDIRECT(L$46&amp;$B$46&amp;":"&amp;L$46) = "Excellent", 2, 0))))) / (COUNTIFS(INDIRECT("A"&amp;$B$46&amp;":A"), $A29, INDIRECT(L$46&amp;$B$46&amp;":"&amp;L$46), "&lt;&gt;")) * 25 + 50) / 50, "")),"")</f>
        <v/>
      </c>
      <c r="M29" s="207" t="str">
        <f t="array" ref="M29">IF(ISTEXT($A29), (IFERROR((SUMPRODUCT((INDIRECT("A"&amp;$B$46&amp;":A") = $A29) * (INDIRECT(M$46&amp;$B$46&amp;":"&amp;M$46) &lt;&gt; "") * IF(INDIRECT(M$46&amp;$B$46&amp;":"&amp;M$46) = "Bad", -2, IF(INDIRECT(M$46&amp;$B$46&amp;":"&amp;M$46) = "Below par", -1, IF(INDIRECT(M$46&amp;$B$46&amp;":"&amp;M$46) = "Very well", 1, IF(INDIRECT(M$46&amp;$B$46&amp;":"&amp;M$46) = "Excellent", 2, 0))))) / (COUNTIFS(INDIRECT("A"&amp;$B$46&amp;":A"), $A29, INDIRECT(M$46&amp;$B$46&amp;":"&amp;M$46), "&lt;&gt;")) * 25 + 50) / 50, "")),"")</f>
        <v/>
      </c>
      <c r="N29" s="207" t="str">
        <f t="array" ref="N29">IF(ISTEXT($A29), (IFERROR((SUMPRODUCT((INDIRECT("A"&amp;$B$46&amp;":A") = $A29) * (INDIRECT(N$46&amp;$B$46&amp;":"&amp;N$46) &lt;&gt; "") * IF(INDIRECT(N$46&amp;$B$46&amp;":"&amp;N$46) = "Bad", -2, IF(INDIRECT(N$46&amp;$B$46&amp;":"&amp;N$46) = "Below par", -1, IF(INDIRECT(N$46&amp;$B$46&amp;":"&amp;N$46) = "Very well", 1, IF(INDIRECT(N$46&amp;$B$46&amp;":"&amp;N$46) = "Excellent", 2, 0))))) / (COUNTIFS(INDIRECT("A"&amp;$B$46&amp;":A"), $A29, INDIRECT(N$46&amp;$B$46&amp;":"&amp;N$46), "&lt;&gt;")) * 25 + 50) / 50, "")),"")</f>
        <v/>
      </c>
      <c r="O29" s="207" t="str">
        <f t="array" ref="O29">IF(ISTEXT($A29), (IFERROR((SUMPRODUCT((INDIRECT("A"&amp;$B$46&amp;":A") = $A29) * (INDIRECT(O$46&amp;$B$46&amp;":"&amp;O$46) &lt;&gt; "") * IF(INDIRECT(O$46&amp;$B$46&amp;":"&amp;O$46) = "Bad", -2, IF(INDIRECT(O$46&amp;$B$46&amp;":"&amp;O$46) = "Below par", -1, IF(INDIRECT(O$46&amp;$B$46&amp;":"&amp;O$46) = "Very well", 1, IF(INDIRECT(O$46&amp;$B$46&amp;":"&amp;O$46) = "Excellent", 2, 0))))) / (COUNTIFS(INDIRECT("A"&amp;$B$46&amp;":A"), $A29, INDIRECT(O$46&amp;$B$46&amp;":"&amp;O$46), "&lt;&gt;")) * 25 + 50) / 50, "")),"")</f>
        <v/>
      </c>
      <c r="P29" s="207" t="str">
        <f t="array" ref="P29">IF(ISTEXT($A29), (IFERROR((SUMPRODUCT((INDIRECT("A"&amp;$B$46&amp;":A") = $A29) * (INDIRECT(P$46&amp;$B$46&amp;":"&amp;P$46) &lt;&gt; "") * IF(INDIRECT(P$46&amp;$B$46&amp;":"&amp;P$46) = "Bad", -2, IF(INDIRECT(P$46&amp;$B$46&amp;":"&amp;P$46) = "Below par", -1, IF(INDIRECT(P$46&amp;$B$46&amp;":"&amp;P$46) = "Very well", 1, IF(INDIRECT(P$46&amp;$B$46&amp;":"&amp;P$46) = "Excellent", 2, 0))))) / (COUNTIFS(INDIRECT("A"&amp;$B$46&amp;":A"), $A29, INDIRECT(P$46&amp;$B$46&amp;":"&amp;P$46), "&lt;&gt;")) * 25 + 50) / 50, "")),"")</f>
        <v/>
      </c>
      <c r="Q29" s="207" t="str">
        <f t="array" ref="Q29">IF(ISTEXT($A29), (IFERROR((SUMPRODUCT((INDIRECT("A"&amp;$B$46&amp;":A") = $A29) * (INDIRECT(Q$46&amp;$B$46&amp;":"&amp;Q$46) &lt;&gt; "") * IF(INDIRECT(Q$46&amp;$B$46&amp;":"&amp;Q$46) = "Bad", -2, IF(INDIRECT(Q$46&amp;$B$46&amp;":"&amp;Q$46) = "Below par", -1, IF(INDIRECT(Q$46&amp;$B$46&amp;":"&amp;Q$46) = "Very well", 1, IF(INDIRECT(Q$46&amp;$B$46&amp;":"&amp;Q$46) = "Excellent", 2, 0))))) / (COUNTIFS(INDIRECT("A"&amp;$B$46&amp;":A"), $A29, INDIRECT(Q$46&amp;$B$46&amp;":"&amp;Q$46), "&lt;&gt;")) * 25 + 50) / 50, "")),"")</f>
        <v/>
      </c>
      <c r="R29" s="207" t="str">
        <f t="array" ref="R29">IF(ISTEXT($A29), (IFERROR((SUMPRODUCT((INDIRECT("A"&amp;$B$46&amp;":A") = $A29) * (INDIRECT(R$46&amp;$B$46&amp;":"&amp;R$46) &lt;&gt; "") * IF(INDIRECT(R$46&amp;$B$46&amp;":"&amp;R$46) = "Bad", -2, IF(INDIRECT(R$46&amp;$B$46&amp;":"&amp;R$46) = "Below par", -1, IF(INDIRECT(R$46&amp;$B$46&amp;":"&amp;R$46) = "Very well", 1, IF(INDIRECT(R$46&amp;$B$46&amp;":"&amp;R$46) = "Excellent", 2, 0))))) / (COUNTIFS(INDIRECT("A"&amp;$B$46&amp;":A"), $A29, INDIRECT(R$46&amp;$B$46&amp;":"&amp;R$46), "&lt;&gt;")) * 25 + 50) / 50, "")),"")</f>
        <v/>
      </c>
      <c r="S29" s="207" t="str">
        <f t="array" ref="S29">IF(ISTEXT($A29), (IFERROR((SUMPRODUCT((INDIRECT("A"&amp;$B$46&amp;":A") = $A29) * (INDIRECT(S$46&amp;$B$46&amp;":"&amp;S$46) &lt;&gt; "") * IF(INDIRECT(S$46&amp;$B$46&amp;":"&amp;S$46) = "Bad", -2, IF(INDIRECT(S$46&amp;$B$46&amp;":"&amp;S$46) = "Below par", -1, IF(INDIRECT(S$46&amp;$B$46&amp;":"&amp;S$46) = "Very well", 1, IF(INDIRECT(S$46&amp;$B$46&amp;":"&amp;S$46) = "Excellent", 2, 0))))) / (COUNTIFS(INDIRECT("A"&amp;$B$46&amp;":A"), $A29, INDIRECT(S$46&amp;$B$46&amp;":"&amp;S$46), "&lt;&gt;")) * 25 + 50) / 50, "")),"")</f>
        <v/>
      </c>
      <c r="T29" s="207">
        <f t="array" ref="T29">IF(ISTEXT($A29), (IFERROR((SUMPRODUCT((INDIRECT("A"&amp;$B$46&amp;":A") = $A29) * (INDIRECT(T$46&amp;$B$46&amp;":"&amp;T$46) &lt;&gt; "") * IF(INDIRECT(T$46&amp;$B$46&amp;":"&amp;T$46) = "Bad", -2, IF(INDIRECT(T$46&amp;$B$46&amp;":"&amp;T$46) = "Below par", -1, IF(INDIRECT(T$46&amp;$B$46&amp;":"&amp;T$46) = "Very well", 1, IF(INDIRECT(T$46&amp;$B$46&amp;":"&amp;T$46) = "Excellent", 2, 0))))) / (COUNTIFS(INDIRECT("A"&amp;$B$46&amp;":A"), $A29, INDIRECT(T$46&amp;$B$46&amp;":"&amp;T$46), "&lt;&gt;")) * 25 + 50) / 50, "")),"")</f>
        <v>0.5</v>
      </c>
      <c r="U29" s="209"/>
      <c r="V29" s="210"/>
    </row>
    <row r="30" ht="18.75" hidden="1" customHeight="1" outlineLevel="1">
      <c r="A30" s="206" t="str">
        <f>Resources!$A8</f>
        <v>Maziar Gholami</v>
      </c>
      <c r="B30" s="207" t="str">
        <f t="shared" si="5"/>
        <v/>
      </c>
      <c r="C30" s="207">
        <f t="shared" si="6"/>
        <v>0.75</v>
      </c>
      <c r="D30" s="208">
        <f t="array" ref="D30">IF(ISTEXT($A30),Round(XLOOKUP($A30,Resources!$A$4:$A$23,Resources!$AB$4:$AB$23)*'Roadmap setting'!$B$10,0),"")</f>
        <v>19</v>
      </c>
      <c r="E30" s="208" t="str">
        <f>IFERROR(__xludf.DUMMYFUNCTION("IF(ISTEXT($A30),IFERROR(AVERAGE(FILTER(INDIRECT(""E""&amp;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ARRAYFORMULA(ISNUMBER(SEARCH($A30, INDIRECT(""A"" &amp; IFERRO"&amp;"R(MATCH(MAX(FILTER($C$3:$C160, $B$3:$B160=""Sprint nr:"",$C$3:$C160=MAX(FILTER($C$3:$C160, $B$3:$B160=""Sprint nr:""))-LEFT($A$25,2)+1)), $C$3:$C160, 0) + 2, ""N/A"") &amp; "":A"" &amp; IF(INDIRECT(""B"" &amp; (IFERROR(MATCH(MAX(FILTER($C$3:$C160, $B$3:$B160=""Sprint"&amp;" nr:"")), $C$3:$C160, 0) + 3, """"))),"""",IFERROR(MATCH(MAX(FILTER($C$3:$C160, $B$3:$B160=""Sprint nr:"")), $C$3:$C160, 0) + 1, """")))))))),""""),"""")"),"")</f>
        <v/>
      </c>
      <c r="F30" s="208" t="str">
        <f>IFERROR(__xludf.DUMMYFUNCTION("IF(ISTEXT($A30),IFERROR(AVERAGE(FILTER(INDIRECT(""F""&amp;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ARRAYFORMULA(ISNUMBER(SEARCH($A30, INDIRECT(""A"" &amp; IFERRO"&amp;"R(MATCH(MAX(FILTER($C$3:$C160, $B$3:$B160=""Sprint nr:"",$C$3:$C160=MAX(FILTER($C$3:$C160, $B$3:$B160=""Sprint nr:""))-LEFT($A$25,2)+1)), $C$3:$C160, 0) + 2, ""N/A"") &amp; "":A"" &amp; IF(INDIRECT(""B"" &amp; (IFERROR(MATCH(MAX(FILTER($C$3:$C160, $B$3:$B160=""Sprint"&amp;" nr:"")), $C$3:$C160, 0) + 3, """"))),"""",IFERROR(MATCH(MAX(FILTER($C$3:$C160, $B$3:$B160=""Sprint nr:"")), $C$3:$C160, 0) + 1, """")))))))),""""),"""")"),"")</f>
        <v/>
      </c>
      <c r="G30" s="207">
        <f t="array" ref="G30">IF(ISTEXT($A30), (IFERROR((SUMPRODUCT(($A$47:$A160 = $A30) * (G$47:G160 &lt;&gt; "") * IF(G$47:G160 = "Bad", -2, IF(G$47:G160 = "Below par", -1, IF(G$47:G160 = "Very well", 1, IF(G$47:G160 = "Excellent", 2, 0))))) / (COUNTIFS($A$47:$A160, $A30, G$47:G160, "&lt;&gt;")) * 25 + 50) / 50, "")),"")</f>
        <v>0.75</v>
      </c>
      <c r="H30" s="207" t="str">
        <f t="array" ref="H30">IF(ISTEXT($A30), (IFERROR((SUMPRODUCT((INDIRECT("A"&amp;$B$46&amp;":A") = $A30) * (INDIRECT(H$46&amp;$B$46&amp;":"&amp;H$46) &lt;&gt; "") * IF(INDIRECT(H$46&amp;$B$46&amp;":"&amp;H$46) = "Bad", -2, IF(INDIRECT(H$46&amp;$B$46&amp;":"&amp;H$46) = "Below par", -1, IF(INDIRECT(H$46&amp;$B$46&amp;":"&amp;H$46) = "Very well", 1, IF(INDIRECT(H$46&amp;$B$46&amp;":"&amp;H$46) = "Excellent", 2, 0))))) / (COUNTIFS(INDIRECT("A"&amp;$B$46&amp;":A"), $A30, INDIRECT(H$46&amp;$B$46&amp;":"&amp;H$46), "&lt;&gt;")) * 25 + 50) / 50, "")),"")</f>
        <v/>
      </c>
      <c r="I30" s="207" t="str">
        <f t="array" ref="I30">IF(ISTEXT($A30), (IFERROR((SUMPRODUCT((INDIRECT("A"&amp;$B$46&amp;":A") = $A30) * (INDIRECT(I$46&amp;$B$46&amp;":"&amp;I$46) &lt;&gt; "") * IF(INDIRECT(I$46&amp;$B$46&amp;":"&amp;I$46) = "Bad", -2, IF(INDIRECT(I$46&amp;$B$46&amp;":"&amp;I$46) = "Below par", -1, IF(INDIRECT(I$46&amp;$B$46&amp;":"&amp;I$46) = "Very well", 1, IF(INDIRECT(I$46&amp;$B$46&amp;":"&amp;I$46) = "Excellent", 2, 0))))) / (COUNTIFS(INDIRECT("A"&amp;$B$46&amp;":A"), $A30, INDIRECT(I$46&amp;$B$46&amp;":"&amp;I$46), "&lt;&gt;")) * 25 + 50) / 50, "")),"")</f>
        <v/>
      </c>
      <c r="J30" s="207" t="str">
        <f t="array" ref="J30">IF(ISTEXT($A30), (IFERROR((SUMPRODUCT((INDIRECT("A"&amp;$B$46&amp;":A") = $A30) * (INDIRECT(J$46&amp;$B$46&amp;":"&amp;J$46) &lt;&gt; "") * IF(INDIRECT(J$46&amp;$B$46&amp;":"&amp;J$46) = "Bad", -2, IF(INDIRECT(J$46&amp;$B$46&amp;":"&amp;J$46) = "Below par", -1, IF(INDIRECT(J$46&amp;$B$46&amp;":"&amp;J$46) = "Very well", 1, IF(INDIRECT(J$46&amp;$B$46&amp;":"&amp;J$46) = "Excellent", 2, 0))))) / (COUNTIFS(INDIRECT("A"&amp;$B$46&amp;":A"), $A30, INDIRECT(J$46&amp;$B$46&amp;":"&amp;J$46), "&lt;&gt;")) * 25 + 50) / 50, "")),"")</f>
        <v/>
      </c>
      <c r="K30" s="207" t="str">
        <f t="array" ref="K30">IF(ISTEXT($A30), (IFERROR((SUMPRODUCT((INDIRECT("A"&amp;$B$46&amp;":A") = $A30) * (INDIRECT(K$46&amp;$B$46&amp;":"&amp;K$46) &lt;&gt; "") * IF(INDIRECT(K$46&amp;$B$46&amp;":"&amp;K$46) = "Bad", -2, IF(INDIRECT(K$46&amp;$B$46&amp;":"&amp;K$46) = "Below par", -1, IF(INDIRECT(K$46&amp;$B$46&amp;":"&amp;K$46) = "Very well", 1, IF(INDIRECT(K$46&amp;$B$46&amp;":"&amp;K$46) = "Excellent", 2, 0))))) / (COUNTIFS(INDIRECT("A"&amp;$B$46&amp;":A"), $A30, INDIRECT(K$46&amp;$B$46&amp;":"&amp;K$46), "&lt;&gt;")) * 25 + 50) / 50, "")),"")</f>
        <v/>
      </c>
      <c r="L30" s="207" t="str">
        <f t="array" ref="L30">IF(ISTEXT($A30), (IFERROR((SUMPRODUCT((INDIRECT("A"&amp;$B$46&amp;":A") = $A30) * (INDIRECT(L$46&amp;$B$46&amp;":"&amp;L$46) &lt;&gt; "") * IF(INDIRECT(L$46&amp;$B$46&amp;":"&amp;L$46) = "Bad", -2, IF(INDIRECT(L$46&amp;$B$46&amp;":"&amp;L$46) = "Below par", -1, IF(INDIRECT(L$46&amp;$B$46&amp;":"&amp;L$46) = "Very well", 1, IF(INDIRECT(L$46&amp;$B$46&amp;":"&amp;L$46) = "Excellent", 2, 0))))) / (COUNTIFS(INDIRECT("A"&amp;$B$46&amp;":A"), $A30, INDIRECT(L$46&amp;$B$46&amp;":"&amp;L$46), "&lt;&gt;")) * 25 + 50) / 50, "")),"")</f>
        <v/>
      </c>
      <c r="M30" s="207" t="str">
        <f t="array" ref="M30">IF(ISTEXT($A30), (IFERROR((SUMPRODUCT((INDIRECT("A"&amp;$B$46&amp;":A") = $A30) * (INDIRECT(M$46&amp;$B$46&amp;":"&amp;M$46) &lt;&gt; "") * IF(INDIRECT(M$46&amp;$B$46&amp;":"&amp;M$46) = "Bad", -2, IF(INDIRECT(M$46&amp;$B$46&amp;":"&amp;M$46) = "Below par", -1, IF(INDIRECT(M$46&amp;$B$46&amp;":"&amp;M$46) = "Very well", 1, IF(INDIRECT(M$46&amp;$B$46&amp;":"&amp;M$46) = "Excellent", 2, 0))))) / (COUNTIFS(INDIRECT("A"&amp;$B$46&amp;":A"), $A30, INDIRECT(M$46&amp;$B$46&amp;":"&amp;M$46), "&lt;&gt;")) * 25 + 50) / 50, "")),"")</f>
        <v/>
      </c>
      <c r="N30" s="207" t="str">
        <f t="array" ref="N30">IF(ISTEXT($A30), (IFERROR((SUMPRODUCT((INDIRECT("A"&amp;$B$46&amp;":A") = $A30) * (INDIRECT(N$46&amp;$B$46&amp;":"&amp;N$46) &lt;&gt; "") * IF(INDIRECT(N$46&amp;$B$46&amp;":"&amp;N$46) = "Bad", -2, IF(INDIRECT(N$46&amp;$B$46&amp;":"&amp;N$46) = "Below par", -1, IF(INDIRECT(N$46&amp;$B$46&amp;":"&amp;N$46) = "Very well", 1, IF(INDIRECT(N$46&amp;$B$46&amp;":"&amp;N$46) = "Excellent", 2, 0))))) / (COUNTIFS(INDIRECT("A"&amp;$B$46&amp;":A"), $A30, INDIRECT(N$46&amp;$B$46&amp;":"&amp;N$46), "&lt;&gt;")) * 25 + 50) / 50, "")),"")</f>
        <v/>
      </c>
      <c r="O30" s="207" t="str">
        <f t="array" ref="O30">IF(ISTEXT($A30), (IFERROR((SUMPRODUCT((INDIRECT("A"&amp;$B$46&amp;":A") = $A30) * (INDIRECT(O$46&amp;$B$46&amp;":"&amp;O$46) &lt;&gt; "") * IF(INDIRECT(O$46&amp;$B$46&amp;":"&amp;O$46) = "Bad", -2, IF(INDIRECT(O$46&amp;$B$46&amp;":"&amp;O$46) = "Below par", -1, IF(INDIRECT(O$46&amp;$B$46&amp;":"&amp;O$46) = "Very well", 1, IF(INDIRECT(O$46&amp;$B$46&amp;":"&amp;O$46) = "Excellent", 2, 0))))) / (COUNTIFS(INDIRECT("A"&amp;$B$46&amp;":A"), $A30, INDIRECT(O$46&amp;$B$46&amp;":"&amp;O$46), "&lt;&gt;")) * 25 + 50) / 50, "")),"")</f>
        <v/>
      </c>
      <c r="P30" s="207" t="str">
        <f t="array" ref="P30">IF(ISTEXT($A30), (IFERROR((SUMPRODUCT((INDIRECT("A"&amp;$B$46&amp;":A") = $A30) * (INDIRECT(P$46&amp;$B$46&amp;":"&amp;P$46) &lt;&gt; "") * IF(INDIRECT(P$46&amp;$B$46&amp;":"&amp;P$46) = "Bad", -2, IF(INDIRECT(P$46&amp;$B$46&amp;":"&amp;P$46) = "Below par", -1, IF(INDIRECT(P$46&amp;$B$46&amp;":"&amp;P$46) = "Very well", 1, IF(INDIRECT(P$46&amp;$B$46&amp;":"&amp;P$46) = "Excellent", 2, 0))))) / (COUNTIFS(INDIRECT("A"&amp;$B$46&amp;":A"), $A30, INDIRECT(P$46&amp;$B$46&amp;":"&amp;P$46), "&lt;&gt;")) * 25 + 50) / 50, "")),"")</f>
        <v/>
      </c>
      <c r="Q30" s="207" t="str">
        <f t="array" ref="Q30">IF(ISTEXT($A30), (IFERROR((SUMPRODUCT((INDIRECT("A"&amp;$B$46&amp;":A") = $A30) * (INDIRECT(Q$46&amp;$B$46&amp;":"&amp;Q$46) &lt;&gt; "") * IF(INDIRECT(Q$46&amp;$B$46&amp;":"&amp;Q$46) = "Bad", -2, IF(INDIRECT(Q$46&amp;$B$46&amp;":"&amp;Q$46) = "Below par", -1, IF(INDIRECT(Q$46&amp;$B$46&amp;":"&amp;Q$46) = "Very well", 1, IF(INDIRECT(Q$46&amp;$B$46&amp;":"&amp;Q$46) = "Excellent", 2, 0))))) / (COUNTIFS(INDIRECT("A"&amp;$B$46&amp;":A"), $A30, INDIRECT(Q$46&amp;$B$46&amp;":"&amp;Q$46), "&lt;&gt;")) * 25 + 50) / 50, "")),"")</f>
        <v/>
      </c>
      <c r="R30" s="207" t="str">
        <f t="array" ref="R30">IF(ISTEXT($A30), (IFERROR((SUMPRODUCT((INDIRECT("A"&amp;$B$46&amp;":A") = $A30) * (INDIRECT(R$46&amp;$B$46&amp;":"&amp;R$46) &lt;&gt; "") * IF(INDIRECT(R$46&amp;$B$46&amp;":"&amp;R$46) = "Bad", -2, IF(INDIRECT(R$46&amp;$B$46&amp;":"&amp;R$46) = "Below par", -1, IF(INDIRECT(R$46&amp;$B$46&amp;":"&amp;R$46) = "Very well", 1, IF(INDIRECT(R$46&amp;$B$46&amp;":"&amp;R$46) = "Excellent", 2, 0))))) / (COUNTIFS(INDIRECT("A"&amp;$B$46&amp;":A"), $A30, INDIRECT(R$46&amp;$B$46&amp;":"&amp;R$46), "&lt;&gt;")) * 25 + 50) / 50, "")),"")</f>
        <v/>
      </c>
      <c r="S30" s="207" t="str">
        <f t="array" ref="S30">IF(ISTEXT($A30), (IFERROR((SUMPRODUCT((INDIRECT("A"&amp;$B$46&amp;":A") = $A30) * (INDIRECT(S$46&amp;$B$46&amp;":"&amp;S$46) &lt;&gt; "") * IF(INDIRECT(S$46&amp;$B$46&amp;":"&amp;S$46) = "Bad", -2, IF(INDIRECT(S$46&amp;$B$46&amp;":"&amp;S$46) = "Below par", -1, IF(INDIRECT(S$46&amp;$B$46&amp;":"&amp;S$46) = "Very well", 1, IF(INDIRECT(S$46&amp;$B$46&amp;":"&amp;S$46) = "Excellent", 2, 0))))) / (COUNTIFS(INDIRECT("A"&amp;$B$46&amp;":A"), $A30, INDIRECT(S$46&amp;$B$46&amp;":"&amp;S$46), "&lt;&gt;")) * 25 + 50) / 50, "")),"")</f>
        <v/>
      </c>
      <c r="T30" s="207" t="str">
        <f t="array" ref="T30">IF(ISTEXT($A30), (IFERROR((SUMPRODUCT((INDIRECT("A"&amp;$B$46&amp;":A") = $A30) * (INDIRECT(T$46&amp;$B$46&amp;":"&amp;T$46) &lt;&gt; "") * IF(INDIRECT(T$46&amp;$B$46&amp;":"&amp;T$46) = "Bad", -2, IF(INDIRECT(T$46&amp;$B$46&amp;":"&amp;T$46) = "Below par", -1, IF(INDIRECT(T$46&amp;$B$46&amp;":"&amp;T$46) = "Very well", 1, IF(INDIRECT(T$46&amp;$B$46&amp;":"&amp;T$46) = "Excellent", 2, 0))))) / (COUNTIFS(INDIRECT("A"&amp;$B$46&amp;":A"), $A30, INDIRECT(T$46&amp;$B$46&amp;":"&amp;T$46), "&lt;&gt;")) * 25 + 50) / 50, "")),"")</f>
        <v/>
      </c>
      <c r="U30" s="209"/>
      <c r="V30" s="210"/>
    </row>
    <row r="31" ht="18.75" hidden="1" customHeight="1" outlineLevel="1">
      <c r="A31" s="206" t="str">
        <f>Resources!$A9</f>
        <v>Farzaneh Sadeghi</v>
      </c>
      <c r="B31" s="207" t="str">
        <f t="shared" si="5"/>
        <v/>
      </c>
      <c r="C31" s="207">
        <f t="shared" si="6"/>
        <v>1</v>
      </c>
      <c r="D31" s="208">
        <f t="array" ref="D31">IF(ISTEXT($A31),Round(XLOOKUP($A31,Resources!$A$4:$A$23,Resources!$AB$4:$AB$23)*'Roadmap setting'!$B$10,0),"")</f>
        <v>12</v>
      </c>
      <c r="E31" s="208" t="str">
        <f>IFERROR(__xludf.DUMMYFUNCTION("IF(ISTEXT($A31),IFERROR(AVERAGE(FILTER(INDIRECT(""E""&amp;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ARRAYFORMULA(ISNUMBER(SEARCH($A31, INDIRECT(""A"" &amp; IFERRO"&amp;"R(MATCH(MAX(FILTER($C$3:$C160, $B$3:$B160=""Sprint nr:"",$C$3:$C160=MAX(FILTER($C$3:$C160, $B$3:$B160=""Sprint nr:""))-LEFT($A$25,2)+1)), $C$3:$C160, 0) + 2, ""N/A"") &amp; "":A"" &amp; IF(INDIRECT(""B"" &amp; (IFERROR(MATCH(MAX(FILTER($C$3:$C160, $B$3:$B160=""Sprint"&amp;" nr:"")), $C$3:$C160, 0) + 3, """"))),"""",IFERROR(MATCH(MAX(FILTER($C$3:$C160, $B$3:$B160=""Sprint nr:"")), $C$3:$C160, 0) + 1, """")))))))),""""),"""")"),"")</f>
        <v/>
      </c>
      <c r="F31" s="208" t="str">
        <f>IFERROR(__xludf.DUMMYFUNCTION("IF(ISTEXT($A31),IFERROR(AVERAGE(FILTER(INDIRECT(""F""&amp;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ARRAYFORMULA(ISNUMBER(SEARCH($A31, INDIRECT(""A"" &amp; IFERRO"&amp;"R(MATCH(MAX(FILTER($C$3:$C160, $B$3:$B160=""Sprint nr:"",$C$3:$C160=MAX(FILTER($C$3:$C160, $B$3:$B160=""Sprint nr:""))-LEFT($A$25,2)+1)), $C$3:$C160, 0) + 2, ""N/A"") &amp; "":A"" &amp; IF(INDIRECT(""B"" &amp; (IFERROR(MATCH(MAX(FILTER($C$3:$C160, $B$3:$B160=""Sprint"&amp;" nr:"")), $C$3:$C160, 0) + 3, """"))),"""",IFERROR(MATCH(MAX(FILTER($C$3:$C160, $B$3:$B160=""Sprint nr:"")), $C$3:$C160, 0) + 1, """")))))))),""""),"""")"),"")</f>
        <v/>
      </c>
      <c r="G31" s="207">
        <f t="array" ref="G31">IF(ISTEXT($A31), (IFERROR((SUMPRODUCT(($A$47:$A160 = $A31) * (G$47:G160 &lt;&gt; "") * IF(G$47:G160 = "Bad", -2, IF(G$47:G160 = "Below par", -1, IF(G$47:G160 = "Very well", 1, IF(G$47:G160 = "Excellent", 2, 0))))) / (COUNTIFS($A$47:$A160, $A31, G$47:G160, "&lt;&gt;")) * 25 + 50) / 50, "")),"")</f>
        <v>1</v>
      </c>
      <c r="H31" s="207" t="str">
        <f t="array" ref="H31">IF(ISTEXT($A31), (IFERROR((SUMPRODUCT((INDIRECT("A"&amp;$B$46&amp;":A") = $A31) * (INDIRECT(H$46&amp;$B$46&amp;":"&amp;H$46) &lt;&gt; "") * IF(INDIRECT(H$46&amp;$B$46&amp;":"&amp;H$46) = "Bad", -2, IF(INDIRECT(H$46&amp;$B$46&amp;":"&amp;H$46) = "Below par", -1, IF(INDIRECT(H$46&amp;$B$46&amp;":"&amp;H$46) = "Very well", 1, IF(INDIRECT(H$46&amp;$B$46&amp;":"&amp;H$46) = "Excellent", 2, 0))))) / (COUNTIFS(INDIRECT("A"&amp;$B$46&amp;":A"), $A31, INDIRECT(H$46&amp;$B$46&amp;":"&amp;H$46), "&lt;&gt;")) * 25 + 50) / 50, "")),"")</f>
        <v/>
      </c>
      <c r="I31" s="207" t="str">
        <f t="array" ref="I31">IF(ISTEXT($A31), (IFERROR((SUMPRODUCT((INDIRECT("A"&amp;$B$46&amp;":A") = $A31) * (INDIRECT(I$46&amp;$B$46&amp;":"&amp;I$46) &lt;&gt; "") * IF(INDIRECT(I$46&amp;$B$46&amp;":"&amp;I$46) = "Bad", -2, IF(INDIRECT(I$46&amp;$B$46&amp;":"&amp;I$46) = "Below par", -1, IF(INDIRECT(I$46&amp;$B$46&amp;":"&amp;I$46) = "Very well", 1, IF(INDIRECT(I$46&amp;$B$46&amp;":"&amp;I$46) = "Excellent", 2, 0))))) / (COUNTIFS(INDIRECT("A"&amp;$B$46&amp;":A"), $A31, INDIRECT(I$46&amp;$B$46&amp;":"&amp;I$46), "&lt;&gt;")) * 25 + 50) / 50, "")),"")</f>
        <v/>
      </c>
      <c r="J31" s="207" t="str">
        <f t="array" ref="J31">IF(ISTEXT($A31), (IFERROR((SUMPRODUCT((INDIRECT("A"&amp;$B$46&amp;":A") = $A31) * (INDIRECT(J$46&amp;$B$46&amp;":"&amp;J$46) &lt;&gt; "") * IF(INDIRECT(J$46&amp;$B$46&amp;":"&amp;J$46) = "Bad", -2, IF(INDIRECT(J$46&amp;$B$46&amp;":"&amp;J$46) = "Below par", -1, IF(INDIRECT(J$46&amp;$B$46&amp;":"&amp;J$46) = "Very well", 1, IF(INDIRECT(J$46&amp;$B$46&amp;":"&amp;J$46) = "Excellent", 2, 0))))) / (COUNTIFS(INDIRECT("A"&amp;$B$46&amp;":A"), $A31, INDIRECT(J$46&amp;$B$46&amp;":"&amp;J$46), "&lt;&gt;")) * 25 + 50) / 50, "")),"")</f>
        <v/>
      </c>
      <c r="K31" s="207" t="str">
        <f t="array" ref="K31">IF(ISTEXT($A31), (IFERROR((SUMPRODUCT((INDIRECT("A"&amp;$B$46&amp;":A") = $A31) * (INDIRECT(K$46&amp;$B$46&amp;":"&amp;K$46) &lt;&gt; "") * IF(INDIRECT(K$46&amp;$B$46&amp;":"&amp;K$46) = "Bad", -2, IF(INDIRECT(K$46&amp;$B$46&amp;":"&amp;K$46) = "Below par", -1, IF(INDIRECT(K$46&amp;$B$46&amp;":"&amp;K$46) = "Very well", 1, IF(INDIRECT(K$46&amp;$B$46&amp;":"&amp;K$46) = "Excellent", 2, 0))))) / (COUNTIFS(INDIRECT("A"&amp;$B$46&amp;":A"), $A31, INDIRECT(K$46&amp;$B$46&amp;":"&amp;K$46), "&lt;&gt;")) * 25 + 50) / 50, "")),"")</f>
        <v/>
      </c>
      <c r="L31" s="207" t="str">
        <f t="array" ref="L31">IF(ISTEXT($A31), (IFERROR((SUMPRODUCT((INDIRECT("A"&amp;$B$46&amp;":A") = $A31) * (INDIRECT(L$46&amp;$B$46&amp;":"&amp;L$46) &lt;&gt; "") * IF(INDIRECT(L$46&amp;$B$46&amp;":"&amp;L$46) = "Bad", -2, IF(INDIRECT(L$46&amp;$B$46&amp;":"&amp;L$46) = "Below par", -1, IF(INDIRECT(L$46&amp;$B$46&amp;":"&amp;L$46) = "Very well", 1, IF(INDIRECT(L$46&amp;$B$46&amp;":"&amp;L$46) = "Excellent", 2, 0))))) / (COUNTIFS(INDIRECT("A"&amp;$B$46&amp;":A"), $A31, INDIRECT(L$46&amp;$B$46&amp;":"&amp;L$46), "&lt;&gt;")) * 25 + 50) / 50, "")),"")</f>
        <v/>
      </c>
      <c r="M31" s="207" t="str">
        <f t="array" ref="M31">IF(ISTEXT($A31), (IFERROR((SUMPRODUCT((INDIRECT("A"&amp;$B$46&amp;":A") = $A31) * (INDIRECT(M$46&amp;$B$46&amp;":"&amp;M$46) &lt;&gt; "") * IF(INDIRECT(M$46&amp;$B$46&amp;":"&amp;M$46) = "Bad", -2, IF(INDIRECT(M$46&amp;$B$46&amp;":"&amp;M$46) = "Below par", -1, IF(INDIRECT(M$46&amp;$B$46&amp;":"&amp;M$46) = "Very well", 1, IF(INDIRECT(M$46&amp;$B$46&amp;":"&amp;M$46) = "Excellent", 2, 0))))) / (COUNTIFS(INDIRECT("A"&amp;$B$46&amp;":A"), $A31, INDIRECT(M$46&amp;$B$46&amp;":"&amp;M$46), "&lt;&gt;")) * 25 + 50) / 50, "")),"")</f>
        <v/>
      </c>
      <c r="N31" s="207" t="str">
        <f t="array" ref="N31">IF(ISTEXT($A31), (IFERROR((SUMPRODUCT((INDIRECT("A"&amp;$B$46&amp;":A") = $A31) * (INDIRECT(N$46&amp;$B$46&amp;":"&amp;N$46) &lt;&gt; "") * IF(INDIRECT(N$46&amp;$B$46&amp;":"&amp;N$46) = "Bad", -2, IF(INDIRECT(N$46&amp;$B$46&amp;":"&amp;N$46) = "Below par", -1, IF(INDIRECT(N$46&amp;$B$46&amp;":"&amp;N$46) = "Very well", 1, IF(INDIRECT(N$46&amp;$B$46&amp;":"&amp;N$46) = "Excellent", 2, 0))))) / (COUNTIFS(INDIRECT("A"&amp;$B$46&amp;":A"), $A31, INDIRECT(N$46&amp;$B$46&amp;":"&amp;N$46), "&lt;&gt;")) * 25 + 50) / 50, "")),"")</f>
        <v/>
      </c>
      <c r="O31" s="207" t="str">
        <f t="array" ref="O31">IF(ISTEXT($A31), (IFERROR((SUMPRODUCT((INDIRECT("A"&amp;$B$46&amp;":A") = $A31) * (INDIRECT(O$46&amp;$B$46&amp;":"&amp;O$46) &lt;&gt; "") * IF(INDIRECT(O$46&amp;$B$46&amp;":"&amp;O$46) = "Bad", -2, IF(INDIRECT(O$46&amp;$B$46&amp;":"&amp;O$46) = "Below par", -1, IF(INDIRECT(O$46&amp;$B$46&amp;":"&amp;O$46) = "Very well", 1, IF(INDIRECT(O$46&amp;$B$46&amp;":"&amp;O$46) = "Excellent", 2, 0))))) / (COUNTIFS(INDIRECT("A"&amp;$B$46&amp;":A"), $A31, INDIRECT(O$46&amp;$B$46&amp;":"&amp;O$46), "&lt;&gt;")) * 25 + 50) / 50, "")),"")</f>
        <v/>
      </c>
      <c r="P31" s="207" t="str">
        <f t="array" ref="P31">IF(ISTEXT($A31), (IFERROR((SUMPRODUCT((INDIRECT("A"&amp;$B$46&amp;":A") = $A31) * (INDIRECT(P$46&amp;$B$46&amp;":"&amp;P$46) &lt;&gt; "") * IF(INDIRECT(P$46&amp;$B$46&amp;":"&amp;P$46) = "Bad", -2, IF(INDIRECT(P$46&amp;$B$46&amp;":"&amp;P$46) = "Below par", -1, IF(INDIRECT(P$46&amp;$B$46&amp;":"&amp;P$46) = "Very well", 1, IF(INDIRECT(P$46&amp;$B$46&amp;":"&amp;P$46) = "Excellent", 2, 0))))) / (COUNTIFS(INDIRECT("A"&amp;$B$46&amp;":A"), $A31, INDIRECT(P$46&amp;$B$46&amp;":"&amp;P$46), "&lt;&gt;")) * 25 + 50) / 50, "")),"")</f>
        <v/>
      </c>
      <c r="Q31" s="207" t="str">
        <f t="array" ref="Q31">IF(ISTEXT($A31), (IFERROR((SUMPRODUCT((INDIRECT("A"&amp;$B$46&amp;":A") = $A31) * (INDIRECT(Q$46&amp;$B$46&amp;":"&amp;Q$46) &lt;&gt; "") * IF(INDIRECT(Q$46&amp;$B$46&amp;":"&amp;Q$46) = "Bad", -2, IF(INDIRECT(Q$46&amp;$B$46&amp;":"&amp;Q$46) = "Below par", -1, IF(INDIRECT(Q$46&amp;$B$46&amp;":"&amp;Q$46) = "Very well", 1, IF(INDIRECT(Q$46&amp;$B$46&amp;":"&amp;Q$46) = "Excellent", 2, 0))))) / (COUNTIFS(INDIRECT("A"&amp;$B$46&amp;":A"), $A31, INDIRECT(Q$46&amp;$B$46&amp;":"&amp;Q$46), "&lt;&gt;")) * 25 + 50) / 50, "")),"")</f>
        <v/>
      </c>
      <c r="R31" s="207" t="str">
        <f t="array" ref="R31">IF(ISTEXT($A31), (IFERROR((SUMPRODUCT((INDIRECT("A"&amp;$B$46&amp;":A") = $A31) * (INDIRECT(R$46&amp;$B$46&amp;":"&amp;R$46) &lt;&gt; "") * IF(INDIRECT(R$46&amp;$B$46&amp;":"&amp;R$46) = "Bad", -2, IF(INDIRECT(R$46&amp;$B$46&amp;":"&amp;R$46) = "Below par", -1, IF(INDIRECT(R$46&amp;$B$46&amp;":"&amp;R$46) = "Very well", 1, IF(INDIRECT(R$46&amp;$B$46&amp;":"&amp;R$46) = "Excellent", 2, 0))))) / (COUNTIFS(INDIRECT("A"&amp;$B$46&amp;":A"), $A31, INDIRECT(R$46&amp;$B$46&amp;":"&amp;R$46), "&lt;&gt;")) * 25 + 50) / 50, "")),"")</f>
        <v/>
      </c>
      <c r="S31" s="207" t="str">
        <f t="array" ref="S31">IF(ISTEXT($A31), (IFERROR((SUMPRODUCT((INDIRECT("A"&amp;$B$46&amp;":A") = $A31) * (INDIRECT(S$46&amp;$B$46&amp;":"&amp;S$46) &lt;&gt; "") * IF(INDIRECT(S$46&amp;$B$46&amp;":"&amp;S$46) = "Bad", -2, IF(INDIRECT(S$46&amp;$B$46&amp;":"&amp;S$46) = "Below par", -1, IF(INDIRECT(S$46&amp;$B$46&amp;":"&amp;S$46) = "Very well", 1, IF(INDIRECT(S$46&amp;$B$46&amp;":"&amp;S$46) = "Excellent", 2, 0))))) / (COUNTIFS(INDIRECT("A"&amp;$B$46&amp;":A"), $A31, INDIRECT(S$46&amp;$B$46&amp;":"&amp;S$46), "&lt;&gt;")) * 25 + 50) / 50, "")),"")</f>
        <v/>
      </c>
      <c r="T31" s="207" t="str">
        <f t="array" ref="T31">IF(ISTEXT($A31), (IFERROR((SUMPRODUCT((INDIRECT("A"&amp;$B$46&amp;":A") = $A31) * (INDIRECT(T$46&amp;$B$46&amp;":"&amp;T$46) &lt;&gt; "") * IF(INDIRECT(T$46&amp;$B$46&amp;":"&amp;T$46) = "Bad", -2, IF(INDIRECT(T$46&amp;$B$46&amp;":"&amp;T$46) = "Below par", -1, IF(INDIRECT(T$46&amp;$B$46&amp;":"&amp;T$46) = "Very well", 1, IF(INDIRECT(T$46&amp;$B$46&amp;":"&amp;T$46) = "Excellent", 2, 0))))) / (COUNTIFS(INDIRECT("A"&amp;$B$46&amp;":A"), $A31, INDIRECT(T$46&amp;$B$46&amp;":"&amp;T$46), "&lt;&gt;")) * 25 + 50) / 50, "")),"")</f>
        <v/>
      </c>
      <c r="U31" s="209"/>
      <c r="V31" s="210"/>
    </row>
    <row r="32" ht="18.75" hidden="1" customHeight="1" outlineLevel="1">
      <c r="A32" s="206" t="str">
        <f>Resources!$A10</f>
        <v>Vahid Sarhaddi</v>
      </c>
      <c r="B32" s="207" t="str">
        <f t="shared" si="5"/>
        <v/>
      </c>
      <c r="C32" s="207">
        <f t="shared" si="6"/>
        <v>1</v>
      </c>
      <c r="D32" s="208">
        <f t="array" ref="D32">IF(ISTEXT($A32),Round(XLOOKUP($A32,Resources!$A$4:$A$23,Resources!$AB$4:$AB$23)*'Roadmap setting'!$B$10,0),"")</f>
        <v>12</v>
      </c>
      <c r="E32" s="208" t="str">
        <f>IFERROR(__xludf.DUMMYFUNCTION("IF(ISTEXT($A32),IFERROR(AVERAGE(FILTER(INDIRECT(""E""&amp;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ARRAYFORMULA(ISNUMBER(SEARCH($A32, INDIRECT(""A"" &amp; IFERRO"&amp;"R(MATCH(MAX(FILTER($C$3:$C160, $B$3:$B160=""Sprint nr:"",$C$3:$C160=MAX(FILTER($C$3:$C160, $B$3:$B160=""Sprint nr:""))-LEFT($A$25,2)+1)), $C$3:$C160, 0) + 2, ""N/A"") &amp; "":A"" &amp; IF(INDIRECT(""B"" &amp; (IFERROR(MATCH(MAX(FILTER($C$3:$C160, $B$3:$B160=""Sprint"&amp;" nr:"")), $C$3:$C160, 0) + 3, """"))),"""",IFERROR(MATCH(MAX(FILTER($C$3:$C160, $B$3:$B160=""Sprint nr:"")), $C$3:$C160, 0) + 1, """")))))))),""""),"""")"),"")</f>
        <v/>
      </c>
      <c r="F32" s="208" t="str">
        <f>IFERROR(__xludf.DUMMYFUNCTION("IF(ISTEXT($A32),IFERROR(AVERAGE(FILTER(INDIRECT(""F""&amp;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ARRAYFORMULA(ISNUMBER(SEARCH($A32, INDIRECT(""A"" &amp; IFERRO"&amp;"R(MATCH(MAX(FILTER($C$3:$C160, $B$3:$B160=""Sprint nr:"",$C$3:$C160=MAX(FILTER($C$3:$C160, $B$3:$B160=""Sprint nr:""))-LEFT($A$25,2)+1)), $C$3:$C160, 0) + 2, ""N/A"") &amp; "":A"" &amp; IF(INDIRECT(""B"" &amp; (IFERROR(MATCH(MAX(FILTER($C$3:$C160, $B$3:$B160=""Sprint"&amp;" nr:"")), $C$3:$C160, 0) + 3, """"))),"""",IFERROR(MATCH(MAX(FILTER($C$3:$C160, $B$3:$B160=""Sprint nr:"")), $C$3:$C160, 0) + 1, """")))))))),""""),"""")"),"")</f>
        <v/>
      </c>
      <c r="G32" s="207">
        <f t="array" ref="G32">IF(ISTEXT($A32), (IFERROR((SUMPRODUCT(($A$47:$A160 = $A32) * (G$47:G160 &lt;&gt; "") * IF(G$47:G160 = "Bad", -2, IF(G$47:G160 = "Below par", -1, IF(G$47:G160 = "Very well", 1, IF(G$47:G160 = "Excellent", 2, 0))))) / (COUNTIFS($A$47:$A160, $A32, G$47:G160, "&lt;&gt;")) * 25 + 50) / 50, "")),"")</f>
        <v>1</v>
      </c>
      <c r="H32" s="207" t="str">
        <f t="array" ref="H32">IF(ISTEXT($A32), (IFERROR((SUMPRODUCT((INDIRECT("A"&amp;$B$46&amp;":A") = $A32) * (INDIRECT(H$46&amp;$B$46&amp;":"&amp;H$46) &lt;&gt; "") * IF(INDIRECT(H$46&amp;$B$46&amp;":"&amp;H$46) = "Bad", -2, IF(INDIRECT(H$46&amp;$B$46&amp;":"&amp;H$46) = "Below par", -1, IF(INDIRECT(H$46&amp;$B$46&amp;":"&amp;H$46) = "Very well", 1, IF(INDIRECT(H$46&amp;$B$46&amp;":"&amp;H$46) = "Excellent", 2, 0))))) / (COUNTIFS(INDIRECT("A"&amp;$B$46&amp;":A"), $A32, INDIRECT(H$46&amp;$B$46&amp;":"&amp;H$46), "&lt;&gt;")) * 25 + 50) / 50, "")),"")</f>
        <v/>
      </c>
      <c r="I32" s="207" t="str">
        <f t="array" ref="I32">IF(ISTEXT($A32), (IFERROR((SUMPRODUCT((INDIRECT("A"&amp;$B$46&amp;":A") = $A32) * (INDIRECT(I$46&amp;$B$46&amp;":"&amp;I$46) &lt;&gt; "") * IF(INDIRECT(I$46&amp;$B$46&amp;":"&amp;I$46) = "Bad", -2, IF(INDIRECT(I$46&amp;$B$46&amp;":"&amp;I$46) = "Below par", -1, IF(INDIRECT(I$46&amp;$B$46&amp;":"&amp;I$46) = "Very well", 1, IF(INDIRECT(I$46&amp;$B$46&amp;":"&amp;I$46) = "Excellent", 2, 0))))) / (COUNTIFS(INDIRECT("A"&amp;$B$46&amp;":A"), $A32, INDIRECT(I$46&amp;$B$46&amp;":"&amp;I$46), "&lt;&gt;")) * 25 + 50) / 50, "")),"")</f>
        <v/>
      </c>
      <c r="J32" s="207" t="str">
        <f t="array" ref="J32">IF(ISTEXT($A32), (IFERROR((SUMPRODUCT((INDIRECT("A"&amp;$B$46&amp;":A") = $A32) * (INDIRECT(J$46&amp;$B$46&amp;":"&amp;J$46) &lt;&gt; "") * IF(INDIRECT(J$46&amp;$B$46&amp;":"&amp;J$46) = "Bad", -2, IF(INDIRECT(J$46&amp;$B$46&amp;":"&amp;J$46) = "Below par", -1, IF(INDIRECT(J$46&amp;$B$46&amp;":"&amp;J$46) = "Very well", 1, IF(INDIRECT(J$46&amp;$B$46&amp;":"&amp;J$46) = "Excellent", 2, 0))))) / (COUNTIFS(INDIRECT("A"&amp;$B$46&amp;":A"), $A32, INDIRECT(J$46&amp;$B$46&amp;":"&amp;J$46), "&lt;&gt;")) * 25 + 50) / 50, "")),"")</f>
        <v/>
      </c>
      <c r="K32" s="207" t="str">
        <f t="array" ref="K32">IF(ISTEXT($A32), (IFERROR((SUMPRODUCT((INDIRECT("A"&amp;$B$46&amp;":A") = $A32) * (INDIRECT(K$46&amp;$B$46&amp;":"&amp;K$46) &lt;&gt; "") * IF(INDIRECT(K$46&amp;$B$46&amp;":"&amp;K$46) = "Bad", -2, IF(INDIRECT(K$46&amp;$B$46&amp;":"&amp;K$46) = "Below par", -1, IF(INDIRECT(K$46&amp;$B$46&amp;":"&amp;K$46) = "Very well", 1, IF(INDIRECT(K$46&amp;$B$46&amp;":"&amp;K$46) = "Excellent", 2, 0))))) / (COUNTIFS(INDIRECT("A"&amp;$B$46&amp;":A"), $A32, INDIRECT(K$46&amp;$B$46&amp;":"&amp;K$46), "&lt;&gt;")) * 25 + 50) / 50, "")),"")</f>
        <v/>
      </c>
      <c r="L32" s="207" t="str">
        <f t="array" ref="L32">IF(ISTEXT($A32), (IFERROR((SUMPRODUCT((INDIRECT("A"&amp;$B$46&amp;":A") = $A32) * (INDIRECT(L$46&amp;$B$46&amp;":"&amp;L$46) &lt;&gt; "") * IF(INDIRECT(L$46&amp;$B$46&amp;":"&amp;L$46) = "Bad", -2, IF(INDIRECT(L$46&amp;$B$46&amp;":"&amp;L$46) = "Below par", -1, IF(INDIRECT(L$46&amp;$B$46&amp;":"&amp;L$46) = "Very well", 1, IF(INDIRECT(L$46&amp;$B$46&amp;":"&amp;L$46) = "Excellent", 2, 0))))) / (COUNTIFS(INDIRECT("A"&amp;$B$46&amp;":A"), $A32, INDIRECT(L$46&amp;$B$46&amp;":"&amp;L$46), "&lt;&gt;")) * 25 + 50) / 50, "")),"")</f>
        <v/>
      </c>
      <c r="M32" s="207" t="str">
        <f t="array" ref="M32">IF(ISTEXT($A32), (IFERROR((SUMPRODUCT((INDIRECT("A"&amp;$B$46&amp;":A") = $A32) * (INDIRECT(M$46&amp;$B$46&amp;":"&amp;M$46) &lt;&gt; "") * IF(INDIRECT(M$46&amp;$B$46&amp;":"&amp;M$46) = "Bad", -2, IF(INDIRECT(M$46&amp;$B$46&amp;":"&amp;M$46) = "Below par", -1, IF(INDIRECT(M$46&amp;$B$46&amp;":"&amp;M$46) = "Very well", 1, IF(INDIRECT(M$46&amp;$B$46&amp;":"&amp;M$46) = "Excellent", 2, 0))))) / (COUNTIFS(INDIRECT("A"&amp;$B$46&amp;":A"), $A32, INDIRECT(M$46&amp;$B$46&amp;":"&amp;M$46), "&lt;&gt;")) * 25 + 50) / 50, "")),"")</f>
        <v/>
      </c>
      <c r="N32" s="207" t="str">
        <f t="array" ref="N32">IF(ISTEXT($A32), (IFERROR((SUMPRODUCT((INDIRECT("A"&amp;$B$46&amp;":A") = $A32) * (INDIRECT(N$46&amp;$B$46&amp;":"&amp;N$46) &lt;&gt; "") * IF(INDIRECT(N$46&amp;$B$46&amp;":"&amp;N$46) = "Bad", -2, IF(INDIRECT(N$46&amp;$B$46&amp;":"&amp;N$46) = "Below par", -1, IF(INDIRECT(N$46&amp;$B$46&amp;":"&amp;N$46) = "Very well", 1, IF(INDIRECT(N$46&amp;$B$46&amp;":"&amp;N$46) = "Excellent", 2, 0))))) / (COUNTIFS(INDIRECT("A"&amp;$B$46&amp;":A"), $A32, INDIRECT(N$46&amp;$B$46&amp;":"&amp;N$46), "&lt;&gt;")) * 25 + 50) / 50, "")),"")</f>
        <v/>
      </c>
      <c r="O32" s="207" t="str">
        <f t="array" ref="O32">IF(ISTEXT($A32), (IFERROR((SUMPRODUCT((INDIRECT("A"&amp;$B$46&amp;":A") = $A32) * (INDIRECT(O$46&amp;$B$46&amp;":"&amp;O$46) &lt;&gt; "") * IF(INDIRECT(O$46&amp;$B$46&amp;":"&amp;O$46) = "Bad", -2, IF(INDIRECT(O$46&amp;$B$46&amp;":"&amp;O$46) = "Below par", -1, IF(INDIRECT(O$46&amp;$B$46&amp;":"&amp;O$46) = "Very well", 1, IF(INDIRECT(O$46&amp;$B$46&amp;":"&amp;O$46) = "Excellent", 2, 0))))) / (COUNTIFS(INDIRECT("A"&amp;$B$46&amp;":A"), $A32, INDIRECT(O$46&amp;$B$46&amp;":"&amp;O$46), "&lt;&gt;")) * 25 + 50) / 50, "")),"")</f>
        <v/>
      </c>
      <c r="P32" s="207" t="str">
        <f t="array" ref="P32">IF(ISTEXT($A32), (IFERROR((SUMPRODUCT((INDIRECT("A"&amp;$B$46&amp;":A") = $A32) * (INDIRECT(P$46&amp;$B$46&amp;":"&amp;P$46) &lt;&gt; "") * IF(INDIRECT(P$46&amp;$B$46&amp;":"&amp;P$46) = "Bad", -2, IF(INDIRECT(P$46&amp;$B$46&amp;":"&amp;P$46) = "Below par", -1, IF(INDIRECT(P$46&amp;$B$46&amp;":"&amp;P$46) = "Very well", 1, IF(INDIRECT(P$46&amp;$B$46&amp;":"&amp;P$46) = "Excellent", 2, 0))))) / (COUNTIFS(INDIRECT("A"&amp;$B$46&amp;":A"), $A32, INDIRECT(P$46&amp;$B$46&amp;":"&amp;P$46), "&lt;&gt;")) * 25 + 50) / 50, "")),"")</f>
        <v/>
      </c>
      <c r="Q32" s="207" t="str">
        <f t="array" ref="Q32">IF(ISTEXT($A32), (IFERROR((SUMPRODUCT((INDIRECT("A"&amp;$B$46&amp;":A") = $A32) * (INDIRECT(Q$46&amp;$B$46&amp;":"&amp;Q$46) &lt;&gt; "") * IF(INDIRECT(Q$46&amp;$B$46&amp;":"&amp;Q$46) = "Bad", -2, IF(INDIRECT(Q$46&amp;$B$46&amp;":"&amp;Q$46) = "Below par", -1, IF(INDIRECT(Q$46&amp;$B$46&amp;":"&amp;Q$46) = "Very well", 1, IF(INDIRECT(Q$46&amp;$B$46&amp;":"&amp;Q$46) = "Excellent", 2, 0))))) / (COUNTIFS(INDIRECT("A"&amp;$B$46&amp;":A"), $A32, INDIRECT(Q$46&amp;$B$46&amp;":"&amp;Q$46), "&lt;&gt;")) * 25 + 50) / 50, "")),"")</f>
        <v/>
      </c>
      <c r="R32" s="207" t="str">
        <f t="array" ref="R32">IF(ISTEXT($A32), (IFERROR((SUMPRODUCT((INDIRECT("A"&amp;$B$46&amp;":A") = $A32) * (INDIRECT(R$46&amp;$B$46&amp;":"&amp;R$46) &lt;&gt; "") * IF(INDIRECT(R$46&amp;$B$46&amp;":"&amp;R$46) = "Bad", -2, IF(INDIRECT(R$46&amp;$B$46&amp;":"&amp;R$46) = "Below par", -1, IF(INDIRECT(R$46&amp;$B$46&amp;":"&amp;R$46) = "Very well", 1, IF(INDIRECT(R$46&amp;$B$46&amp;":"&amp;R$46) = "Excellent", 2, 0))))) / (COUNTIFS(INDIRECT("A"&amp;$B$46&amp;":A"), $A32, INDIRECT(R$46&amp;$B$46&amp;":"&amp;R$46), "&lt;&gt;")) * 25 + 50) / 50, "")),"")</f>
        <v/>
      </c>
      <c r="S32" s="207" t="str">
        <f t="array" ref="S32">IF(ISTEXT($A32), (IFERROR((SUMPRODUCT((INDIRECT("A"&amp;$B$46&amp;":A") = $A32) * (INDIRECT(S$46&amp;$B$46&amp;":"&amp;S$46) &lt;&gt; "") * IF(INDIRECT(S$46&amp;$B$46&amp;":"&amp;S$46) = "Bad", -2, IF(INDIRECT(S$46&amp;$B$46&amp;":"&amp;S$46) = "Below par", -1, IF(INDIRECT(S$46&amp;$B$46&amp;":"&amp;S$46) = "Very well", 1, IF(INDIRECT(S$46&amp;$B$46&amp;":"&amp;S$46) = "Excellent", 2, 0))))) / (COUNTIFS(INDIRECT("A"&amp;$B$46&amp;":A"), $A32, INDIRECT(S$46&amp;$B$46&amp;":"&amp;S$46), "&lt;&gt;")) * 25 + 50) / 50, "")),"")</f>
        <v/>
      </c>
      <c r="T32" s="207" t="str">
        <f t="array" ref="T32">IF(ISTEXT($A32), (IFERROR((SUMPRODUCT((INDIRECT("A"&amp;$B$46&amp;":A") = $A32) * (INDIRECT(T$46&amp;$B$46&amp;":"&amp;T$46) &lt;&gt; "") * IF(INDIRECT(T$46&amp;$B$46&amp;":"&amp;T$46) = "Bad", -2, IF(INDIRECT(T$46&amp;$B$46&amp;":"&amp;T$46) = "Below par", -1, IF(INDIRECT(T$46&amp;$B$46&amp;":"&amp;T$46) = "Very well", 1, IF(INDIRECT(T$46&amp;$B$46&amp;":"&amp;T$46) = "Excellent", 2, 0))))) / (COUNTIFS(INDIRECT("A"&amp;$B$46&amp;":A"), $A32, INDIRECT(T$46&amp;$B$46&amp;":"&amp;T$46), "&lt;&gt;")) * 25 + 50) / 50, "")),"")</f>
        <v/>
      </c>
      <c r="U32" s="209"/>
      <c r="V32" s="210"/>
    </row>
    <row r="33" ht="18.75" hidden="1" customHeight="1" outlineLevel="1">
      <c r="A33" s="206" t="str">
        <f>Resources!$A11</f>
        <v>Nayyer Jafari</v>
      </c>
      <c r="B33" s="207" t="str">
        <f t="shared" si="5"/>
        <v/>
      </c>
      <c r="C33" s="207" t="str">
        <f t="shared" si="6"/>
        <v/>
      </c>
      <c r="D33" s="208">
        <f t="array" ref="D33">IF(ISTEXT($A33),Round(XLOOKUP($A33,Resources!$A$4:$A$23,Resources!$AB$4:$AB$23)*'Roadmap setting'!$B$10,0),"")</f>
        <v>0</v>
      </c>
      <c r="E33" s="208" t="str">
        <f>IFERROR(__xludf.DUMMYFUNCTION("IF(ISTEXT($A33),IFERROR(AVERAGE(FILTER(INDIRECT(""E""&amp;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ARRAYFORMULA(ISNUMBER(SEARCH($A33, INDIRECT(""A"" &amp; IFERRO"&amp;"R(MATCH(MAX(FILTER($C$3:$C160, $B$3:$B160=""Sprint nr:"",$C$3:$C160=MAX(FILTER($C$3:$C160, $B$3:$B160=""Sprint nr:""))-LEFT($A$25,2)+1)), $C$3:$C160, 0) + 2, ""N/A"") &amp; "":A"" &amp; IF(INDIRECT(""B"" &amp; (IFERROR(MATCH(MAX(FILTER($C$3:$C160, $B$3:$B160=""Sprint"&amp;" nr:"")), $C$3:$C160, 0) + 3, """"))),"""",IFERROR(MATCH(MAX(FILTER($C$3:$C160, $B$3:$B160=""Sprint nr:"")), $C$3:$C160, 0) + 1, """")))))))),""""),"""")"),"")</f>
        <v/>
      </c>
      <c r="F33" s="208" t="str">
        <f>IFERROR(__xludf.DUMMYFUNCTION("IF(ISTEXT($A33),IFERROR(AVERAGE(FILTER(INDIRECT(""F""&amp;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ARRAYFORMULA(ISNUMBER(SEARCH($A33, INDIRECT(""A"" &amp; IFERRO"&amp;"R(MATCH(MAX(FILTER($C$3:$C160, $B$3:$B160=""Sprint nr:"",$C$3:$C160=MAX(FILTER($C$3:$C160, $B$3:$B160=""Sprint nr:""))-LEFT($A$25,2)+1)), $C$3:$C160, 0) + 2, ""N/A"") &amp; "":A"" &amp; IF(INDIRECT(""B"" &amp; (IFERROR(MATCH(MAX(FILTER($C$3:$C160, $B$3:$B160=""Sprint"&amp;" nr:"")), $C$3:$C160, 0) + 3, """"))),"""",IFERROR(MATCH(MAX(FILTER($C$3:$C160, $B$3:$B160=""Sprint nr:"")), $C$3:$C160, 0) + 1, """")))))))),""""),"""")"),"")</f>
        <v/>
      </c>
      <c r="G33" s="207" t="str">
        <f t="array" ref="G33">IF(ISTEXT($A33), (IFERROR((SUMPRODUCT(($A$47:$A160 = $A33) * (G$47:G160 &lt;&gt; "") * IF(G$47:G160 = "Bad", -2, IF(G$47:G160 = "Below par", -1, IF(G$47:G160 = "Very well", 1, IF(G$47:G160 = "Excellent", 2, 0))))) / (COUNTIFS($A$47:$A160, $A33, G$47:G160, "&lt;&gt;")) * 25 + 50) / 50, "")),"")</f>
        <v/>
      </c>
      <c r="H33" s="207" t="str">
        <f t="array" ref="H33">IF(ISTEXT($A33), (IFERROR((SUMPRODUCT((INDIRECT("A"&amp;$B$46&amp;":A") = $A33) * (INDIRECT(H$46&amp;$B$46&amp;":"&amp;H$46) &lt;&gt; "") * IF(INDIRECT(H$46&amp;$B$46&amp;":"&amp;H$46) = "Bad", -2, IF(INDIRECT(H$46&amp;$B$46&amp;":"&amp;H$46) = "Below par", -1, IF(INDIRECT(H$46&amp;$B$46&amp;":"&amp;H$46) = "Very well", 1, IF(INDIRECT(H$46&amp;$B$46&amp;":"&amp;H$46) = "Excellent", 2, 0))))) / (COUNTIFS(INDIRECT("A"&amp;$B$46&amp;":A"), $A33, INDIRECT(H$46&amp;$B$46&amp;":"&amp;H$46), "&lt;&gt;")) * 25 + 50) / 50, "")),"")</f>
        <v/>
      </c>
      <c r="I33" s="207" t="str">
        <f t="array" ref="I33">IF(ISTEXT($A33), (IFERROR((SUMPRODUCT((INDIRECT("A"&amp;$B$46&amp;":A") = $A33) * (INDIRECT(I$46&amp;$B$46&amp;":"&amp;I$46) &lt;&gt; "") * IF(INDIRECT(I$46&amp;$B$46&amp;":"&amp;I$46) = "Bad", -2, IF(INDIRECT(I$46&amp;$B$46&amp;":"&amp;I$46) = "Below par", -1, IF(INDIRECT(I$46&amp;$B$46&amp;":"&amp;I$46) = "Very well", 1, IF(INDIRECT(I$46&amp;$B$46&amp;":"&amp;I$46) = "Excellent", 2, 0))))) / (COUNTIFS(INDIRECT("A"&amp;$B$46&amp;":A"), $A33, INDIRECT(I$46&amp;$B$46&amp;":"&amp;I$46), "&lt;&gt;")) * 25 + 50) / 50, "")),"")</f>
        <v/>
      </c>
      <c r="J33" s="207" t="str">
        <f t="array" ref="J33">IF(ISTEXT($A33), (IFERROR((SUMPRODUCT((INDIRECT("A"&amp;$B$46&amp;":A") = $A33) * (INDIRECT(J$46&amp;$B$46&amp;":"&amp;J$46) &lt;&gt; "") * IF(INDIRECT(J$46&amp;$B$46&amp;":"&amp;J$46) = "Bad", -2, IF(INDIRECT(J$46&amp;$B$46&amp;":"&amp;J$46) = "Below par", -1, IF(INDIRECT(J$46&amp;$B$46&amp;":"&amp;J$46) = "Very well", 1, IF(INDIRECT(J$46&amp;$B$46&amp;":"&amp;J$46) = "Excellent", 2, 0))))) / (COUNTIFS(INDIRECT("A"&amp;$B$46&amp;":A"), $A33, INDIRECT(J$46&amp;$B$46&amp;":"&amp;J$46), "&lt;&gt;")) * 25 + 50) / 50, "")),"")</f>
        <v/>
      </c>
      <c r="K33" s="207" t="str">
        <f t="array" ref="K33">IF(ISTEXT($A33), (IFERROR((SUMPRODUCT((INDIRECT("A"&amp;$B$46&amp;":A") = $A33) * (INDIRECT(K$46&amp;$B$46&amp;":"&amp;K$46) &lt;&gt; "") * IF(INDIRECT(K$46&amp;$B$46&amp;":"&amp;K$46) = "Bad", -2, IF(INDIRECT(K$46&amp;$B$46&amp;":"&amp;K$46) = "Below par", -1, IF(INDIRECT(K$46&amp;$B$46&amp;":"&amp;K$46) = "Very well", 1, IF(INDIRECT(K$46&amp;$B$46&amp;":"&amp;K$46) = "Excellent", 2, 0))))) / (COUNTIFS(INDIRECT("A"&amp;$B$46&amp;":A"), $A33, INDIRECT(K$46&amp;$B$46&amp;":"&amp;K$46), "&lt;&gt;")) * 25 + 50) / 50, "")),"")</f>
        <v/>
      </c>
      <c r="L33" s="207" t="str">
        <f t="array" ref="L33">IF(ISTEXT($A33), (IFERROR((SUMPRODUCT((INDIRECT("A"&amp;$B$46&amp;":A") = $A33) * (INDIRECT(L$46&amp;$B$46&amp;":"&amp;L$46) &lt;&gt; "") * IF(INDIRECT(L$46&amp;$B$46&amp;":"&amp;L$46) = "Bad", -2, IF(INDIRECT(L$46&amp;$B$46&amp;":"&amp;L$46) = "Below par", -1, IF(INDIRECT(L$46&amp;$B$46&amp;":"&amp;L$46) = "Very well", 1, IF(INDIRECT(L$46&amp;$B$46&amp;":"&amp;L$46) = "Excellent", 2, 0))))) / (COUNTIFS(INDIRECT("A"&amp;$B$46&amp;":A"), $A33, INDIRECT(L$46&amp;$B$46&amp;":"&amp;L$46), "&lt;&gt;")) * 25 + 50) / 50, "")),"")</f>
        <v/>
      </c>
      <c r="M33" s="207" t="str">
        <f t="array" ref="M33">IF(ISTEXT($A33), (IFERROR((SUMPRODUCT((INDIRECT("A"&amp;$B$46&amp;":A") = $A33) * (INDIRECT(M$46&amp;$B$46&amp;":"&amp;M$46) &lt;&gt; "") * IF(INDIRECT(M$46&amp;$B$46&amp;":"&amp;M$46) = "Bad", -2, IF(INDIRECT(M$46&amp;$B$46&amp;":"&amp;M$46) = "Below par", -1, IF(INDIRECT(M$46&amp;$B$46&amp;":"&amp;M$46) = "Very well", 1, IF(INDIRECT(M$46&amp;$B$46&amp;":"&amp;M$46) = "Excellent", 2, 0))))) / (COUNTIFS(INDIRECT("A"&amp;$B$46&amp;":A"), $A33, INDIRECT(M$46&amp;$B$46&amp;":"&amp;M$46), "&lt;&gt;")) * 25 + 50) / 50, "")),"")</f>
        <v/>
      </c>
      <c r="N33" s="207" t="str">
        <f t="array" ref="N33">IF(ISTEXT($A33), (IFERROR((SUMPRODUCT((INDIRECT("A"&amp;$B$46&amp;":A") = $A33) * (INDIRECT(N$46&amp;$B$46&amp;":"&amp;N$46) &lt;&gt; "") * IF(INDIRECT(N$46&amp;$B$46&amp;":"&amp;N$46) = "Bad", -2, IF(INDIRECT(N$46&amp;$B$46&amp;":"&amp;N$46) = "Below par", -1, IF(INDIRECT(N$46&amp;$B$46&amp;":"&amp;N$46) = "Very well", 1, IF(INDIRECT(N$46&amp;$B$46&amp;":"&amp;N$46) = "Excellent", 2, 0))))) / (COUNTIFS(INDIRECT("A"&amp;$B$46&amp;":A"), $A33, INDIRECT(N$46&amp;$B$46&amp;":"&amp;N$46), "&lt;&gt;")) * 25 + 50) / 50, "")),"")</f>
        <v/>
      </c>
      <c r="O33" s="207" t="str">
        <f t="array" ref="O33">IF(ISTEXT($A33), (IFERROR((SUMPRODUCT((INDIRECT("A"&amp;$B$46&amp;":A") = $A33) * (INDIRECT(O$46&amp;$B$46&amp;":"&amp;O$46) &lt;&gt; "") * IF(INDIRECT(O$46&amp;$B$46&amp;":"&amp;O$46) = "Bad", -2, IF(INDIRECT(O$46&amp;$B$46&amp;":"&amp;O$46) = "Below par", -1, IF(INDIRECT(O$46&amp;$B$46&amp;":"&amp;O$46) = "Very well", 1, IF(INDIRECT(O$46&amp;$B$46&amp;":"&amp;O$46) = "Excellent", 2, 0))))) / (COUNTIFS(INDIRECT("A"&amp;$B$46&amp;":A"), $A33, INDIRECT(O$46&amp;$B$46&amp;":"&amp;O$46), "&lt;&gt;")) * 25 + 50) / 50, "")),"")</f>
        <v/>
      </c>
      <c r="P33" s="207" t="str">
        <f t="array" ref="P33">IF(ISTEXT($A33), (IFERROR((SUMPRODUCT((INDIRECT("A"&amp;$B$46&amp;":A") = $A33) * (INDIRECT(P$46&amp;$B$46&amp;":"&amp;P$46) &lt;&gt; "") * IF(INDIRECT(P$46&amp;$B$46&amp;":"&amp;P$46) = "Bad", -2, IF(INDIRECT(P$46&amp;$B$46&amp;":"&amp;P$46) = "Below par", -1, IF(INDIRECT(P$46&amp;$B$46&amp;":"&amp;P$46) = "Very well", 1, IF(INDIRECT(P$46&amp;$B$46&amp;":"&amp;P$46) = "Excellent", 2, 0))))) / (COUNTIFS(INDIRECT("A"&amp;$B$46&amp;":A"), $A33, INDIRECT(P$46&amp;$B$46&amp;":"&amp;P$46), "&lt;&gt;")) * 25 + 50) / 50, "")),"")</f>
        <v/>
      </c>
      <c r="Q33" s="207" t="str">
        <f t="array" ref="Q33">IF(ISTEXT($A33), (IFERROR((SUMPRODUCT((INDIRECT("A"&amp;$B$46&amp;":A") = $A33) * (INDIRECT(Q$46&amp;$B$46&amp;":"&amp;Q$46) &lt;&gt; "") * IF(INDIRECT(Q$46&amp;$B$46&amp;":"&amp;Q$46) = "Bad", -2, IF(INDIRECT(Q$46&amp;$B$46&amp;":"&amp;Q$46) = "Below par", -1, IF(INDIRECT(Q$46&amp;$B$46&amp;":"&amp;Q$46) = "Very well", 1, IF(INDIRECT(Q$46&amp;$B$46&amp;":"&amp;Q$46) = "Excellent", 2, 0))))) / (COUNTIFS(INDIRECT("A"&amp;$B$46&amp;":A"), $A33, INDIRECT(Q$46&amp;$B$46&amp;":"&amp;Q$46), "&lt;&gt;")) * 25 + 50) / 50, "")),"")</f>
        <v/>
      </c>
      <c r="R33" s="207" t="str">
        <f t="array" ref="R33">IF(ISTEXT($A33), (IFERROR((SUMPRODUCT((INDIRECT("A"&amp;$B$46&amp;":A") = $A33) * (INDIRECT(R$46&amp;$B$46&amp;":"&amp;R$46) &lt;&gt; "") * IF(INDIRECT(R$46&amp;$B$46&amp;":"&amp;R$46) = "Bad", -2, IF(INDIRECT(R$46&amp;$B$46&amp;":"&amp;R$46) = "Below par", -1, IF(INDIRECT(R$46&amp;$B$46&amp;":"&amp;R$46) = "Very well", 1, IF(INDIRECT(R$46&amp;$B$46&amp;":"&amp;R$46) = "Excellent", 2, 0))))) / (COUNTIFS(INDIRECT("A"&amp;$B$46&amp;":A"), $A33, INDIRECT(R$46&amp;$B$46&amp;":"&amp;R$46), "&lt;&gt;")) * 25 + 50) / 50, "")),"")</f>
        <v/>
      </c>
      <c r="S33" s="207" t="str">
        <f t="array" ref="S33">IF(ISTEXT($A33), (IFERROR((SUMPRODUCT((INDIRECT("A"&amp;$B$46&amp;":A") = $A33) * (INDIRECT(S$46&amp;$B$46&amp;":"&amp;S$46) &lt;&gt; "") * IF(INDIRECT(S$46&amp;$B$46&amp;":"&amp;S$46) = "Bad", -2, IF(INDIRECT(S$46&amp;$B$46&amp;":"&amp;S$46) = "Below par", -1, IF(INDIRECT(S$46&amp;$B$46&amp;":"&amp;S$46) = "Very well", 1, IF(INDIRECT(S$46&amp;$B$46&amp;":"&amp;S$46) = "Excellent", 2, 0))))) / (COUNTIFS(INDIRECT("A"&amp;$B$46&amp;":A"), $A33, INDIRECT(S$46&amp;$B$46&amp;":"&amp;S$46), "&lt;&gt;")) * 25 + 50) / 50, "")),"")</f>
        <v/>
      </c>
      <c r="T33" s="207" t="str">
        <f t="array" ref="T33">IF(ISTEXT($A33), (IFERROR((SUMPRODUCT((INDIRECT("A"&amp;$B$46&amp;":A") = $A33) * (INDIRECT(T$46&amp;$B$46&amp;":"&amp;T$46) &lt;&gt; "") * IF(INDIRECT(T$46&amp;$B$46&amp;":"&amp;T$46) = "Bad", -2, IF(INDIRECT(T$46&amp;$B$46&amp;":"&amp;T$46) = "Below par", -1, IF(INDIRECT(T$46&amp;$B$46&amp;":"&amp;T$46) = "Very well", 1, IF(INDIRECT(T$46&amp;$B$46&amp;":"&amp;T$46) = "Excellent", 2, 0))))) / (COUNTIFS(INDIRECT("A"&amp;$B$46&amp;":A"), $A33, INDIRECT(T$46&amp;$B$46&amp;":"&amp;T$46), "&lt;&gt;")) * 25 + 50) / 50, "")),"")</f>
        <v/>
      </c>
      <c r="U33" s="209"/>
      <c r="V33" s="210"/>
    </row>
    <row r="34" ht="18.75" hidden="1" customHeight="1" outlineLevel="1">
      <c r="A34" s="206" t="str">
        <f>Resources!$A12</f>
        <v>Parya Ardalani</v>
      </c>
      <c r="B34" s="207" t="str">
        <f t="shared" si="5"/>
        <v/>
      </c>
      <c r="C34" s="207" t="str">
        <f t="shared" si="6"/>
        <v/>
      </c>
      <c r="D34" s="208">
        <f t="array" ref="D34">IF(ISTEXT($A34),Round(XLOOKUP($A34,Resources!$A$4:$A$23,Resources!$AB$4:$AB$23)*'Roadmap setting'!$B$10,0),"")</f>
        <v>47</v>
      </c>
      <c r="E34" s="208" t="str">
        <f>IFERROR(__xludf.DUMMYFUNCTION("IF(ISTEXT($A34),IFERROR(AVERAGE(FILTER(INDIRECT(""E""&amp;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ARRAYFORMULA(ISNUMBER(SEARCH($A34, INDIRECT(""A"" &amp; IFERRO"&amp;"R(MATCH(MAX(FILTER($C$3:$C160, $B$3:$B160=""Sprint nr:"",$C$3:$C160=MAX(FILTER($C$3:$C160, $B$3:$B160=""Sprint nr:""))-LEFT($A$25,2)+1)), $C$3:$C160, 0) + 2, ""N/A"") &amp; "":A"" &amp; IF(INDIRECT(""B"" &amp; (IFERROR(MATCH(MAX(FILTER($C$3:$C160, $B$3:$B160=""Sprint"&amp;" nr:"")), $C$3:$C160, 0) + 3, """"))),"""",IFERROR(MATCH(MAX(FILTER($C$3:$C160, $B$3:$B160=""Sprint nr:"")), $C$3:$C160, 0) + 1, """")))))))),""""),"""")"),"")</f>
        <v/>
      </c>
      <c r="F34" s="208" t="str">
        <f>IFERROR(__xludf.DUMMYFUNCTION("IF(ISTEXT($A34),IFERROR(AVERAGE(FILTER(INDIRECT(""F""&amp;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ARRAYFORMULA(ISNUMBER(SEARCH($A34, INDIRECT(""A"" &amp; IFERRO"&amp;"R(MATCH(MAX(FILTER($C$3:$C160, $B$3:$B160=""Sprint nr:"",$C$3:$C160=MAX(FILTER($C$3:$C160, $B$3:$B160=""Sprint nr:""))-LEFT($A$25,2)+1)), $C$3:$C160, 0) + 2, ""N/A"") &amp; "":A"" &amp; IF(INDIRECT(""B"" &amp; (IFERROR(MATCH(MAX(FILTER($C$3:$C160, $B$3:$B160=""Sprint"&amp;" nr:"")), $C$3:$C160, 0) + 3, """"))),"""",IFERROR(MATCH(MAX(FILTER($C$3:$C160, $B$3:$B160=""Sprint nr:"")), $C$3:$C160, 0) + 1, """")))))))),""""),"""")"),"")</f>
        <v/>
      </c>
      <c r="G34" s="207" t="str">
        <f t="array" ref="G34">IF(ISTEXT($A34), (IFERROR((SUMPRODUCT(($A$47:$A160 = $A34) * (G$47:G160 &lt;&gt; "") * IF(G$47:G160 = "Bad", -2, IF(G$47:G160 = "Below par", -1, IF(G$47:G160 = "Very well", 1, IF(G$47:G160 = "Excellent", 2, 0))))) / (COUNTIFS($A$47:$A160, $A34, G$47:G160, "&lt;&gt;")) * 25 + 50) / 50, "")),"")</f>
        <v/>
      </c>
      <c r="H34" s="207" t="str">
        <f t="array" ref="H34">IF(ISTEXT($A34), (IFERROR((SUMPRODUCT((INDIRECT("A"&amp;$B$46&amp;":A") = $A34) * (INDIRECT(H$46&amp;$B$46&amp;":"&amp;H$46) &lt;&gt; "") * IF(INDIRECT(H$46&amp;$B$46&amp;":"&amp;H$46) = "Bad", -2, IF(INDIRECT(H$46&amp;$B$46&amp;":"&amp;H$46) = "Below par", -1, IF(INDIRECT(H$46&amp;$B$46&amp;":"&amp;H$46) = "Very well", 1, IF(INDIRECT(H$46&amp;$B$46&amp;":"&amp;H$46) = "Excellent", 2, 0))))) / (COUNTIFS(INDIRECT("A"&amp;$B$46&amp;":A"), $A34, INDIRECT(H$46&amp;$B$46&amp;":"&amp;H$46), "&lt;&gt;")) * 25 + 50) / 50, "")),"")</f>
        <v/>
      </c>
      <c r="I34" s="207" t="str">
        <f t="array" ref="I34">IF(ISTEXT($A34), (IFERROR((SUMPRODUCT((INDIRECT("A"&amp;$B$46&amp;":A") = $A34) * (INDIRECT(I$46&amp;$B$46&amp;":"&amp;I$46) &lt;&gt; "") * IF(INDIRECT(I$46&amp;$B$46&amp;":"&amp;I$46) = "Bad", -2, IF(INDIRECT(I$46&amp;$B$46&amp;":"&amp;I$46) = "Below par", -1, IF(INDIRECT(I$46&amp;$B$46&amp;":"&amp;I$46) = "Very well", 1, IF(INDIRECT(I$46&amp;$B$46&amp;":"&amp;I$46) = "Excellent", 2, 0))))) / (COUNTIFS(INDIRECT("A"&amp;$B$46&amp;":A"), $A34, INDIRECT(I$46&amp;$B$46&amp;":"&amp;I$46), "&lt;&gt;")) * 25 + 50) / 50, "")),"")</f>
        <v/>
      </c>
      <c r="J34" s="207" t="str">
        <f t="array" ref="J34">IF(ISTEXT($A34), (IFERROR((SUMPRODUCT((INDIRECT("A"&amp;$B$46&amp;":A") = $A34) * (INDIRECT(J$46&amp;$B$46&amp;":"&amp;J$46) &lt;&gt; "") * IF(INDIRECT(J$46&amp;$B$46&amp;":"&amp;J$46) = "Bad", -2, IF(INDIRECT(J$46&amp;$B$46&amp;":"&amp;J$46) = "Below par", -1, IF(INDIRECT(J$46&amp;$B$46&amp;":"&amp;J$46) = "Very well", 1, IF(INDIRECT(J$46&amp;$B$46&amp;":"&amp;J$46) = "Excellent", 2, 0))))) / (COUNTIFS(INDIRECT("A"&amp;$B$46&amp;":A"), $A34, INDIRECT(J$46&amp;$B$46&amp;":"&amp;J$46), "&lt;&gt;")) * 25 + 50) / 50, "")),"")</f>
        <v/>
      </c>
      <c r="K34" s="207" t="str">
        <f t="array" ref="K34">IF(ISTEXT($A34), (IFERROR((SUMPRODUCT((INDIRECT("A"&amp;$B$46&amp;":A") = $A34) * (INDIRECT(K$46&amp;$B$46&amp;":"&amp;K$46) &lt;&gt; "") * IF(INDIRECT(K$46&amp;$B$46&amp;":"&amp;K$46) = "Bad", -2, IF(INDIRECT(K$46&amp;$B$46&amp;":"&amp;K$46) = "Below par", -1, IF(INDIRECT(K$46&amp;$B$46&amp;":"&amp;K$46) = "Very well", 1, IF(INDIRECT(K$46&amp;$B$46&amp;":"&amp;K$46) = "Excellent", 2, 0))))) / (COUNTIFS(INDIRECT("A"&amp;$B$46&amp;":A"), $A34, INDIRECT(K$46&amp;$B$46&amp;":"&amp;K$46), "&lt;&gt;")) * 25 + 50) / 50, "")),"")</f>
        <v/>
      </c>
      <c r="L34" s="207" t="str">
        <f t="array" ref="L34">IF(ISTEXT($A34), (IFERROR((SUMPRODUCT((INDIRECT("A"&amp;$B$46&amp;":A") = $A34) * (INDIRECT(L$46&amp;$B$46&amp;":"&amp;L$46) &lt;&gt; "") * IF(INDIRECT(L$46&amp;$B$46&amp;":"&amp;L$46) = "Bad", -2, IF(INDIRECT(L$46&amp;$B$46&amp;":"&amp;L$46) = "Below par", -1, IF(INDIRECT(L$46&amp;$B$46&amp;":"&amp;L$46) = "Very well", 1, IF(INDIRECT(L$46&amp;$B$46&amp;":"&amp;L$46) = "Excellent", 2, 0))))) / (COUNTIFS(INDIRECT("A"&amp;$B$46&amp;":A"), $A34, INDIRECT(L$46&amp;$B$46&amp;":"&amp;L$46), "&lt;&gt;")) * 25 + 50) / 50, "")),"")</f>
        <v/>
      </c>
      <c r="M34" s="207" t="str">
        <f t="array" ref="M34">IF(ISTEXT($A34), (IFERROR((SUMPRODUCT((INDIRECT("A"&amp;$B$46&amp;":A") = $A34) * (INDIRECT(M$46&amp;$B$46&amp;":"&amp;M$46) &lt;&gt; "") * IF(INDIRECT(M$46&amp;$B$46&amp;":"&amp;M$46) = "Bad", -2, IF(INDIRECT(M$46&amp;$B$46&amp;":"&amp;M$46) = "Below par", -1, IF(INDIRECT(M$46&amp;$B$46&amp;":"&amp;M$46) = "Very well", 1, IF(INDIRECT(M$46&amp;$B$46&amp;":"&amp;M$46) = "Excellent", 2, 0))))) / (COUNTIFS(INDIRECT("A"&amp;$B$46&amp;":A"), $A34, INDIRECT(M$46&amp;$B$46&amp;":"&amp;M$46), "&lt;&gt;")) * 25 + 50) / 50, "")),"")</f>
        <v/>
      </c>
      <c r="N34" s="207" t="str">
        <f t="array" ref="N34">IF(ISTEXT($A34), (IFERROR((SUMPRODUCT((INDIRECT("A"&amp;$B$46&amp;":A") = $A34) * (INDIRECT(N$46&amp;$B$46&amp;":"&amp;N$46) &lt;&gt; "") * IF(INDIRECT(N$46&amp;$B$46&amp;":"&amp;N$46) = "Bad", -2, IF(INDIRECT(N$46&amp;$B$46&amp;":"&amp;N$46) = "Below par", -1, IF(INDIRECT(N$46&amp;$B$46&amp;":"&amp;N$46) = "Very well", 1, IF(INDIRECT(N$46&amp;$B$46&amp;":"&amp;N$46) = "Excellent", 2, 0))))) / (COUNTIFS(INDIRECT("A"&amp;$B$46&amp;":A"), $A34, INDIRECT(N$46&amp;$B$46&amp;":"&amp;N$46), "&lt;&gt;")) * 25 + 50) / 50, "")),"")</f>
        <v/>
      </c>
      <c r="O34" s="207" t="str">
        <f t="array" ref="O34">IF(ISTEXT($A34), (IFERROR((SUMPRODUCT((INDIRECT("A"&amp;$B$46&amp;":A") = $A34) * (INDIRECT(O$46&amp;$B$46&amp;":"&amp;O$46) &lt;&gt; "") * IF(INDIRECT(O$46&amp;$B$46&amp;":"&amp;O$46) = "Bad", -2, IF(INDIRECT(O$46&amp;$B$46&amp;":"&amp;O$46) = "Below par", -1, IF(INDIRECT(O$46&amp;$B$46&amp;":"&amp;O$46) = "Very well", 1, IF(INDIRECT(O$46&amp;$B$46&amp;":"&amp;O$46) = "Excellent", 2, 0))))) / (COUNTIFS(INDIRECT("A"&amp;$B$46&amp;":A"), $A34, INDIRECT(O$46&amp;$B$46&amp;":"&amp;O$46), "&lt;&gt;")) * 25 + 50) / 50, "")),"")</f>
        <v/>
      </c>
      <c r="P34" s="207" t="str">
        <f t="array" ref="P34">IF(ISTEXT($A34), (IFERROR((SUMPRODUCT((INDIRECT("A"&amp;$B$46&amp;":A") = $A34) * (INDIRECT(P$46&amp;$B$46&amp;":"&amp;P$46) &lt;&gt; "") * IF(INDIRECT(P$46&amp;$B$46&amp;":"&amp;P$46) = "Bad", -2, IF(INDIRECT(P$46&amp;$B$46&amp;":"&amp;P$46) = "Below par", -1, IF(INDIRECT(P$46&amp;$B$46&amp;":"&amp;P$46) = "Very well", 1, IF(INDIRECT(P$46&amp;$B$46&amp;":"&amp;P$46) = "Excellent", 2, 0))))) / (COUNTIFS(INDIRECT("A"&amp;$B$46&amp;":A"), $A34, INDIRECT(P$46&amp;$B$46&amp;":"&amp;P$46), "&lt;&gt;")) * 25 + 50) / 50, "")),"")</f>
        <v/>
      </c>
      <c r="Q34" s="207" t="str">
        <f t="array" ref="Q34">IF(ISTEXT($A34), (IFERROR((SUMPRODUCT((INDIRECT("A"&amp;$B$46&amp;":A") = $A34) * (INDIRECT(Q$46&amp;$B$46&amp;":"&amp;Q$46) &lt;&gt; "") * IF(INDIRECT(Q$46&amp;$B$46&amp;":"&amp;Q$46) = "Bad", -2, IF(INDIRECT(Q$46&amp;$B$46&amp;":"&amp;Q$46) = "Below par", -1, IF(INDIRECT(Q$46&amp;$B$46&amp;":"&amp;Q$46) = "Very well", 1, IF(INDIRECT(Q$46&amp;$B$46&amp;":"&amp;Q$46) = "Excellent", 2, 0))))) / (COUNTIFS(INDIRECT("A"&amp;$B$46&amp;":A"), $A34, INDIRECT(Q$46&amp;$B$46&amp;":"&amp;Q$46), "&lt;&gt;")) * 25 + 50) / 50, "")),"")</f>
        <v/>
      </c>
      <c r="R34" s="207" t="str">
        <f t="array" ref="R34">IF(ISTEXT($A34), (IFERROR((SUMPRODUCT((INDIRECT("A"&amp;$B$46&amp;":A") = $A34) * (INDIRECT(R$46&amp;$B$46&amp;":"&amp;R$46) &lt;&gt; "") * IF(INDIRECT(R$46&amp;$B$46&amp;":"&amp;R$46) = "Bad", -2, IF(INDIRECT(R$46&amp;$B$46&amp;":"&amp;R$46) = "Below par", -1, IF(INDIRECT(R$46&amp;$B$46&amp;":"&amp;R$46) = "Very well", 1, IF(INDIRECT(R$46&amp;$B$46&amp;":"&amp;R$46) = "Excellent", 2, 0))))) / (COUNTIFS(INDIRECT("A"&amp;$B$46&amp;":A"), $A34, INDIRECT(R$46&amp;$B$46&amp;":"&amp;R$46), "&lt;&gt;")) * 25 + 50) / 50, "")),"")</f>
        <v/>
      </c>
      <c r="S34" s="207" t="str">
        <f t="array" ref="S34">IF(ISTEXT($A34), (IFERROR((SUMPRODUCT((INDIRECT("A"&amp;$B$46&amp;":A") = $A34) * (INDIRECT(S$46&amp;$B$46&amp;":"&amp;S$46) &lt;&gt; "") * IF(INDIRECT(S$46&amp;$B$46&amp;":"&amp;S$46) = "Bad", -2, IF(INDIRECT(S$46&amp;$B$46&amp;":"&amp;S$46) = "Below par", -1, IF(INDIRECT(S$46&amp;$B$46&amp;":"&amp;S$46) = "Very well", 1, IF(INDIRECT(S$46&amp;$B$46&amp;":"&amp;S$46) = "Excellent", 2, 0))))) / (COUNTIFS(INDIRECT("A"&amp;$B$46&amp;":A"), $A34, INDIRECT(S$46&amp;$B$46&amp;":"&amp;S$46), "&lt;&gt;")) * 25 + 50) / 50, "")),"")</f>
        <v/>
      </c>
      <c r="T34" s="207" t="str">
        <f t="array" ref="T34">IF(ISTEXT($A34), (IFERROR((SUMPRODUCT((INDIRECT("A"&amp;$B$46&amp;":A") = $A34) * (INDIRECT(T$46&amp;$B$46&amp;":"&amp;T$46) &lt;&gt; "") * IF(INDIRECT(T$46&amp;$B$46&amp;":"&amp;T$46) = "Bad", -2, IF(INDIRECT(T$46&amp;$B$46&amp;":"&amp;T$46) = "Below par", -1, IF(INDIRECT(T$46&amp;$B$46&amp;":"&amp;T$46) = "Very well", 1, IF(INDIRECT(T$46&amp;$B$46&amp;":"&amp;T$46) = "Excellent", 2, 0))))) / (COUNTIFS(INDIRECT("A"&amp;$B$46&amp;":A"), $A34, INDIRECT(T$46&amp;$B$46&amp;":"&amp;T$46), "&lt;&gt;")) * 25 + 50) / 50, "")),"")</f>
        <v/>
      </c>
      <c r="U34" s="209"/>
      <c r="V34" s="210"/>
    </row>
    <row r="35" ht="18.75" hidden="1" customHeight="1" outlineLevel="1">
      <c r="A35" s="206" t="str">
        <f>Resources!$A13</f>
        <v>Amin Mohabbat</v>
      </c>
      <c r="B35" s="207">
        <f t="shared" si="5"/>
        <v>1</v>
      </c>
      <c r="C35" s="207">
        <f t="shared" si="6"/>
        <v>1.416666667</v>
      </c>
      <c r="D35" s="208">
        <f t="array" ref="D35">IF(ISTEXT($A35),Round(XLOOKUP($A35,Resources!$A$4:$A$23,Resources!$AB$4:$AB$23)*'Roadmap setting'!$B$10,0),"")</f>
        <v>40</v>
      </c>
      <c r="E35" s="208">
        <f>IFERROR(__xludf.DUMMYFUNCTION("IF(ISTEXT($A35),IFERROR(AVERAGE(FILTER(INDIRECT(""E""&amp;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ARRAYFORMULA(ISNUMBER(SEARCH($A35, INDIRECT(""A"" &amp; IFERRO"&amp;"R(MATCH(MAX(FILTER($C$3:$C160, $B$3:$B160=""Sprint nr:"",$C$3:$C160=MAX(FILTER($C$3:$C160, $B$3:$B160=""Sprint nr:""))-LEFT($A$25,2)+1)), $C$3:$C160, 0) + 2, ""N/A"") &amp; "":A"" &amp; IF(INDIRECT(""B"" &amp; (IFERROR(MATCH(MAX(FILTER($C$3:$C160, $B$3:$B160=""Sprint"&amp;" nr:"")), $C$3:$C160, 0) + 3, """"))),"""",IFERROR(MATCH(MAX(FILTER($C$3:$C160, $B$3:$B160=""Sprint nr:"")), $C$3:$C160, 0) + 1, """")))))))),""""),"""")"),49.0)</f>
        <v>49</v>
      </c>
      <c r="F35" s="208">
        <f>IFERROR(__xludf.DUMMYFUNCTION("IF(ISTEXT($A35),IFERROR(AVERAGE(FILTER(INDIRECT(""F""&amp;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ARRAYFORMULA(ISNUMBER(SEARCH($A35, INDIRECT(""A"" &amp; IFERRO"&amp;"R(MATCH(MAX(FILTER($C$3:$C160, $B$3:$B160=""Sprint nr:"",$C$3:$C160=MAX(FILTER($C$3:$C160, $B$3:$B160=""Sprint nr:""))-LEFT($A$25,2)+1)), $C$3:$C160, 0) + 2, ""N/A"") &amp; "":A"" &amp; IF(INDIRECT(""B"" &amp; (IFERROR(MATCH(MAX(FILTER($C$3:$C160, $B$3:$B160=""Sprint"&amp;" nr:"")), $C$3:$C160, 0) + 3, """"))),"""",IFERROR(MATCH(MAX(FILTER($C$3:$C160, $B$3:$B160=""Sprint nr:"")), $C$3:$C160, 0) + 1, """")))))))),""""),"""")"),49.0)</f>
        <v>49</v>
      </c>
      <c r="G35" s="207">
        <f t="array" ref="G35">IF(ISTEXT($A35), (IFERROR((SUMPRODUCT(($A$47:$A160 = $A35) * (G$47:G160 &lt;&gt; "") * IF(G$47:G160 = "Bad", -2, IF(G$47:G160 = "Below par", -1, IF(G$47:G160 = "Very well", 1, IF(G$47:G160 = "Excellent", 2, 0))))) / (COUNTIFS($A$47:$A160, $A35, G$47:G160, "&lt;&gt;")) * 25 + 50) / 50, "")),"")</f>
        <v>1</v>
      </c>
      <c r="H35" s="207" t="str">
        <f t="array" ref="H35">IF(ISTEXT($A35), (IFERROR((SUMPRODUCT((INDIRECT("A"&amp;$B$46&amp;":A") = $A35) * (INDIRECT(H$46&amp;$B$46&amp;":"&amp;H$46) &lt;&gt; "") * IF(INDIRECT(H$46&amp;$B$46&amp;":"&amp;H$46) = "Bad", -2, IF(INDIRECT(H$46&amp;$B$46&amp;":"&amp;H$46) = "Below par", -1, IF(INDIRECT(H$46&amp;$B$46&amp;":"&amp;H$46) = "Very well", 1, IF(INDIRECT(H$46&amp;$B$46&amp;":"&amp;H$46) = "Excellent", 2, 0))))) / (COUNTIFS(INDIRECT("A"&amp;$B$46&amp;":A"), $A35, INDIRECT(H$46&amp;$B$46&amp;":"&amp;H$46), "&lt;&gt;")) * 25 + 50) / 50, "")),"")</f>
        <v/>
      </c>
      <c r="I35" s="207" t="str">
        <f t="array" ref="I35">IF(ISTEXT($A35), (IFERROR((SUMPRODUCT((INDIRECT("A"&amp;$B$46&amp;":A") = $A35) * (INDIRECT(I$46&amp;$B$46&amp;":"&amp;I$46) &lt;&gt; "") * IF(INDIRECT(I$46&amp;$B$46&amp;":"&amp;I$46) = "Bad", -2, IF(INDIRECT(I$46&amp;$B$46&amp;":"&amp;I$46) = "Below par", -1, IF(INDIRECT(I$46&amp;$B$46&amp;":"&amp;I$46) = "Very well", 1, IF(INDIRECT(I$46&amp;$B$46&amp;":"&amp;I$46) = "Excellent", 2, 0))))) / (COUNTIFS(INDIRECT("A"&amp;$B$46&amp;":A"), $A35, INDIRECT(I$46&amp;$B$46&amp;":"&amp;I$46), "&lt;&gt;")) * 25 + 50) / 50, "")),"")</f>
        <v/>
      </c>
      <c r="J35" s="207">
        <f t="array" ref="J35">IF(ISTEXT($A35), (IFERROR((SUMPRODUCT((INDIRECT("A"&amp;$B$46&amp;":A") = $A35) * (INDIRECT(J$46&amp;$B$46&amp;":"&amp;J$46) &lt;&gt; "") * IF(INDIRECT(J$46&amp;$B$46&amp;":"&amp;J$46) = "Bad", -2, IF(INDIRECT(J$46&amp;$B$46&amp;":"&amp;J$46) = "Below par", -1, IF(INDIRECT(J$46&amp;$B$46&amp;":"&amp;J$46) = "Very well", 1, IF(INDIRECT(J$46&amp;$B$46&amp;":"&amp;J$46) = "Excellent", 2, 0))))) / (COUNTIFS(INDIRECT("A"&amp;$B$46&amp;":A"), $A35, INDIRECT(J$46&amp;$B$46&amp;":"&amp;J$46), "&lt;&gt;")) * 25 + 50) / 50, "")),"")</f>
        <v>1.5</v>
      </c>
      <c r="K35" s="207" t="str">
        <f t="array" ref="K35">IF(ISTEXT($A35), (IFERROR((SUMPRODUCT((INDIRECT("A"&amp;$B$46&amp;":A") = $A35) * (INDIRECT(K$46&amp;$B$46&amp;":"&amp;K$46) &lt;&gt; "") * IF(INDIRECT(K$46&amp;$B$46&amp;":"&amp;K$46) = "Bad", -2, IF(INDIRECT(K$46&amp;$B$46&amp;":"&amp;K$46) = "Below par", -1, IF(INDIRECT(K$46&amp;$B$46&amp;":"&amp;K$46) = "Very well", 1, IF(INDIRECT(K$46&amp;$B$46&amp;":"&amp;K$46) = "Excellent", 2, 0))))) / (COUNTIFS(INDIRECT("A"&amp;$B$46&amp;":A"), $A35, INDIRECT(K$46&amp;$B$46&amp;":"&amp;K$46), "&lt;&gt;")) * 25 + 50) / 50, "")),"")</f>
        <v/>
      </c>
      <c r="L35" s="207" t="str">
        <f t="array" ref="L35">IF(ISTEXT($A35), (IFERROR((SUMPRODUCT((INDIRECT("A"&amp;$B$46&amp;":A") = $A35) * (INDIRECT(L$46&amp;$B$46&amp;":"&amp;L$46) &lt;&gt; "") * IF(INDIRECT(L$46&amp;$B$46&amp;":"&amp;L$46) = "Bad", -2, IF(INDIRECT(L$46&amp;$B$46&amp;":"&amp;L$46) = "Below par", -1, IF(INDIRECT(L$46&amp;$B$46&amp;":"&amp;L$46) = "Very well", 1, IF(INDIRECT(L$46&amp;$B$46&amp;":"&amp;L$46) = "Excellent", 2, 0))))) / (COUNTIFS(INDIRECT("A"&amp;$B$46&amp;":A"), $A35, INDIRECT(L$46&amp;$B$46&amp;":"&amp;L$46), "&lt;&gt;")) * 25 + 50) / 50, "")),"")</f>
        <v/>
      </c>
      <c r="M35" s="207">
        <f t="array" ref="M35">IF(ISTEXT($A35), (IFERROR((SUMPRODUCT((INDIRECT("A"&amp;$B$46&amp;":A") = $A35) * (INDIRECT(M$46&amp;$B$46&amp;":"&amp;M$46) &lt;&gt; "") * IF(INDIRECT(M$46&amp;$B$46&amp;":"&amp;M$46) = "Bad", -2, IF(INDIRECT(M$46&amp;$B$46&amp;":"&amp;M$46) = "Below par", -1, IF(INDIRECT(M$46&amp;$B$46&amp;":"&amp;M$46) = "Very well", 1, IF(INDIRECT(M$46&amp;$B$46&amp;":"&amp;M$46) = "Excellent", 2, 0))))) / (COUNTIFS(INDIRECT("A"&amp;$B$46&amp;":A"), $A35, INDIRECT(M$46&amp;$B$46&amp;":"&amp;M$46), "&lt;&gt;")) * 25 + 50) / 50, "")),"")</f>
        <v>1.75</v>
      </c>
      <c r="N35" s="207" t="str">
        <f t="array" ref="N35">IF(ISTEXT($A35), (IFERROR((SUMPRODUCT((INDIRECT("A"&amp;$B$46&amp;":A") = $A35) * (INDIRECT(N$46&amp;$B$46&amp;":"&amp;N$46) &lt;&gt; "") * IF(INDIRECT(N$46&amp;$B$46&amp;":"&amp;N$46) = "Bad", -2, IF(INDIRECT(N$46&amp;$B$46&amp;":"&amp;N$46) = "Below par", -1, IF(INDIRECT(N$46&amp;$B$46&amp;":"&amp;N$46) = "Very well", 1, IF(INDIRECT(N$46&amp;$B$46&amp;":"&amp;N$46) = "Excellent", 2, 0))))) / (COUNTIFS(INDIRECT("A"&amp;$B$46&amp;":A"), $A35, INDIRECT(N$46&amp;$B$46&amp;":"&amp;N$46), "&lt;&gt;")) * 25 + 50) / 50, "")),"")</f>
        <v/>
      </c>
      <c r="O35" s="207" t="str">
        <f t="array" ref="O35">IF(ISTEXT($A35), (IFERROR((SUMPRODUCT((INDIRECT("A"&amp;$B$46&amp;":A") = $A35) * (INDIRECT(O$46&amp;$B$46&amp;":"&amp;O$46) &lt;&gt; "") * IF(INDIRECT(O$46&amp;$B$46&amp;":"&amp;O$46) = "Bad", -2, IF(INDIRECT(O$46&amp;$B$46&amp;":"&amp;O$46) = "Below par", -1, IF(INDIRECT(O$46&amp;$B$46&amp;":"&amp;O$46) = "Very well", 1, IF(INDIRECT(O$46&amp;$B$46&amp;":"&amp;O$46) = "Excellent", 2, 0))))) / (COUNTIFS(INDIRECT("A"&amp;$B$46&amp;":A"), $A35, INDIRECT(O$46&amp;$B$46&amp;":"&amp;O$46), "&lt;&gt;")) * 25 + 50) / 50, "")),"")</f>
        <v/>
      </c>
      <c r="P35" s="207" t="str">
        <f t="array" ref="P35">IF(ISTEXT($A35), (IFERROR((SUMPRODUCT((INDIRECT("A"&amp;$B$46&amp;":A") = $A35) * (INDIRECT(P$46&amp;$B$46&amp;":"&amp;P$46) &lt;&gt; "") * IF(INDIRECT(P$46&amp;$B$46&amp;":"&amp;P$46) = "Bad", -2, IF(INDIRECT(P$46&amp;$B$46&amp;":"&amp;P$46) = "Below par", -1, IF(INDIRECT(P$46&amp;$B$46&amp;":"&amp;P$46) = "Very well", 1, IF(INDIRECT(P$46&amp;$B$46&amp;":"&amp;P$46) = "Excellent", 2, 0))))) / (COUNTIFS(INDIRECT("A"&amp;$B$46&amp;":A"), $A35, INDIRECT(P$46&amp;$B$46&amp;":"&amp;P$46), "&lt;&gt;")) * 25 + 50) / 50, "")),"")</f>
        <v/>
      </c>
      <c r="Q35" s="207" t="str">
        <f t="array" ref="Q35">IF(ISTEXT($A35), (IFERROR((SUMPRODUCT((INDIRECT("A"&amp;$B$46&amp;":A") = $A35) * (INDIRECT(Q$46&amp;$B$46&amp;":"&amp;Q$46) &lt;&gt; "") * IF(INDIRECT(Q$46&amp;$B$46&amp;":"&amp;Q$46) = "Bad", -2, IF(INDIRECT(Q$46&amp;$B$46&amp;":"&amp;Q$46) = "Below par", -1, IF(INDIRECT(Q$46&amp;$B$46&amp;":"&amp;Q$46) = "Very well", 1, IF(INDIRECT(Q$46&amp;$B$46&amp;":"&amp;Q$46) = "Excellent", 2, 0))))) / (COUNTIFS(INDIRECT("A"&amp;$B$46&amp;":A"), $A35, INDIRECT(Q$46&amp;$B$46&amp;":"&amp;Q$46), "&lt;&gt;")) * 25 + 50) / 50, "")),"")</f>
        <v/>
      </c>
      <c r="R35" s="207" t="str">
        <f t="array" ref="R35">IF(ISTEXT($A35), (IFERROR((SUMPRODUCT((INDIRECT("A"&amp;$B$46&amp;":A") = $A35) * (INDIRECT(R$46&amp;$B$46&amp;":"&amp;R$46) &lt;&gt; "") * IF(INDIRECT(R$46&amp;$B$46&amp;":"&amp;R$46) = "Bad", -2, IF(INDIRECT(R$46&amp;$B$46&amp;":"&amp;R$46) = "Below par", -1, IF(INDIRECT(R$46&amp;$B$46&amp;":"&amp;R$46) = "Very well", 1, IF(INDIRECT(R$46&amp;$B$46&amp;":"&amp;R$46) = "Excellent", 2, 0))))) / (COUNTIFS(INDIRECT("A"&amp;$B$46&amp;":A"), $A35, INDIRECT(R$46&amp;$B$46&amp;":"&amp;R$46), "&lt;&gt;")) * 25 + 50) / 50, "")),"")</f>
        <v/>
      </c>
      <c r="S35" s="207" t="str">
        <f t="array" ref="S35">IF(ISTEXT($A35), (IFERROR((SUMPRODUCT((INDIRECT("A"&amp;$B$46&amp;":A") = $A35) * (INDIRECT(S$46&amp;$B$46&amp;":"&amp;S$46) &lt;&gt; "") * IF(INDIRECT(S$46&amp;$B$46&amp;":"&amp;S$46) = "Bad", -2, IF(INDIRECT(S$46&amp;$B$46&amp;":"&amp;S$46) = "Below par", -1, IF(INDIRECT(S$46&amp;$B$46&amp;":"&amp;S$46) = "Very well", 1, IF(INDIRECT(S$46&amp;$B$46&amp;":"&amp;S$46) = "Excellent", 2, 0))))) / (COUNTIFS(INDIRECT("A"&amp;$B$46&amp;":A"), $A35, INDIRECT(S$46&amp;$B$46&amp;":"&amp;S$46), "&lt;&gt;")) * 25 + 50) / 50, "")),"")</f>
        <v/>
      </c>
      <c r="T35" s="207" t="str">
        <f t="array" ref="T35">IF(ISTEXT($A35), (IFERROR((SUMPRODUCT((INDIRECT("A"&amp;$B$46&amp;":A") = $A35) * (INDIRECT(T$46&amp;$B$46&amp;":"&amp;T$46) &lt;&gt; "") * IF(INDIRECT(T$46&amp;$B$46&amp;":"&amp;T$46) = "Bad", -2, IF(INDIRECT(T$46&amp;$B$46&amp;":"&amp;T$46) = "Below par", -1, IF(INDIRECT(T$46&amp;$B$46&amp;":"&amp;T$46) = "Very well", 1, IF(INDIRECT(T$46&amp;$B$46&amp;":"&amp;T$46) = "Excellent", 2, 0))))) / (COUNTIFS(INDIRECT("A"&amp;$B$46&amp;":A"), $A35, INDIRECT(T$46&amp;$B$46&amp;":"&amp;T$46), "&lt;&gt;")) * 25 + 50) / 50, "")),"")</f>
        <v/>
      </c>
      <c r="U35" s="209"/>
      <c r="V35" s="210"/>
    </row>
    <row r="36" ht="18.75" hidden="1" customHeight="1" outlineLevel="1">
      <c r="A36" s="211" t="str">
        <f>Resources!$A14</f>
        <v/>
      </c>
      <c r="B36" s="207" t="str">
        <f t="shared" si="5"/>
        <v/>
      </c>
      <c r="C36" s="207" t="str">
        <f t="shared" si="6"/>
        <v/>
      </c>
      <c r="D36" s="208" t="str">
        <f t="array" ref="D36">IF(ISTEXT($A36),Round(XLOOKUP($A36,Resources!$A$4:$A$23,Resources!$AB$4:$AB$23)*'Roadmap setting'!$B$10,0),"")</f>
        <v/>
      </c>
      <c r="E36" s="208" t="str">
        <f>IFERROR(__xludf.DUMMYFUNCTION("IF(ISTEXT($A36),IFERROR(AVERAGE(FILTER(INDIRECT(""E""&amp;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ARRAYFORMULA(ISNUMBER(SEARCH($A36, INDIRECT(""A"" &amp; IFERRO"&amp;"R(MATCH(MAX(FILTER($C$3:$C160, $B$3:$B160=""Sprint nr:"",$C$3:$C160=MAX(FILTER($C$3:$C160, $B$3:$B160=""Sprint nr:""))-LEFT($A$25,2)+1)), $C$3:$C160, 0) + 2, ""N/A"") &amp; "":A"" &amp; IF(INDIRECT(""B"" &amp; (IFERROR(MATCH(MAX(FILTER($C$3:$C160, $B$3:$B160=""Sprint"&amp;" nr:"")), $C$3:$C160, 0) + 3, """"))),"""",IFERROR(MATCH(MAX(FILTER($C$3:$C160, $B$3:$B160=""Sprint nr:"")), $C$3:$C160, 0) + 1, """")))))))),""""),"""")"),"")</f>
        <v/>
      </c>
      <c r="F36" s="208" t="str">
        <f>IFERROR(__xludf.DUMMYFUNCTION("IF(ISTEXT($A36),IFERROR(AVERAGE(FILTER(INDIRECT(""F""&amp;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ARRAYFORMULA(ISNUMBER(SEARCH($A36, INDIRECT(""A"" &amp; IFERRO"&amp;"R(MATCH(MAX(FILTER($C$3:$C160, $B$3:$B160=""Sprint nr:"",$C$3:$C160=MAX(FILTER($C$3:$C160, $B$3:$B160=""Sprint nr:""))-LEFT($A$25,2)+1)), $C$3:$C160, 0) + 2, ""N/A"") &amp; "":A"" &amp; IF(INDIRECT(""B"" &amp; (IFERROR(MATCH(MAX(FILTER($C$3:$C160, $B$3:$B160=""Sprint"&amp;" nr:"")), $C$3:$C160, 0) + 3, """"))),"""",IFERROR(MATCH(MAX(FILTER($C$3:$C160, $B$3:$B160=""Sprint nr:"")), $C$3:$C160, 0) + 1, """")))))))),""""),"""")"),"")</f>
        <v/>
      </c>
      <c r="G36" s="207" t="str">
        <f t="array" ref="G36">IF(ISTEXT($A36), (IFERROR((SUMPRODUCT(($A$47:$A160 = $A36) * (G$47:G160 &lt;&gt; "") * IF(G$47:G160 = "Bad", -2, IF(G$47:G160 = "Below par", -1, IF(G$47:G160 = "Very well", 1, IF(G$47:G160 = "Excellent", 2, 0))))) / (COUNTIFS($A$47:$A160, $A36, G$47:G160, "&lt;&gt;")) * 25 + 50) / 50, "")),"")</f>
        <v/>
      </c>
      <c r="H36" s="207" t="str">
        <f t="array" ref="H36">IF(ISTEXT($A36), (IFERROR((SUMPRODUCT((INDIRECT("A"&amp;$B$46&amp;":A") = $A36) * (INDIRECT(H$46&amp;$B$46&amp;":"&amp;H$46) &lt;&gt; "") * IF(INDIRECT(H$46&amp;$B$46&amp;":"&amp;H$46) = "Bad", -2, IF(INDIRECT(H$46&amp;$B$46&amp;":"&amp;H$46) = "Below par", -1, IF(INDIRECT(H$46&amp;$B$46&amp;":"&amp;H$46) = "Very well", 1, IF(INDIRECT(H$46&amp;$B$46&amp;":"&amp;H$46) = "Excellent", 2, 0))))) / (COUNTIFS(INDIRECT("A"&amp;$B$46&amp;":A"), $A36, INDIRECT(H$46&amp;$B$46&amp;":"&amp;H$46), "&lt;&gt;")) * 25 + 50) / 50, "")),"")</f>
        <v/>
      </c>
      <c r="I36" s="207" t="str">
        <f t="array" ref="I36">IF(ISTEXT($A36), (IFERROR((SUMPRODUCT((INDIRECT("A"&amp;$B$46&amp;":A") = $A36) * (INDIRECT(I$46&amp;$B$46&amp;":"&amp;I$46) &lt;&gt; "") * IF(INDIRECT(I$46&amp;$B$46&amp;":"&amp;I$46) = "Bad", -2, IF(INDIRECT(I$46&amp;$B$46&amp;":"&amp;I$46) = "Below par", -1, IF(INDIRECT(I$46&amp;$B$46&amp;":"&amp;I$46) = "Very well", 1, IF(INDIRECT(I$46&amp;$B$46&amp;":"&amp;I$46) = "Excellent", 2, 0))))) / (COUNTIFS(INDIRECT("A"&amp;$B$46&amp;":A"), $A36, INDIRECT(I$46&amp;$B$46&amp;":"&amp;I$46), "&lt;&gt;")) * 25 + 50) / 50, "")),"")</f>
        <v/>
      </c>
      <c r="J36" s="207" t="str">
        <f t="array" ref="J36">IF(ISTEXT($A36), (IFERROR((SUMPRODUCT((INDIRECT("A"&amp;$B$46&amp;":A") = $A36) * (INDIRECT(J$46&amp;$B$46&amp;":"&amp;J$46) &lt;&gt; "") * IF(INDIRECT(J$46&amp;$B$46&amp;":"&amp;J$46) = "Bad", -2, IF(INDIRECT(J$46&amp;$B$46&amp;":"&amp;J$46) = "Below par", -1, IF(INDIRECT(J$46&amp;$B$46&amp;":"&amp;J$46) = "Very well", 1, IF(INDIRECT(J$46&amp;$B$46&amp;":"&amp;J$46) = "Excellent", 2, 0))))) / (COUNTIFS(INDIRECT("A"&amp;$B$46&amp;":A"), $A36, INDIRECT(J$46&amp;$B$46&amp;":"&amp;J$46), "&lt;&gt;")) * 25 + 50) / 50, "")),"")</f>
        <v/>
      </c>
      <c r="K36" s="207" t="str">
        <f t="array" ref="K36">IF(ISTEXT($A36), (IFERROR((SUMPRODUCT((INDIRECT("A"&amp;$B$46&amp;":A") = $A36) * (INDIRECT(K$46&amp;$B$46&amp;":"&amp;K$46) &lt;&gt; "") * IF(INDIRECT(K$46&amp;$B$46&amp;":"&amp;K$46) = "Bad", -2, IF(INDIRECT(K$46&amp;$B$46&amp;":"&amp;K$46) = "Below par", -1, IF(INDIRECT(K$46&amp;$B$46&amp;":"&amp;K$46) = "Very well", 1, IF(INDIRECT(K$46&amp;$B$46&amp;":"&amp;K$46) = "Excellent", 2, 0))))) / (COUNTIFS(INDIRECT("A"&amp;$B$46&amp;":A"), $A36, INDIRECT(K$46&amp;$B$46&amp;":"&amp;K$46), "&lt;&gt;")) * 25 + 50) / 50, "")),"")</f>
        <v/>
      </c>
      <c r="L36" s="207" t="str">
        <f t="array" ref="L36">IF(ISTEXT($A36), (IFERROR((SUMPRODUCT((INDIRECT("A"&amp;$B$46&amp;":A") = $A36) * (INDIRECT(L$46&amp;$B$46&amp;":"&amp;L$46) &lt;&gt; "") * IF(INDIRECT(L$46&amp;$B$46&amp;":"&amp;L$46) = "Bad", -2, IF(INDIRECT(L$46&amp;$B$46&amp;":"&amp;L$46) = "Below par", -1, IF(INDIRECT(L$46&amp;$B$46&amp;":"&amp;L$46) = "Very well", 1, IF(INDIRECT(L$46&amp;$B$46&amp;":"&amp;L$46) = "Excellent", 2, 0))))) / (COUNTIFS(INDIRECT("A"&amp;$B$46&amp;":A"), $A36, INDIRECT(L$46&amp;$B$46&amp;":"&amp;L$46), "&lt;&gt;")) * 25 + 50) / 50, "")),"")</f>
        <v/>
      </c>
      <c r="M36" s="207" t="str">
        <f t="array" ref="M36">IF(ISTEXT($A36), (IFERROR((SUMPRODUCT((INDIRECT("A"&amp;$B$46&amp;":A") = $A36) * (INDIRECT(M$46&amp;$B$46&amp;":"&amp;M$46) &lt;&gt; "") * IF(INDIRECT(M$46&amp;$B$46&amp;":"&amp;M$46) = "Bad", -2, IF(INDIRECT(M$46&amp;$B$46&amp;":"&amp;M$46) = "Below par", -1, IF(INDIRECT(M$46&amp;$B$46&amp;":"&amp;M$46) = "Very well", 1, IF(INDIRECT(M$46&amp;$B$46&amp;":"&amp;M$46) = "Excellent", 2, 0))))) / (COUNTIFS(INDIRECT("A"&amp;$B$46&amp;":A"), $A36, INDIRECT(M$46&amp;$B$46&amp;":"&amp;M$46), "&lt;&gt;")) * 25 + 50) / 50, "")),"")</f>
        <v/>
      </c>
      <c r="N36" s="207" t="str">
        <f t="array" ref="N36">IF(ISTEXT($A36), (IFERROR((SUMPRODUCT((INDIRECT("A"&amp;$B$46&amp;":A") = $A36) * (INDIRECT(N$46&amp;$B$46&amp;":"&amp;N$46) &lt;&gt; "") * IF(INDIRECT(N$46&amp;$B$46&amp;":"&amp;N$46) = "Bad", -2, IF(INDIRECT(N$46&amp;$B$46&amp;":"&amp;N$46) = "Below par", -1, IF(INDIRECT(N$46&amp;$B$46&amp;":"&amp;N$46) = "Very well", 1, IF(INDIRECT(N$46&amp;$B$46&amp;":"&amp;N$46) = "Excellent", 2, 0))))) / (COUNTIFS(INDIRECT("A"&amp;$B$46&amp;":A"), $A36, INDIRECT(N$46&amp;$B$46&amp;":"&amp;N$46), "&lt;&gt;")) * 25 + 50) / 50, "")),"")</f>
        <v/>
      </c>
      <c r="O36" s="207" t="str">
        <f t="array" ref="O36">IF(ISTEXT($A36), (IFERROR((SUMPRODUCT((INDIRECT("A"&amp;$B$46&amp;":A") = $A36) * (INDIRECT(O$46&amp;$B$46&amp;":"&amp;O$46) &lt;&gt; "") * IF(INDIRECT(O$46&amp;$B$46&amp;":"&amp;O$46) = "Bad", -2, IF(INDIRECT(O$46&amp;$B$46&amp;":"&amp;O$46) = "Below par", -1, IF(INDIRECT(O$46&amp;$B$46&amp;":"&amp;O$46) = "Very well", 1, IF(INDIRECT(O$46&amp;$B$46&amp;":"&amp;O$46) = "Excellent", 2, 0))))) / (COUNTIFS(INDIRECT("A"&amp;$B$46&amp;":A"), $A36, INDIRECT(O$46&amp;$B$46&amp;":"&amp;O$46), "&lt;&gt;")) * 25 + 50) / 50, "")),"")</f>
        <v/>
      </c>
      <c r="P36" s="207" t="str">
        <f t="array" ref="P36">IF(ISTEXT($A36), (IFERROR((SUMPRODUCT((INDIRECT("A"&amp;$B$46&amp;":A") = $A36) * (INDIRECT(P$46&amp;$B$46&amp;":"&amp;P$46) &lt;&gt; "") * IF(INDIRECT(P$46&amp;$B$46&amp;":"&amp;P$46) = "Bad", -2, IF(INDIRECT(P$46&amp;$B$46&amp;":"&amp;P$46) = "Below par", -1, IF(INDIRECT(P$46&amp;$B$46&amp;":"&amp;P$46) = "Very well", 1, IF(INDIRECT(P$46&amp;$B$46&amp;":"&amp;P$46) = "Excellent", 2, 0))))) / (COUNTIFS(INDIRECT("A"&amp;$B$46&amp;":A"), $A36, INDIRECT(P$46&amp;$B$46&amp;":"&amp;P$46), "&lt;&gt;")) * 25 + 50) / 50, "")),"")</f>
        <v/>
      </c>
      <c r="Q36" s="207" t="str">
        <f t="array" ref="Q36">IF(ISTEXT($A36), (IFERROR((SUMPRODUCT((INDIRECT("A"&amp;$B$46&amp;":A") = $A36) * (INDIRECT(Q$46&amp;$B$46&amp;":"&amp;Q$46) &lt;&gt; "") * IF(INDIRECT(Q$46&amp;$B$46&amp;":"&amp;Q$46) = "Bad", -2, IF(INDIRECT(Q$46&amp;$B$46&amp;":"&amp;Q$46) = "Below par", -1, IF(INDIRECT(Q$46&amp;$B$46&amp;":"&amp;Q$46) = "Very well", 1, IF(INDIRECT(Q$46&amp;$B$46&amp;":"&amp;Q$46) = "Excellent", 2, 0))))) / (COUNTIFS(INDIRECT("A"&amp;$B$46&amp;":A"), $A36, INDIRECT(Q$46&amp;$B$46&amp;":"&amp;Q$46), "&lt;&gt;")) * 25 + 50) / 50, "")),"")</f>
        <v/>
      </c>
      <c r="R36" s="207" t="str">
        <f t="array" ref="R36">IF(ISTEXT($A36), (IFERROR((SUMPRODUCT((INDIRECT("A"&amp;$B$46&amp;":A") = $A36) * (INDIRECT(R$46&amp;$B$46&amp;":"&amp;R$46) &lt;&gt; "") * IF(INDIRECT(R$46&amp;$B$46&amp;":"&amp;R$46) = "Bad", -2, IF(INDIRECT(R$46&amp;$B$46&amp;":"&amp;R$46) = "Below par", -1, IF(INDIRECT(R$46&amp;$B$46&amp;":"&amp;R$46) = "Very well", 1, IF(INDIRECT(R$46&amp;$B$46&amp;":"&amp;R$46) = "Excellent", 2, 0))))) / (COUNTIFS(INDIRECT("A"&amp;$B$46&amp;":A"), $A36, INDIRECT(R$46&amp;$B$46&amp;":"&amp;R$46), "&lt;&gt;")) * 25 + 50) / 50, "")),"")</f>
        <v/>
      </c>
      <c r="S36" s="207" t="str">
        <f t="array" ref="S36">IF(ISTEXT($A36), (IFERROR((SUMPRODUCT((INDIRECT("A"&amp;$B$46&amp;":A") = $A36) * (INDIRECT(S$46&amp;$B$46&amp;":"&amp;S$46) &lt;&gt; "") * IF(INDIRECT(S$46&amp;$B$46&amp;":"&amp;S$46) = "Bad", -2, IF(INDIRECT(S$46&amp;$B$46&amp;":"&amp;S$46) = "Below par", -1, IF(INDIRECT(S$46&amp;$B$46&amp;":"&amp;S$46) = "Very well", 1, IF(INDIRECT(S$46&amp;$B$46&amp;":"&amp;S$46) = "Excellent", 2, 0))))) / (COUNTIFS(INDIRECT("A"&amp;$B$46&amp;":A"), $A36, INDIRECT(S$46&amp;$B$46&amp;":"&amp;S$46), "&lt;&gt;")) * 25 + 50) / 50, "")),"")</f>
        <v/>
      </c>
      <c r="T36" s="207" t="str">
        <f t="array" ref="T36">IF(ISTEXT($A36), (IFERROR((SUMPRODUCT((INDIRECT("A"&amp;$B$46&amp;":A") = $A36) * (INDIRECT(T$46&amp;$B$46&amp;":"&amp;T$46) &lt;&gt; "") * IF(INDIRECT(T$46&amp;$B$46&amp;":"&amp;T$46) = "Bad", -2, IF(INDIRECT(T$46&amp;$B$46&amp;":"&amp;T$46) = "Below par", -1, IF(INDIRECT(T$46&amp;$B$46&amp;":"&amp;T$46) = "Very well", 1, IF(INDIRECT(T$46&amp;$B$46&amp;":"&amp;T$46) = "Excellent", 2, 0))))) / (COUNTIFS(INDIRECT("A"&amp;$B$46&amp;":A"), $A36, INDIRECT(T$46&amp;$B$46&amp;":"&amp;T$46), "&lt;&gt;")) * 25 + 50) / 50, "")),"")</f>
        <v/>
      </c>
      <c r="U36" s="209"/>
      <c r="V36" s="210"/>
    </row>
    <row r="37" ht="18.75" hidden="1" customHeight="1" outlineLevel="1">
      <c r="A37" s="211" t="str">
        <f>Resources!$A15</f>
        <v/>
      </c>
      <c r="B37" s="207" t="str">
        <f t="shared" si="5"/>
        <v/>
      </c>
      <c r="C37" s="207" t="str">
        <f t="shared" si="6"/>
        <v/>
      </c>
      <c r="D37" s="208" t="str">
        <f t="array" ref="D37">IF(ISTEXT($A37),Round(XLOOKUP($A37,Resources!$A$4:$A$23,Resources!$AB$4:$AB$23)*'Roadmap setting'!$B$10,0),"")</f>
        <v/>
      </c>
      <c r="E37" s="208" t="str">
        <f>IFERROR(__xludf.DUMMYFUNCTION("IF(ISTEXT($A37),IFERROR(AVERAGE(FILTER(INDIRECT(""E""&amp;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ARRAYFORMULA(ISNUMBER(SEARCH($A37, INDIRECT(""A"" &amp; IFERRO"&amp;"R(MATCH(MAX(FILTER($C$3:$C160, $B$3:$B160=""Sprint nr:"",$C$3:$C160=MAX(FILTER($C$3:$C160, $B$3:$B160=""Sprint nr:""))-LEFT($A$25,2)+1)), $C$3:$C160, 0) + 2, ""N/A"") &amp; "":A"" &amp; IF(INDIRECT(""B"" &amp; (IFERROR(MATCH(MAX(FILTER($C$3:$C160, $B$3:$B160=""Sprint"&amp;" nr:"")), $C$3:$C160, 0) + 3, """"))),"""",IFERROR(MATCH(MAX(FILTER($C$3:$C160, $B$3:$B160=""Sprint nr:"")), $C$3:$C160, 0) + 1, """")))))))),""""),"""")"),"")</f>
        <v/>
      </c>
      <c r="F37" s="208" t="str">
        <f>IFERROR(__xludf.DUMMYFUNCTION("IF(ISTEXT($A37),IFERROR(AVERAGE(FILTER(INDIRECT(""F""&amp;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ARRAYFORMULA(ISNUMBER(SEARCH($A37, INDIRECT(""A"" &amp; IFERRO"&amp;"R(MATCH(MAX(FILTER($C$3:$C160, $B$3:$B160=""Sprint nr:"",$C$3:$C160=MAX(FILTER($C$3:$C160, $B$3:$B160=""Sprint nr:""))-LEFT($A$25,2)+1)), $C$3:$C160, 0) + 2, ""N/A"") &amp; "":A"" &amp; IF(INDIRECT(""B"" &amp; (IFERROR(MATCH(MAX(FILTER($C$3:$C160, $B$3:$B160=""Sprint"&amp;" nr:"")), $C$3:$C160, 0) + 3, """"))),"""",IFERROR(MATCH(MAX(FILTER($C$3:$C160, $B$3:$B160=""Sprint nr:"")), $C$3:$C160, 0) + 1, """")))))))),""""),"""")"),"")</f>
        <v/>
      </c>
      <c r="G37" s="207" t="str">
        <f t="array" ref="G37">IF(ISTEXT($A37), (IFERROR((SUMPRODUCT(($A$47:$A160 = $A37) * (G$47:G160 &lt;&gt; "") * IF(G$47:G160 = "Bad", -2, IF(G$47:G160 = "Below par", -1, IF(G$47:G160 = "Very well", 1, IF(G$47:G160 = "Excellent", 2, 0))))) / (COUNTIFS($A$47:$A160, $A37, G$47:G160, "&lt;&gt;")) * 25 + 50) / 50, "")),"")</f>
        <v/>
      </c>
      <c r="H37" s="207" t="str">
        <f t="array" ref="H37">IF(ISTEXT($A37), (IFERROR((SUMPRODUCT((INDIRECT("A"&amp;$B$46&amp;":A") = $A37) * (INDIRECT(H$46&amp;$B$46&amp;":"&amp;H$46) &lt;&gt; "") * IF(INDIRECT(H$46&amp;$B$46&amp;":"&amp;H$46) = "Bad", -2, IF(INDIRECT(H$46&amp;$B$46&amp;":"&amp;H$46) = "Below par", -1, IF(INDIRECT(H$46&amp;$B$46&amp;":"&amp;H$46) = "Very well", 1, IF(INDIRECT(H$46&amp;$B$46&amp;":"&amp;H$46) = "Excellent", 2, 0))))) / (COUNTIFS(INDIRECT("A"&amp;$B$46&amp;":A"), $A37, INDIRECT(H$46&amp;$B$46&amp;":"&amp;H$46), "&lt;&gt;")) * 25 + 50) / 50, "")),"")</f>
        <v/>
      </c>
      <c r="I37" s="207" t="str">
        <f t="array" ref="I37">IF(ISTEXT($A37), (IFERROR((SUMPRODUCT((INDIRECT("A"&amp;$B$46&amp;":A") = $A37) * (INDIRECT(I$46&amp;$B$46&amp;":"&amp;I$46) &lt;&gt; "") * IF(INDIRECT(I$46&amp;$B$46&amp;":"&amp;I$46) = "Bad", -2, IF(INDIRECT(I$46&amp;$B$46&amp;":"&amp;I$46) = "Below par", -1, IF(INDIRECT(I$46&amp;$B$46&amp;":"&amp;I$46) = "Very well", 1, IF(INDIRECT(I$46&amp;$B$46&amp;":"&amp;I$46) = "Excellent", 2, 0))))) / (COUNTIFS(INDIRECT("A"&amp;$B$46&amp;":A"), $A37, INDIRECT(I$46&amp;$B$46&amp;":"&amp;I$46), "&lt;&gt;")) * 25 + 50) / 50, "")),"")</f>
        <v/>
      </c>
      <c r="J37" s="207" t="str">
        <f t="array" ref="J37">IF(ISTEXT($A37), (IFERROR((SUMPRODUCT((INDIRECT("A"&amp;$B$46&amp;":A") = $A37) * (INDIRECT(J$46&amp;$B$46&amp;":"&amp;J$46) &lt;&gt; "") * IF(INDIRECT(J$46&amp;$B$46&amp;":"&amp;J$46) = "Bad", -2, IF(INDIRECT(J$46&amp;$B$46&amp;":"&amp;J$46) = "Below par", -1, IF(INDIRECT(J$46&amp;$B$46&amp;":"&amp;J$46) = "Very well", 1, IF(INDIRECT(J$46&amp;$B$46&amp;":"&amp;J$46) = "Excellent", 2, 0))))) / (COUNTIFS(INDIRECT("A"&amp;$B$46&amp;":A"), $A37, INDIRECT(J$46&amp;$B$46&amp;":"&amp;J$46), "&lt;&gt;")) * 25 + 50) / 50, "")),"")</f>
        <v/>
      </c>
      <c r="K37" s="207" t="str">
        <f t="array" ref="K37">IF(ISTEXT($A37), (IFERROR((SUMPRODUCT((INDIRECT("A"&amp;$B$46&amp;":A") = $A37) * (INDIRECT(K$46&amp;$B$46&amp;":"&amp;K$46) &lt;&gt; "") * IF(INDIRECT(K$46&amp;$B$46&amp;":"&amp;K$46) = "Bad", -2, IF(INDIRECT(K$46&amp;$B$46&amp;":"&amp;K$46) = "Below par", -1, IF(INDIRECT(K$46&amp;$B$46&amp;":"&amp;K$46) = "Very well", 1, IF(INDIRECT(K$46&amp;$B$46&amp;":"&amp;K$46) = "Excellent", 2, 0))))) / (COUNTIFS(INDIRECT("A"&amp;$B$46&amp;":A"), $A37, INDIRECT(K$46&amp;$B$46&amp;":"&amp;K$46), "&lt;&gt;")) * 25 + 50) / 50, "")),"")</f>
        <v/>
      </c>
      <c r="L37" s="207" t="str">
        <f t="array" ref="L37">IF(ISTEXT($A37), (IFERROR((SUMPRODUCT((INDIRECT("A"&amp;$B$46&amp;":A") = $A37) * (INDIRECT(L$46&amp;$B$46&amp;":"&amp;L$46) &lt;&gt; "") * IF(INDIRECT(L$46&amp;$B$46&amp;":"&amp;L$46) = "Bad", -2, IF(INDIRECT(L$46&amp;$B$46&amp;":"&amp;L$46) = "Below par", -1, IF(INDIRECT(L$46&amp;$B$46&amp;":"&amp;L$46) = "Very well", 1, IF(INDIRECT(L$46&amp;$B$46&amp;":"&amp;L$46) = "Excellent", 2, 0))))) / (COUNTIFS(INDIRECT("A"&amp;$B$46&amp;":A"), $A37, INDIRECT(L$46&amp;$B$46&amp;":"&amp;L$46), "&lt;&gt;")) * 25 + 50) / 50, "")),"")</f>
        <v/>
      </c>
      <c r="M37" s="207" t="str">
        <f t="array" ref="M37">IF(ISTEXT($A37), (IFERROR((SUMPRODUCT((INDIRECT("A"&amp;$B$46&amp;":A") = $A37) * (INDIRECT(M$46&amp;$B$46&amp;":"&amp;M$46) &lt;&gt; "") * IF(INDIRECT(M$46&amp;$B$46&amp;":"&amp;M$46) = "Bad", -2, IF(INDIRECT(M$46&amp;$B$46&amp;":"&amp;M$46) = "Below par", -1, IF(INDIRECT(M$46&amp;$B$46&amp;":"&amp;M$46) = "Very well", 1, IF(INDIRECT(M$46&amp;$B$46&amp;":"&amp;M$46) = "Excellent", 2, 0))))) / (COUNTIFS(INDIRECT("A"&amp;$B$46&amp;":A"), $A37, INDIRECT(M$46&amp;$B$46&amp;":"&amp;M$46), "&lt;&gt;")) * 25 + 50) / 50, "")),"")</f>
        <v/>
      </c>
      <c r="N37" s="207" t="str">
        <f t="array" ref="N37">IF(ISTEXT($A37), (IFERROR((SUMPRODUCT((INDIRECT("A"&amp;$B$46&amp;":A") = $A37) * (INDIRECT(N$46&amp;$B$46&amp;":"&amp;N$46) &lt;&gt; "") * IF(INDIRECT(N$46&amp;$B$46&amp;":"&amp;N$46) = "Bad", -2, IF(INDIRECT(N$46&amp;$B$46&amp;":"&amp;N$46) = "Below par", -1, IF(INDIRECT(N$46&amp;$B$46&amp;":"&amp;N$46) = "Very well", 1, IF(INDIRECT(N$46&amp;$B$46&amp;":"&amp;N$46) = "Excellent", 2, 0))))) / (COUNTIFS(INDIRECT("A"&amp;$B$46&amp;":A"), $A37, INDIRECT(N$46&amp;$B$46&amp;":"&amp;N$46), "&lt;&gt;")) * 25 + 50) / 50, "")),"")</f>
        <v/>
      </c>
      <c r="O37" s="207" t="str">
        <f t="array" ref="O37">IF(ISTEXT($A37), (IFERROR((SUMPRODUCT((INDIRECT("A"&amp;$B$46&amp;":A") = $A37) * (INDIRECT(O$46&amp;$B$46&amp;":"&amp;O$46) &lt;&gt; "") * IF(INDIRECT(O$46&amp;$B$46&amp;":"&amp;O$46) = "Bad", -2, IF(INDIRECT(O$46&amp;$B$46&amp;":"&amp;O$46) = "Below par", -1, IF(INDIRECT(O$46&amp;$B$46&amp;":"&amp;O$46) = "Very well", 1, IF(INDIRECT(O$46&amp;$B$46&amp;":"&amp;O$46) = "Excellent", 2, 0))))) / (COUNTIFS(INDIRECT("A"&amp;$B$46&amp;":A"), $A37, INDIRECT(O$46&amp;$B$46&amp;":"&amp;O$46), "&lt;&gt;")) * 25 + 50) / 50, "")),"")</f>
        <v/>
      </c>
      <c r="P37" s="207" t="str">
        <f t="array" ref="P37">IF(ISTEXT($A37), (IFERROR((SUMPRODUCT((INDIRECT("A"&amp;$B$46&amp;":A") = $A37) * (INDIRECT(P$46&amp;$B$46&amp;":"&amp;P$46) &lt;&gt; "") * IF(INDIRECT(P$46&amp;$B$46&amp;":"&amp;P$46) = "Bad", -2, IF(INDIRECT(P$46&amp;$B$46&amp;":"&amp;P$46) = "Below par", -1, IF(INDIRECT(P$46&amp;$B$46&amp;":"&amp;P$46) = "Very well", 1, IF(INDIRECT(P$46&amp;$B$46&amp;":"&amp;P$46) = "Excellent", 2, 0))))) / (COUNTIFS(INDIRECT("A"&amp;$B$46&amp;":A"), $A37, INDIRECT(P$46&amp;$B$46&amp;":"&amp;P$46), "&lt;&gt;")) * 25 + 50) / 50, "")),"")</f>
        <v/>
      </c>
      <c r="Q37" s="207" t="str">
        <f t="array" ref="Q37">IF(ISTEXT($A37), (IFERROR((SUMPRODUCT((INDIRECT("A"&amp;$B$46&amp;":A") = $A37) * (INDIRECT(Q$46&amp;$B$46&amp;":"&amp;Q$46) &lt;&gt; "") * IF(INDIRECT(Q$46&amp;$B$46&amp;":"&amp;Q$46) = "Bad", -2, IF(INDIRECT(Q$46&amp;$B$46&amp;":"&amp;Q$46) = "Below par", -1, IF(INDIRECT(Q$46&amp;$B$46&amp;":"&amp;Q$46) = "Very well", 1, IF(INDIRECT(Q$46&amp;$B$46&amp;":"&amp;Q$46) = "Excellent", 2, 0))))) / (COUNTIFS(INDIRECT("A"&amp;$B$46&amp;":A"), $A37, INDIRECT(Q$46&amp;$B$46&amp;":"&amp;Q$46), "&lt;&gt;")) * 25 + 50) / 50, "")),"")</f>
        <v/>
      </c>
      <c r="R37" s="207" t="str">
        <f t="array" ref="R37">IF(ISTEXT($A37), (IFERROR((SUMPRODUCT((INDIRECT("A"&amp;$B$46&amp;":A") = $A37) * (INDIRECT(R$46&amp;$B$46&amp;":"&amp;R$46) &lt;&gt; "") * IF(INDIRECT(R$46&amp;$B$46&amp;":"&amp;R$46) = "Bad", -2, IF(INDIRECT(R$46&amp;$B$46&amp;":"&amp;R$46) = "Below par", -1, IF(INDIRECT(R$46&amp;$B$46&amp;":"&amp;R$46) = "Very well", 1, IF(INDIRECT(R$46&amp;$B$46&amp;":"&amp;R$46) = "Excellent", 2, 0))))) / (COUNTIFS(INDIRECT("A"&amp;$B$46&amp;":A"), $A37, INDIRECT(R$46&amp;$B$46&amp;":"&amp;R$46), "&lt;&gt;")) * 25 + 50) / 50, "")),"")</f>
        <v/>
      </c>
      <c r="S37" s="207" t="str">
        <f t="array" ref="S37">IF(ISTEXT($A37), (IFERROR((SUMPRODUCT((INDIRECT("A"&amp;$B$46&amp;":A") = $A37) * (INDIRECT(S$46&amp;$B$46&amp;":"&amp;S$46) &lt;&gt; "") * IF(INDIRECT(S$46&amp;$B$46&amp;":"&amp;S$46) = "Bad", -2, IF(INDIRECT(S$46&amp;$B$46&amp;":"&amp;S$46) = "Below par", -1, IF(INDIRECT(S$46&amp;$B$46&amp;":"&amp;S$46) = "Very well", 1, IF(INDIRECT(S$46&amp;$B$46&amp;":"&amp;S$46) = "Excellent", 2, 0))))) / (COUNTIFS(INDIRECT("A"&amp;$B$46&amp;":A"), $A37, INDIRECT(S$46&amp;$B$46&amp;":"&amp;S$46), "&lt;&gt;")) * 25 + 50) / 50, "")),"")</f>
        <v/>
      </c>
      <c r="T37" s="207" t="str">
        <f t="array" ref="T37">IF(ISTEXT($A37), (IFERROR((SUMPRODUCT((INDIRECT("A"&amp;$B$46&amp;":A") = $A37) * (INDIRECT(T$46&amp;$B$46&amp;":"&amp;T$46) &lt;&gt; "") * IF(INDIRECT(T$46&amp;$B$46&amp;":"&amp;T$46) = "Bad", -2, IF(INDIRECT(T$46&amp;$B$46&amp;":"&amp;T$46) = "Below par", -1, IF(INDIRECT(T$46&amp;$B$46&amp;":"&amp;T$46) = "Very well", 1, IF(INDIRECT(T$46&amp;$B$46&amp;":"&amp;T$46) = "Excellent", 2, 0))))) / (COUNTIFS(INDIRECT("A"&amp;$B$46&amp;":A"), $A37, INDIRECT(T$46&amp;$B$46&amp;":"&amp;T$46), "&lt;&gt;")) * 25 + 50) / 50, "")),"")</f>
        <v/>
      </c>
      <c r="U37" s="209"/>
      <c r="V37" s="210"/>
    </row>
    <row r="38" ht="18.75" hidden="1" customHeight="1" outlineLevel="1">
      <c r="A38" s="211" t="str">
        <f>Resources!$A16</f>
        <v/>
      </c>
      <c r="B38" s="207" t="str">
        <f t="shared" si="5"/>
        <v/>
      </c>
      <c r="C38" s="207" t="str">
        <f t="shared" si="6"/>
        <v/>
      </c>
      <c r="D38" s="208" t="str">
        <f t="array" ref="D38">IF(ISTEXT($A38),Round(XLOOKUP($A38,Resources!$A$4:$A$23,Resources!$AB$4:$AB$23)*'Roadmap setting'!$B$10,0),"")</f>
        <v/>
      </c>
      <c r="E38" s="208" t="str">
        <f>IFERROR(__xludf.DUMMYFUNCTION("IF(ISTEXT($A38),IFERROR(AVERAGE(FILTER(INDIRECT(""E""&amp;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ARRAYFORMULA(ISNUMBER(SEARCH($A38, INDIRECT(""A"" &amp; IFERRO"&amp;"R(MATCH(MAX(FILTER($C$3:$C160, $B$3:$B160=""Sprint nr:"",$C$3:$C160=MAX(FILTER($C$3:$C160, $B$3:$B160=""Sprint nr:""))-LEFT($A$25,2)+1)), $C$3:$C160, 0) + 2, ""N/A"") &amp; "":A"" &amp; IF(INDIRECT(""B"" &amp; (IFERROR(MATCH(MAX(FILTER($C$3:$C160, $B$3:$B160=""Sprint"&amp;" nr:"")), $C$3:$C160, 0) + 3, """"))),"""",IFERROR(MATCH(MAX(FILTER($C$3:$C160, $B$3:$B160=""Sprint nr:"")), $C$3:$C160, 0) + 1, """")))))))),""""),"""")"),"")</f>
        <v/>
      </c>
      <c r="F38" s="208" t="str">
        <f>IFERROR(__xludf.DUMMYFUNCTION("IF(ISTEXT($A38),IFERROR(AVERAGE(FILTER(INDIRECT(""F""&amp;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ARRAYFORMULA(ISNUMBER(SEARCH($A38, INDIRECT(""A"" &amp; IFERRO"&amp;"R(MATCH(MAX(FILTER($C$3:$C160, $B$3:$B160=""Sprint nr:"",$C$3:$C160=MAX(FILTER($C$3:$C160, $B$3:$B160=""Sprint nr:""))-LEFT($A$25,2)+1)), $C$3:$C160, 0) + 2, ""N/A"") &amp; "":A"" &amp; IF(INDIRECT(""B"" &amp; (IFERROR(MATCH(MAX(FILTER($C$3:$C160, $B$3:$B160=""Sprint"&amp;" nr:"")), $C$3:$C160, 0) + 3, """"))),"""",IFERROR(MATCH(MAX(FILTER($C$3:$C160, $B$3:$B160=""Sprint nr:"")), $C$3:$C160, 0) + 1, """")))))))),""""),"""")"),"")</f>
        <v/>
      </c>
      <c r="G38" s="207" t="str">
        <f t="array" ref="G38">IF(ISTEXT($A38), (IFERROR((SUMPRODUCT(($A$47:$A160 = $A38) * (G$47:G160 &lt;&gt; "") * IF(G$47:G160 = "Bad", -2, IF(G$47:G160 = "Below par", -1, IF(G$47:G160 = "Very well", 1, IF(G$47:G160 = "Excellent", 2, 0))))) / (COUNTIFS($A$47:$A160, $A38, G$47:G160, "&lt;&gt;")) * 25 + 50) / 50, "")),"")</f>
        <v/>
      </c>
      <c r="H38" s="207" t="str">
        <f t="array" ref="H38">IF(ISTEXT($A38), (IFERROR((SUMPRODUCT((INDIRECT("A"&amp;$B$46&amp;":A") = $A38) * (INDIRECT(H$46&amp;$B$46&amp;":"&amp;H$46) &lt;&gt; "") * IF(INDIRECT(H$46&amp;$B$46&amp;":"&amp;H$46) = "Bad", -2, IF(INDIRECT(H$46&amp;$B$46&amp;":"&amp;H$46) = "Below par", -1, IF(INDIRECT(H$46&amp;$B$46&amp;":"&amp;H$46) = "Very well", 1, IF(INDIRECT(H$46&amp;$B$46&amp;":"&amp;H$46) = "Excellent", 2, 0))))) / (COUNTIFS(INDIRECT("A"&amp;$B$46&amp;":A"), $A38, INDIRECT(H$46&amp;$B$46&amp;":"&amp;H$46), "&lt;&gt;")) * 25 + 50) / 50, "")),"")</f>
        <v/>
      </c>
      <c r="I38" s="207" t="str">
        <f t="array" ref="I38">IF(ISTEXT($A38), (IFERROR((SUMPRODUCT((INDIRECT("A"&amp;$B$46&amp;":A") = $A38) * (INDIRECT(I$46&amp;$B$46&amp;":"&amp;I$46) &lt;&gt; "") * IF(INDIRECT(I$46&amp;$B$46&amp;":"&amp;I$46) = "Bad", -2, IF(INDIRECT(I$46&amp;$B$46&amp;":"&amp;I$46) = "Below par", -1, IF(INDIRECT(I$46&amp;$B$46&amp;":"&amp;I$46) = "Very well", 1, IF(INDIRECT(I$46&amp;$B$46&amp;":"&amp;I$46) = "Excellent", 2, 0))))) / (COUNTIFS(INDIRECT("A"&amp;$B$46&amp;":A"), $A38, INDIRECT(I$46&amp;$B$46&amp;":"&amp;I$46), "&lt;&gt;")) * 25 + 50) / 50, "")),"")</f>
        <v/>
      </c>
      <c r="J38" s="207" t="str">
        <f t="array" ref="J38">IF(ISTEXT($A38), (IFERROR((SUMPRODUCT((INDIRECT("A"&amp;$B$46&amp;":A") = $A38) * (INDIRECT(J$46&amp;$B$46&amp;":"&amp;J$46) &lt;&gt; "") * IF(INDIRECT(J$46&amp;$B$46&amp;":"&amp;J$46) = "Bad", -2, IF(INDIRECT(J$46&amp;$B$46&amp;":"&amp;J$46) = "Below par", -1, IF(INDIRECT(J$46&amp;$B$46&amp;":"&amp;J$46) = "Very well", 1, IF(INDIRECT(J$46&amp;$B$46&amp;":"&amp;J$46) = "Excellent", 2, 0))))) / (COUNTIFS(INDIRECT("A"&amp;$B$46&amp;":A"), $A38, INDIRECT(J$46&amp;$B$46&amp;":"&amp;J$46), "&lt;&gt;")) * 25 + 50) / 50, "")),"")</f>
        <v/>
      </c>
      <c r="K38" s="207" t="str">
        <f t="array" ref="K38">IF(ISTEXT($A38), (IFERROR((SUMPRODUCT((INDIRECT("A"&amp;$B$46&amp;":A") = $A38) * (INDIRECT(K$46&amp;$B$46&amp;":"&amp;K$46) &lt;&gt; "") * IF(INDIRECT(K$46&amp;$B$46&amp;":"&amp;K$46) = "Bad", -2, IF(INDIRECT(K$46&amp;$B$46&amp;":"&amp;K$46) = "Below par", -1, IF(INDIRECT(K$46&amp;$B$46&amp;":"&amp;K$46) = "Very well", 1, IF(INDIRECT(K$46&amp;$B$46&amp;":"&amp;K$46) = "Excellent", 2, 0))))) / (COUNTIFS(INDIRECT("A"&amp;$B$46&amp;":A"), $A38, INDIRECT(K$46&amp;$B$46&amp;":"&amp;K$46), "&lt;&gt;")) * 25 + 50) / 50, "")),"")</f>
        <v/>
      </c>
      <c r="L38" s="207" t="str">
        <f t="array" ref="L38">IF(ISTEXT($A38), (IFERROR((SUMPRODUCT((INDIRECT("A"&amp;$B$46&amp;":A") = $A38) * (INDIRECT(L$46&amp;$B$46&amp;":"&amp;L$46) &lt;&gt; "") * IF(INDIRECT(L$46&amp;$B$46&amp;":"&amp;L$46) = "Bad", -2, IF(INDIRECT(L$46&amp;$B$46&amp;":"&amp;L$46) = "Below par", -1, IF(INDIRECT(L$46&amp;$B$46&amp;":"&amp;L$46) = "Very well", 1, IF(INDIRECT(L$46&amp;$B$46&amp;":"&amp;L$46) = "Excellent", 2, 0))))) / (COUNTIFS(INDIRECT("A"&amp;$B$46&amp;":A"), $A38, INDIRECT(L$46&amp;$B$46&amp;":"&amp;L$46), "&lt;&gt;")) * 25 + 50) / 50, "")),"")</f>
        <v/>
      </c>
      <c r="M38" s="207" t="str">
        <f t="array" ref="M38">IF(ISTEXT($A38), (IFERROR((SUMPRODUCT((INDIRECT("A"&amp;$B$46&amp;":A") = $A38) * (INDIRECT(M$46&amp;$B$46&amp;":"&amp;M$46) &lt;&gt; "") * IF(INDIRECT(M$46&amp;$B$46&amp;":"&amp;M$46) = "Bad", -2, IF(INDIRECT(M$46&amp;$B$46&amp;":"&amp;M$46) = "Below par", -1, IF(INDIRECT(M$46&amp;$B$46&amp;":"&amp;M$46) = "Very well", 1, IF(INDIRECT(M$46&amp;$B$46&amp;":"&amp;M$46) = "Excellent", 2, 0))))) / (COUNTIFS(INDIRECT("A"&amp;$B$46&amp;":A"), $A38, INDIRECT(M$46&amp;$B$46&amp;":"&amp;M$46), "&lt;&gt;")) * 25 + 50) / 50, "")),"")</f>
        <v/>
      </c>
      <c r="N38" s="207" t="str">
        <f t="array" ref="N38">IF(ISTEXT($A38), (IFERROR((SUMPRODUCT((INDIRECT("A"&amp;$B$46&amp;":A") = $A38) * (INDIRECT(N$46&amp;$B$46&amp;":"&amp;N$46) &lt;&gt; "") * IF(INDIRECT(N$46&amp;$B$46&amp;":"&amp;N$46) = "Bad", -2, IF(INDIRECT(N$46&amp;$B$46&amp;":"&amp;N$46) = "Below par", -1, IF(INDIRECT(N$46&amp;$B$46&amp;":"&amp;N$46) = "Very well", 1, IF(INDIRECT(N$46&amp;$B$46&amp;":"&amp;N$46) = "Excellent", 2, 0))))) / (COUNTIFS(INDIRECT("A"&amp;$B$46&amp;":A"), $A38, INDIRECT(N$46&amp;$B$46&amp;":"&amp;N$46), "&lt;&gt;")) * 25 + 50) / 50, "")),"")</f>
        <v/>
      </c>
      <c r="O38" s="207" t="str">
        <f t="array" ref="O38">IF(ISTEXT($A38), (IFERROR((SUMPRODUCT((INDIRECT("A"&amp;$B$46&amp;":A") = $A38) * (INDIRECT(O$46&amp;$B$46&amp;":"&amp;O$46) &lt;&gt; "") * IF(INDIRECT(O$46&amp;$B$46&amp;":"&amp;O$46) = "Bad", -2, IF(INDIRECT(O$46&amp;$B$46&amp;":"&amp;O$46) = "Below par", -1, IF(INDIRECT(O$46&amp;$B$46&amp;":"&amp;O$46) = "Very well", 1, IF(INDIRECT(O$46&amp;$B$46&amp;":"&amp;O$46) = "Excellent", 2, 0))))) / (COUNTIFS(INDIRECT("A"&amp;$B$46&amp;":A"), $A38, INDIRECT(O$46&amp;$B$46&amp;":"&amp;O$46), "&lt;&gt;")) * 25 + 50) / 50, "")),"")</f>
        <v/>
      </c>
      <c r="P38" s="207" t="str">
        <f t="array" ref="P38">IF(ISTEXT($A38), (IFERROR((SUMPRODUCT((INDIRECT("A"&amp;$B$46&amp;":A") = $A38) * (INDIRECT(P$46&amp;$B$46&amp;":"&amp;P$46) &lt;&gt; "") * IF(INDIRECT(P$46&amp;$B$46&amp;":"&amp;P$46) = "Bad", -2, IF(INDIRECT(P$46&amp;$B$46&amp;":"&amp;P$46) = "Below par", -1, IF(INDIRECT(P$46&amp;$B$46&amp;":"&amp;P$46) = "Very well", 1, IF(INDIRECT(P$46&amp;$B$46&amp;":"&amp;P$46) = "Excellent", 2, 0))))) / (COUNTIFS(INDIRECT("A"&amp;$B$46&amp;":A"), $A38, INDIRECT(P$46&amp;$B$46&amp;":"&amp;P$46), "&lt;&gt;")) * 25 + 50) / 50, "")),"")</f>
        <v/>
      </c>
      <c r="Q38" s="207" t="str">
        <f t="array" ref="Q38">IF(ISTEXT($A38), (IFERROR((SUMPRODUCT((INDIRECT("A"&amp;$B$46&amp;":A") = $A38) * (INDIRECT(Q$46&amp;$B$46&amp;":"&amp;Q$46) &lt;&gt; "") * IF(INDIRECT(Q$46&amp;$B$46&amp;":"&amp;Q$46) = "Bad", -2, IF(INDIRECT(Q$46&amp;$B$46&amp;":"&amp;Q$46) = "Below par", -1, IF(INDIRECT(Q$46&amp;$B$46&amp;":"&amp;Q$46) = "Very well", 1, IF(INDIRECT(Q$46&amp;$B$46&amp;":"&amp;Q$46) = "Excellent", 2, 0))))) / (COUNTIFS(INDIRECT("A"&amp;$B$46&amp;":A"), $A38, INDIRECT(Q$46&amp;$B$46&amp;":"&amp;Q$46), "&lt;&gt;")) * 25 + 50) / 50, "")),"")</f>
        <v/>
      </c>
      <c r="R38" s="207" t="str">
        <f t="array" ref="R38">IF(ISTEXT($A38), (IFERROR((SUMPRODUCT((INDIRECT("A"&amp;$B$46&amp;":A") = $A38) * (INDIRECT(R$46&amp;$B$46&amp;":"&amp;R$46) &lt;&gt; "") * IF(INDIRECT(R$46&amp;$B$46&amp;":"&amp;R$46) = "Bad", -2, IF(INDIRECT(R$46&amp;$B$46&amp;":"&amp;R$46) = "Below par", -1, IF(INDIRECT(R$46&amp;$B$46&amp;":"&amp;R$46) = "Very well", 1, IF(INDIRECT(R$46&amp;$B$46&amp;":"&amp;R$46) = "Excellent", 2, 0))))) / (COUNTIFS(INDIRECT("A"&amp;$B$46&amp;":A"), $A38, INDIRECT(R$46&amp;$B$46&amp;":"&amp;R$46), "&lt;&gt;")) * 25 + 50) / 50, "")),"")</f>
        <v/>
      </c>
      <c r="S38" s="207" t="str">
        <f t="array" ref="S38">IF(ISTEXT($A38), (IFERROR((SUMPRODUCT((INDIRECT("A"&amp;$B$46&amp;":A") = $A38) * (INDIRECT(S$46&amp;$B$46&amp;":"&amp;S$46) &lt;&gt; "") * IF(INDIRECT(S$46&amp;$B$46&amp;":"&amp;S$46) = "Bad", -2, IF(INDIRECT(S$46&amp;$B$46&amp;":"&amp;S$46) = "Below par", -1, IF(INDIRECT(S$46&amp;$B$46&amp;":"&amp;S$46) = "Very well", 1, IF(INDIRECT(S$46&amp;$B$46&amp;":"&amp;S$46) = "Excellent", 2, 0))))) / (COUNTIFS(INDIRECT("A"&amp;$B$46&amp;":A"), $A38, INDIRECT(S$46&amp;$B$46&amp;":"&amp;S$46), "&lt;&gt;")) * 25 + 50) / 50, "")),"")</f>
        <v/>
      </c>
      <c r="T38" s="207" t="str">
        <f t="array" ref="T38">IF(ISTEXT($A38), (IFERROR((SUMPRODUCT((INDIRECT("A"&amp;$B$46&amp;":A") = $A38) * (INDIRECT(T$46&amp;$B$46&amp;":"&amp;T$46) &lt;&gt; "") * IF(INDIRECT(T$46&amp;$B$46&amp;":"&amp;T$46) = "Bad", -2, IF(INDIRECT(T$46&amp;$B$46&amp;":"&amp;T$46) = "Below par", -1, IF(INDIRECT(T$46&amp;$B$46&amp;":"&amp;T$46) = "Very well", 1, IF(INDIRECT(T$46&amp;$B$46&amp;":"&amp;T$46) = "Excellent", 2, 0))))) / (COUNTIFS(INDIRECT("A"&amp;$B$46&amp;":A"), $A38, INDIRECT(T$46&amp;$B$46&amp;":"&amp;T$46), "&lt;&gt;")) * 25 + 50) / 50, "")),"")</f>
        <v/>
      </c>
      <c r="U38" s="209"/>
      <c r="V38" s="210"/>
    </row>
    <row r="39" ht="18.75" hidden="1" customHeight="1" outlineLevel="1">
      <c r="A39" s="211" t="str">
        <f>Resources!$A17</f>
        <v/>
      </c>
      <c r="B39" s="207" t="str">
        <f t="shared" si="5"/>
        <v/>
      </c>
      <c r="C39" s="207" t="str">
        <f t="shared" si="6"/>
        <v/>
      </c>
      <c r="D39" s="208" t="str">
        <f t="array" ref="D39">IF(ISTEXT($A39),Round(XLOOKUP($A39,Resources!$A$4:$A$23,Resources!$AB$4:$AB$23)*'Roadmap setting'!$B$10,0),"")</f>
        <v/>
      </c>
      <c r="E39" s="208" t="str">
        <f>IFERROR(__xludf.DUMMYFUNCTION("IF(ISTEXT($A39),IFERROR(AVERAGE(FILTER(INDIRECT(""E""&amp;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ARRAYFORMULA(ISNUMBER(SEARCH($A39, INDIRECT(""A"" &amp; IFERRO"&amp;"R(MATCH(MAX(FILTER($C$3:$C160, $B$3:$B160=""Sprint nr:"",$C$3:$C160=MAX(FILTER($C$3:$C160, $B$3:$B160=""Sprint nr:""))-LEFT($A$25,2)+1)), $C$3:$C160, 0) + 2, ""N/A"") &amp; "":A"" &amp; IF(INDIRECT(""B"" &amp; (IFERROR(MATCH(MAX(FILTER($C$3:$C160, $B$3:$B160=""Sprint"&amp;" nr:"")), $C$3:$C160, 0) + 3, """"))),"""",IFERROR(MATCH(MAX(FILTER($C$3:$C160, $B$3:$B160=""Sprint nr:"")), $C$3:$C160, 0) + 1, """")))))))),""""),"""")"),"")</f>
        <v/>
      </c>
      <c r="F39" s="208" t="str">
        <f>IFERROR(__xludf.DUMMYFUNCTION("IF(ISTEXT($A39),IFERROR(AVERAGE(FILTER(INDIRECT(""F""&amp;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ARRAYFORMULA(ISNUMBER(SEARCH($A39, INDIRECT(""A"" &amp; IFERRO"&amp;"R(MATCH(MAX(FILTER($C$3:$C160, $B$3:$B160=""Sprint nr:"",$C$3:$C160=MAX(FILTER($C$3:$C160, $B$3:$B160=""Sprint nr:""))-LEFT($A$25,2)+1)), $C$3:$C160, 0) + 2, ""N/A"") &amp; "":A"" &amp; IF(INDIRECT(""B"" &amp; (IFERROR(MATCH(MAX(FILTER($C$3:$C160, $B$3:$B160=""Sprint"&amp;" nr:"")), $C$3:$C160, 0) + 3, """"))),"""",IFERROR(MATCH(MAX(FILTER($C$3:$C160, $B$3:$B160=""Sprint nr:"")), $C$3:$C160, 0) + 1, """")))))))),""""),"""")"),"")</f>
        <v/>
      </c>
      <c r="G39" s="207" t="str">
        <f t="array" ref="G39">IF(ISTEXT($A39), (IFERROR((SUMPRODUCT(($A$47:$A160 = $A39) * (G$47:G160 &lt;&gt; "") * IF(G$47:G160 = "Bad", -2, IF(G$47:G160 = "Below par", -1, IF(G$47:G160 = "Very well", 1, IF(G$47:G160 = "Excellent", 2, 0))))) / (COUNTIFS($A$47:$A160, $A39, G$47:G160, "&lt;&gt;")) * 25 + 50) / 50, "")),"")</f>
        <v/>
      </c>
      <c r="H39" s="207" t="str">
        <f t="array" ref="H39">IF(ISTEXT($A39), (IFERROR((SUMPRODUCT((INDIRECT("A"&amp;$B$46&amp;":A") = $A39) * (INDIRECT(H$46&amp;$B$46&amp;":"&amp;H$46) &lt;&gt; "") * IF(INDIRECT(H$46&amp;$B$46&amp;":"&amp;H$46) = "Bad", -2, IF(INDIRECT(H$46&amp;$B$46&amp;":"&amp;H$46) = "Below par", -1, IF(INDIRECT(H$46&amp;$B$46&amp;":"&amp;H$46) = "Very well", 1, IF(INDIRECT(H$46&amp;$B$46&amp;":"&amp;H$46) = "Excellent", 2, 0))))) / (COUNTIFS(INDIRECT("A"&amp;$B$46&amp;":A"), $A39, INDIRECT(H$46&amp;$B$46&amp;":"&amp;H$46), "&lt;&gt;")) * 25 + 50) / 50, "")),"")</f>
        <v/>
      </c>
      <c r="I39" s="207" t="str">
        <f t="array" ref="I39">IF(ISTEXT($A39), (IFERROR((SUMPRODUCT((INDIRECT("A"&amp;$B$46&amp;":A") = $A39) * (INDIRECT(I$46&amp;$B$46&amp;":"&amp;I$46) &lt;&gt; "") * IF(INDIRECT(I$46&amp;$B$46&amp;":"&amp;I$46) = "Bad", -2, IF(INDIRECT(I$46&amp;$B$46&amp;":"&amp;I$46) = "Below par", -1, IF(INDIRECT(I$46&amp;$B$46&amp;":"&amp;I$46) = "Very well", 1, IF(INDIRECT(I$46&amp;$B$46&amp;":"&amp;I$46) = "Excellent", 2, 0))))) / (COUNTIFS(INDIRECT("A"&amp;$B$46&amp;":A"), $A39, INDIRECT(I$46&amp;$B$46&amp;":"&amp;I$46), "&lt;&gt;")) * 25 + 50) / 50, "")),"")</f>
        <v/>
      </c>
      <c r="J39" s="207" t="str">
        <f t="array" ref="J39">IF(ISTEXT($A39), (IFERROR((SUMPRODUCT((INDIRECT("A"&amp;$B$46&amp;":A") = $A39) * (INDIRECT(J$46&amp;$B$46&amp;":"&amp;J$46) &lt;&gt; "") * IF(INDIRECT(J$46&amp;$B$46&amp;":"&amp;J$46) = "Bad", -2, IF(INDIRECT(J$46&amp;$B$46&amp;":"&amp;J$46) = "Below par", -1, IF(INDIRECT(J$46&amp;$B$46&amp;":"&amp;J$46) = "Very well", 1, IF(INDIRECT(J$46&amp;$B$46&amp;":"&amp;J$46) = "Excellent", 2, 0))))) / (COUNTIFS(INDIRECT("A"&amp;$B$46&amp;":A"), $A39, INDIRECT(J$46&amp;$B$46&amp;":"&amp;J$46), "&lt;&gt;")) * 25 + 50) / 50, "")),"")</f>
        <v/>
      </c>
      <c r="K39" s="207" t="str">
        <f t="array" ref="K39">IF(ISTEXT($A39), (IFERROR((SUMPRODUCT((INDIRECT("A"&amp;$B$46&amp;":A") = $A39) * (INDIRECT(K$46&amp;$B$46&amp;":"&amp;K$46) &lt;&gt; "") * IF(INDIRECT(K$46&amp;$B$46&amp;":"&amp;K$46) = "Bad", -2, IF(INDIRECT(K$46&amp;$B$46&amp;":"&amp;K$46) = "Below par", -1, IF(INDIRECT(K$46&amp;$B$46&amp;":"&amp;K$46) = "Very well", 1, IF(INDIRECT(K$46&amp;$B$46&amp;":"&amp;K$46) = "Excellent", 2, 0))))) / (COUNTIFS(INDIRECT("A"&amp;$B$46&amp;":A"), $A39, INDIRECT(K$46&amp;$B$46&amp;":"&amp;K$46), "&lt;&gt;")) * 25 + 50) / 50, "")),"")</f>
        <v/>
      </c>
      <c r="L39" s="207" t="str">
        <f t="array" ref="L39">IF(ISTEXT($A39), (IFERROR((SUMPRODUCT((INDIRECT("A"&amp;$B$46&amp;":A") = $A39) * (INDIRECT(L$46&amp;$B$46&amp;":"&amp;L$46) &lt;&gt; "") * IF(INDIRECT(L$46&amp;$B$46&amp;":"&amp;L$46) = "Bad", -2, IF(INDIRECT(L$46&amp;$B$46&amp;":"&amp;L$46) = "Below par", -1, IF(INDIRECT(L$46&amp;$B$46&amp;":"&amp;L$46) = "Very well", 1, IF(INDIRECT(L$46&amp;$B$46&amp;":"&amp;L$46) = "Excellent", 2, 0))))) / (COUNTIFS(INDIRECT("A"&amp;$B$46&amp;":A"), $A39, INDIRECT(L$46&amp;$B$46&amp;":"&amp;L$46), "&lt;&gt;")) * 25 + 50) / 50, "")),"")</f>
        <v/>
      </c>
      <c r="M39" s="207" t="str">
        <f t="array" ref="M39">IF(ISTEXT($A39), (IFERROR((SUMPRODUCT((INDIRECT("A"&amp;$B$46&amp;":A") = $A39) * (INDIRECT(M$46&amp;$B$46&amp;":"&amp;M$46) &lt;&gt; "") * IF(INDIRECT(M$46&amp;$B$46&amp;":"&amp;M$46) = "Bad", -2, IF(INDIRECT(M$46&amp;$B$46&amp;":"&amp;M$46) = "Below par", -1, IF(INDIRECT(M$46&amp;$B$46&amp;":"&amp;M$46) = "Very well", 1, IF(INDIRECT(M$46&amp;$B$46&amp;":"&amp;M$46) = "Excellent", 2, 0))))) / (COUNTIFS(INDIRECT("A"&amp;$B$46&amp;":A"), $A39, INDIRECT(M$46&amp;$B$46&amp;":"&amp;M$46), "&lt;&gt;")) * 25 + 50) / 50, "")),"")</f>
        <v/>
      </c>
      <c r="N39" s="207" t="str">
        <f t="array" ref="N39">IF(ISTEXT($A39), (IFERROR((SUMPRODUCT((INDIRECT("A"&amp;$B$46&amp;":A") = $A39) * (INDIRECT(N$46&amp;$B$46&amp;":"&amp;N$46) &lt;&gt; "") * IF(INDIRECT(N$46&amp;$B$46&amp;":"&amp;N$46) = "Bad", -2, IF(INDIRECT(N$46&amp;$B$46&amp;":"&amp;N$46) = "Below par", -1, IF(INDIRECT(N$46&amp;$B$46&amp;":"&amp;N$46) = "Very well", 1, IF(INDIRECT(N$46&amp;$B$46&amp;":"&amp;N$46) = "Excellent", 2, 0))))) / (COUNTIFS(INDIRECT("A"&amp;$B$46&amp;":A"), $A39, INDIRECT(N$46&amp;$B$46&amp;":"&amp;N$46), "&lt;&gt;")) * 25 + 50) / 50, "")),"")</f>
        <v/>
      </c>
      <c r="O39" s="207" t="str">
        <f t="array" ref="O39">IF(ISTEXT($A39), (IFERROR((SUMPRODUCT((INDIRECT("A"&amp;$B$46&amp;":A") = $A39) * (INDIRECT(O$46&amp;$B$46&amp;":"&amp;O$46) &lt;&gt; "") * IF(INDIRECT(O$46&amp;$B$46&amp;":"&amp;O$46) = "Bad", -2, IF(INDIRECT(O$46&amp;$B$46&amp;":"&amp;O$46) = "Below par", -1, IF(INDIRECT(O$46&amp;$B$46&amp;":"&amp;O$46) = "Very well", 1, IF(INDIRECT(O$46&amp;$B$46&amp;":"&amp;O$46) = "Excellent", 2, 0))))) / (COUNTIFS(INDIRECT("A"&amp;$B$46&amp;":A"), $A39, INDIRECT(O$46&amp;$B$46&amp;":"&amp;O$46), "&lt;&gt;")) * 25 + 50) / 50, "")),"")</f>
        <v/>
      </c>
      <c r="P39" s="207" t="str">
        <f t="array" ref="P39">IF(ISTEXT($A39), (IFERROR((SUMPRODUCT((INDIRECT("A"&amp;$B$46&amp;":A") = $A39) * (INDIRECT(P$46&amp;$B$46&amp;":"&amp;P$46) &lt;&gt; "") * IF(INDIRECT(P$46&amp;$B$46&amp;":"&amp;P$46) = "Bad", -2, IF(INDIRECT(P$46&amp;$B$46&amp;":"&amp;P$46) = "Below par", -1, IF(INDIRECT(P$46&amp;$B$46&amp;":"&amp;P$46) = "Very well", 1, IF(INDIRECT(P$46&amp;$B$46&amp;":"&amp;P$46) = "Excellent", 2, 0))))) / (COUNTIFS(INDIRECT("A"&amp;$B$46&amp;":A"), $A39, INDIRECT(P$46&amp;$B$46&amp;":"&amp;P$46), "&lt;&gt;")) * 25 + 50) / 50, "")),"")</f>
        <v/>
      </c>
      <c r="Q39" s="207" t="str">
        <f t="array" ref="Q39">IF(ISTEXT($A39), (IFERROR((SUMPRODUCT((INDIRECT("A"&amp;$B$46&amp;":A") = $A39) * (INDIRECT(Q$46&amp;$B$46&amp;":"&amp;Q$46) &lt;&gt; "") * IF(INDIRECT(Q$46&amp;$B$46&amp;":"&amp;Q$46) = "Bad", -2, IF(INDIRECT(Q$46&amp;$B$46&amp;":"&amp;Q$46) = "Below par", -1, IF(INDIRECT(Q$46&amp;$B$46&amp;":"&amp;Q$46) = "Very well", 1, IF(INDIRECT(Q$46&amp;$B$46&amp;":"&amp;Q$46) = "Excellent", 2, 0))))) / (COUNTIFS(INDIRECT("A"&amp;$B$46&amp;":A"), $A39, INDIRECT(Q$46&amp;$B$46&amp;":"&amp;Q$46), "&lt;&gt;")) * 25 + 50) / 50, "")),"")</f>
        <v/>
      </c>
      <c r="R39" s="207" t="str">
        <f t="array" ref="R39">IF(ISTEXT($A39), (IFERROR((SUMPRODUCT((INDIRECT("A"&amp;$B$46&amp;":A") = $A39) * (INDIRECT(R$46&amp;$B$46&amp;":"&amp;R$46) &lt;&gt; "") * IF(INDIRECT(R$46&amp;$B$46&amp;":"&amp;R$46) = "Bad", -2, IF(INDIRECT(R$46&amp;$B$46&amp;":"&amp;R$46) = "Below par", -1, IF(INDIRECT(R$46&amp;$B$46&amp;":"&amp;R$46) = "Very well", 1, IF(INDIRECT(R$46&amp;$B$46&amp;":"&amp;R$46) = "Excellent", 2, 0))))) / (COUNTIFS(INDIRECT("A"&amp;$B$46&amp;":A"), $A39, INDIRECT(R$46&amp;$B$46&amp;":"&amp;R$46), "&lt;&gt;")) * 25 + 50) / 50, "")),"")</f>
        <v/>
      </c>
      <c r="S39" s="207" t="str">
        <f t="array" ref="S39">IF(ISTEXT($A39), (IFERROR((SUMPRODUCT((INDIRECT("A"&amp;$B$46&amp;":A") = $A39) * (INDIRECT(S$46&amp;$B$46&amp;":"&amp;S$46) &lt;&gt; "") * IF(INDIRECT(S$46&amp;$B$46&amp;":"&amp;S$46) = "Bad", -2, IF(INDIRECT(S$46&amp;$B$46&amp;":"&amp;S$46) = "Below par", -1, IF(INDIRECT(S$46&amp;$B$46&amp;":"&amp;S$46) = "Very well", 1, IF(INDIRECT(S$46&amp;$B$46&amp;":"&amp;S$46) = "Excellent", 2, 0))))) / (COUNTIFS(INDIRECT("A"&amp;$B$46&amp;":A"), $A39, INDIRECT(S$46&amp;$B$46&amp;":"&amp;S$46), "&lt;&gt;")) * 25 + 50) / 50, "")),"")</f>
        <v/>
      </c>
      <c r="T39" s="207" t="str">
        <f t="array" ref="T39">IF(ISTEXT($A39), (IFERROR((SUMPRODUCT((INDIRECT("A"&amp;$B$46&amp;":A") = $A39) * (INDIRECT(T$46&amp;$B$46&amp;":"&amp;T$46) &lt;&gt; "") * IF(INDIRECT(T$46&amp;$B$46&amp;":"&amp;T$46) = "Bad", -2, IF(INDIRECT(T$46&amp;$B$46&amp;":"&amp;T$46) = "Below par", -1, IF(INDIRECT(T$46&amp;$B$46&amp;":"&amp;T$46) = "Very well", 1, IF(INDIRECT(T$46&amp;$B$46&amp;":"&amp;T$46) = "Excellent", 2, 0))))) / (COUNTIFS(INDIRECT("A"&amp;$B$46&amp;":A"), $A39, INDIRECT(T$46&amp;$B$46&amp;":"&amp;T$46), "&lt;&gt;")) * 25 + 50) / 50, "")),"")</f>
        <v/>
      </c>
      <c r="U39" s="209"/>
      <c r="V39" s="210"/>
    </row>
    <row r="40" ht="18.75" hidden="1" customHeight="1" outlineLevel="1">
      <c r="A40" s="211" t="str">
        <f>Resources!$A18</f>
        <v/>
      </c>
      <c r="B40" s="207" t="str">
        <f t="shared" si="5"/>
        <v/>
      </c>
      <c r="C40" s="207" t="str">
        <f t="shared" si="6"/>
        <v/>
      </c>
      <c r="D40" s="208" t="str">
        <f t="array" ref="D40">IF(ISTEXT($A40),Round(XLOOKUP($A40,Resources!$A$4:$A$23,Resources!$AB$4:$AB$23)*'Roadmap setting'!$B$10,0),"")</f>
        <v/>
      </c>
      <c r="E40" s="208" t="str">
        <f>IFERROR(__xludf.DUMMYFUNCTION("IF(ISTEXT($A40),IFERROR(AVERAGE(FILTER(INDIRECT(""E""&amp;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ARRAYFORMULA(ISNUMBER(SEARCH($A40, INDIRECT(""A"" &amp; IFERRO"&amp;"R(MATCH(MAX(FILTER($C$3:$C160, $B$3:$B160=""Sprint nr:"",$C$3:$C160=MAX(FILTER($C$3:$C160, $B$3:$B160=""Sprint nr:""))-LEFT($A$25,2)+1)), $C$3:$C160, 0) + 2, ""N/A"") &amp; "":A"" &amp; IF(INDIRECT(""B"" &amp; (IFERROR(MATCH(MAX(FILTER($C$3:$C160, $B$3:$B160=""Sprint"&amp;" nr:"")), $C$3:$C160, 0) + 3, """"))),"""",IFERROR(MATCH(MAX(FILTER($C$3:$C160, $B$3:$B160=""Sprint nr:"")), $C$3:$C160, 0) + 1, """")))))))),""""),"""")"),"")</f>
        <v/>
      </c>
      <c r="F40" s="208" t="str">
        <f>IFERROR(__xludf.DUMMYFUNCTION("IF(ISTEXT($A40),IFERROR(AVERAGE(FILTER(INDIRECT(""F""&amp;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ARRAYFORMULA(ISNUMBER(SEARCH($A40, INDIRECT(""A"" &amp; IFERRO"&amp;"R(MATCH(MAX(FILTER($C$3:$C160, $B$3:$B160=""Sprint nr:"",$C$3:$C160=MAX(FILTER($C$3:$C160, $B$3:$B160=""Sprint nr:""))-LEFT($A$25,2)+1)), $C$3:$C160, 0) + 2, ""N/A"") &amp; "":A"" &amp; IF(INDIRECT(""B"" &amp; (IFERROR(MATCH(MAX(FILTER($C$3:$C160, $B$3:$B160=""Sprint"&amp;" nr:"")), $C$3:$C160, 0) + 3, """"))),"""",IFERROR(MATCH(MAX(FILTER($C$3:$C160, $B$3:$B160=""Sprint nr:"")), $C$3:$C160, 0) + 1, """")))))))),""""),"""")"),"")</f>
        <v/>
      </c>
      <c r="G40" s="207" t="str">
        <f t="array" ref="G40">IF(ISTEXT($A40), (IFERROR((SUMPRODUCT(($A$47:$A160 = $A40) * (G$47:G160 &lt;&gt; "") * IF(G$47:G160 = "Bad", -2, IF(G$47:G160 = "Below par", -1, IF(G$47:G160 = "Very well", 1, IF(G$47:G160 = "Excellent", 2, 0))))) / (COUNTIFS($A$47:$A160, $A40, G$47:G160, "&lt;&gt;")) * 25 + 50) / 50, "")),"")</f>
        <v/>
      </c>
      <c r="H40" s="207" t="str">
        <f t="array" ref="H40">IF(ISTEXT($A40), (IFERROR((SUMPRODUCT((INDIRECT("A"&amp;$B$46&amp;":A") = $A40) * (INDIRECT(H$46&amp;$B$46&amp;":"&amp;H$46) &lt;&gt; "") * IF(INDIRECT(H$46&amp;$B$46&amp;":"&amp;H$46) = "Bad", -2, IF(INDIRECT(H$46&amp;$B$46&amp;":"&amp;H$46) = "Below par", -1, IF(INDIRECT(H$46&amp;$B$46&amp;":"&amp;H$46) = "Very well", 1, IF(INDIRECT(H$46&amp;$B$46&amp;":"&amp;H$46) = "Excellent", 2, 0))))) / (COUNTIFS(INDIRECT("A"&amp;$B$46&amp;":A"), $A40, INDIRECT(H$46&amp;$B$46&amp;":"&amp;H$46), "&lt;&gt;")) * 25 + 50) / 50, "")),"")</f>
        <v/>
      </c>
      <c r="I40" s="207" t="str">
        <f t="array" ref="I40">IF(ISTEXT($A40), (IFERROR((SUMPRODUCT((INDIRECT("A"&amp;$B$46&amp;":A") = $A40) * (INDIRECT(I$46&amp;$B$46&amp;":"&amp;I$46) &lt;&gt; "") * IF(INDIRECT(I$46&amp;$B$46&amp;":"&amp;I$46) = "Bad", -2, IF(INDIRECT(I$46&amp;$B$46&amp;":"&amp;I$46) = "Below par", -1, IF(INDIRECT(I$46&amp;$B$46&amp;":"&amp;I$46) = "Very well", 1, IF(INDIRECT(I$46&amp;$B$46&amp;":"&amp;I$46) = "Excellent", 2, 0))))) / (COUNTIFS(INDIRECT("A"&amp;$B$46&amp;":A"), $A40, INDIRECT(I$46&amp;$B$46&amp;":"&amp;I$46), "&lt;&gt;")) * 25 + 50) / 50, "")),"")</f>
        <v/>
      </c>
      <c r="J40" s="207" t="str">
        <f t="array" ref="J40">IF(ISTEXT($A40), (IFERROR((SUMPRODUCT((INDIRECT("A"&amp;$B$46&amp;":A") = $A40) * (INDIRECT(J$46&amp;$B$46&amp;":"&amp;J$46) &lt;&gt; "") * IF(INDIRECT(J$46&amp;$B$46&amp;":"&amp;J$46) = "Bad", -2, IF(INDIRECT(J$46&amp;$B$46&amp;":"&amp;J$46) = "Below par", -1, IF(INDIRECT(J$46&amp;$B$46&amp;":"&amp;J$46) = "Very well", 1, IF(INDIRECT(J$46&amp;$B$46&amp;":"&amp;J$46) = "Excellent", 2, 0))))) / (COUNTIFS(INDIRECT("A"&amp;$B$46&amp;":A"), $A40, INDIRECT(J$46&amp;$B$46&amp;":"&amp;J$46), "&lt;&gt;")) * 25 + 50) / 50, "")),"")</f>
        <v/>
      </c>
      <c r="K40" s="207" t="str">
        <f t="array" ref="K40">IF(ISTEXT($A40), (IFERROR((SUMPRODUCT((INDIRECT("A"&amp;$B$46&amp;":A") = $A40) * (INDIRECT(K$46&amp;$B$46&amp;":"&amp;K$46) &lt;&gt; "") * IF(INDIRECT(K$46&amp;$B$46&amp;":"&amp;K$46) = "Bad", -2, IF(INDIRECT(K$46&amp;$B$46&amp;":"&amp;K$46) = "Below par", -1, IF(INDIRECT(K$46&amp;$B$46&amp;":"&amp;K$46) = "Very well", 1, IF(INDIRECT(K$46&amp;$B$46&amp;":"&amp;K$46) = "Excellent", 2, 0))))) / (COUNTIFS(INDIRECT("A"&amp;$B$46&amp;":A"), $A40, INDIRECT(K$46&amp;$B$46&amp;":"&amp;K$46), "&lt;&gt;")) * 25 + 50) / 50, "")),"")</f>
        <v/>
      </c>
      <c r="L40" s="207" t="str">
        <f t="array" ref="L40">IF(ISTEXT($A40), (IFERROR((SUMPRODUCT((INDIRECT("A"&amp;$B$46&amp;":A") = $A40) * (INDIRECT(L$46&amp;$B$46&amp;":"&amp;L$46) &lt;&gt; "") * IF(INDIRECT(L$46&amp;$B$46&amp;":"&amp;L$46) = "Bad", -2, IF(INDIRECT(L$46&amp;$B$46&amp;":"&amp;L$46) = "Below par", -1, IF(INDIRECT(L$46&amp;$B$46&amp;":"&amp;L$46) = "Very well", 1, IF(INDIRECT(L$46&amp;$B$46&amp;":"&amp;L$46) = "Excellent", 2, 0))))) / (COUNTIFS(INDIRECT("A"&amp;$B$46&amp;":A"), $A40, INDIRECT(L$46&amp;$B$46&amp;":"&amp;L$46), "&lt;&gt;")) * 25 + 50) / 50, "")),"")</f>
        <v/>
      </c>
      <c r="M40" s="207" t="str">
        <f t="array" ref="M40">IF(ISTEXT($A40), (IFERROR((SUMPRODUCT((INDIRECT("A"&amp;$B$46&amp;":A") = $A40) * (INDIRECT(M$46&amp;$B$46&amp;":"&amp;M$46) &lt;&gt; "") * IF(INDIRECT(M$46&amp;$B$46&amp;":"&amp;M$46) = "Bad", -2, IF(INDIRECT(M$46&amp;$B$46&amp;":"&amp;M$46) = "Below par", -1, IF(INDIRECT(M$46&amp;$B$46&amp;":"&amp;M$46) = "Very well", 1, IF(INDIRECT(M$46&amp;$B$46&amp;":"&amp;M$46) = "Excellent", 2, 0))))) / (COUNTIFS(INDIRECT("A"&amp;$B$46&amp;":A"), $A40, INDIRECT(M$46&amp;$B$46&amp;":"&amp;M$46), "&lt;&gt;")) * 25 + 50) / 50, "")),"")</f>
        <v/>
      </c>
      <c r="N40" s="207" t="str">
        <f t="array" ref="N40">IF(ISTEXT($A40), (IFERROR((SUMPRODUCT((INDIRECT("A"&amp;$B$46&amp;":A") = $A40) * (INDIRECT(N$46&amp;$B$46&amp;":"&amp;N$46) &lt;&gt; "") * IF(INDIRECT(N$46&amp;$B$46&amp;":"&amp;N$46) = "Bad", -2, IF(INDIRECT(N$46&amp;$B$46&amp;":"&amp;N$46) = "Below par", -1, IF(INDIRECT(N$46&amp;$B$46&amp;":"&amp;N$46) = "Very well", 1, IF(INDIRECT(N$46&amp;$B$46&amp;":"&amp;N$46) = "Excellent", 2, 0))))) / (COUNTIFS(INDIRECT("A"&amp;$B$46&amp;":A"), $A40, INDIRECT(N$46&amp;$B$46&amp;":"&amp;N$46), "&lt;&gt;")) * 25 + 50) / 50, "")),"")</f>
        <v/>
      </c>
      <c r="O40" s="207" t="str">
        <f t="array" ref="O40">IF(ISTEXT($A40), (IFERROR((SUMPRODUCT((INDIRECT("A"&amp;$B$46&amp;":A") = $A40) * (INDIRECT(O$46&amp;$B$46&amp;":"&amp;O$46) &lt;&gt; "") * IF(INDIRECT(O$46&amp;$B$46&amp;":"&amp;O$46) = "Bad", -2, IF(INDIRECT(O$46&amp;$B$46&amp;":"&amp;O$46) = "Below par", -1, IF(INDIRECT(O$46&amp;$B$46&amp;":"&amp;O$46) = "Very well", 1, IF(INDIRECT(O$46&amp;$B$46&amp;":"&amp;O$46) = "Excellent", 2, 0))))) / (COUNTIFS(INDIRECT("A"&amp;$B$46&amp;":A"), $A40, INDIRECT(O$46&amp;$B$46&amp;":"&amp;O$46), "&lt;&gt;")) * 25 + 50) / 50, "")),"")</f>
        <v/>
      </c>
      <c r="P40" s="207" t="str">
        <f t="array" ref="P40">IF(ISTEXT($A40), (IFERROR((SUMPRODUCT((INDIRECT("A"&amp;$B$46&amp;":A") = $A40) * (INDIRECT(P$46&amp;$B$46&amp;":"&amp;P$46) &lt;&gt; "") * IF(INDIRECT(P$46&amp;$B$46&amp;":"&amp;P$46) = "Bad", -2, IF(INDIRECT(P$46&amp;$B$46&amp;":"&amp;P$46) = "Below par", -1, IF(INDIRECT(P$46&amp;$B$46&amp;":"&amp;P$46) = "Very well", 1, IF(INDIRECT(P$46&amp;$B$46&amp;":"&amp;P$46) = "Excellent", 2, 0))))) / (COUNTIFS(INDIRECT("A"&amp;$B$46&amp;":A"), $A40, INDIRECT(P$46&amp;$B$46&amp;":"&amp;P$46), "&lt;&gt;")) * 25 + 50) / 50, "")),"")</f>
        <v/>
      </c>
      <c r="Q40" s="207" t="str">
        <f t="array" ref="Q40">IF(ISTEXT($A40), (IFERROR((SUMPRODUCT((INDIRECT("A"&amp;$B$46&amp;":A") = $A40) * (INDIRECT(Q$46&amp;$B$46&amp;":"&amp;Q$46) &lt;&gt; "") * IF(INDIRECT(Q$46&amp;$B$46&amp;":"&amp;Q$46) = "Bad", -2, IF(INDIRECT(Q$46&amp;$B$46&amp;":"&amp;Q$46) = "Below par", -1, IF(INDIRECT(Q$46&amp;$B$46&amp;":"&amp;Q$46) = "Very well", 1, IF(INDIRECT(Q$46&amp;$B$46&amp;":"&amp;Q$46) = "Excellent", 2, 0))))) / (COUNTIFS(INDIRECT("A"&amp;$B$46&amp;":A"), $A40, INDIRECT(Q$46&amp;$B$46&amp;":"&amp;Q$46), "&lt;&gt;")) * 25 + 50) / 50, "")),"")</f>
        <v/>
      </c>
      <c r="R40" s="207" t="str">
        <f t="array" ref="R40">IF(ISTEXT($A40), (IFERROR((SUMPRODUCT((INDIRECT("A"&amp;$B$46&amp;":A") = $A40) * (INDIRECT(R$46&amp;$B$46&amp;":"&amp;R$46) &lt;&gt; "") * IF(INDIRECT(R$46&amp;$B$46&amp;":"&amp;R$46) = "Bad", -2, IF(INDIRECT(R$46&amp;$B$46&amp;":"&amp;R$46) = "Below par", -1, IF(INDIRECT(R$46&amp;$B$46&amp;":"&amp;R$46) = "Very well", 1, IF(INDIRECT(R$46&amp;$B$46&amp;":"&amp;R$46) = "Excellent", 2, 0))))) / (COUNTIFS(INDIRECT("A"&amp;$B$46&amp;":A"), $A40, INDIRECT(R$46&amp;$B$46&amp;":"&amp;R$46), "&lt;&gt;")) * 25 + 50) / 50, "")),"")</f>
        <v/>
      </c>
      <c r="S40" s="207" t="str">
        <f t="array" ref="S40">IF(ISTEXT($A40), (IFERROR((SUMPRODUCT((INDIRECT("A"&amp;$B$46&amp;":A") = $A40) * (INDIRECT(S$46&amp;$B$46&amp;":"&amp;S$46) &lt;&gt; "") * IF(INDIRECT(S$46&amp;$B$46&amp;":"&amp;S$46) = "Bad", -2, IF(INDIRECT(S$46&amp;$B$46&amp;":"&amp;S$46) = "Below par", -1, IF(INDIRECT(S$46&amp;$B$46&amp;":"&amp;S$46) = "Very well", 1, IF(INDIRECT(S$46&amp;$B$46&amp;":"&amp;S$46) = "Excellent", 2, 0))))) / (COUNTIFS(INDIRECT("A"&amp;$B$46&amp;":A"), $A40, INDIRECT(S$46&amp;$B$46&amp;":"&amp;S$46), "&lt;&gt;")) * 25 + 50) / 50, "")),"")</f>
        <v/>
      </c>
      <c r="T40" s="207" t="str">
        <f t="array" ref="T40">IF(ISTEXT($A40), (IFERROR((SUMPRODUCT((INDIRECT("A"&amp;$B$46&amp;":A") = $A40) * (INDIRECT(T$46&amp;$B$46&amp;":"&amp;T$46) &lt;&gt; "") * IF(INDIRECT(T$46&amp;$B$46&amp;":"&amp;T$46) = "Bad", -2, IF(INDIRECT(T$46&amp;$B$46&amp;":"&amp;T$46) = "Below par", -1, IF(INDIRECT(T$46&amp;$B$46&amp;":"&amp;T$46) = "Very well", 1, IF(INDIRECT(T$46&amp;$B$46&amp;":"&amp;T$46) = "Excellent", 2, 0))))) / (COUNTIFS(INDIRECT("A"&amp;$B$46&amp;":A"), $A40, INDIRECT(T$46&amp;$B$46&amp;":"&amp;T$46), "&lt;&gt;")) * 25 + 50) / 50, "")),"")</f>
        <v/>
      </c>
      <c r="U40" s="209"/>
      <c r="V40" s="210"/>
    </row>
    <row r="41" ht="18.75" hidden="1" customHeight="1" outlineLevel="1">
      <c r="A41" s="211" t="str">
        <f>Resources!$A19</f>
        <v/>
      </c>
      <c r="B41" s="207" t="str">
        <f t="shared" si="5"/>
        <v/>
      </c>
      <c r="C41" s="207" t="str">
        <f t="shared" si="6"/>
        <v/>
      </c>
      <c r="D41" s="208" t="str">
        <f t="array" ref="D41">IF(ISTEXT($A41),Round(XLOOKUP($A41,Resources!$A$4:$A$23,Resources!$AB$4:$AB$23)*'Roadmap setting'!$B$10,0),"")</f>
        <v/>
      </c>
      <c r="E41" s="208" t="str">
        <f>IFERROR(__xludf.DUMMYFUNCTION("IF(ISTEXT($A41),IFERROR(AVERAGE(FILTER(INDIRECT(""E""&amp;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ARRAYFORMULA(ISNUMBER(SEARCH($A41, INDIRECT(""A"" &amp; IFERRO"&amp;"R(MATCH(MAX(FILTER($C$3:$C160, $B$3:$B160=""Sprint nr:"",$C$3:$C160=MAX(FILTER($C$3:$C160, $B$3:$B160=""Sprint nr:""))-LEFT($A$25,2)+1)), $C$3:$C160, 0) + 2, ""N/A"") &amp; "":A"" &amp; IF(INDIRECT(""B"" &amp; (IFERROR(MATCH(MAX(FILTER($C$3:$C160, $B$3:$B160=""Sprint"&amp;" nr:"")), $C$3:$C160, 0) + 3, """"))),"""",IFERROR(MATCH(MAX(FILTER($C$3:$C160, $B$3:$B160=""Sprint nr:"")), $C$3:$C160, 0) + 1, """")))))))),""""),"""")"),"")</f>
        <v/>
      </c>
      <c r="F41" s="208" t="str">
        <f>IFERROR(__xludf.DUMMYFUNCTION("IF(ISTEXT($A41),IFERROR(AVERAGE(FILTER(INDIRECT(""F""&amp;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ARRAYFORMULA(ISNUMBER(SEARCH($A41, INDIRECT(""A"" &amp; IFERRO"&amp;"R(MATCH(MAX(FILTER($C$3:$C160, $B$3:$B160=""Sprint nr:"",$C$3:$C160=MAX(FILTER($C$3:$C160, $B$3:$B160=""Sprint nr:""))-LEFT($A$25,2)+1)), $C$3:$C160, 0) + 2, ""N/A"") &amp; "":A"" &amp; IF(INDIRECT(""B"" &amp; (IFERROR(MATCH(MAX(FILTER($C$3:$C160, $B$3:$B160=""Sprint"&amp;" nr:"")), $C$3:$C160, 0) + 3, """"))),"""",IFERROR(MATCH(MAX(FILTER($C$3:$C160, $B$3:$B160=""Sprint nr:"")), $C$3:$C160, 0) + 1, """")))))))),""""),"""")"),"")</f>
        <v/>
      </c>
      <c r="G41" s="207" t="str">
        <f t="array" ref="G41">IF(ISTEXT($A41), (IFERROR((SUMPRODUCT(($A$47:$A160 = $A41) * (G$47:G160 &lt;&gt; "") * IF(G$47:G160 = "Bad", -2, IF(G$47:G160 = "Below par", -1, IF(G$47:G160 = "Very well", 1, IF(G$47:G160 = "Excellent", 2, 0))))) / (COUNTIFS($A$47:$A160, $A41, G$47:G160, "&lt;&gt;")) * 25 + 50) / 50, "")),"")</f>
        <v/>
      </c>
      <c r="H41" s="207" t="str">
        <f t="array" ref="H41">IF(ISTEXT($A41), (IFERROR((SUMPRODUCT((INDIRECT("A"&amp;$B$46&amp;":A") = $A41) * (INDIRECT(H$46&amp;$B$46&amp;":"&amp;H$46) &lt;&gt; "") * IF(INDIRECT(H$46&amp;$B$46&amp;":"&amp;H$46) = "Bad", -2, IF(INDIRECT(H$46&amp;$B$46&amp;":"&amp;H$46) = "Below par", -1, IF(INDIRECT(H$46&amp;$B$46&amp;":"&amp;H$46) = "Very well", 1, IF(INDIRECT(H$46&amp;$B$46&amp;":"&amp;H$46) = "Excellent", 2, 0))))) / (COUNTIFS(INDIRECT("A"&amp;$B$46&amp;":A"), $A41, INDIRECT(H$46&amp;$B$46&amp;":"&amp;H$46), "&lt;&gt;")) * 25 + 50) / 50, "")),"")</f>
        <v/>
      </c>
      <c r="I41" s="207" t="str">
        <f t="array" ref="I41">IF(ISTEXT($A41), (IFERROR((SUMPRODUCT((INDIRECT("A"&amp;$B$46&amp;":A") = $A41) * (INDIRECT(I$46&amp;$B$46&amp;":"&amp;I$46) &lt;&gt; "") * IF(INDIRECT(I$46&amp;$B$46&amp;":"&amp;I$46) = "Bad", -2, IF(INDIRECT(I$46&amp;$B$46&amp;":"&amp;I$46) = "Below par", -1, IF(INDIRECT(I$46&amp;$B$46&amp;":"&amp;I$46) = "Very well", 1, IF(INDIRECT(I$46&amp;$B$46&amp;":"&amp;I$46) = "Excellent", 2, 0))))) / (COUNTIFS(INDIRECT("A"&amp;$B$46&amp;":A"), $A41, INDIRECT(I$46&amp;$B$46&amp;":"&amp;I$46), "&lt;&gt;")) * 25 + 50) / 50, "")),"")</f>
        <v/>
      </c>
      <c r="J41" s="207" t="str">
        <f t="array" ref="J41">IF(ISTEXT($A41), (IFERROR((SUMPRODUCT((INDIRECT("A"&amp;$B$46&amp;":A") = $A41) * (INDIRECT(J$46&amp;$B$46&amp;":"&amp;J$46) &lt;&gt; "") * IF(INDIRECT(J$46&amp;$B$46&amp;":"&amp;J$46) = "Bad", -2, IF(INDIRECT(J$46&amp;$B$46&amp;":"&amp;J$46) = "Below par", -1, IF(INDIRECT(J$46&amp;$B$46&amp;":"&amp;J$46) = "Very well", 1, IF(INDIRECT(J$46&amp;$B$46&amp;":"&amp;J$46) = "Excellent", 2, 0))))) / (COUNTIFS(INDIRECT("A"&amp;$B$46&amp;":A"), $A41, INDIRECT(J$46&amp;$B$46&amp;":"&amp;J$46), "&lt;&gt;")) * 25 + 50) / 50, "")),"")</f>
        <v/>
      </c>
      <c r="K41" s="207" t="str">
        <f t="array" ref="K41">IF(ISTEXT($A41), (IFERROR((SUMPRODUCT((INDIRECT("A"&amp;$B$46&amp;":A") = $A41) * (INDIRECT(K$46&amp;$B$46&amp;":"&amp;K$46) &lt;&gt; "") * IF(INDIRECT(K$46&amp;$B$46&amp;":"&amp;K$46) = "Bad", -2, IF(INDIRECT(K$46&amp;$B$46&amp;":"&amp;K$46) = "Below par", -1, IF(INDIRECT(K$46&amp;$B$46&amp;":"&amp;K$46) = "Very well", 1, IF(INDIRECT(K$46&amp;$B$46&amp;":"&amp;K$46) = "Excellent", 2, 0))))) / (COUNTIFS(INDIRECT("A"&amp;$B$46&amp;":A"), $A41, INDIRECT(K$46&amp;$B$46&amp;":"&amp;K$46), "&lt;&gt;")) * 25 + 50) / 50, "")),"")</f>
        <v/>
      </c>
      <c r="L41" s="207" t="str">
        <f t="array" ref="L41">IF(ISTEXT($A41), (IFERROR((SUMPRODUCT((INDIRECT("A"&amp;$B$46&amp;":A") = $A41) * (INDIRECT(L$46&amp;$B$46&amp;":"&amp;L$46) &lt;&gt; "") * IF(INDIRECT(L$46&amp;$B$46&amp;":"&amp;L$46) = "Bad", -2, IF(INDIRECT(L$46&amp;$B$46&amp;":"&amp;L$46) = "Below par", -1, IF(INDIRECT(L$46&amp;$B$46&amp;":"&amp;L$46) = "Very well", 1, IF(INDIRECT(L$46&amp;$B$46&amp;":"&amp;L$46) = "Excellent", 2, 0))))) / (COUNTIFS(INDIRECT("A"&amp;$B$46&amp;":A"), $A41, INDIRECT(L$46&amp;$B$46&amp;":"&amp;L$46), "&lt;&gt;")) * 25 + 50) / 50, "")),"")</f>
        <v/>
      </c>
      <c r="M41" s="207" t="str">
        <f t="array" ref="M41">IF(ISTEXT($A41), (IFERROR((SUMPRODUCT((INDIRECT("A"&amp;$B$46&amp;":A") = $A41) * (INDIRECT(M$46&amp;$B$46&amp;":"&amp;M$46) &lt;&gt; "") * IF(INDIRECT(M$46&amp;$B$46&amp;":"&amp;M$46) = "Bad", -2, IF(INDIRECT(M$46&amp;$B$46&amp;":"&amp;M$46) = "Below par", -1, IF(INDIRECT(M$46&amp;$B$46&amp;":"&amp;M$46) = "Very well", 1, IF(INDIRECT(M$46&amp;$B$46&amp;":"&amp;M$46) = "Excellent", 2, 0))))) / (COUNTIFS(INDIRECT("A"&amp;$B$46&amp;":A"), $A41, INDIRECT(M$46&amp;$B$46&amp;":"&amp;M$46), "&lt;&gt;")) * 25 + 50) / 50, "")),"")</f>
        <v/>
      </c>
      <c r="N41" s="207" t="str">
        <f t="array" ref="N41">IF(ISTEXT($A41), (IFERROR((SUMPRODUCT((INDIRECT("A"&amp;$B$46&amp;":A") = $A41) * (INDIRECT(N$46&amp;$B$46&amp;":"&amp;N$46) &lt;&gt; "") * IF(INDIRECT(N$46&amp;$B$46&amp;":"&amp;N$46) = "Bad", -2, IF(INDIRECT(N$46&amp;$B$46&amp;":"&amp;N$46) = "Below par", -1, IF(INDIRECT(N$46&amp;$B$46&amp;":"&amp;N$46) = "Very well", 1, IF(INDIRECT(N$46&amp;$B$46&amp;":"&amp;N$46) = "Excellent", 2, 0))))) / (COUNTIFS(INDIRECT("A"&amp;$B$46&amp;":A"), $A41, INDIRECT(N$46&amp;$B$46&amp;":"&amp;N$46), "&lt;&gt;")) * 25 + 50) / 50, "")),"")</f>
        <v/>
      </c>
      <c r="O41" s="207" t="str">
        <f t="array" ref="O41">IF(ISTEXT($A41), (IFERROR((SUMPRODUCT((INDIRECT("A"&amp;$B$46&amp;":A") = $A41) * (INDIRECT(O$46&amp;$B$46&amp;":"&amp;O$46) &lt;&gt; "") * IF(INDIRECT(O$46&amp;$B$46&amp;":"&amp;O$46) = "Bad", -2, IF(INDIRECT(O$46&amp;$B$46&amp;":"&amp;O$46) = "Below par", -1, IF(INDIRECT(O$46&amp;$B$46&amp;":"&amp;O$46) = "Very well", 1, IF(INDIRECT(O$46&amp;$B$46&amp;":"&amp;O$46) = "Excellent", 2, 0))))) / (COUNTIFS(INDIRECT("A"&amp;$B$46&amp;":A"), $A41, INDIRECT(O$46&amp;$B$46&amp;":"&amp;O$46), "&lt;&gt;")) * 25 + 50) / 50, "")),"")</f>
        <v/>
      </c>
      <c r="P41" s="207" t="str">
        <f t="array" ref="P41">IF(ISTEXT($A41), (IFERROR((SUMPRODUCT((INDIRECT("A"&amp;$B$46&amp;":A") = $A41) * (INDIRECT(P$46&amp;$B$46&amp;":"&amp;P$46) &lt;&gt; "") * IF(INDIRECT(P$46&amp;$B$46&amp;":"&amp;P$46) = "Bad", -2, IF(INDIRECT(P$46&amp;$B$46&amp;":"&amp;P$46) = "Below par", -1, IF(INDIRECT(P$46&amp;$B$46&amp;":"&amp;P$46) = "Very well", 1, IF(INDIRECT(P$46&amp;$B$46&amp;":"&amp;P$46) = "Excellent", 2, 0))))) / (COUNTIFS(INDIRECT("A"&amp;$B$46&amp;":A"), $A41, INDIRECT(P$46&amp;$B$46&amp;":"&amp;P$46), "&lt;&gt;")) * 25 + 50) / 50, "")),"")</f>
        <v/>
      </c>
      <c r="Q41" s="207" t="str">
        <f t="array" ref="Q41">IF(ISTEXT($A41), (IFERROR((SUMPRODUCT((INDIRECT("A"&amp;$B$46&amp;":A") = $A41) * (INDIRECT(Q$46&amp;$B$46&amp;":"&amp;Q$46) &lt;&gt; "") * IF(INDIRECT(Q$46&amp;$B$46&amp;":"&amp;Q$46) = "Bad", -2, IF(INDIRECT(Q$46&amp;$B$46&amp;":"&amp;Q$46) = "Below par", -1, IF(INDIRECT(Q$46&amp;$B$46&amp;":"&amp;Q$46) = "Very well", 1, IF(INDIRECT(Q$46&amp;$B$46&amp;":"&amp;Q$46) = "Excellent", 2, 0))))) / (COUNTIFS(INDIRECT("A"&amp;$B$46&amp;":A"), $A41, INDIRECT(Q$46&amp;$B$46&amp;":"&amp;Q$46), "&lt;&gt;")) * 25 + 50) / 50, "")),"")</f>
        <v/>
      </c>
      <c r="R41" s="207" t="str">
        <f t="array" ref="R41">IF(ISTEXT($A41), (IFERROR((SUMPRODUCT((INDIRECT("A"&amp;$B$46&amp;":A") = $A41) * (INDIRECT(R$46&amp;$B$46&amp;":"&amp;R$46) &lt;&gt; "") * IF(INDIRECT(R$46&amp;$B$46&amp;":"&amp;R$46) = "Bad", -2, IF(INDIRECT(R$46&amp;$B$46&amp;":"&amp;R$46) = "Below par", -1, IF(INDIRECT(R$46&amp;$B$46&amp;":"&amp;R$46) = "Very well", 1, IF(INDIRECT(R$46&amp;$B$46&amp;":"&amp;R$46) = "Excellent", 2, 0))))) / (COUNTIFS(INDIRECT("A"&amp;$B$46&amp;":A"), $A41, INDIRECT(R$46&amp;$B$46&amp;":"&amp;R$46), "&lt;&gt;")) * 25 + 50) / 50, "")),"")</f>
        <v/>
      </c>
      <c r="S41" s="207" t="str">
        <f t="array" ref="S41">IF(ISTEXT($A41), (IFERROR((SUMPRODUCT((INDIRECT("A"&amp;$B$46&amp;":A") = $A41) * (INDIRECT(S$46&amp;$B$46&amp;":"&amp;S$46) &lt;&gt; "") * IF(INDIRECT(S$46&amp;$B$46&amp;":"&amp;S$46) = "Bad", -2, IF(INDIRECT(S$46&amp;$B$46&amp;":"&amp;S$46) = "Below par", -1, IF(INDIRECT(S$46&amp;$B$46&amp;":"&amp;S$46) = "Very well", 1, IF(INDIRECT(S$46&amp;$B$46&amp;":"&amp;S$46) = "Excellent", 2, 0))))) / (COUNTIFS(INDIRECT("A"&amp;$B$46&amp;":A"), $A41, INDIRECT(S$46&amp;$B$46&amp;":"&amp;S$46), "&lt;&gt;")) * 25 + 50) / 50, "")),"")</f>
        <v/>
      </c>
      <c r="T41" s="207" t="str">
        <f t="array" ref="T41">IF(ISTEXT($A41), (IFERROR((SUMPRODUCT((INDIRECT("A"&amp;$B$46&amp;":A") = $A41) * (INDIRECT(T$46&amp;$B$46&amp;":"&amp;T$46) &lt;&gt; "") * IF(INDIRECT(T$46&amp;$B$46&amp;":"&amp;T$46) = "Bad", -2, IF(INDIRECT(T$46&amp;$B$46&amp;":"&amp;T$46) = "Below par", -1, IF(INDIRECT(T$46&amp;$B$46&amp;":"&amp;T$46) = "Very well", 1, IF(INDIRECT(T$46&amp;$B$46&amp;":"&amp;T$46) = "Excellent", 2, 0))))) / (COUNTIFS(INDIRECT("A"&amp;$B$46&amp;":A"), $A41, INDIRECT(T$46&amp;$B$46&amp;":"&amp;T$46), "&lt;&gt;")) * 25 + 50) / 50, "")),"")</f>
        <v/>
      </c>
      <c r="U41" s="209"/>
      <c r="V41" s="210"/>
    </row>
    <row r="42" ht="18.75" hidden="1" customHeight="1" outlineLevel="1">
      <c r="A42" s="211" t="str">
        <f>Resources!$A20</f>
        <v/>
      </c>
      <c r="B42" s="207" t="str">
        <f t="shared" si="5"/>
        <v/>
      </c>
      <c r="C42" s="207" t="str">
        <f t="shared" si="6"/>
        <v/>
      </c>
      <c r="D42" s="208" t="str">
        <f t="array" ref="D42">IF(ISTEXT($A42),Round(XLOOKUP($A42,Resources!$A$4:$A$23,Resources!$AB$4:$AB$23)*'Roadmap setting'!$B$10,0),"")</f>
        <v/>
      </c>
      <c r="E42" s="208" t="str">
        <f>IFERROR(__xludf.DUMMYFUNCTION("IF(ISTEXT($A42),IFERROR(AVERAGE(FILTER(INDIRECT(""E""&amp;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ARRAYFORMULA(ISNUMBER(SEARCH($A42, INDIRECT(""A"" &amp; IFERRO"&amp;"R(MATCH(MAX(FILTER($C$3:$C160, $B$3:$B160=""Sprint nr:"",$C$3:$C160=MAX(FILTER($C$3:$C160, $B$3:$B160=""Sprint nr:""))-LEFT($A$25,2)+1)), $C$3:$C160, 0) + 2, ""N/A"") &amp; "":A"" &amp; IF(INDIRECT(""B"" &amp; (IFERROR(MATCH(MAX(FILTER($C$3:$C160, $B$3:$B160=""Sprint"&amp;" nr:"")), $C$3:$C160, 0) + 3, """"))),"""",IFERROR(MATCH(MAX(FILTER($C$3:$C160, $B$3:$B160=""Sprint nr:"")), $C$3:$C160, 0) + 1, """")))))))),""""),"""")"),"")</f>
        <v/>
      </c>
      <c r="F42" s="208" t="str">
        <f>IFERROR(__xludf.DUMMYFUNCTION("IF(ISTEXT($A42),IFERROR(AVERAGE(FILTER(INDIRECT(""F""&amp;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ARRAYFORMULA(ISNUMBER(SEARCH($A42, INDIRECT(""A"" &amp; IFERRO"&amp;"R(MATCH(MAX(FILTER($C$3:$C160, $B$3:$B160=""Sprint nr:"",$C$3:$C160=MAX(FILTER($C$3:$C160, $B$3:$B160=""Sprint nr:""))-LEFT($A$25,2)+1)), $C$3:$C160, 0) + 2, ""N/A"") &amp; "":A"" &amp; IF(INDIRECT(""B"" &amp; (IFERROR(MATCH(MAX(FILTER($C$3:$C160, $B$3:$B160=""Sprint"&amp;" nr:"")), $C$3:$C160, 0) + 3, """"))),"""",IFERROR(MATCH(MAX(FILTER($C$3:$C160, $B$3:$B160=""Sprint nr:"")), $C$3:$C160, 0) + 1, """")))))))),""""),"""")"),"")</f>
        <v/>
      </c>
      <c r="G42" s="207" t="str">
        <f t="array" ref="G42">IF(ISTEXT($A42), (IFERROR((SUMPRODUCT(($A$47:$A160 = $A42) * (G$47:G160 &lt;&gt; "") * IF(G$47:G160 = "Bad", -2, IF(G$47:G160 = "Below par", -1, IF(G$47:G160 = "Very well", 1, IF(G$47:G160 = "Excellent", 2, 0))))) / (COUNTIFS($A$47:$A160, $A42, G$47:G160, "&lt;&gt;")) * 25 + 50) / 50, "")),"")</f>
        <v/>
      </c>
      <c r="H42" s="207" t="str">
        <f t="array" ref="H42">IF(ISTEXT($A42), (IFERROR((SUMPRODUCT((INDIRECT("A"&amp;$B$46&amp;":A") = $A42) * (INDIRECT(H$46&amp;$B$46&amp;":"&amp;H$46) &lt;&gt; "") * IF(INDIRECT(H$46&amp;$B$46&amp;":"&amp;H$46) = "Bad", -2, IF(INDIRECT(H$46&amp;$B$46&amp;":"&amp;H$46) = "Below par", -1, IF(INDIRECT(H$46&amp;$B$46&amp;":"&amp;H$46) = "Very well", 1, IF(INDIRECT(H$46&amp;$B$46&amp;":"&amp;H$46) = "Excellent", 2, 0))))) / (COUNTIFS(INDIRECT("A"&amp;$B$46&amp;":A"), $A42, INDIRECT(H$46&amp;$B$46&amp;":"&amp;H$46), "&lt;&gt;")) * 25 + 50) / 50, "")),"")</f>
        <v/>
      </c>
      <c r="I42" s="207" t="str">
        <f t="array" ref="I42">IF(ISTEXT($A42), (IFERROR((SUMPRODUCT((INDIRECT("A"&amp;$B$46&amp;":A") = $A42) * (INDIRECT(I$46&amp;$B$46&amp;":"&amp;I$46) &lt;&gt; "") * IF(INDIRECT(I$46&amp;$B$46&amp;":"&amp;I$46) = "Bad", -2, IF(INDIRECT(I$46&amp;$B$46&amp;":"&amp;I$46) = "Below par", -1, IF(INDIRECT(I$46&amp;$B$46&amp;":"&amp;I$46) = "Very well", 1, IF(INDIRECT(I$46&amp;$B$46&amp;":"&amp;I$46) = "Excellent", 2, 0))))) / (COUNTIFS(INDIRECT("A"&amp;$B$46&amp;":A"), $A42, INDIRECT(I$46&amp;$B$46&amp;":"&amp;I$46), "&lt;&gt;")) * 25 + 50) / 50, "")),"")</f>
        <v/>
      </c>
      <c r="J42" s="207" t="str">
        <f t="array" ref="J42">IF(ISTEXT($A42), (IFERROR((SUMPRODUCT((INDIRECT("A"&amp;$B$46&amp;":A") = $A42) * (INDIRECT(J$46&amp;$B$46&amp;":"&amp;J$46) &lt;&gt; "") * IF(INDIRECT(J$46&amp;$B$46&amp;":"&amp;J$46) = "Bad", -2, IF(INDIRECT(J$46&amp;$B$46&amp;":"&amp;J$46) = "Below par", -1, IF(INDIRECT(J$46&amp;$B$46&amp;":"&amp;J$46) = "Very well", 1, IF(INDIRECT(J$46&amp;$B$46&amp;":"&amp;J$46) = "Excellent", 2, 0))))) / (COUNTIFS(INDIRECT("A"&amp;$B$46&amp;":A"), $A42, INDIRECT(J$46&amp;$B$46&amp;":"&amp;J$46), "&lt;&gt;")) * 25 + 50) / 50, "")),"")</f>
        <v/>
      </c>
      <c r="K42" s="207" t="str">
        <f t="array" ref="K42">IF(ISTEXT($A42), (IFERROR((SUMPRODUCT((INDIRECT("A"&amp;$B$46&amp;":A") = $A42) * (INDIRECT(K$46&amp;$B$46&amp;":"&amp;K$46) &lt;&gt; "") * IF(INDIRECT(K$46&amp;$B$46&amp;":"&amp;K$46) = "Bad", -2, IF(INDIRECT(K$46&amp;$B$46&amp;":"&amp;K$46) = "Below par", -1, IF(INDIRECT(K$46&amp;$B$46&amp;":"&amp;K$46) = "Very well", 1, IF(INDIRECT(K$46&amp;$B$46&amp;":"&amp;K$46) = "Excellent", 2, 0))))) / (COUNTIFS(INDIRECT("A"&amp;$B$46&amp;":A"), $A42, INDIRECT(K$46&amp;$B$46&amp;":"&amp;K$46), "&lt;&gt;")) * 25 + 50) / 50, "")),"")</f>
        <v/>
      </c>
      <c r="L42" s="207" t="str">
        <f t="array" ref="L42">IF(ISTEXT($A42), (IFERROR((SUMPRODUCT((INDIRECT("A"&amp;$B$46&amp;":A") = $A42) * (INDIRECT(L$46&amp;$B$46&amp;":"&amp;L$46) &lt;&gt; "") * IF(INDIRECT(L$46&amp;$B$46&amp;":"&amp;L$46) = "Bad", -2, IF(INDIRECT(L$46&amp;$B$46&amp;":"&amp;L$46) = "Below par", -1, IF(INDIRECT(L$46&amp;$B$46&amp;":"&amp;L$46) = "Very well", 1, IF(INDIRECT(L$46&amp;$B$46&amp;":"&amp;L$46) = "Excellent", 2, 0))))) / (COUNTIFS(INDIRECT("A"&amp;$B$46&amp;":A"), $A42, INDIRECT(L$46&amp;$B$46&amp;":"&amp;L$46), "&lt;&gt;")) * 25 + 50) / 50, "")),"")</f>
        <v/>
      </c>
      <c r="M42" s="207" t="str">
        <f t="array" ref="M42">IF(ISTEXT($A42), (IFERROR((SUMPRODUCT((INDIRECT("A"&amp;$B$46&amp;":A") = $A42) * (INDIRECT(M$46&amp;$B$46&amp;":"&amp;M$46) &lt;&gt; "") * IF(INDIRECT(M$46&amp;$B$46&amp;":"&amp;M$46) = "Bad", -2, IF(INDIRECT(M$46&amp;$B$46&amp;":"&amp;M$46) = "Below par", -1, IF(INDIRECT(M$46&amp;$B$46&amp;":"&amp;M$46) = "Very well", 1, IF(INDIRECT(M$46&amp;$B$46&amp;":"&amp;M$46) = "Excellent", 2, 0))))) / (COUNTIFS(INDIRECT("A"&amp;$B$46&amp;":A"), $A42, INDIRECT(M$46&amp;$B$46&amp;":"&amp;M$46), "&lt;&gt;")) * 25 + 50) / 50, "")),"")</f>
        <v/>
      </c>
      <c r="N42" s="207" t="str">
        <f t="array" ref="N42">IF(ISTEXT($A42), (IFERROR((SUMPRODUCT((INDIRECT("A"&amp;$B$46&amp;":A") = $A42) * (INDIRECT(N$46&amp;$B$46&amp;":"&amp;N$46) &lt;&gt; "") * IF(INDIRECT(N$46&amp;$B$46&amp;":"&amp;N$46) = "Bad", -2, IF(INDIRECT(N$46&amp;$B$46&amp;":"&amp;N$46) = "Below par", -1, IF(INDIRECT(N$46&amp;$B$46&amp;":"&amp;N$46) = "Very well", 1, IF(INDIRECT(N$46&amp;$B$46&amp;":"&amp;N$46) = "Excellent", 2, 0))))) / (COUNTIFS(INDIRECT("A"&amp;$B$46&amp;":A"), $A42, INDIRECT(N$46&amp;$B$46&amp;":"&amp;N$46), "&lt;&gt;")) * 25 + 50) / 50, "")),"")</f>
        <v/>
      </c>
      <c r="O42" s="207" t="str">
        <f t="array" ref="O42">IF(ISTEXT($A42), (IFERROR((SUMPRODUCT((INDIRECT("A"&amp;$B$46&amp;":A") = $A42) * (INDIRECT(O$46&amp;$B$46&amp;":"&amp;O$46) &lt;&gt; "") * IF(INDIRECT(O$46&amp;$B$46&amp;":"&amp;O$46) = "Bad", -2, IF(INDIRECT(O$46&amp;$B$46&amp;":"&amp;O$46) = "Below par", -1, IF(INDIRECT(O$46&amp;$B$46&amp;":"&amp;O$46) = "Very well", 1, IF(INDIRECT(O$46&amp;$B$46&amp;":"&amp;O$46) = "Excellent", 2, 0))))) / (COUNTIFS(INDIRECT("A"&amp;$B$46&amp;":A"), $A42, INDIRECT(O$46&amp;$B$46&amp;":"&amp;O$46), "&lt;&gt;")) * 25 + 50) / 50, "")),"")</f>
        <v/>
      </c>
      <c r="P42" s="207" t="str">
        <f t="array" ref="P42">IF(ISTEXT($A42), (IFERROR((SUMPRODUCT((INDIRECT("A"&amp;$B$46&amp;":A") = $A42) * (INDIRECT(P$46&amp;$B$46&amp;":"&amp;P$46) &lt;&gt; "") * IF(INDIRECT(P$46&amp;$B$46&amp;":"&amp;P$46) = "Bad", -2, IF(INDIRECT(P$46&amp;$B$46&amp;":"&amp;P$46) = "Below par", -1, IF(INDIRECT(P$46&amp;$B$46&amp;":"&amp;P$46) = "Very well", 1, IF(INDIRECT(P$46&amp;$B$46&amp;":"&amp;P$46) = "Excellent", 2, 0))))) / (COUNTIFS(INDIRECT("A"&amp;$B$46&amp;":A"), $A42, INDIRECT(P$46&amp;$B$46&amp;":"&amp;P$46), "&lt;&gt;")) * 25 + 50) / 50, "")),"")</f>
        <v/>
      </c>
      <c r="Q42" s="207" t="str">
        <f t="array" ref="Q42">IF(ISTEXT($A42), (IFERROR((SUMPRODUCT((INDIRECT("A"&amp;$B$46&amp;":A") = $A42) * (INDIRECT(Q$46&amp;$B$46&amp;":"&amp;Q$46) &lt;&gt; "") * IF(INDIRECT(Q$46&amp;$B$46&amp;":"&amp;Q$46) = "Bad", -2, IF(INDIRECT(Q$46&amp;$B$46&amp;":"&amp;Q$46) = "Below par", -1, IF(INDIRECT(Q$46&amp;$B$46&amp;":"&amp;Q$46) = "Very well", 1, IF(INDIRECT(Q$46&amp;$B$46&amp;":"&amp;Q$46) = "Excellent", 2, 0))))) / (COUNTIFS(INDIRECT("A"&amp;$B$46&amp;":A"), $A42, INDIRECT(Q$46&amp;$B$46&amp;":"&amp;Q$46), "&lt;&gt;")) * 25 + 50) / 50, "")),"")</f>
        <v/>
      </c>
      <c r="R42" s="207" t="str">
        <f t="array" ref="R42">IF(ISTEXT($A42), (IFERROR((SUMPRODUCT((INDIRECT("A"&amp;$B$46&amp;":A") = $A42) * (INDIRECT(R$46&amp;$B$46&amp;":"&amp;R$46) &lt;&gt; "") * IF(INDIRECT(R$46&amp;$B$46&amp;":"&amp;R$46) = "Bad", -2, IF(INDIRECT(R$46&amp;$B$46&amp;":"&amp;R$46) = "Below par", -1, IF(INDIRECT(R$46&amp;$B$46&amp;":"&amp;R$46) = "Very well", 1, IF(INDIRECT(R$46&amp;$B$46&amp;":"&amp;R$46) = "Excellent", 2, 0))))) / (COUNTIFS(INDIRECT("A"&amp;$B$46&amp;":A"), $A42, INDIRECT(R$46&amp;$B$46&amp;":"&amp;R$46), "&lt;&gt;")) * 25 + 50) / 50, "")),"")</f>
        <v/>
      </c>
      <c r="S42" s="207" t="str">
        <f t="array" ref="S42">IF(ISTEXT($A42), (IFERROR((SUMPRODUCT((INDIRECT("A"&amp;$B$46&amp;":A") = $A42) * (INDIRECT(S$46&amp;$B$46&amp;":"&amp;S$46) &lt;&gt; "") * IF(INDIRECT(S$46&amp;$B$46&amp;":"&amp;S$46) = "Bad", -2, IF(INDIRECT(S$46&amp;$B$46&amp;":"&amp;S$46) = "Below par", -1, IF(INDIRECT(S$46&amp;$B$46&amp;":"&amp;S$46) = "Very well", 1, IF(INDIRECT(S$46&amp;$B$46&amp;":"&amp;S$46) = "Excellent", 2, 0))))) / (COUNTIFS(INDIRECT("A"&amp;$B$46&amp;":A"), $A42, INDIRECT(S$46&amp;$B$46&amp;":"&amp;S$46), "&lt;&gt;")) * 25 + 50) / 50, "")),"")</f>
        <v/>
      </c>
      <c r="T42" s="207" t="str">
        <f t="array" ref="T42">IF(ISTEXT($A42), (IFERROR((SUMPRODUCT((INDIRECT("A"&amp;$B$46&amp;":A") = $A42) * (INDIRECT(T$46&amp;$B$46&amp;":"&amp;T$46) &lt;&gt; "") * IF(INDIRECT(T$46&amp;$B$46&amp;":"&amp;T$46) = "Bad", -2, IF(INDIRECT(T$46&amp;$B$46&amp;":"&amp;T$46) = "Below par", -1, IF(INDIRECT(T$46&amp;$B$46&amp;":"&amp;T$46) = "Very well", 1, IF(INDIRECT(T$46&amp;$B$46&amp;":"&amp;T$46) = "Excellent", 2, 0))))) / (COUNTIFS(INDIRECT("A"&amp;$B$46&amp;":A"), $A42, INDIRECT(T$46&amp;$B$46&amp;":"&amp;T$46), "&lt;&gt;")) * 25 + 50) / 50, "")),"")</f>
        <v/>
      </c>
      <c r="U42" s="209"/>
      <c r="V42" s="210"/>
    </row>
    <row r="43" ht="18.75" hidden="1" customHeight="1" outlineLevel="1">
      <c r="A43" s="211" t="str">
        <f>Resources!$A21</f>
        <v/>
      </c>
      <c r="B43" s="207" t="str">
        <f t="shared" si="5"/>
        <v/>
      </c>
      <c r="C43" s="207" t="str">
        <f t="shared" si="6"/>
        <v/>
      </c>
      <c r="D43" s="208" t="str">
        <f t="array" ref="D43">IF(ISTEXT($A43),Round(XLOOKUP($A43,Resources!$A$4:$A$23,Resources!$AB$4:$AB$23)*'Roadmap setting'!$B$10,0),"")</f>
        <v/>
      </c>
      <c r="E43" s="208" t="str">
        <f>IFERROR(__xludf.DUMMYFUNCTION("IF(ISTEXT($A43),IFERROR(AVERAGE(FILTER(INDIRECT(""E""&amp; IFERROR(MATCH(MAX(FILTER($C$3:$C160, $B$3:$B160=""Sprint nr:"",$C$3:$C160=MAX(FILTER($C$3:$C160, $B$3:$B160=""Sprint nr:""))-LEFT($A$25,2)+1)), $C$3:$C160, 0) + 2, ""N/A"") &amp;"":E""&amp; IF(INDIRECT(""B"" "&amp;"&amp; (IFERROR(MATCH(MAX(FILTER($C$3:$C160, $B$3:$B160=""Sprint nr:"")), $C$3:$C160, 0) + 3, """"))),"""",IFERROR(MATCH(MAX(FILTER($C$3:$C160, $B$3:$B160=""Sprint nr:"")), $C$3:$C160, 0) + 1, """"))), ARRAYFORMULA(ISNUMBER(SEARCH($A43, INDIRECT(""A"" &amp; IFERRO"&amp;"R(MATCH(MAX(FILTER($C$3:$C160, $B$3:$B160=""Sprint nr:"",$C$3:$C160=MAX(FILTER($C$3:$C160, $B$3:$B160=""Sprint nr:""))-LEFT($A$25,2)+1)), $C$3:$C160, 0) + 2, ""N/A"") &amp; "":A"" &amp; IF(INDIRECT(""B"" &amp; (IFERROR(MATCH(MAX(FILTER($C$3:$C160, $B$3:$B160=""Sprint"&amp;" nr:"")), $C$3:$C160, 0) + 3, """"))),"""",IFERROR(MATCH(MAX(FILTER($C$3:$C160, $B$3:$B160=""Sprint nr:"")), $C$3:$C160, 0) + 1, """")))))))),""""),"""")"),"")</f>
        <v/>
      </c>
      <c r="F43" s="208" t="str">
        <f>IFERROR(__xludf.DUMMYFUNCTION("IF(ISTEXT($A43),IFERROR(AVERAGE(FILTER(INDIRECT(""F""&amp; IFERROR(MATCH(MAX(FILTER($C$3:$C160, $B$3:$B160=""Sprint nr:"",$C$3:$C160=MAX(FILTER($C$3:$C160, $B$3:$B160=""Sprint nr:""))-LEFT($A$25,2)+1)), $C$3:$C160, 0) + 2, ""N/A"") &amp;"":F""&amp; IF(INDIRECT(""B"" "&amp;"&amp; (IFERROR(MATCH(MAX(FILTER($C$3:$C160, $B$3:$B160=""Sprint nr:"")), $C$3:$C160, 0) + 3, """"))),"""",IFERROR(MATCH(MAX(FILTER($C$3:$C160, $B$3:$B160=""Sprint nr:"")), $C$3:$C160, 0) + 1, """"))), ARRAYFORMULA(ISNUMBER(SEARCH($A43, INDIRECT(""A"" &amp; IFERRO"&amp;"R(MATCH(MAX(FILTER($C$3:$C160, $B$3:$B160=""Sprint nr:"",$C$3:$C160=MAX(FILTER($C$3:$C160, $B$3:$B160=""Sprint nr:""))-LEFT($A$25,2)+1)), $C$3:$C160, 0) + 2, ""N/A"") &amp; "":A"" &amp; IF(INDIRECT(""B"" &amp; (IFERROR(MATCH(MAX(FILTER($C$3:$C160, $B$3:$B160=""Sprint"&amp;" nr:"")), $C$3:$C160, 0) + 3, """"))),"""",IFERROR(MATCH(MAX(FILTER($C$3:$C160, $B$3:$B160=""Sprint nr:"")), $C$3:$C160, 0) + 1, """")))))))),""""),"""")"),"")</f>
        <v/>
      </c>
      <c r="G43" s="207" t="str">
        <f t="array" ref="G43">IF(ISTEXT($A43), (IFERROR((SUMPRODUCT(($A$47:$A160 = $A43) * (G$47:G160 &lt;&gt; "") * IF(G$47:G160 = "Bad", -2, IF(G$47:G160 = "Below par", -1, IF(G$47:G160 = "Very well", 1, IF(G$47:G160 = "Excellent", 2, 0))))) / (COUNTIFS($A$47:$A160, $A43, G$47:G160, "&lt;&gt;")) * 25 + 50) / 50, "")),"")</f>
        <v/>
      </c>
      <c r="H43" s="207" t="str">
        <f t="array" ref="H43">IF(ISTEXT($A43), (IFERROR((SUMPRODUCT((INDIRECT("A"&amp;$B$46&amp;":A") = $A43) * (INDIRECT(H$46&amp;$B$46&amp;":"&amp;H$46) &lt;&gt; "") * IF(INDIRECT(H$46&amp;$B$46&amp;":"&amp;H$46) = "Bad", -2, IF(INDIRECT(H$46&amp;$B$46&amp;":"&amp;H$46) = "Below par", -1, IF(INDIRECT(H$46&amp;$B$46&amp;":"&amp;H$46) = "Very well", 1, IF(INDIRECT(H$46&amp;$B$46&amp;":"&amp;H$46) = "Excellent", 2, 0))))) / (COUNTIFS(INDIRECT("A"&amp;$B$46&amp;":A"), $A43, INDIRECT(H$46&amp;$B$46&amp;":"&amp;H$46), "&lt;&gt;")) * 25 + 50) / 50, "")),"")</f>
        <v/>
      </c>
      <c r="I43" s="207" t="str">
        <f t="array" ref="I43">IF(ISTEXT($A43), (IFERROR((SUMPRODUCT((INDIRECT("A"&amp;$B$46&amp;":A") = $A43) * (INDIRECT(I$46&amp;$B$46&amp;":"&amp;I$46) &lt;&gt; "") * IF(INDIRECT(I$46&amp;$B$46&amp;":"&amp;I$46) = "Bad", -2, IF(INDIRECT(I$46&amp;$B$46&amp;":"&amp;I$46) = "Below par", -1, IF(INDIRECT(I$46&amp;$B$46&amp;":"&amp;I$46) = "Very well", 1, IF(INDIRECT(I$46&amp;$B$46&amp;":"&amp;I$46) = "Excellent", 2, 0))))) / (COUNTIFS(INDIRECT("A"&amp;$B$46&amp;":A"), $A43, INDIRECT(I$46&amp;$B$46&amp;":"&amp;I$46), "&lt;&gt;")) * 25 + 50) / 50, "")),"")</f>
        <v/>
      </c>
      <c r="J43" s="207" t="str">
        <f t="array" ref="J43">IF(ISTEXT($A43), (IFERROR((SUMPRODUCT((INDIRECT("A"&amp;$B$46&amp;":A") = $A43) * (INDIRECT(J$46&amp;$B$46&amp;":"&amp;J$46) &lt;&gt; "") * IF(INDIRECT(J$46&amp;$B$46&amp;":"&amp;J$46) = "Bad", -2, IF(INDIRECT(J$46&amp;$B$46&amp;":"&amp;J$46) = "Below par", -1, IF(INDIRECT(J$46&amp;$B$46&amp;":"&amp;J$46) = "Very well", 1, IF(INDIRECT(J$46&amp;$B$46&amp;":"&amp;J$46) = "Excellent", 2, 0))))) / (COUNTIFS(INDIRECT("A"&amp;$B$46&amp;":A"), $A43, INDIRECT(J$46&amp;$B$46&amp;":"&amp;J$46), "&lt;&gt;")) * 25 + 50) / 50, "")),"")</f>
        <v/>
      </c>
      <c r="K43" s="207" t="str">
        <f t="array" ref="K43">IF(ISTEXT($A43), (IFERROR((SUMPRODUCT((INDIRECT("A"&amp;$B$46&amp;":A") = $A43) * (INDIRECT(K$46&amp;$B$46&amp;":"&amp;K$46) &lt;&gt; "") * IF(INDIRECT(K$46&amp;$B$46&amp;":"&amp;K$46) = "Bad", -2, IF(INDIRECT(K$46&amp;$B$46&amp;":"&amp;K$46) = "Below par", -1, IF(INDIRECT(K$46&amp;$B$46&amp;":"&amp;K$46) = "Very well", 1, IF(INDIRECT(K$46&amp;$B$46&amp;":"&amp;K$46) = "Excellent", 2, 0))))) / (COUNTIFS(INDIRECT("A"&amp;$B$46&amp;":A"), $A43, INDIRECT(K$46&amp;$B$46&amp;":"&amp;K$46), "&lt;&gt;")) * 25 + 50) / 50, "")),"")</f>
        <v/>
      </c>
      <c r="L43" s="207" t="str">
        <f t="array" ref="L43">IF(ISTEXT($A43), (IFERROR((SUMPRODUCT((INDIRECT("A"&amp;$B$46&amp;":A") = $A43) * (INDIRECT(L$46&amp;$B$46&amp;":"&amp;L$46) &lt;&gt; "") * IF(INDIRECT(L$46&amp;$B$46&amp;":"&amp;L$46) = "Bad", -2, IF(INDIRECT(L$46&amp;$B$46&amp;":"&amp;L$46) = "Below par", -1, IF(INDIRECT(L$46&amp;$B$46&amp;":"&amp;L$46) = "Very well", 1, IF(INDIRECT(L$46&amp;$B$46&amp;":"&amp;L$46) = "Excellent", 2, 0))))) / (COUNTIFS(INDIRECT("A"&amp;$B$46&amp;":A"), $A43, INDIRECT(L$46&amp;$B$46&amp;":"&amp;L$46), "&lt;&gt;")) * 25 + 50) / 50, "")),"")</f>
        <v/>
      </c>
      <c r="M43" s="207" t="str">
        <f t="array" ref="M43">IF(ISTEXT($A43), (IFERROR((SUMPRODUCT((INDIRECT("A"&amp;$B$46&amp;":A") = $A43) * (INDIRECT(M$46&amp;$B$46&amp;":"&amp;M$46) &lt;&gt; "") * IF(INDIRECT(M$46&amp;$B$46&amp;":"&amp;M$46) = "Bad", -2, IF(INDIRECT(M$46&amp;$B$46&amp;":"&amp;M$46) = "Below par", -1, IF(INDIRECT(M$46&amp;$B$46&amp;":"&amp;M$46) = "Very well", 1, IF(INDIRECT(M$46&amp;$B$46&amp;":"&amp;M$46) = "Excellent", 2, 0))))) / (COUNTIFS(INDIRECT("A"&amp;$B$46&amp;":A"), $A43, INDIRECT(M$46&amp;$B$46&amp;":"&amp;M$46), "&lt;&gt;")) * 25 + 50) / 50, "")),"")</f>
        <v/>
      </c>
      <c r="N43" s="207" t="str">
        <f t="array" ref="N43">IF(ISTEXT($A43), (IFERROR((SUMPRODUCT((INDIRECT("A"&amp;$B$46&amp;":A") = $A43) * (INDIRECT(N$46&amp;$B$46&amp;":"&amp;N$46) &lt;&gt; "") * IF(INDIRECT(N$46&amp;$B$46&amp;":"&amp;N$46) = "Bad", -2, IF(INDIRECT(N$46&amp;$B$46&amp;":"&amp;N$46) = "Below par", -1, IF(INDIRECT(N$46&amp;$B$46&amp;":"&amp;N$46) = "Very well", 1, IF(INDIRECT(N$46&amp;$B$46&amp;":"&amp;N$46) = "Excellent", 2, 0))))) / (COUNTIFS(INDIRECT("A"&amp;$B$46&amp;":A"), $A43, INDIRECT(N$46&amp;$B$46&amp;":"&amp;N$46), "&lt;&gt;")) * 25 + 50) / 50, "")),"")</f>
        <v/>
      </c>
      <c r="O43" s="207" t="str">
        <f t="array" ref="O43">IF(ISTEXT($A43), (IFERROR((SUMPRODUCT((INDIRECT("A"&amp;$B$46&amp;":A") = $A43) * (INDIRECT(O$46&amp;$B$46&amp;":"&amp;O$46) &lt;&gt; "") * IF(INDIRECT(O$46&amp;$B$46&amp;":"&amp;O$46) = "Bad", -2, IF(INDIRECT(O$46&amp;$B$46&amp;":"&amp;O$46) = "Below par", -1, IF(INDIRECT(O$46&amp;$B$46&amp;":"&amp;O$46) = "Very well", 1, IF(INDIRECT(O$46&amp;$B$46&amp;":"&amp;O$46) = "Excellent", 2, 0))))) / (COUNTIFS(INDIRECT("A"&amp;$B$46&amp;":A"), $A43, INDIRECT(O$46&amp;$B$46&amp;":"&amp;O$46), "&lt;&gt;")) * 25 + 50) / 50, "")),"")</f>
        <v/>
      </c>
      <c r="P43" s="207" t="str">
        <f t="array" ref="P43">IF(ISTEXT($A43), (IFERROR((SUMPRODUCT((INDIRECT("A"&amp;$B$46&amp;":A") = $A43) * (INDIRECT(P$46&amp;$B$46&amp;":"&amp;P$46) &lt;&gt; "") * IF(INDIRECT(P$46&amp;$B$46&amp;":"&amp;P$46) = "Bad", -2, IF(INDIRECT(P$46&amp;$B$46&amp;":"&amp;P$46) = "Below par", -1, IF(INDIRECT(P$46&amp;$B$46&amp;":"&amp;P$46) = "Very well", 1, IF(INDIRECT(P$46&amp;$B$46&amp;":"&amp;P$46) = "Excellent", 2, 0))))) / (COUNTIFS(INDIRECT("A"&amp;$B$46&amp;":A"), $A43, INDIRECT(P$46&amp;$B$46&amp;":"&amp;P$46), "&lt;&gt;")) * 25 + 50) / 50, "")),"")</f>
        <v/>
      </c>
      <c r="Q43" s="207" t="str">
        <f t="array" ref="Q43">IF(ISTEXT($A43), (IFERROR((SUMPRODUCT((INDIRECT("A"&amp;$B$46&amp;":A") = $A43) * (INDIRECT(Q$46&amp;$B$46&amp;":"&amp;Q$46) &lt;&gt; "") * IF(INDIRECT(Q$46&amp;$B$46&amp;":"&amp;Q$46) = "Bad", -2, IF(INDIRECT(Q$46&amp;$B$46&amp;":"&amp;Q$46) = "Below par", -1, IF(INDIRECT(Q$46&amp;$B$46&amp;":"&amp;Q$46) = "Very well", 1, IF(INDIRECT(Q$46&amp;$B$46&amp;":"&amp;Q$46) = "Excellent", 2, 0))))) / (COUNTIFS(INDIRECT("A"&amp;$B$46&amp;":A"), $A43, INDIRECT(Q$46&amp;$B$46&amp;":"&amp;Q$46), "&lt;&gt;")) * 25 + 50) / 50, "")),"")</f>
        <v/>
      </c>
      <c r="R43" s="207" t="str">
        <f t="array" ref="R43">IF(ISTEXT($A43), (IFERROR((SUMPRODUCT((INDIRECT("A"&amp;$B$46&amp;":A") = $A43) * (INDIRECT(R$46&amp;$B$46&amp;":"&amp;R$46) &lt;&gt; "") * IF(INDIRECT(R$46&amp;$B$46&amp;":"&amp;R$46) = "Bad", -2, IF(INDIRECT(R$46&amp;$B$46&amp;":"&amp;R$46) = "Below par", -1, IF(INDIRECT(R$46&amp;$B$46&amp;":"&amp;R$46) = "Very well", 1, IF(INDIRECT(R$46&amp;$B$46&amp;":"&amp;R$46) = "Excellent", 2, 0))))) / (COUNTIFS(INDIRECT("A"&amp;$B$46&amp;":A"), $A43, INDIRECT(R$46&amp;$B$46&amp;":"&amp;R$46), "&lt;&gt;")) * 25 + 50) / 50, "")),"")</f>
        <v/>
      </c>
      <c r="S43" s="207" t="str">
        <f t="array" ref="S43">IF(ISTEXT($A43), (IFERROR((SUMPRODUCT((INDIRECT("A"&amp;$B$46&amp;":A") = $A43) * (INDIRECT(S$46&amp;$B$46&amp;":"&amp;S$46) &lt;&gt; "") * IF(INDIRECT(S$46&amp;$B$46&amp;":"&amp;S$46) = "Bad", -2, IF(INDIRECT(S$46&amp;$B$46&amp;":"&amp;S$46) = "Below par", -1, IF(INDIRECT(S$46&amp;$B$46&amp;":"&amp;S$46) = "Very well", 1, IF(INDIRECT(S$46&amp;$B$46&amp;":"&amp;S$46) = "Excellent", 2, 0))))) / (COUNTIFS(INDIRECT("A"&amp;$B$46&amp;":A"), $A43, INDIRECT(S$46&amp;$B$46&amp;":"&amp;S$46), "&lt;&gt;")) * 25 + 50) / 50, "")),"")</f>
        <v/>
      </c>
      <c r="T43" s="207" t="str">
        <f t="array" ref="T43">IF(ISTEXT($A43), (IFERROR((SUMPRODUCT((INDIRECT("A"&amp;$B$46&amp;":A") = $A43) * (INDIRECT(T$46&amp;$B$46&amp;":"&amp;T$46) &lt;&gt; "") * IF(INDIRECT(T$46&amp;$B$46&amp;":"&amp;T$46) = "Bad", -2, IF(INDIRECT(T$46&amp;$B$46&amp;":"&amp;T$46) = "Below par", -1, IF(INDIRECT(T$46&amp;$B$46&amp;":"&amp;T$46) = "Very well", 1, IF(INDIRECT(T$46&amp;$B$46&amp;":"&amp;T$46) = "Excellent", 2, 0))))) / (COUNTIFS(INDIRECT("A"&amp;$B$46&amp;":A"), $A43, INDIRECT(T$46&amp;$B$46&amp;":"&amp;T$46), "&lt;&gt;")) * 25 + 50) / 50, "")),"")</f>
        <v/>
      </c>
      <c r="U43" s="209"/>
      <c r="V43" s="210"/>
    </row>
    <row r="44" ht="18.75" hidden="1" customHeight="1" outlineLevel="1">
      <c r="A44" s="211" t="str">
        <f>Resources!$A22</f>
        <v/>
      </c>
      <c r="B44" s="207" t="str">
        <f t="shared" si="5"/>
        <v/>
      </c>
      <c r="C44" s="207"/>
      <c r="D44" s="208"/>
      <c r="E44" s="208"/>
      <c r="F44" s="208"/>
      <c r="G44" s="207" t="str">
        <f t="array" ref="G44">IF(ISTEXT($A44), (IFERROR((SUMPRODUCT(($A$47:$A160 = $A44) * (G$47:G160 &lt;&gt; "") * IF(G$47:G160 = "Bad", -2, IF(G$47:G160 = "Below par", -1, IF(G$47:G160 = "Very well", 1, IF(G$47:G160 = "Excellent", 2, 0))))) / (COUNTIFS($A$47:$A160, $A44, G$47:G160, "&lt;&gt;")) * 25 + 50) / 50, "")),"")</f>
        <v/>
      </c>
      <c r="H44" s="207" t="str">
        <f t="array" ref="H44">IF(ISTEXT($A44), (IFERROR((SUMPRODUCT((INDIRECT("A"&amp;$B$46&amp;":A") = $A44) * (INDIRECT(H$46&amp;$B$46&amp;":"&amp;H$46) &lt;&gt; "") * IF(INDIRECT(H$46&amp;$B$46&amp;":"&amp;H$46) = "Bad", -2, IF(INDIRECT(H$46&amp;$B$46&amp;":"&amp;H$46) = "Below par", -1, IF(INDIRECT(H$46&amp;$B$46&amp;":"&amp;H$46) = "Very well", 1, IF(INDIRECT(H$46&amp;$B$46&amp;":"&amp;H$46) = "Excellent", 2, 0))))) / (COUNTIFS(INDIRECT("A"&amp;$B$46&amp;":A"), $A44, INDIRECT(H$46&amp;$B$46&amp;":"&amp;H$46), "&lt;&gt;")) * 25 + 50) / 50, "")),"")</f>
        <v/>
      </c>
      <c r="I44" s="207" t="str">
        <f t="array" ref="I44">IF(ISTEXT($A44), (IFERROR((SUMPRODUCT((INDIRECT("A"&amp;$B$46&amp;":A") = $A44) * (INDIRECT(I$46&amp;$B$46&amp;":"&amp;I$46) &lt;&gt; "") * IF(INDIRECT(I$46&amp;$B$46&amp;":"&amp;I$46) = "Bad", -2, IF(INDIRECT(I$46&amp;$B$46&amp;":"&amp;I$46) = "Below par", -1, IF(INDIRECT(I$46&amp;$B$46&amp;":"&amp;I$46) = "Very well", 1, IF(INDIRECT(I$46&amp;$B$46&amp;":"&amp;I$46) = "Excellent", 2, 0))))) / (COUNTIFS(INDIRECT("A"&amp;$B$46&amp;":A"), $A44, INDIRECT(I$46&amp;$B$46&amp;":"&amp;I$46), "&lt;&gt;")) * 25 + 50) / 50, "")),"")</f>
        <v/>
      </c>
      <c r="J44" s="207" t="str">
        <f t="array" ref="J44">IF(ISTEXT($A44), (IFERROR((SUMPRODUCT((INDIRECT("A"&amp;$B$46&amp;":A") = $A44) * (INDIRECT(J$46&amp;$B$46&amp;":"&amp;J$46) &lt;&gt; "") * IF(INDIRECT(J$46&amp;$B$46&amp;":"&amp;J$46) = "Bad", -2, IF(INDIRECT(J$46&amp;$B$46&amp;":"&amp;J$46) = "Below par", -1, IF(INDIRECT(J$46&amp;$B$46&amp;":"&amp;J$46) = "Very well", 1, IF(INDIRECT(J$46&amp;$B$46&amp;":"&amp;J$46) = "Excellent", 2, 0))))) / (COUNTIFS(INDIRECT("A"&amp;$B$46&amp;":A"), $A44, INDIRECT(J$46&amp;$B$46&amp;":"&amp;J$46), "&lt;&gt;")) * 25 + 50) / 50, "")),"")</f>
        <v/>
      </c>
      <c r="K44" s="207" t="str">
        <f t="array" ref="K44">IF(ISTEXT($A44), (IFERROR((SUMPRODUCT((INDIRECT("A"&amp;$B$46&amp;":A") = $A44) * (INDIRECT(K$46&amp;$B$46&amp;":"&amp;K$46) &lt;&gt; "") * IF(INDIRECT(K$46&amp;$B$46&amp;":"&amp;K$46) = "Bad", -2, IF(INDIRECT(K$46&amp;$B$46&amp;":"&amp;K$46) = "Below par", -1, IF(INDIRECT(K$46&amp;$B$46&amp;":"&amp;K$46) = "Very well", 1, IF(INDIRECT(K$46&amp;$B$46&amp;":"&amp;K$46) = "Excellent", 2, 0))))) / (COUNTIFS(INDIRECT("A"&amp;$B$46&amp;":A"), $A44, INDIRECT(K$46&amp;$B$46&amp;":"&amp;K$46), "&lt;&gt;")) * 25 + 50) / 50, "")),"")</f>
        <v/>
      </c>
      <c r="L44" s="207" t="str">
        <f t="array" ref="L44">IF(ISTEXT($A44), (IFERROR((SUMPRODUCT((INDIRECT("A"&amp;$B$46&amp;":A") = $A44) * (INDIRECT(L$46&amp;$B$46&amp;":"&amp;L$46) &lt;&gt; "") * IF(INDIRECT(L$46&amp;$B$46&amp;":"&amp;L$46) = "Bad", -2, IF(INDIRECT(L$46&amp;$B$46&amp;":"&amp;L$46) = "Below par", -1, IF(INDIRECT(L$46&amp;$B$46&amp;":"&amp;L$46) = "Very well", 1, IF(INDIRECT(L$46&amp;$B$46&amp;":"&amp;L$46) = "Excellent", 2, 0))))) / (COUNTIFS(INDIRECT("A"&amp;$B$46&amp;":A"), $A44, INDIRECT(L$46&amp;$B$46&amp;":"&amp;L$46), "&lt;&gt;")) * 25 + 50) / 50, "")),"")</f>
        <v/>
      </c>
      <c r="M44" s="207" t="str">
        <f t="array" ref="M44">IF(ISTEXT($A44), (IFERROR((SUMPRODUCT((INDIRECT("A"&amp;$B$46&amp;":A") = $A44) * (INDIRECT(M$46&amp;$B$46&amp;":"&amp;M$46) &lt;&gt; "") * IF(INDIRECT(M$46&amp;$B$46&amp;":"&amp;M$46) = "Bad", -2, IF(INDIRECT(M$46&amp;$B$46&amp;":"&amp;M$46) = "Below par", -1, IF(INDIRECT(M$46&amp;$B$46&amp;":"&amp;M$46) = "Very well", 1, IF(INDIRECT(M$46&amp;$B$46&amp;":"&amp;M$46) = "Excellent", 2, 0))))) / (COUNTIFS(INDIRECT("A"&amp;$B$46&amp;":A"), $A44, INDIRECT(M$46&amp;$B$46&amp;":"&amp;M$46), "&lt;&gt;")) * 25 + 50) / 50, "")),"")</f>
        <v/>
      </c>
      <c r="N44" s="207" t="str">
        <f t="array" ref="N44">IF(ISTEXT($A44), (IFERROR((SUMPRODUCT((INDIRECT("A"&amp;$B$46&amp;":A") = $A44) * (INDIRECT(N$46&amp;$B$46&amp;":"&amp;N$46) &lt;&gt; "") * IF(INDIRECT(N$46&amp;$B$46&amp;":"&amp;N$46) = "Bad", -2, IF(INDIRECT(N$46&amp;$B$46&amp;":"&amp;N$46) = "Below par", -1, IF(INDIRECT(N$46&amp;$B$46&amp;":"&amp;N$46) = "Very well", 1, IF(INDIRECT(N$46&amp;$B$46&amp;":"&amp;N$46) = "Excellent", 2, 0))))) / (COUNTIFS(INDIRECT("A"&amp;$B$46&amp;":A"), $A44, INDIRECT(N$46&amp;$B$46&amp;":"&amp;N$46), "&lt;&gt;")) * 25 + 50) / 50, "")),"")</f>
        <v/>
      </c>
      <c r="O44" s="207" t="str">
        <f t="array" ref="O44">IF(ISTEXT($A44), (IFERROR((SUMPRODUCT((INDIRECT("A"&amp;$B$46&amp;":A") = $A44) * (INDIRECT(O$46&amp;$B$46&amp;":"&amp;O$46) &lt;&gt; "") * IF(INDIRECT(O$46&amp;$B$46&amp;":"&amp;O$46) = "Bad", -2, IF(INDIRECT(O$46&amp;$B$46&amp;":"&amp;O$46) = "Below par", -1, IF(INDIRECT(O$46&amp;$B$46&amp;":"&amp;O$46) = "Very well", 1, IF(INDIRECT(O$46&amp;$B$46&amp;":"&amp;O$46) = "Excellent", 2, 0))))) / (COUNTIFS(INDIRECT("A"&amp;$B$46&amp;":A"), $A44, INDIRECT(O$46&amp;$B$46&amp;":"&amp;O$46), "&lt;&gt;")) * 25 + 50) / 50, "")),"")</f>
        <v/>
      </c>
      <c r="P44" s="207" t="str">
        <f t="array" ref="P44">IF(ISTEXT($A44), (IFERROR((SUMPRODUCT((INDIRECT("A"&amp;$B$46&amp;":A") = $A44) * (INDIRECT(P$46&amp;$B$46&amp;":"&amp;P$46) &lt;&gt; "") * IF(INDIRECT(P$46&amp;$B$46&amp;":"&amp;P$46) = "Bad", -2, IF(INDIRECT(P$46&amp;$B$46&amp;":"&amp;P$46) = "Below par", -1, IF(INDIRECT(P$46&amp;$B$46&amp;":"&amp;P$46) = "Very well", 1, IF(INDIRECT(P$46&amp;$B$46&amp;":"&amp;P$46) = "Excellent", 2, 0))))) / (COUNTIFS(INDIRECT("A"&amp;$B$46&amp;":A"), $A44, INDIRECT(P$46&amp;$B$46&amp;":"&amp;P$46), "&lt;&gt;")) * 25 + 50) / 50, "")),"")</f>
        <v/>
      </c>
      <c r="Q44" s="207" t="str">
        <f t="array" ref="Q44">IF(ISTEXT($A44), (IFERROR((SUMPRODUCT((INDIRECT("A"&amp;$B$46&amp;":A") = $A44) * (INDIRECT(Q$46&amp;$B$46&amp;":"&amp;Q$46) &lt;&gt; "") * IF(INDIRECT(Q$46&amp;$B$46&amp;":"&amp;Q$46) = "Bad", -2, IF(INDIRECT(Q$46&amp;$B$46&amp;":"&amp;Q$46) = "Below par", -1, IF(INDIRECT(Q$46&amp;$B$46&amp;":"&amp;Q$46) = "Very well", 1, IF(INDIRECT(Q$46&amp;$B$46&amp;":"&amp;Q$46) = "Excellent", 2, 0))))) / (COUNTIFS(INDIRECT("A"&amp;$B$46&amp;":A"), $A44, INDIRECT(Q$46&amp;$B$46&amp;":"&amp;Q$46), "&lt;&gt;")) * 25 + 50) / 50, "")),"")</f>
        <v/>
      </c>
      <c r="R44" s="207" t="str">
        <f t="array" ref="R44">IF(ISTEXT($A44), (IFERROR((SUMPRODUCT((INDIRECT("A"&amp;$B$46&amp;":A") = $A44) * (INDIRECT(R$46&amp;$B$46&amp;":"&amp;R$46) &lt;&gt; "") * IF(INDIRECT(R$46&amp;$B$46&amp;":"&amp;R$46) = "Bad", -2, IF(INDIRECT(R$46&amp;$B$46&amp;":"&amp;R$46) = "Below par", -1, IF(INDIRECT(R$46&amp;$B$46&amp;":"&amp;R$46) = "Very well", 1, IF(INDIRECT(R$46&amp;$B$46&amp;":"&amp;R$46) = "Excellent", 2, 0))))) / (COUNTIFS(INDIRECT("A"&amp;$B$46&amp;":A"), $A44, INDIRECT(R$46&amp;$B$46&amp;":"&amp;R$46), "&lt;&gt;")) * 25 + 50) / 50, "")),"")</f>
        <v/>
      </c>
      <c r="S44" s="207" t="str">
        <f t="array" ref="S44">IF(ISTEXT($A44), (IFERROR((SUMPRODUCT((INDIRECT("A"&amp;$B$46&amp;":A") = $A44) * (INDIRECT(S$46&amp;$B$46&amp;":"&amp;S$46) &lt;&gt; "") * IF(INDIRECT(S$46&amp;$B$46&amp;":"&amp;S$46) = "Bad", -2, IF(INDIRECT(S$46&amp;$B$46&amp;":"&amp;S$46) = "Below par", -1, IF(INDIRECT(S$46&amp;$B$46&amp;":"&amp;S$46) = "Very well", 1, IF(INDIRECT(S$46&amp;$B$46&amp;":"&amp;S$46) = "Excellent", 2, 0))))) / (COUNTIFS(INDIRECT("A"&amp;$B$46&amp;":A"), $A44, INDIRECT(S$46&amp;$B$46&amp;":"&amp;S$46), "&lt;&gt;")) * 25 + 50) / 50, "")),"")</f>
        <v/>
      </c>
      <c r="T44" s="207" t="str">
        <f t="array" ref="T44">IF(ISTEXT($A44), (IFERROR((SUMPRODUCT((INDIRECT("A"&amp;$B$46&amp;":A") = $A44) * (INDIRECT(T$46&amp;$B$46&amp;":"&amp;T$46) &lt;&gt; "") * IF(INDIRECT(T$46&amp;$B$46&amp;":"&amp;T$46) = "Bad", -2, IF(INDIRECT(T$46&amp;$B$46&amp;":"&amp;T$46) = "Below par", -1, IF(INDIRECT(T$46&amp;$B$46&amp;":"&amp;T$46) = "Very well", 1, IF(INDIRECT(T$46&amp;$B$46&amp;":"&amp;T$46) = "Excellent", 2, 0))))) / (COUNTIFS(INDIRECT("A"&amp;$B$46&amp;":A"), $A44, INDIRECT(T$46&amp;$B$46&amp;":"&amp;T$46), "&lt;&gt;")) * 25 + 50) / 50, "")),"")</f>
        <v/>
      </c>
      <c r="U44" s="212"/>
      <c r="V44" s="213"/>
    </row>
    <row r="45" ht="18.75" hidden="1" customHeight="1" outlineLevel="1">
      <c r="A45" s="211" t="str">
        <f>Resources!$A23</f>
        <v/>
      </c>
      <c r="B45" s="207" t="str">
        <f t="shared" si="5"/>
        <v/>
      </c>
      <c r="C45" s="207"/>
      <c r="D45" s="208"/>
      <c r="E45" s="208"/>
      <c r="F45" s="208"/>
      <c r="G45" s="207" t="str">
        <f t="array" ref="G45">IF(ISTEXT($A45), (IFERROR((SUMPRODUCT(($A$47:$A160 = $A45) * (G$47:G160 &lt;&gt; "") * IF(G$47:G160 = "Bad", -2, IF(G$47:G160 = "Below par", -1, IF(G$47:G160 = "Very well", 1, IF(G$47:G160 = "Excellent", 2, 0))))) / (COUNTIFS($A$47:$A160, $A45, G$47:G160, "&lt;&gt;")) * 25 + 50) / 50, "")),"")</f>
        <v/>
      </c>
      <c r="H45" s="207" t="str">
        <f t="array" ref="H45">IF(ISTEXT($A45), (IFERROR((SUMPRODUCT((INDIRECT("A"&amp;$B$46&amp;":A") = $A45) * (INDIRECT(H$46&amp;$B$46&amp;":"&amp;H$46) &lt;&gt; "") * IF(INDIRECT(H$46&amp;$B$46&amp;":"&amp;H$46) = "Bad", -2, IF(INDIRECT(H$46&amp;$B$46&amp;":"&amp;H$46) = "Below par", -1, IF(INDIRECT(H$46&amp;$B$46&amp;":"&amp;H$46) = "Very well", 1, IF(INDIRECT(H$46&amp;$B$46&amp;":"&amp;H$46) = "Excellent", 2, 0))))) / (COUNTIFS(INDIRECT("A"&amp;$B$46&amp;":A"), $A45, INDIRECT(H$46&amp;$B$46&amp;":"&amp;H$46), "&lt;&gt;")) * 25 + 50) / 50, "")),"")</f>
        <v/>
      </c>
      <c r="I45" s="207" t="str">
        <f t="array" ref="I45">IF(ISTEXT($A45), (IFERROR((SUMPRODUCT((INDIRECT("A"&amp;$B$46&amp;":A") = $A45) * (INDIRECT(I$46&amp;$B$46&amp;":"&amp;I$46) &lt;&gt; "") * IF(INDIRECT(I$46&amp;$B$46&amp;":"&amp;I$46) = "Bad", -2, IF(INDIRECT(I$46&amp;$B$46&amp;":"&amp;I$46) = "Below par", -1, IF(INDIRECT(I$46&amp;$B$46&amp;":"&amp;I$46) = "Very well", 1, IF(INDIRECT(I$46&amp;$B$46&amp;":"&amp;I$46) = "Excellent", 2, 0))))) / (COUNTIFS(INDIRECT("A"&amp;$B$46&amp;":A"), $A45, INDIRECT(I$46&amp;$B$46&amp;":"&amp;I$46), "&lt;&gt;")) * 25 + 50) / 50, "")),"")</f>
        <v/>
      </c>
      <c r="J45" s="207" t="str">
        <f t="array" ref="J45">IF(ISTEXT($A45), (IFERROR((SUMPRODUCT((INDIRECT("A"&amp;$B$46&amp;":A") = $A45) * (INDIRECT(J$46&amp;$B$46&amp;":"&amp;J$46) &lt;&gt; "") * IF(INDIRECT(J$46&amp;$B$46&amp;":"&amp;J$46) = "Bad", -2, IF(INDIRECT(J$46&amp;$B$46&amp;":"&amp;J$46) = "Below par", -1, IF(INDIRECT(J$46&amp;$B$46&amp;":"&amp;J$46) = "Very well", 1, IF(INDIRECT(J$46&amp;$B$46&amp;":"&amp;J$46) = "Excellent", 2, 0))))) / (COUNTIFS(INDIRECT("A"&amp;$B$46&amp;":A"), $A45, INDIRECT(J$46&amp;$B$46&amp;":"&amp;J$46), "&lt;&gt;")) * 25 + 50) / 50, "")),"")</f>
        <v/>
      </c>
      <c r="K45" s="207" t="str">
        <f t="array" ref="K45">IF(ISTEXT($A45), (IFERROR((SUMPRODUCT((INDIRECT("A"&amp;$B$46&amp;":A") = $A45) * (INDIRECT(K$46&amp;$B$46&amp;":"&amp;K$46) &lt;&gt; "") * IF(INDIRECT(K$46&amp;$B$46&amp;":"&amp;K$46) = "Bad", -2, IF(INDIRECT(K$46&amp;$B$46&amp;":"&amp;K$46) = "Below par", -1, IF(INDIRECT(K$46&amp;$B$46&amp;":"&amp;K$46) = "Very well", 1, IF(INDIRECT(K$46&amp;$B$46&amp;":"&amp;K$46) = "Excellent", 2, 0))))) / (COUNTIFS(INDIRECT("A"&amp;$B$46&amp;":A"), $A45, INDIRECT(K$46&amp;$B$46&amp;":"&amp;K$46), "&lt;&gt;")) * 25 + 50) / 50, "")),"")</f>
        <v/>
      </c>
      <c r="L45" s="207" t="str">
        <f t="array" ref="L45">IF(ISTEXT($A45), (IFERROR((SUMPRODUCT((INDIRECT("A"&amp;$B$46&amp;":A") = $A45) * (INDIRECT(L$46&amp;$B$46&amp;":"&amp;L$46) &lt;&gt; "") * IF(INDIRECT(L$46&amp;$B$46&amp;":"&amp;L$46) = "Bad", -2, IF(INDIRECT(L$46&amp;$B$46&amp;":"&amp;L$46) = "Below par", -1, IF(INDIRECT(L$46&amp;$B$46&amp;":"&amp;L$46) = "Very well", 1, IF(INDIRECT(L$46&amp;$B$46&amp;":"&amp;L$46) = "Excellent", 2, 0))))) / (COUNTIFS(INDIRECT("A"&amp;$B$46&amp;":A"), $A45, INDIRECT(L$46&amp;$B$46&amp;":"&amp;L$46), "&lt;&gt;")) * 25 + 50) / 50, "")),"")</f>
        <v/>
      </c>
      <c r="M45" s="207" t="str">
        <f t="array" ref="M45">IF(ISTEXT($A45), (IFERROR((SUMPRODUCT((INDIRECT("A"&amp;$B$46&amp;":A") = $A45) * (INDIRECT(M$46&amp;$B$46&amp;":"&amp;M$46) &lt;&gt; "") * IF(INDIRECT(M$46&amp;$B$46&amp;":"&amp;M$46) = "Bad", -2, IF(INDIRECT(M$46&amp;$B$46&amp;":"&amp;M$46) = "Below par", -1, IF(INDIRECT(M$46&amp;$B$46&amp;":"&amp;M$46) = "Very well", 1, IF(INDIRECT(M$46&amp;$B$46&amp;":"&amp;M$46) = "Excellent", 2, 0))))) / (COUNTIFS(INDIRECT("A"&amp;$B$46&amp;":A"), $A45, INDIRECT(M$46&amp;$B$46&amp;":"&amp;M$46), "&lt;&gt;")) * 25 + 50) / 50, "")),"")</f>
        <v/>
      </c>
      <c r="N45" s="207" t="str">
        <f t="array" ref="N45">IF(ISTEXT($A45), (IFERROR((SUMPRODUCT((INDIRECT("A"&amp;$B$46&amp;":A") = $A45) * (INDIRECT(N$46&amp;$B$46&amp;":"&amp;N$46) &lt;&gt; "") * IF(INDIRECT(N$46&amp;$B$46&amp;":"&amp;N$46) = "Bad", -2, IF(INDIRECT(N$46&amp;$B$46&amp;":"&amp;N$46) = "Below par", -1, IF(INDIRECT(N$46&amp;$B$46&amp;":"&amp;N$46) = "Very well", 1, IF(INDIRECT(N$46&amp;$B$46&amp;":"&amp;N$46) = "Excellent", 2, 0))))) / (COUNTIFS(INDIRECT("A"&amp;$B$46&amp;":A"), $A45, INDIRECT(N$46&amp;$B$46&amp;":"&amp;N$46), "&lt;&gt;")) * 25 + 50) / 50, "")),"")</f>
        <v/>
      </c>
      <c r="O45" s="207" t="str">
        <f t="array" ref="O45">IF(ISTEXT($A45), (IFERROR((SUMPRODUCT((INDIRECT("A"&amp;$B$46&amp;":A") = $A45) * (INDIRECT(O$46&amp;$B$46&amp;":"&amp;O$46) &lt;&gt; "") * IF(INDIRECT(O$46&amp;$B$46&amp;":"&amp;O$46) = "Bad", -2, IF(INDIRECT(O$46&amp;$B$46&amp;":"&amp;O$46) = "Below par", -1, IF(INDIRECT(O$46&amp;$B$46&amp;":"&amp;O$46) = "Very well", 1, IF(INDIRECT(O$46&amp;$B$46&amp;":"&amp;O$46) = "Excellent", 2, 0))))) / (COUNTIFS(INDIRECT("A"&amp;$B$46&amp;":A"), $A45, INDIRECT(O$46&amp;$B$46&amp;":"&amp;O$46), "&lt;&gt;")) * 25 + 50) / 50, "")),"")</f>
        <v/>
      </c>
      <c r="P45" s="207" t="str">
        <f t="array" ref="P45">IF(ISTEXT($A45), (IFERROR((SUMPRODUCT((INDIRECT("A"&amp;$B$46&amp;":A") = $A45) * (INDIRECT(P$46&amp;$B$46&amp;":"&amp;P$46) &lt;&gt; "") * IF(INDIRECT(P$46&amp;$B$46&amp;":"&amp;P$46) = "Bad", -2, IF(INDIRECT(P$46&amp;$B$46&amp;":"&amp;P$46) = "Below par", -1, IF(INDIRECT(P$46&amp;$B$46&amp;":"&amp;P$46) = "Very well", 1, IF(INDIRECT(P$46&amp;$B$46&amp;":"&amp;P$46) = "Excellent", 2, 0))))) / (COUNTIFS(INDIRECT("A"&amp;$B$46&amp;":A"), $A45, INDIRECT(P$46&amp;$B$46&amp;":"&amp;P$46), "&lt;&gt;")) * 25 + 50) / 50, "")),"")</f>
        <v/>
      </c>
      <c r="Q45" s="207" t="str">
        <f t="array" ref="Q45">IF(ISTEXT($A45), (IFERROR((SUMPRODUCT((INDIRECT("A"&amp;$B$46&amp;":A") = $A45) * (INDIRECT(Q$46&amp;$B$46&amp;":"&amp;Q$46) &lt;&gt; "") * IF(INDIRECT(Q$46&amp;$B$46&amp;":"&amp;Q$46) = "Bad", -2, IF(INDIRECT(Q$46&amp;$B$46&amp;":"&amp;Q$46) = "Below par", -1, IF(INDIRECT(Q$46&amp;$B$46&amp;":"&amp;Q$46) = "Very well", 1, IF(INDIRECT(Q$46&amp;$B$46&amp;":"&amp;Q$46) = "Excellent", 2, 0))))) / (COUNTIFS(INDIRECT("A"&amp;$B$46&amp;":A"), $A45, INDIRECT(Q$46&amp;$B$46&amp;":"&amp;Q$46), "&lt;&gt;")) * 25 + 50) / 50, "")),"")</f>
        <v/>
      </c>
      <c r="R45" s="207" t="str">
        <f t="array" ref="R45">IF(ISTEXT($A45), (IFERROR((SUMPRODUCT((INDIRECT("A"&amp;$B$46&amp;":A") = $A45) * (INDIRECT(R$46&amp;$B$46&amp;":"&amp;R$46) &lt;&gt; "") * IF(INDIRECT(R$46&amp;$B$46&amp;":"&amp;R$46) = "Bad", -2, IF(INDIRECT(R$46&amp;$B$46&amp;":"&amp;R$46) = "Below par", -1, IF(INDIRECT(R$46&amp;$B$46&amp;":"&amp;R$46) = "Very well", 1, IF(INDIRECT(R$46&amp;$B$46&amp;":"&amp;R$46) = "Excellent", 2, 0))))) / (COUNTIFS(INDIRECT("A"&amp;$B$46&amp;":A"), $A45, INDIRECT(R$46&amp;$B$46&amp;":"&amp;R$46), "&lt;&gt;")) * 25 + 50) / 50, "")),"")</f>
        <v/>
      </c>
      <c r="S45" s="207" t="str">
        <f t="array" ref="S45">IF(ISTEXT($A45), (IFERROR((SUMPRODUCT((INDIRECT("A"&amp;$B$46&amp;":A") = $A45) * (INDIRECT(S$46&amp;$B$46&amp;":"&amp;S$46) &lt;&gt; "") * IF(INDIRECT(S$46&amp;$B$46&amp;":"&amp;S$46) = "Bad", -2, IF(INDIRECT(S$46&amp;$B$46&amp;":"&amp;S$46) = "Below par", -1, IF(INDIRECT(S$46&amp;$B$46&amp;":"&amp;S$46) = "Very well", 1, IF(INDIRECT(S$46&amp;$B$46&amp;":"&amp;S$46) = "Excellent", 2, 0))))) / (COUNTIFS(INDIRECT("A"&amp;$B$46&amp;":A"), $A45, INDIRECT(S$46&amp;$B$46&amp;":"&amp;S$46), "&lt;&gt;")) * 25 + 50) / 50, "")),"")</f>
        <v/>
      </c>
      <c r="T45" s="207" t="str">
        <f t="array" ref="T45">IF(ISTEXT($A45), (IFERROR((SUMPRODUCT((INDIRECT("A"&amp;$B$46&amp;":A") = $A45) * (INDIRECT(T$46&amp;$B$46&amp;":"&amp;T$46) &lt;&gt; "") * IF(INDIRECT(T$46&amp;$B$46&amp;":"&amp;T$46) = "Bad", -2, IF(INDIRECT(T$46&amp;$B$46&amp;":"&amp;T$46) = "Below par", -1, IF(INDIRECT(T$46&amp;$B$46&amp;":"&amp;T$46) = "Very well", 1, IF(INDIRECT(T$46&amp;$B$46&amp;":"&amp;T$46) = "Excellent", 2, 0))))) / (COUNTIFS(INDIRECT("A"&amp;$B$46&amp;":A"), $A45, INDIRECT(T$46&amp;$B$46&amp;":"&amp;T$46), "&lt;&gt;")) * 25 + 50) / 50, "")),"")</f>
        <v/>
      </c>
      <c r="U45" s="209"/>
      <c r="V45" s="210"/>
    </row>
    <row r="46" ht="18.75" hidden="1" customHeight="1" outlineLevel="1">
      <c r="A46" s="201" t="s">
        <v>780</v>
      </c>
      <c r="B46" s="214">
        <f>IFERROR(__xludf.DUMMYFUNCTION("IF(IF(INDIRECT(""B"" &amp; (IFERROR(MATCH(MAX(FILTER(C$3:C160, B$3:B160=""Sprint nr:"")), C$3:C160, 0) + 3, 47))),IFERROR(MATCH(MAX(FILTER(C$3:C160, B$3:B160=""Sprint nr:"",C$3:C160=MAX(FILTER(C$3:C160, B$3:B160=""Sprint nr:""))-LEFT($A$25,2)+1)), C$3:C160, 0"&amp;") + 2, 47),IFERROR(MATCH(MAX(FILTER(C$3:C160, B$3:B160=""Sprint nr:"",C$3:C160=MAX(FILTER(C$3:C160, B$3:B160=""Sprint nr:""))-LEFT($A$25,2))), C$3:C160, 0) + 2, 47))&lt;47,47,IF(INDIRECT(""B"" &amp; (IFERROR(MATCH(MAX(FILTER(C$3:C160, B$3:B160=""Sprint nr:"")), "&amp;"C$3:C160, 0) + 3, 47))),IFERROR(MATCH(MAX(FILTER(C$3:C160, B$3:B160=""Sprint nr:"",C$3:C160=MAX(FILTER(C$3:C160, B$3:B160=""Sprint nr:""))-LEFT($A$25,2)+1)), C$3:C160, 0) + 2, 47),IFERROR(MATCH(MAX(FILTER(C$3:C160, B$3:B160=""Sprint nr:"",C$3:C160=MAX(FIL"&amp;"TER(C$3:C160, B$3:B160=""Sprint nr:""))-LEFT($A$25,2))), C$3:C160, 0) + 2, 47)))"),69.0)</f>
        <v>69</v>
      </c>
      <c r="C46" s="202"/>
      <c r="D46" s="203">
        <f>IFERROR(__xludf.DUMMYFUNCTION("IFERROR(MATCH(MAX(FILTER(C$3:C160, B$3:B160=""Sprint nr:"")), C$3:C160, 0) + 2, ""N/A"")
"),91.0)</f>
        <v>91</v>
      </c>
      <c r="E46" s="203"/>
      <c r="F46" s="203"/>
      <c r="G46" s="214" t="s">
        <v>781</v>
      </c>
      <c r="H46" s="214" t="s">
        <v>782</v>
      </c>
      <c r="I46" s="214" t="s">
        <v>783</v>
      </c>
      <c r="J46" s="214" t="s">
        <v>784</v>
      </c>
      <c r="K46" s="214" t="s">
        <v>785</v>
      </c>
      <c r="L46" s="214" t="s">
        <v>786</v>
      </c>
      <c r="M46" s="214" t="s">
        <v>787</v>
      </c>
      <c r="N46" s="214" t="s">
        <v>788</v>
      </c>
      <c r="O46" s="214" t="s">
        <v>789</v>
      </c>
      <c r="P46" s="214" t="s">
        <v>790</v>
      </c>
      <c r="Q46" s="214" t="s">
        <v>791</v>
      </c>
      <c r="R46" s="214" t="s">
        <v>792</v>
      </c>
      <c r="S46" s="214" t="s">
        <v>793</v>
      </c>
      <c r="T46" s="214" t="s">
        <v>794</v>
      </c>
      <c r="U46" s="204"/>
      <c r="V46" s="205"/>
    </row>
    <row r="47" ht="18.75" customHeight="1">
      <c r="A47" s="215" t="s">
        <v>795</v>
      </c>
      <c r="B47" s="216" t="s">
        <v>796</v>
      </c>
      <c r="C47" s="217">
        <f>IFERROR(__xludf.DUMMYFUNCTION("IF($B47=""Sprint nr:"", IFERROR(MAX(FILTER(C$3:C3, B$3:B3=""Sprint nr:"")) + 1, 1), """")
"),1.0)</f>
        <v>1</v>
      </c>
      <c r="D47" s="218"/>
      <c r="E47" s="218"/>
      <c r="F47" s="218"/>
      <c r="G47" s="216"/>
      <c r="H47" s="216"/>
      <c r="I47" s="216"/>
      <c r="J47" s="216"/>
      <c r="K47" s="216"/>
      <c r="L47" s="216"/>
      <c r="M47" s="216"/>
      <c r="N47" s="216"/>
      <c r="O47" s="216"/>
      <c r="P47" s="216"/>
      <c r="Q47" s="216"/>
      <c r="R47" s="216"/>
      <c r="S47" s="216"/>
      <c r="T47" s="216"/>
      <c r="U47" s="216"/>
      <c r="V47" s="219"/>
    </row>
    <row r="48" ht="18.75" customHeight="1">
      <c r="A48" s="206" t="s">
        <v>797</v>
      </c>
      <c r="B48" s="207" t="str">
        <f t="shared" ref="B48:B54" si="7">IFERROR(IF(AND(ISNUMBER($E48),ISNUMBER($F48)),(($F48-$E48)*2)/$E48,""),"")</f>
        <v/>
      </c>
      <c r="C48" s="207">
        <f t="shared" ref="C48:C54" si="8">IF(AND(ISTEXT(A48)),(COUNTA(G48:T48)-(COUNTIF(G48:T48,"Bad")*2)-COUNTIF(G48:T48,"Below par")+COUNTIF(G48:T48,"Very well")+(COUNTIF(G48:T48,"Excellent")*2))/(COUNTA(G48:T48)),"")</f>
        <v>1.125</v>
      </c>
      <c r="D48" s="208" t="str">
        <f>IFERROR(__xludf.DUMMYFUNCTION("IF(AND(ISTEXT($A48),ROW()&gt;$B$46),IFERROR(AVERAGE(FILTER(F$26:F$45, ARRAYFORMULA(ISNUMBER(SEARCH($A48, $A$26:$A$45))))),Round(XLOOKUP($A48,Resources!$A$4:$A$23,Resources!$AB$4:$AB$23)*'Roadmap setting'!$B$10)),"""")"),"")</f>
        <v/>
      </c>
      <c r="E48" s="220"/>
      <c r="F48" s="221"/>
      <c r="G48" s="222"/>
      <c r="H48" s="222" t="s">
        <v>798</v>
      </c>
      <c r="I48" s="222"/>
      <c r="J48" s="222" t="s">
        <v>798</v>
      </c>
      <c r="K48" s="222" t="s">
        <v>798</v>
      </c>
      <c r="L48" s="222" t="s">
        <v>799</v>
      </c>
      <c r="M48" s="222" t="s">
        <v>798</v>
      </c>
      <c r="N48" s="222"/>
      <c r="O48" s="222" t="s">
        <v>798</v>
      </c>
      <c r="P48" s="222" t="s">
        <v>798</v>
      </c>
      <c r="Q48" s="222"/>
      <c r="R48" s="222"/>
      <c r="S48" s="222"/>
      <c r="T48" s="222" t="s">
        <v>798</v>
      </c>
      <c r="U48" s="223" t="s">
        <v>800</v>
      </c>
      <c r="V48" s="210"/>
    </row>
    <row r="49" ht="18.75" customHeight="1">
      <c r="A49" s="206" t="s">
        <v>801</v>
      </c>
      <c r="B49" s="207" t="str">
        <f t="shared" si="7"/>
        <v/>
      </c>
      <c r="C49" s="207">
        <f t="shared" si="8"/>
        <v>1</v>
      </c>
      <c r="D49" s="208" t="str">
        <f>IFERROR(__xludf.DUMMYFUNCTION("IF(AND(ISTEXT($A49),ROW()&gt;$B$46),IFERROR(AVERAGE(FILTER(F$26:F$45, ARRAYFORMULA(ISNUMBER(SEARCH($A49, $A$26:$A$45))))),Round(XLOOKUP($A49,Resources!$A$4:$A$23,Resources!$AB$4:$AB$23)*'Roadmap setting'!$B$10)),"""")"),"")</f>
        <v/>
      </c>
      <c r="E49" s="220"/>
      <c r="F49" s="221"/>
      <c r="G49" s="222"/>
      <c r="H49" s="222" t="s">
        <v>798</v>
      </c>
      <c r="I49" s="222"/>
      <c r="J49" s="222" t="s">
        <v>798</v>
      </c>
      <c r="K49" s="222" t="s">
        <v>798</v>
      </c>
      <c r="L49" s="222" t="s">
        <v>798</v>
      </c>
      <c r="M49" s="222" t="s">
        <v>798</v>
      </c>
      <c r="N49" s="222"/>
      <c r="O49" s="222" t="s">
        <v>798</v>
      </c>
      <c r="P49" s="222" t="s">
        <v>798</v>
      </c>
      <c r="Q49" s="222"/>
      <c r="R49" s="222"/>
      <c r="S49" s="222"/>
      <c r="T49" s="222" t="s">
        <v>798</v>
      </c>
      <c r="U49" s="209"/>
      <c r="V49" s="210"/>
    </row>
    <row r="50" ht="18.75" customHeight="1">
      <c r="A50" s="206" t="s">
        <v>802</v>
      </c>
      <c r="B50" s="207" t="str">
        <f t="shared" si="7"/>
        <v/>
      </c>
      <c r="C50" s="207">
        <f t="shared" si="8"/>
        <v>1.2</v>
      </c>
      <c r="D50" s="208" t="str">
        <f>IFERROR(__xludf.DUMMYFUNCTION("IF(AND(ISTEXT($A50),ROW()&gt;$B$46),IFERROR(AVERAGE(FILTER(F$26:F$45, ARRAYFORMULA(ISNUMBER(SEARCH($A50, $A$26:$A$45))))),Round(XLOOKUP($A50,Resources!$A$4:$A$23,Resources!$AB$4:$AB$23)*'Roadmap setting'!$B$10)),"""")"),"")</f>
        <v/>
      </c>
      <c r="E50" s="220">
        <v>58.0</v>
      </c>
      <c r="F50" s="221"/>
      <c r="G50" s="222"/>
      <c r="H50" s="222" t="s">
        <v>798</v>
      </c>
      <c r="I50" s="222"/>
      <c r="J50" s="222" t="s">
        <v>798</v>
      </c>
      <c r="K50" s="222" t="s">
        <v>798</v>
      </c>
      <c r="L50" s="222" t="s">
        <v>798</v>
      </c>
      <c r="M50" s="222" t="s">
        <v>798</v>
      </c>
      <c r="N50" s="222" t="s">
        <v>798</v>
      </c>
      <c r="O50" s="222" t="s">
        <v>798</v>
      </c>
      <c r="P50" s="222" t="s">
        <v>798</v>
      </c>
      <c r="Q50" s="222" t="s">
        <v>798</v>
      </c>
      <c r="R50" s="222"/>
      <c r="S50" s="222"/>
      <c r="T50" s="222" t="s">
        <v>803</v>
      </c>
      <c r="U50" s="209" t="s">
        <v>804</v>
      </c>
      <c r="V50" s="210"/>
    </row>
    <row r="51" ht="18.75" customHeight="1">
      <c r="A51" s="224" t="s">
        <v>805</v>
      </c>
      <c r="B51" s="207" t="str">
        <f t="shared" si="7"/>
        <v/>
      </c>
      <c r="C51" s="207">
        <f t="shared" si="8"/>
        <v>1.2</v>
      </c>
      <c r="D51" s="208" t="str">
        <f>IFERROR(__xludf.DUMMYFUNCTION("IF(AND(ISTEXT($A51),ROW()&gt;$B$46),IFERROR(AVERAGE(FILTER(F$26:F$45, ARRAYFORMULA(ISNUMBER(SEARCH($A51, $A$26:$A$45))))),Round(XLOOKUP($A51,Resources!$A$4:$A$23,Resources!$AB$4:$AB$23)*'Roadmap setting'!$B$10)),"""")"),"")</f>
        <v/>
      </c>
      <c r="E51" s="220">
        <v>40.0</v>
      </c>
      <c r="F51" s="221"/>
      <c r="G51" s="222"/>
      <c r="H51" s="222" t="s">
        <v>798</v>
      </c>
      <c r="I51" s="222"/>
      <c r="J51" s="222" t="s">
        <v>798</v>
      </c>
      <c r="K51" s="222" t="s">
        <v>798</v>
      </c>
      <c r="L51" s="222" t="s">
        <v>799</v>
      </c>
      <c r="M51" s="222" t="s">
        <v>799</v>
      </c>
      <c r="N51" s="222" t="s">
        <v>798</v>
      </c>
      <c r="O51" s="222" t="s">
        <v>798</v>
      </c>
      <c r="P51" s="222" t="s">
        <v>798</v>
      </c>
      <c r="Q51" s="222" t="s">
        <v>798</v>
      </c>
      <c r="R51" s="222"/>
      <c r="S51" s="222"/>
      <c r="T51" s="222" t="s">
        <v>798</v>
      </c>
      <c r="U51" s="209" t="s">
        <v>806</v>
      </c>
      <c r="V51" s="210"/>
    </row>
    <row r="52" ht="18.75" customHeight="1">
      <c r="A52" s="206" t="s">
        <v>807</v>
      </c>
      <c r="B52" s="207" t="str">
        <f t="shared" si="7"/>
        <v/>
      </c>
      <c r="C52" s="207">
        <f t="shared" si="8"/>
        <v>1.125</v>
      </c>
      <c r="D52" s="208" t="str">
        <f>IFERROR(__xludf.DUMMYFUNCTION("IF(AND(ISTEXT($A52),ROW()&gt;$B$46),IFERROR(AVERAGE(FILTER(F$26:F$45, ARRAYFORMULA(ISNUMBER(SEARCH($A52, $A$26:$A$45))))),Round(XLOOKUP($A52,Resources!$A$4:$A$23,Resources!$AB$4:$AB$23)*'Roadmap setting'!$B$10)),"""")"),"")</f>
        <v/>
      </c>
      <c r="E52" s="220"/>
      <c r="F52" s="221"/>
      <c r="G52" s="222"/>
      <c r="H52" s="222" t="s">
        <v>798</v>
      </c>
      <c r="I52" s="222"/>
      <c r="J52" s="222" t="s">
        <v>799</v>
      </c>
      <c r="K52" s="222" t="s">
        <v>798</v>
      </c>
      <c r="L52" s="222" t="s">
        <v>798</v>
      </c>
      <c r="M52" s="222" t="s">
        <v>798</v>
      </c>
      <c r="N52" s="222"/>
      <c r="O52" s="222" t="s">
        <v>798</v>
      </c>
      <c r="P52" s="222" t="s">
        <v>798</v>
      </c>
      <c r="Q52" s="222"/>
      <c r="R52" s="222"/>
      <c r="S52" s="222"/>
      <c r="T52" s="222" t="s">
        <v>798</v>
      </c>
      <c r="U52" s="209" t="s">
        <v>808</v>
      </c>
      <c r="V52" s="210"/>
    </row>
    <row r="53" ht="18.75" customHeight="1">
      <c r="A53" s="206" t="s">
        <v>809</v>
      </c>
      <c r="B53" s="207" t="str">
        <f t="shared" si="7"/>
        <v/>
      </c>
      <c r="C53" s="207">
        <f t="shared" si="8"/>
        <v>1</v>
      </c>
      <c r="D53" s="208" t="str">
        <f>IFERROR(__xludf.DUMMYFUNCTION("IF(AND(ISTEXT($A53),ROW()&gt;$B$46),IFERROR(AVERAGE(FILTER(F$26:F$45, ARRAYFORMULA(ISNUMBER(SEARCH($A53, $A$26:$A$45))))),Round(XLOOKUP($A53,Resources!$A$4:$A$23,Resources!$AB$4:$AB$23)*'Roadmap setting'!$B$10)),"""")"),"")</f>
        <v/>
      </c>
      <c r="E53" s="220"/>
      <c r="F53" s="221"/>
      <c r="G53" s="222"/>
      <c r="H53" s="222" t="s">
        <v>798</v>
      </c>
      <c r="I53" s="222"/>
      <c r="J53" s="222" t="s">
        <v>798</v>
      </c>
      <c r="K53" s="222" t="s">
        <v>798</v>
      </c>
      <c r="L53" s="222" t="s">
        <v>798</v>
      </c>
      <c r="M53" s="222" t="s">
        <v>798</v>
      </c>
      <c r="N53" s="222"/>
      <c r="O53" s="222" t="s">
        <v>798</v>
      </c>
      <c r="P53" s="222" t="s">
        <v>798</v>
      </c>
      <c r="Q53" s="222"/>
      <c r="R53" s="222"/>
      <c r="S53" s="222"/>
      <c r="T53" s="222" t="s">
        <v>798</v>
      </c>
      <c r="U53" s="212"/>
      <c r="V53" s="213"/>
    </row>
    <row r="54" ht="18.75" customHeight="1">
      <c r="A54" s="206" t="s">
        <v>810</v>
      </c>
      <c r="B54" s="207" t="str">
        <f t="shared" si="7"/>
        <v/>
      </c>
      <c r="C54" s="207">
        <f t="shared" si="8"/>
        <v>1</v>
      </c>
      <c r="D54" s="208" t="str">
        <f>IFERROR(__xludf.DUMMYFUNCTION("IF(AND(ISTEXT($A54),ROW()&gt;$B$46),IFERROR(AVERAGE(FILTER(F$26:F$45, ARRAYFORMULA(ISNUMBER(SEARCH($A54, $A$26:$A$45))))),Round(XLOOKUP($A54,Resources!$A$4:$A$23,Resources!$AB$4:$AB$23)*'Roadmap setting'!$B$10)),"""")"),"")</f>
        <v/>
      </c>
      <c r="E54" s="220"/>
      <c r="F54" s="221"/>
      <c r="G54" s="222"/>
      <c r="H54" s="222" t="s">
        <v>798</v>
      </c>
      <c r="I54" s="222"/>
      <c r="J54" s="222" t="s">
        <v>798</v>
      </c>
      <c r="K54" s="222" t="s">
        <v>798</v>
      </c>
      <c r="L54" s="222" t="s">
        <v>811</v>
      </c>
      <c r="M54" s="222" t="s">
        <v>798</v>
      </c>
      <c r="N54" s="222"/>
      <c r="O54" s="222" t="s">
        <v>799</v>
      </c>
      <c r="P54" s="222" t="s">
        <v>798</v>
      </c>
      <c r="Q54" s="222"/>
      <c r="R54" s="222"/>
      <c r="S54" s="222"/>
      <c r="T54" s="222" t="s">
        <v>798</v>
      </c>
      <c r="U54" s="209" t="s">
        <v>812</v>
      </c>
      <c r="V54" s="210"/>
    </row>
    <row r="55" ht="18.75" customHeight="1">
      <c r="A55" s="215" t="s">
        <v>813</v>
      </c>
      <c r="B55" s="216" t="s">
        <v>796</v>
      </c>
      <c r="C55" s="217">
        <f>IFERROR(__xludf.DUMMYFUNCTION("IF($B55=""Sprint nr:"", IFERROR(MAX(FILTER(C$3:C54, B$3:B54=""Sprint nr:"")) + 1, 1), """")
"),2.0)</f>
        <v>2</v>
      </c>
      <c r="D55" s="218"/>
      <c r="E55" s="218"/>
      <c r="F55" s="218"/>
      <c r="G55" s="216"/>
      <c r="H55" s="216"/>
      <c r="I55" s="216"/>
      <c r="J55" s="216"/>
      <c r="K55" s="216"/>
      <c r="L55" s="216"/>
      <c r="M55" s="216"/>
      <c r="N55" s="216"/>
      <c r="O55" s="216"/>
      <c r="P55" s="216"/>
      <c r="Q55" s="216"/>
      <c r="R55" s="216"/>
      <c r="S55" s="216"/>
      <c r="T55" s="216"/>
      <c r="U55" s="216"/>
      <c r="V55" s="219"/>
    </row>
    <row r="56" ht="18.75" customHeight="1">
      <c r="A56" s="206" t="s">
        <v>797</v>
      </c>
      <c r="B56" s="207" t="str">
        <f t="shared" ref="B56:B61" si="9">IFERROR(IF(AND(ISNUMBER($E56),ISNUMBER($F56)),(($F56-$E56)*2)/$E56,""),"")</f>
        <v/>
      </c>
      <c r="C56" s="207">
        <f t="shared" ref="C56:C61" si="10">IF(AND(ISTEXT(A56)),(COUNTA(G56:T56)-(COUNTIF(G56:T56,"Bad")*2)-COUNTIF(G56:T56,"Below par")+COUNTIF(G56:T56,"Very well")+(COUNTIF(G56:T56,"Excellent")*2))/(COUNTA(G56:T56)),"")</f>
        <v>1</v>
      </c>
      <c r="D56" s="208" t="str">
        <f>IFERROR(__xludf.DUMMYFUNCTION("IF(AND(ISTEXT($A56),ROW()&gt;$B$46),IFERROR(AVERAGE(FILTER(F$26:F$45, ARRAYFORMULA(ISNUMBER(SEARCH($A56, $A$26:$A$45))))),Round(XLOOKUP($A56,Resources!$A$4:$A$23,Resources!$AB$4:$AB$23)*'Roadmap setting'!$B$10)),"""")"),"")</f>
        <v/>
      </c>
      <c r="E56" s="220"/>
      <c r="F56" s="221"/>
      <c r="G56" s="222" t="s">
        <v>798</v>
      </c>
      <c r="H56" s="222" t="s">
        <v>798</v>
      </c>
      <c r="I56" s="222" t="s">
        <v>798</v>
      </c>
      <c r="J56" s="222" t="s">
        <v>798</v>
      </c>
      <c r="K56" s="222" t="s">
        <v>798</v>
      </c>
      <c r="L56" s="222" t="s">
        <v>798</v>
      </c>
      <c r="M56" s="222" t="s">
        <v>798</v>
      </c>
      <c r="N56" s="222" t="s">
        <v>798</v>
      </c>
      <c r="O56" s="222" t="s">
        <v>798</v>
      </c>
      <c r="P56" s="222" t="s">
        <v>798</v>
      </c>
      <c r="Q56" s="222" t="s">
        <v>798</v>
      </c>
      <c r="R56" s="222" t="s">
        <v>798</v>
      </c>
      <c r="S56" s="222" t="s">
        <v>798</v>
      </c>
      <c r="T56" s="222" t="s">
        <v>798</v>
      </c>
      <c r="U56" s="223"/>
      <c r="V56" s="210"/>
    </row>
    <row r="57" ht="18.75" customHeight="1">
      <c r="A57" s="206" t="s">
        <v>807</v>
      </c>
      <c r="B57" s="207" t="str">
        <f t="shared" si="9"/>
        <v/>
      </c>
      <c r="C57" s="207">
        <f t="shared" si="10"/>
        <v>1</v>
      </c>
      <c r="D57" s="208" t="str">
        <f>IFERROR(__xludf.DUMMYFUNCTION("IF(AND(ISTEXT($A57),ROW()&gt;$B$46),IFERROR(AVERAGE(FILTER(F$26:F$45, ARRAYFORMULA(ISNUMBER(SEARCH($A57, $A$26:$A$45))))),Round(XLOOKUP($A57,Resources!$A$4:$A$23,Resources!$AB$4:$AB$23)*'Roadmap setting'!$B$10)),"""")"),"")</f>
        <v/>
      </c>
      <c r="E57" s="220"/>
      <c r="F57" s="221"/>
      <c r="G57" s="222" t="s">
        <v>798</v>
      </c>
      <c r="H57" s="222" t="s">
        <v>798</v>
      </c>
      <c r="I57" s="222" t="s">
        <v>798</v>
      </c>
      <c r="J57" s="222" t="s">
        <v>798</v>
      </c>
      <c r="K57" s="222" t="s">
        <v>798</v>
      </c>
      <c r="L57" s="222" t="s">
        <v>798</v>
      </c>
      <c r="M57" s="222" t="s">
        <v>798</v>
      </c>
      <c r="N57" s="222" t="s">
        <v>798</v>
      </c>
      <c r="O57" s="222" t="s">
        <v>798</v>
      </c>
      <c r="P57" s="222" t="s">
        <v>798</v>
      </c>
      <c r="Q57" s="222" t="s">
        <v>798</v>
      </c>
      <c r="R57" s="222" t="s">
        <v>798</v>
      </c>
      <c r="S57" s="222" t="s">
        <v>798</v>
      </c>
      <c r="T57" s="222" t="s">
        <v>798</v>
      </c>
      <c r="U57" s="209"/>
      <c r="V57" s="210"/>
    </row>
    <row r="58" ht="18.75" customHeight="1">
      <c r="A58" s="206" t="s">
        <v>805</v>
      </c>
      <c r="B58" s="207">
        <f t="shared" si="9"/>
        <v>0</v>
      </c>
      <c r="C58" s="207">
        <f t="shared" si="10"/>
        <v>1.153846154</v>
      </c>
      <c r="D58" s="208" t="str">
        <f>IFERROR(__xludf.DUMMYFUNCTION("IF(AND(ISTEXT($A58),ROW()&gt;$B$46),IFERROR(AVERAGE(FILTER(F$26:F$45, ARRAYFORMULA(ISNUMBER(SEARCH($A58, $A$26:$A$45))))),Round(XLOOKUP($A58,Resources!$A$4:$A$23,Resources!$AB$4:$AB$23)*'Roadmap setting'!$B$10)),"""")"),"")</f>
        <v/>
      </c>
      <c r="E58" s="220">
        <v>63.0</v>
      </c>
      <c r="F58" s="221">
        <v>63.0</v>
      </c>
      <c r="G58" s="222" t="s">
        <v>798</v>
      </c>
      <c r="H58" s="222" t="s">
        <v>798</v>
      </c>
      <c r="I58" s="222" t="s">
        <v>798</v>
      </c>
      <c r="J58" s="222" t="s">
        <v>799</v>
      </c>
      <c r="K58" s="222" t="s">
        <v>798</v>
      </c>
      <c r="L58" s="222" t="s">
        <v>799</v>
      </c>
      <c r="M58" s="222" t="s">
        <v>798</v>
      </c>
      <c r="N58" s="222" t="s">
        <v>798</v>
      </c>
      <c r="O58" s="222" t="s">
        <v>798</v>
      </c>
      <c r="P58" s="222" t="s">
        <v>798</v>
      </c>
      <c r="Q58" s="222" t="s">
        <v>798</v>
      </c>
      <c r="R58" s="222" t="s">
        <v>798</v>
      </c>
      <c r="S58" s="222"/>
      <c r="T58" s="222" t="s">
        <v>798</v>
      </c>
      <c r="U58" s="209" t="s">
        <v>814</v>
      </c>
      <c r="V58" s="210"/>
    </row>
    <row r="59" ht="18.75" customHeight="1">
      <c r="A59" s="206" t="s">
        <v>802</v>
      </c>
      <c r="B59" s="207">
        <f t="shared" si="9"/>
        <v>0</v>
      </c>
      <c r="C59" s="207">
        <f t="shared" si="10"/>
        <v>0.9230769231</v>
      </c>
      <c r="D59" s="208" t="str">
        <f>IFERROR(__xludf.DUMMYFUNCTION("IF(AND(ISTEXT($A59),ROW()&gt;$B$46),IFERROR(AVERAGE(FILTER(F$26:F$45, ARRAYFORMULA(ISNUMBER(SEARCH($A59, $A$26:$A$45))))),Round(XLOOKUP($A59,Resources!$A$4:$A$23,Resources!$AB$4:$AB$23)*'Roadmap setting'!$B$10)),"""")"),"")</f>
        <v/>
      </c>
      <c r="E59" s="220">
        <v>66.5</v>
      </c>
      <c r="F59" s="221">
        <v>66.5</v>
      </c>
      <c r="G59" s="222" t="s">
        <v>798</v>
      </c>
      <c r="H59" s="222" t="s">
        <v>798</v>
      </c>
      <c r="I59" s="222" t="s">
        <v>811</v>
      </c>
      <c r="J59" s="222" t="s">
        <v>798</v>
      </c>
      <c r="K59" s="222" t="s">
        <v>799</v>
      </c>
      <c r="L59" s="222" t="s">
        <v>811</v>
      </c>
      <c r="M59" s="222" t="s">
        <v>798</v>
      </c>
      <c r="N59" s="222" t="s">
        <v>798</v>
      </c>
      <c r="O59" s="222" t="s">
        <v>798</v>
      </c>
      <c r="P59" s="222" t="s">
        <v>798</v>
      </c>
      <c r="Q59" s="222" t="s">
        <v>798</v>
      </c>
      <c r="R59" s="222" t="s">
        <v>798</v>
      </c>
      <c r="S59" s="222"/>
      <c r="T59" s="222" t="s">
        <v>798</v>
      </c>
      <c r="U59" s="209" t="s">
        <v>815</v>
      </c>
      <c r="V59" s="210"/>
    </row>
    <row r="60" ht="18.75" customHeight="1">
      <c r="A60" s="206" t="s">
        <v>809</v>
      </c>
      <c r="B60" s="207" t="str">
        <f t="shared" si="9"/>
        <v/>
      </c>
      <c r="C60" s="207">
        <f t="shared" si="10"/>
        <v>1</v>
      </c>
      <c r="D60" s="208" t="str">
        <f>IFERROR(__xludf.DUMMYFUNCTION("IF(AND(ISTEXT($A60),ROW()&gt;$B$46),IFERROR(AVERAGE(FILTER(F$26:F$45, ARRAYFORMULA(ISNUMBER(SEARCH($A60, $A$26:$A$45))))),Round(XLOOKUP($A60,Resources!$A$4:$A$23,Resources!$AB$4:$AB$23)*'Roadmap setting'!$B$10)),"""")"),"")</f>
        <v/>
      </c>
      <c r="E60" s="220"/>
      <c r="F60" s="221"/>
      <c r="G60" s="222" t="s">
        <v>798</v>
      </c>
      <c r="H60" s="222" t="s">
        <v>798</v>
      </c>
      <c r="I60" s="222"/>
      <c r="J60" s="222" t="s">
        <v>798</v>
      </c>
      <c r="K60" s="222" t="s">
        <v>798</v>
      </c>
      <c r="L60" s="222" t="s">
        <v>798</v>
      </c>
      <c r="M60" s="222" t="s">
        <v>798</v>
      </c>
      <c r="N60" s="222" t="s">
        <v>798</v>
      </c>
      <c r="O60" s="222" t="s">
        <v>798</v>
      </c>
      <c r="P60" s="222" t="s">
        <v>798</v>
      </c>
      <c r="Q60" s="222" t="s">
        <v>798</v>
      </c>
      <c r="R60" s="222" t="s">
        <v>798</v>
      </c>
      <c r="S60" s="222"/>
      <c r="T60" s="222"/>
      <c r="U60" s="212"/>
      <c r="V60" s="213"/>
    </row>
    <row r="61" ht="18.75" customHeight="1">
      <c r="A61" s="206" t="s">
        <v>810</v>
      </c>
      <c r="B61" s="207" t="str">
        <f t="shared" si="9"/>
        <v/>
      </c>
      <c r="C61" s="207">
        <f t="shared" si="10"/>
        <v>1</v>
      </c>
      <c r="D61" s="208" t="str">
        <f>IFERROR(__xludf.DUMMYFUNCTION("IF(AND(ISTEXT($A61),ROW()&gt;$B$46),IFERROR(AVERAGE(FILTER(F$26:F$45, ARRAYFORMULA(ISNUMBER(SEARCH($A61, $A$26:$A$45))))),Round(XLOOKUP($A61,Resources!$A$4:$A$23,Resources!$AB$4:$AB$23)*'Roadmap setting'!$B$10)),"""")"),"")</f>
        <v/>
      </c>
      <c r="E61" s="220"/>
      <c r="F61" s="221"/>
      <c r="G61" s="222" t="s">
        <v>798</v>
      </c>
      <c r="H61" s="222" t="s">
        <v>798</v>
      </c>
      <c r="I61" s="222" t="s">
        <v>798</v>
      </c>
      <c r="J61" s="222" t="s">
        <v>798</v>
      </c>
      <c r="K61" s="222" t="s">
        <v>798</v>
      </c>
      <c r="L61" s="222" t="s">
        <v>798</v>
      </c>
      <c r="M61" s="222" t="s">
        <v>798</v>
      </c>
      <c r="N61" s="222" t="s">
        <v>798</v>
      </c>
      <c r="O61" s="222" t="s">
        <v>798</v>
      </c>
      <c r="P61" s="222" t="s">
        <v>798</v>
      </c>
      <c r="Q61" s="222" t="s">
        <v>798</v>
      </c>
      <c r="R61" s="222" t="s">
        <v>798</v>
      </c>
      <c r="S61" s="222"/>
      <c r="T61" s="222"/>
      <c r="U61" s="209"/>
      <c r="V61" s="210"/>
    </row>
    <row r="62" ht="18.75" customHeight="1">
      <c r="A62" s="215" t="s">
        <v>816</v>
      </c>
      <c r="B62" s="216" t="s">
        <v>796</v>
      </c>
      <c r="C62" s="217">
        <f>IFERROR(__xludf.DUMMYFUNCTION("IF($B62=""Sprint nr:"", IFERROR(MAX(FILTER(C$3:C61, B$3:B61=""Sprint nr:"")) + 1, 1), """")
"),3.0)</f>
        <v>3</v>
      </c>
      <c r="D62" s="218"/>
      <c r="E62" s="218"/>
      <c r="F62" s="218"/>
      <c r="G62" s="216"/>
      <c r="H62" s="216"/>
      <c r="I62" s="216"/>
      <c r="J62" s="216"/>
      <c r="K62" s="216"/>
      <c r="L62" s="216"/>
      <c r="M62" s="216"/>
      <c r="N62" s="216"/>
      <c r="O62" s="216"/>
      <c r="P62" s="216"/>
      <c r="Q62" s="216"/>
      <c r="R62" s="216"/>
      <c r="S62" s="216"/>
      <c r="T62" s="216"/>
      <c r="U62" s="216"/>
      <c r="V62" s="219"/>
    </row>
    <row r="63" ht="18.75" customHeight="1">
      <c r="A63" s="206" t="s">
        <v>797</v>
      </c>
      <c r="B63" s="207" t="str">
        <f t="shared" ref="B63:B67" si="11">IFERROR(IF(AND(ISNUMBER($E63),ISNUMBER($F63)),(($F63-$E63)*2)/$E63,""),"")</f>
        <v/>
      </c>
      <c r="C63" s="207">
        <f t="shared" ref="C63:C67" si="12">IF(AND(ISTEXT(A63)),(COUNTA(G63:T63)-(COUNTIF(G63:T63,"Bad")*2)-COUNTIF(G63:T63,"Below par")+COUNTIF(G63:T63,"Very well")+(COUNTIF(G63:T63,"Excellent")*2))/(COUNTA(G63:T63)),"")</f>
        <v>0</v>
      </c>
      <c r="D63" s="208" t="str">
        <f>IFERROR(__xludf.DUMMYFUNCTION("IF(AND(ISTEXT($A63),ROW()&gt;$B$46),IFERROR(AVERAGE(FILTER(F$26:F$45, ARRAYFORMULA(ISNUMBER(SEARCH($A63, $A$26:$A$45))))),Round(XLOOKUP($A63,Resources!$A$4:$A$23,Resources!$AB$4:$AB$23)*'Roadmap setting'!$B$10)),"""")"),"")</f>
        <v/>
      </c>
      <c r="E63" s="220"/>
      <c r="F63" s="221"/>
      <c r="G63" s="222" t="s">
        <v>811</v>
      </c>
      <c r="H63" s="222"/>
      <c r="I63" s="222"/>
      <c r="J63" s="222"/>
      <c r="K63" s="222"/>
      <c r="L63" s="222"/>
      <c r="M63" s="222"/>
      <c r="N63" s="222"/>
      <c r="O63" s="222"/>
      <c r="P63" s="222"/>
      <c r="Q63" s="222"/>
      <c r="R63" s="222"/>
      <c r="S63" s="222"/>
      <c r="T63" s="222"/>
      <c r="U63" s="223" t="s">
        <v>817</v>
      </c>
      <c r="V63" s="210"/>
    </row>
    <row r="64" ht="18.75" customHeight="1">
      <c r="A64" s="206" t="s">
        <v>807</v>
      </c>
      <c r="B64" s="207" t="str">
        <f t="shared" si="11"/>
        <v/>
      </c>
      <c r="C64" s="207" t="str">
        <f t="shared" si="12"/>
        <v>#DIV/0!</v>
      </c>
      <c r="D64" s="208" t="str">
        <f>IFERROR(__xludf.DUMMYFUNCTION("IF(AND(ISTEXT($A64),ROW()&gt;$B$46),IFERROR(AVERAGE(FILTER(F$26:F$45, ARRAYFORMULA(ISNUMBER(SEARCH($A64, $A$26:$A$45))))),Round(XLOOKUP($A64,Resources!$A$4:$A$23,Resources!$AB$4:$AB$23)*'Roadmap setting'!$B$10)),"""")"),"")</f>
        <v/>
      </c>
      <c r="E64" s="220"/>
      <c r="F64" s="221"/>
      <c r="G64" s="222"/>
      <c r="H64" s="222"/>
      <c r="I64" s="222"/>
      <c r="J64" s="222"/>
      <c r="K64" s="222"/>
      <c r="L64" s="222"/>
      <c r="M64" s="222"/>
      <c r="N64" s="222"/>
      <c r="O64" s="222"/>
      <c r="P64" s="222"/>
      <c r="Q64" s="222"/>
      <c r="R64" s="222"/>
      <c r="S64" s="222"/>
      <c r="T64" s="222"/>
      <c r="U64" s="209"/>
      <c r="V64" s="210"/>
    </row>
    <row r="65" ht="18.75" customHeight="1">
      <c r="A65" s="206" t="s">
        <v>805</v>
      </c>
      <c r="B65" s="207" t="str">
        <f t="shared" si="11"/>
        <v/>
      </c>
      <c r="C65" s="207">
        <f t="shared" si="12"/>
        <v>2</v>
      </c>
      <c r="D65" s="208" t="str">
        <f>IFERROR(__xludf.DUMMYFUNCTION("IF(AND(ISTEXT($A65),ROW()&gt;$B$46),IFERROR(AVERAGE(FILTER(F$26:F$45, ARRAYFORMULA(ISNUMBER(SEARCH($A65, $A$26:$A$45))))),Round(XLOOKUP($A65,Resources!$A$4:$A$23,Resources!$AB$4:$AB$23)*'Roadmap setting'!$B$10)),"""")"),"")</f>
        <v/>
      </c>
      <c r="E65" s="220"/>
      <c r="F65" s="221"/>
      <c r="G65" s="222"/>
      <c r="H65" s="222"/>
      <c r="I65" s="222"/>
      <c r="J65" s="222" t="s">
        <v>799</v>
      </c>
      <c r="K65" s="222"/>
      <c r="L65" s="222"/>
      <c r="M65" s="222"/>
      <c r="N65" s="222"/>
      <c r="O65" s="222"/>
      <c r="P65" s="222"/>
      <c r="Q65" s="222"/>
      <c r="R65" s="222"/>
      <c r="S65" s="222"/>
      <c r="T65" s="222"/>
      <c r="U65" s="209" t="s">
        <v>818</v>
      </c>
      <c r="V65" s="210"/>
    </row>
    <row r="66" ht="18.75" customHeight="1">
      <c r="A66" s="206" t="s">
        <v>802</v>
      </c>
      <c r="B66" s="207" t="str">
        <f t="shared" si="11"/>
        <v/>
      </c>
      <c r="C66" s="207">
        <f t="shared" si="12"/>
        <v>1</v>
      </c>
      <c r="D66" s="208" t="str">
        <f>IFERROR(__xludf.DUMMYFUNCTION("IF(AND(ISTEXT($A66),ROW()&gt;$B$46),IFERROR(AVERAGE(FILTER(F$26:F$45, ARRAYFORMULA(ISNUMBER(SEARCH($A66, $A$26:$A$45))))),Round(XLOOKUP($A66,Resources!$A$4:$A$23,Resources!$AB$4:$AB$23)*'Roadmap setting'!$B$10)),"""")"),"")</f>
        <v/>
      </c>
      <c r="E66" s="220"/>
      <c r="F66" s="221"/>
      <c r="G66" s="222"/>
      <c r="H66" s="222"/>
      <c r="I66" s="222"/>
      <c r="J66" s="222" t="s">
        <v>799</v>
      </c>
      <c r="K66" s="222"/>
      <c r="L66" s="222"/>
      <c r="M66" s="222"/>
      <c r="N66" s="222" t="s">
        <v>811</v>
      </c>
      <c r="O66" s="222"/>
      <c r="P66" s="222"/>
      <c r="Q66" s="222"/>
      <c r="R66" s="222"/>
      <c r="S66" s="222"/>
      <c r="T66" s="222"/>
      <c r="U66" s="209" t="s">
        <v>819</v>
      </c>
      <c r="V66" s="210"/>
    </row>
    <row r="67" ht="18.75" customHeight="1">
      <c r="A67" s="206" t="s">
        <v>809</v>
      </c>
      <c r="B67" s="207" t="str">
        <f t="shared" si="11"/>
        <v/>
      </c>
      <c r="C67" s="207" t="str">
        <f t="shared" si="12"/>
        <v>#DIV/0!</v>
      </c>
      <c r="D67" s="208" t="str">
        <f>IFERROR(__xludf.DUMMYFUNCTION("IF(AND(ISTEXT($A67),ROW()&gt;$B$46),IFERROR(AVERAGE(FILTER(F$26:F$45, ARRAYFORMULA(ISNUMBER(SEARCH($A67, $A$26:$A$45))))),Round(XLOOKUP($A67,Resources!$A$4:$A$23,Resources!$AB$4:$AB$23)*'Roadmap setting'!$B$10)),"""")"),"")</f>
        <v/>
      </c>
      <c r="E67" s="220"/>
      <c r="F67" s="221"/>
      <c r="G67" s="222"/>
      <c r="H67" s="222"/>
      <c r="I67" s="222"/>
      <c r="J67" s="222"/>
      <c r="K67" s="222"/>
      <c r="L67" s="222"/>
      <c r="M67" s="222"/>
      <c r="N67" s="222"/>
      <c r="O67" s="222"/>
      <c r="P67" s="222"/>
      <c r="Q67" s="222"/>
      <c r="R67" s="222"/>
      <c r="S67" s="222"/>
      <c r="T67" s="222"/>
      <c r="U67" s="212"/>
      <c r="V67" s="213"/>
    </row>
    <row r="68" ht="18.75" customHeight="1">
      <c r="A68" s="206" t="s">
        <v>820</v>
      </c>
      <c r="B68" s="207"/>
      <c r="C68" s="207"/>
      <c r="D68" s="208" t="str">
        <f>IFERROR(__xludf.DUMMYFUNCTION("IF(AND(ISTEXT($A68),ROW()&gt;$B$46),IFERROR(AVERAGE(FILTER(F$26:F$45, ARRAYFORMULA(ISNUMBER(SEARCH($A68, $A$26:$A$45))))),Round(XLOOKUP($A68,Resources!$A$4:$A$23,Resources!$AB$4:$AB$23)*'Roadmap setting'!$B$10)),"""")"),"")</f>
        <v/>
      </c>
      <c r="E68" s="220"/>
      <c r="F68" s="220"/>
      <c r="G68" s="211"/>
      <c r="H68" s="211"/>
      <c r="I68" s="211"/>
      <c r="J68" s="211" t="s">
        <v>799</v>
      </c>
      <c r="K68" s="211"/>
      <c r="L68" s="211"/>
      <c r="M68" s="211"/>
      <c r="N68" s="211"/>
      <c r="O68" s="211"/>
      <c r="P68" s="211"/>
      <c r="Q68" s="211"/>
      <c r="R68" s="211"/>
      <c r="S68" s="211"/>
      <c r="T68" s="211"/>
      <c r="U68" s="209" t="s">
        <v>821</v>
      </c>
      <c r="V68" s="210"/>
    </row>
    <row r="69" ht="18.75" customHeight="1">
      <c r="A69" s="215" t="s">
        <v>822</v>
      </c>
      <c r="B69" s="216" t="s">
        <v>796</v>
      </c>
      <c r="C69" s="217">
        <f>IFERROR(__xludf.DUMMYFUNCTION("IF($B69=""Sprint nr:"", IFERROR(MAX(FILTER(C$3:C68, B$3:B68=""Sprint nr:"")) + 1, 1), """")
"),4.0)</f>
        <v>4</v>
      </c>
      <c r="D69" s="218"/>
      <c r="E69" s="218"/>
      <c r="F69" s="218"/>
      <c r="G69" s="216"/>
      <c r="H69" s="216"/>
      <c r="I69" s="216"/>
      <c r="J69" s="216"/>
      <c r="K69" s="216"/>
      <c r="L69" s="216"/>
      <c r="M69" s="216"/>
      <c r="N69" s="216"/>
      <c r="O69" s="216"/>
      <c r="P69" s="216"/>
      <c r="Q69" s="216"/>
      <c r="R69" s="216"/>
      <c r="S69" s="216"/>
      <c r="T69" s="216"/>
      <c r="U69" s="216"/>
      <c r="V69" s="219"/>
    </row>
    <row r="70" ht="18.75" customHeight="1">
      <c r="A70" s="206" t="s">
        <v>797</v>
      </c>
      <c r="B70" s="207" t="str">
        <f t="shared" ref="B70:B73" si="13">IFERROR(IF(AND(ISNUMBER($E70),ISNUMBER($F70)),(($F70-$E70)*2)/$E70,""),"")</f>
        <v/>
      </c>
      <c r="C70" s="207"/>
      <c r="D70" s="208">
        <f>IFERROR(__xludf.DUMMYFUNCTION("IF(AND(ISTEXT($A70),ROW()&gt;$B$46),IFERROR(AVERAGE(FILTER(F$26:F$45, ARRAYFORMULA(ISNUMBER(SEARCH($A70, $A$26:$A$45))))),Round(XLOOKUP($A70,Resources!$A$4:$A$23,Resources!$AB$4:$AB$23)*'Roadmap setting'!$B$10)),"""")"),19.0)</f>
        <v>19</v>
      </c>
      <c r="E70" s="220"/>
      <c r="F70" s="221"/>
      <c r="G70" s="222"/>
      <c r="H70" s="222"/>
      <c r="I70" s="222"/>
      <c r="J70" s="222"/>
      <c r="K70" s="222"/>
      <c r="L70" s="222"/>
      <c r="M70" s="222"/>
      <c r="N70" s="222"/>
      <c r="O70" s="222"/>
      <c r="P70" s="222" t="s">
        <v>799</v>
      </c>
      <c r="Q70" s="222"/>
      <c r="R70" s="222"/>
      <c r="S70" s="222"/>
      <c r="T70" s="222"/>
      <c r="U70" s="223" t="s">
        <v>823</v>
      </c>
      <c r="V70" s="210"/>
    </row>
    <row r="71" ht="18.75" customHeight="1">
      <c r="A71" s="206" t="s">
        <v>807</v>
      </c>
      <c r="B71" s="207" t="str">
        <f t="shared" si="13"/>
        <v/>
      </c>
      <c r="C71" s="207"/>
      <c r="D71" s="208">
        <f>IFERROR(__xludf.DUMMYFUNCTION("IF(AND(ISTEXT($A71),ROW()&gt;$B$46),IFERROR(AVERAGE(FILTER(F$26:F$45, ARRAYFORMULA(ISNUMBER(SEARCH($A71, $A$26:$A$45))))),Round(XLOOKUP($A71,Resources!$A$4:$A$23,Resources!$AB$4:$AB$23)*'Roadmap setting'!$B$10)),"""")"),19.0)</f>
        <v>19</v>
      </c>
      <c r="E71" s="220"/>
      <c r="F71" s="221"/>
      <c r="G71" s="222" t="s">
        <v>811</v>
      </c>
      <c r="H71" s="222"/>
      <c r="I71" s="222"/>
      <c r="J71" s="222"/>
      <c r="K71" s="222"/>
      <c r="L71" s="222"/>
      <c r="M71" s="222"/>
      <c r="N71" s="222"/>
      <c r="O71" s="222"/>
      <c r="P71" s="222"/>
      <c r="Q71" s="222"/>
      <c r="R71" s="222"/>
      <c r="S71" s="222"/>
      <c r="T71" s="222"/>
      <c r="U71" s="209" t="s">
        <v>824</v>
      </c>
      <c r="V71" s="210"/>
    </row>
    <row r="72" ht="18.75" customHeight="1">
      <c r="A72" s="206" t="s">
        <v>805</v>
      </c>
      <c r="B72" s="207" t="str">
        <f t="shared" si="13"/>
        <v/>
      </c>
      <c r="C72" s="207">
        <f t="shared" ref="C72:C74" si="14">IF(AND(ISTEXT(A72)),(COUNTA(G72:T72)-(COUNTIF(G72:T72,"Bad")*2)-COUNTIF(G72:T72,"Below par")+COUNTIF(G72:T72,"Very well")+(COUNTIF(G72:T72,"Excellent")*2))/(COUNTA(G72:T72)),"")</f>
        <v>2</v>
      </c>
      <c r="D72" s="208">
        <f>IFERROR(__xludf.DUMMYFUNCTION("IF(AND(ISTEXT($A72),ROW()&gt;$B$46),IFERROR(AVERAGE(FILTER(F$26:F$45, ARRAYFORMULA(ISNUMBER(SEARCH($A72, $A$26:$A$45))))),Round(XLOOKUP($A72,Resources!$A$4:$A$23,Resources!$AB$4:$AB$23)*'Roadmap setting'!$B$10)),"""")"),49.0)</f>
        <v>49</v>
      </c>
      <c r="E72" s="220">
        <v>42.5</v>
      </c>
      <c r="F72" s="221"/>
      <c r="G72" s="222"/>
      <c r="H72" s="222"/>
      <c r="I72" s="222"/>
      <c r="J72" s="222"/>
      <c r="K72" s="222"/>
      <c r="L72" s="222"/>
      <c r="M72" s="222" t="s">
        <v>799</v>
      </c>
      <c r="N72" s="222"/>
      <c r="O72" s="222"/>
      <c r="P72" s="222"/>
      <c r="Q72" s="222"/>
      <c r="R72" s="222"/>
      <c r="S72" s="222"/>
      <c r="T72" s="222"/>
      <c r="U72" s="209" t="s">
        <v>825</v>
      </c>
      <c r="V72" s="210">
        <v>8.0</v>
      </c>
    </row>
    <row r="73" ht="18.75" customHeight="1">
      <c r="A73" s="206" t="s">
        <v>802</v>
      </c>
      <c r="B73" s="207">
        <f t="shared" si="13"/>
        <v>0</v>
      </c>
      <c r="C73" s="207">
        <f t="shared" si="14"/>
        <v>1.5</v>
      </c>
      <c r="D73" s="208">
        <f>IFERROR(__xludf.DUMMYFUNCTION("IF(AND(ISTEXT($A73),ROW()&gt;$B$46),IFERROR(AVERAGE(FILTER(F$26:F$45, ARRAYFORMULA(ISNUMBER(SEARCH($A73, $A$26:$A$45))))),Round(XLOOKUP($A73,Resources!$A$4:$A$23,Resources!$AB$4:$AB$23)*'Roadmap setting'!$B$10)),"""")"),12.0)</f>
        <v>12</v>
      </c>
      <c r="E73" s="220">
        <v>7.0</v>
      </c>
      <c r="F73" s="221">
        <v>7.0</v>
      </c>
      <c r="G73" s="222"/>
      <c r="H73" s="222"/>
      <c r="I73" s="222"/>
      <c r="J73" s="222" t="s">
        <v>803</v>
      </c>
      <c r="K73" s="222"/>
      <c r="L73" s="222"/>
      <c r="M73" s="222"/>
      <c r="N73" s="222"/>
      <c r="O73" s="222"/>
      <c r="P73" s="222"/>
      <c r="Q73" s="222"/>
      <c r="R73" s="222"/>
      <c r="S73" s="222"/>
      <c r="T73" s="222" t="s">
        <v>811</v>
      </c>
      <c r="U73" s="209" t="s">
        <v>826</v>
      </c>
      <c r="V73" s="210">
        <v>4.0</v>
      </c>
    </row>
    <row r="74" ht="18.75" customHeight="1">
      <c r="A74" s="206" t="s">
        <v>820</v>
      </c>
      <c r="B74" s="207"/>
      <c r="C74" s="207">
        <f t="shared" si="14"/>
        <v>2</v>
      </c>
      <c r="D74" s="208">
        <f>IFERROR(__xludf.DUMMYFUNCTION("IF(AND(ISTEXT($A74),ROW()&gt;$B$46),IFERROR(AVERAGE(FILTER(F$26:F$45, ARRAYFORMULA(ISNUMBER(SEARCH($A74, $A$26:$A$45))))),Round(XLOOKUP($A74,Resources!$A$4:$A$23,Resources!$AB$4:$AB$23)*'Roadmap setting'!$B$10)),"""")"),41.5)</f>
        <v>41.5</v>
      </c>
      <c r="E74" s="220">
        <v>30.0</v>
      </c>
      <c r="F74" s="220">
        <v>30.0</v>
      </c>
      <c r="G74" s="211"/>
      <c r="H74" s="211"/>
      <c r="I74" s="211"/>
      <c r="J74" s="211"/>
      <c r="K74" s="211"/>
      <c r="L74" s="211"/>
      <c r="M74" s="211"/>
      <c r="N74" s="211"/>
      <c r="O74" s="211"/>
      <c r="P74" s="211"/>
      <c r="Q74" s="211"/>
      <c r="R74" s="211"/>
      <c r="S74" s="211" t="s">
        <v>799</v>
      </c>
      <c r="T74" s="211"/>
      <c r="U74" s="209" t="s">
        <v>827</v>
      </c>
      <c r="V74" s="210">
        <v>-15.0</v>
      </c>
    </row>
    <row r="75" ht="18.75" customHeight="1">
      <c r="A75" s="206" t="s">
        <v>809</v>
      </c>
      <c r="B75" s="207" t="str">
        <f>IFERROR(IF(AND(ISNUMBER($E75),ISNUMBER($F75)),(($F75-$E75)*2)/$E75,""),"")</f>
        <v/>
      </c>
      <c r="C75" s="207"/>
      <c r="D75" s="208">
        <f>IFERROR(__xludf.DUMMYFUNCTION("IF(AND(ISTEXT($A75),ROW()&gt;$B$46),IFERROR(AVERAGE(FILTER(F$26:F$45, ARRAYFORMULA(ISNUMBER(SEARCH($A75, $A$26:$A$45))))),Round(XLOOKUP($A75,Resources!$A$4:$A$23,Resources!$AB$4:$AB$23)*'Roadmap setting'!$B$10)),"""")"),12.0)</f>
        <v>12</v>
      </c>
      <c r="E75" s="220"/>
      <c r="F75" s="221"/>
      <c r="G75" s="222"/>
      <c r="H75" s="222"/>
      <c r="I75" s="222"/>
      <c r="J75" s="222"/>
      <c r="K75" s="222"/>
      <c r="L75" s="222"/>
      <c r="M75" s="222"/>
      <c r="N75" s="222"/>
      <c r="O75" s="222"/>
      <c r="P75" s="222"/>
      <c r="Q75" s="222"/>
      <c r="R75" s="222"/>
      <c r="S75" s="222"/>
      <c r="T75" s="222"/>
      <c r="U75" s="212"/>
      <c r="V75" s="213"/>
    </row>
    <row r="76" ht="18.75" customHeight="1">
      <c r="A76" s="206" t="s">
        <v>810</v>
      </c>
      <c r="B76" s="207"/>
      <c r="C76" s="207"/>
      <c r="D76" s="208">
        <f>IFERROR(__xludf.DUMMYFUNCTION("IF(AND(ISTEXT($A76),ROW()&gt;$B$46),IFERROR(AVERAGE(FILTER(F$26:F$45, ARRAYFORMULA(ISNUMBER(SEARCH($A76, $A$26:$A$45))))),Round(XLOOKUP($A76,Resources!$A$4:$A$23,Resources!$AB$4:$AB$23)*'Roadmap setting'!$B$10)),"""")"),12.0)</f>
        <v>12</v>
      </c>
      <c r="E76" s="220"/>
      <c r="F76" s="220"/>
      <c r="G76" s="211"/>
      <c r="H76" s="211"/>
      <c r="I76" s="211"/>
      <c r="J76" s="211"/>
      <c r="K76" s="211"/>
      <c r="L76" s="211"/>
      <c r="M76" s="211"/>
      <c r="N76" s="211"/>
      <c r="O76" s="211"/>
      <c r="P76" s="211"/>
      <c r="Q76" s="211"/>
      <c r="R76" s="211"/>
      <c r="S76" s="211"/>
      <c r="T76" s="211"/>
      <c r="U76" s="209"/>
      <c r="V76" s="210"/>
    </row>
    <row r="77" ht="18.75" customHeight="1">
      <c r="A77" s="215" t="s">
        <v>828</v>
      </c>
      <c r="B77" s="216" t="s">
        <v>796</v>
      </c>
      <c r="C77" s="217">
        <f>IFERROR(__xludf.DUMMYFUNCTION("IF($B77=""Sprint nr:"", IFERROR(MAX(FILTER(C$3:C76, B$3:B76=""Sprint nr:"")) + 1, 1), """")
"),5.0)</f>
        <v>5</v>
      </c>
      <c r="D77" s="218"/>
      <c r="E77" s="218"/>
      <c r="F77" s="218"/>
      <c r="G77" s="216"/>
      <c r="H77" s="216"/>
      <c r="I77" s="216"/>
      <c r="J77" s="216"/>
      <c r="K77" s="216"/>
      <c r="L77" s="216"/>
      <c r="M77" s="216"/>
      <c r="N77" s="216"/>
      <c r="O77" s="216"/>
      <c r="P77" s="216"/>
      <c r="Q77" s="216"/>
      <c r="R77" s="216"/>
      <c r="S77" s="216"/>
      <c r="T77" s="216"/>
      <c r="U77" s="216"/>
      <c r="V77" s="219"/>
    </row>
    <row r="78" ht="18.75" customHeight="1">
      <c r="A78" s="206" t="s">
        <v>797</v>
      </c>
      <c r="B78" s="207"/>
      <c r="C78" s="207"/>
      <c r="D78" s="208"/>
      <c r="E78" s="220"/>
      <c r="F78" s="220"/>
      <c r="G78" s="211"/>
      <c r="H78" s="211"/>
      <c r="I78" s="211"/>
      <c r="J78" s="211"/>
      <c r="K78" s="211"/>
      <c r="L78" s="211" t="s">
        <v>799</v>
      </c>
      <c r="M78" s="211"/>
      <c r="N78" s="211"/>
      <c r="O78" s="211"/>
      <c r="P78" s="211" t="s">
        <v>799</v>
      </c>
      <c r="Q78" s="211"/>
      <c r="R78" s="211"/>
      <c r="S78" s="211"/>
      <c r="T78" s="211"/>
      <c r="U78" s="209" t="s">
        <v>829</v>
      </c>
      <c r="V78" s="210"/>
    </row>
    <row r="79" ht="18.75" customHeight="1">
      <c r="A79" s="206" t="s">
        <v>820</v>
      </c>
      <c r="B79" s="207"/>
      <c r="C79" s="207"/>
      <c r="D79" s="208"/>
      <c r="E79" s="220">
        <v>47.0</v>
      </c>
      <c r="F79" s="220">
        <v>47.0</v>
      </c>
      <c r="G79" s="211"/>
      <c r="H79" s="211"/>
      <c r="I79" s="211"/>
      <c r="J79" s="211"/>
      <c r="K79" s="211"/>
      <c r="L79" s="211" t="s">
        <v>799</v>
      </c>
      <c r="M79" s="211"/>
      <c r="N79" s="211"/>
      <c r="O79" s="211"/>
      <c r="P79" s="211" t="s">
        <v>799</v>
      </c>
      <c r="Q79" s="211"/>
      <c r="R79" s="211"/>
      <c r="S79" s="211"/>
      <c r="T79" s="211"/>
      <c r="U79" s="209" t="s">
        <v>829</v>
      </c>
      <c r="V79" s="210">
        <v>0.0</v>
      </c>
    </row>
    <row r="80" ht="18.75" customHeight="1">
      <c r="A80" s="206" t="s">
        <v>805</v>
      </c>
      <c r="B80" s="207"/>
      <c r="C80" s="207"/>
      <c r="D80" s="208"/>
      <c r="E80" s="220">
        <v>56.0</v>
      </c>
      <c r="F80" s="220">
        <v>56.0</v>
      </c>
      <c r="G80" s="211"/>
      <c r="H80" s="211"/>
      <c r="I80" s="211"/>
      <c r="J80" s="211" t="s">
        <v>799</v>
      </c>
      <c r="K80" s="211"/>
      <c r="L80" s="211"/>
      <c r="M80" s="211"/>
      <c r="N80" s="211"/>
      <c r="O80" s="211"/>
      <c r="P80" s="211"/>
      <c r="Q80" s="211"/>
      <c r="R80" s="211"/>
      <c r="S80" s="211"/>
      <c r="T80" s="211"/>
      <c r="U80" s="209" t="s">
        <v>830</v>
      </c>
      <c r="V80" s="210">
        <v>-45.0</v>
      </c>
    </row>
    <row r="81" ht="18.75" customHeight="1">
      <c r="A81" s="206" t="s">
        <v>807</v>
      </c>
      <c r="B81" s="207"/>
      <c r="C81" s="207"/>
      <c r="D81" s="208"/>
      <c r="E81" s="220"/>
      <c r="F81" s="220"/>
      <c r="G81" s="211"/>
      <c r="H81" s="211"/>
      <c r="I81" s="211"/>
      <c r="J81" s="211"/>
      <c r="K81" s="211"/>
      <c r="L81" s="211"/>
      <c r="M81" s="211"/>
      <c r="N81" s="211"/>
      <c r="O81" s="211"/>
      <c r="P81" s="211"/>
      <c r="Q81" s="211"/>
      <c r="R81" s="211"/>
      <c r="S81" s="211"/>
      <c r="T81" s="211"/>
      <c r="U81" s="209"/>
      <c r="V81" s="210"/>
    </row>
    <row r="82" ht="18.75" customHeight="1">
      <c r="A82" s="206" t="s">
        <v>809</v>
      </c>
      <c r="B82" s="207"/>
      <c r="C82" s="207"/>
      <c r="D82" s="208"/>
      <c r="E82" s="220"/>
      <c r="F82" s="220"/>
      <c r="G82" s="211"/>
      <c r="H82" s="211"/>
      <c r="I82" s="211"/>
      <c r="J82" s="211"/>
      <c r="K82" s="211"/>
      <c r="L82" s="211"/>
      <c r="M82" s="211"/>
      <c r="N82" s="211"/>
      <c r="O82" s="211"/>
      <c r="P82" s="211"/>
      <c r="Q82" s="211"/>
      <c r="R82" s="211"/>
      <c r="S82" s="211"/>
      <c r="T82" s="211"/>
      <c r="U82" s="209"/>
      <c r="V82" s="210"/>
    </row>
    <row r="83" ht="18.75" customHeight="1">
      <c r="A83" s="206" t="s">
        <v>810</v>
      </c>
      <c r="B83" s="207"/>
      <c r="C83" s="207"/>
      <c r="D83" s="208"/>
      <c r="E83" s="220"/>
      <c r="F83" s="220"/>
      <c r="G83" s="211"/>
      <c r="H83" s="211"/>
      <c r="I83" s="211"/>
      <c r="J83" s="211"/>
      <c r="K83" s="211"/>
      <c r="L83" s="211"/>
      <c r="M83" s="211"/>
      <c r="N83" s="211"/>
      <c r="O83" s="211"/>
      <c r="P83" s="211"/>
      <c r="Q83" s="211"/>
      <c r="R83" s="211"/>
      <c r="S83" s="211"/>
      <c r="T83" s="211"/>
      <c r="U83" s="209"/>
      <c r="V83" s="210"/>
    </row>
    <row r="84" ht="18.75" customHeight="1">
      <c r="A84" s="215" t="s">
        <v>831</v>
      </c>
      <c r="B84" s="216" t="s">
        <v>796</v>
      </c>
      <c r="C84" s="217">
        <f>IFERROR(__xludf.DUMMYFUNCTION("IF($B84=""Sprint nr:"", IFERROR(MAX(FILTER(C$3:C83, B$3:B83=""Sprint nr:"")) + 1, 1), """")
"),6.0)</f>
        <v>6</v>
      </c>
      <c r="D84" s="218"/>
      <c r="E84" s="218"/>
      <c r="F84" s="218"/>
      <c r="G84" s="216"/>
      <c r="H84" s="216"/>
      <c r="I84" s="216"/>
      <c r="J84" s="216"/>
      <c r="K84" s="216"/>
      <c r="L84" s="216"/>
      <c r="M84" s="216"/>
      <c r="N84" s="216"/>
      <c r="O84" s="216"/>
      <c r="P84" s="216"/>
      <c r="Q84" s="216"/>
      <c r="R84" s="216"/>
      <c r="S84" s="216"/>
      <c r="T84" s="216"/>
      <c r="U84" s="216"/>
      <c r="V84" s="219"/>
    </row>
    <row r="85" ht="18.75" customHeight="1">
      <c r="A85" s="206" t="s">
        <v>797</v>
      </c>
      <c r="B85" s="207"/>
      <c r="C85" s="207"/>
      <c r="D85" s="208"/>
      <c r="E85" s="220"/>
      <c r="F85" s="220"/>
      <c r="G85" s="211"/>
      <c r="H85" s="211"/>
      <c r="I85" s="211"/>
      <c r="J85" s="211"/>
      <c r="K85" s="211"/>
      <c r="L85" s="211"/>
      <c r="M85" s="211"/>
      <c r="N85" s="211"/>
      <c r="O85" s="211"/>
      <c r="P85" s="211"/>
      <c r="Q85" s="211"/>
      <c r="R85" s="211"/>
      <c r="S85" s="211"/>
      <c r="T85" s="211"/>
      <c r="U85" s="209"/>
      <c r="V85" s="210"/>
    </row>
    <row r="86" ht="18.75" customHeight="1">
      <c r="A86" s="206" t="s">
        <v>820</v>
      </c>
      <c r="B86" s="207"/>
      <c r="C86" s="207"/>
      <c r="D86" s="208"/>
      <c r="E86" s="220">
        <v>36.0</v>
      </c>
      <c r="F86" s="220">
        <v>36.0</v>
      </c>
      <c r="G86" s="211"/>
      <c r="H86" s="211"/>
      <c r="I86" s="211"/>
      <c r="J86" s="211"/>
      <c r="K86" s="211"/>
      <c r="L86" s="211"/>
      <c r="M86" s="211"/>
      <c r="N86" s="211"/>
      <c r="O86" s="211"/>
      <c r="P86" s="211"/>
      <c r="Q86" s="211"/>
      <c r="R86" s="211"/>
      <c r="S86" s="211"/>
      <c r="T86" s="211"/>
      <c r="U86" s="209"/>
      <c r="V86" s="210">
        <v>-1.0</v>
      </c>
    </row>
    <row r="87" ht="18.75" customHeight="1">
      <c r="A87" s="206" t="s">
        <v>805</v>
      </c>
      <c r="B87" s="207"/>
      <c r="C87" s="207"/>
      <c r="D87" s="208"/>
      <c r="E87" s="220">
        <v>42.0</v>
      </c>
      <c r="F87" s="220">
        <v>42.0</v>
      </c>
      <c r="G87" s="211"/>
      <c r="H87" s="211"/>
      <c r="I87" s="211"/>
      <c r="J87" s="211"/>
      <c r="K87" s="211"/>
      <c r="L87" s="211"/>
      <c r="M87" s="211"/>
      <c r="N87" s="211"/>
      <c r="O87" s="211"/>
      <c r="P87" s="211"/>
      <c r="Q87" s="211"/>
      <c r="R87" s="211"/>
      <c r="S87" s="211"/>
      <c r="T87" s="211"/>
      <c r="U87" s="209"/>
      <c r="V87" s="210">
        <v>1.0</v>
      </c>
    </row>
    <row r="88" ht="18.75" customHeight="1">
      <c r="A88" s="206" t="s">
        <v>810</v>
      </c>
      <c r="B88" s="207"/>
      <c r="C88" s="207"/>
      <c r="D88" s="208"/>
      <c r="E88" s="220"/>
      <c r="F88" s="220"/>
      <c r="G88" s="211"/>
      <c r="H88" s="211"/>
      <c r="I88" s="211"/>
      <c r="J88" s="211"/>
      <c r="K88" s="211"/>
      <c r="L88" s="211"/>
      <c r="M88" s="211"/>
      <c r="N88" s="211"/>
      <c r="O88" s="211"/>
      <c r="P88" s="211"/>
      <c r="Q88" s="211"/>
      <c r="R88" s="211"/>
      <c r="S88" s="211"/>
      <c r="T88" s="211"/>
      <c r="U88" s="209"/>
      <c r="V88" s="210"/>
    </row>
    <row r="89" ht="18.75" customHeight="1">
      <c r="A89" s="206" t="s">
        <v>807</v>
      </c>
      <c r="B89" s="207"/>
      <c r="C89" s="207"/>
      <c r="D89" s="208"/>
      <c r="E89" s="220"/>
      <c r="F89" s="220"/>
      <c r="G89" s="211"/>
      <c r="H89" s="211"/>
      <c r="I89" s="211"/>
      <c r="J89" s="211"/>
      <c r="K89" s="211"/>
      <c r="L89" s="211"/>
      <c r="M89" s="211"/>
      <c r="N89" s="211"/>
      <c r="O89" s="211"/>
      <c r="P89" s="211"/>
      <c r="Q89" s="211"/>
      <c r="R89" s="211"/>
      <c r="S89" s="211"/>
      <c r="T89" s="211"/>
      <c r="U89" s="209"/>
      <c r="V89" s="210"/>
    </row>
    <row r="90" ht="18.75" customHeight="1">
      <c r="A90" s="206" t="s">
        <v>832</v>
      </c>
      <c r="B90" s="207"/>
      <c r="C90" s="207"/>
      <c r="D90" s="208"/>
      <c r="E90" s="220"/>
      <c r="F90" s="220"/>
      <c r="G90" s="211"/>
      <c r="H90" s="211"/>
      <c r="I90" s="211"/>
      <c r="J90" s="211"/>
      <c r="K90" s="211"/>
      <c r="L90" s="211"/>
      <c r="M90" s="211"/>
      <c r="N90" s="211"/>
      <c r="O90" s="211"/>
      <c r="P90" s="211"/>
      <c r="Q90" s="211"/>
      <c r="R90" s="211"/>
      <c r="S90" s="211"/>
      <c r="T90" s="211"/>
      <c r="U90" s="209"/>
      <c r="V90" s="210"/>
    </row>
    <row r="91" ht="18.75" customHeight="1">
      <c r="A91" s="215" t="s">
        <v>833</v>
      </c>
      <c r="B91" s="216" t="s">
        <v>796</v>
      </c>
      <c r="C91" s="217">
        <f>IFERROR(__xludf.DUMMYFUNCTION("IF($B91=""Sprint nr:"", IFERROR(MAX(FILTER(C$3:C90, B$3:B90=""Sprint nr:"")) + 1, 1), """")
"),7.0)</f>
        <v>7</v>
      </c>
      <c r="D91" s="218"/>
      <c r="E91" s="218"/>
      <c r="F91" s="218"/>
      <c r="G91" s="216"/>
      <c r="H91" s="216"/>
      <c r="I91" s="216"/>
      <c r="J91" s="216"/>
      <c r="K91" s="216"/>
      <c r="L91" s="216"/>
      <c r="M91" s="216"/>
      <c r="N91" s="216"/>
      <c r="O91" s="216"/>
      <c r="P91" s="216"/>
      <c r="Q91" s="216"/>
      <c r="R91" s="216"/>
      <c r="S91" s="216"/>
      <c r="T91" s="216"/>
      <c r="U91" s="216"/>
      <c r="V91" s="219"/>
    </row>
    <row r="92" ht="18.75" customHeight="1">
      <c r="A92" s="206" t="s">
        <v>797</v>
      </c>
      <c r="B92" s="207"/>
      <c r="C92" s="207"/>
      <c r="D92" s="208"/>
      <c r="E92" s="220"/>
      <c r="F92" s="220"/>
      <c r="G92" s="211"/>
      <c r="H92" s="211"/>
      <c r="I92" s="211"/>
      <c r="J92" s="211"/>
      <c r="K92" s="211"/>
      <c r="L92" s="211"/>
      <c r="M92" s="211"/>
      <c r="N92" s="211"/>
      <c r="O92" s="211"/>
      <c r="P92" s="211"/>
      <c r="Q92" s="211"/>
      <c r="R92" s="211"/>
      <c r="S92" s="211"/>
      <c r="T92" s="211"/>
      <c r="U92" s="209"/>
      <c r="V92" s="210"/>
    </row>
    <row r="93" ht="18.75" customHeight="1">
      <c r="A93" s="206" t="s">
        <v>820</v>
      </c>
      <c r="B93" s="207"/>
      <c r="C93" s="207"/>
      <c r="D93" s="208"/>
      <c r="E93" s="220">
        <v>0.0</v>
      </c>
      <c r="F93" s="220">
        <v>0.0</v>
      </c>
      <c r="G93" s="211"/>
      <c r="H93" s="211"/>
      <c r="I93" s="211"/>
      <c r="J93" s="211"/>
      <c r="K93" s="211"/>
      <c r="L93" s="211"/>
      <c r="M93" s="211"/>
      <c r="N93" s="211"/>
      <c r="O93" s="211"/>
      <c r="P93" s="211"/>
      <c r="Q93" s="211"/>
      <c r="R93" s="211"/>
      <c r="S93" s="211"/>
      <c r="T93" s="211"/>
      <c r="U93" s="209"/>
      <c r="V93" s="210">
        <v>0.0</v>
      </c>
    </row>
    <row r="94" ht="18.75" customHeight="1">
      <c r="A94" s="206" t="s">
        <v>805</v>
      </c>
      <c r="B94" s="207"/>
      <c r="C94" s="207"/>
      <c r="D94" s="208"/>
      <c r="E94" s="220">
        <v>68.0</v>
      </c>
      <c r="F94" s="220">
        <v>68.0</v>
      </c>
      <c r="G94" s="211"/>
      <c r="H94" s="211"/>
      <c r="I94" s="211"/>
      <c r="J94" s="211"/>
      <c r="K94" s="211"/>
      <c r="L94" s="211"/>
      <c r="M94" s="211" t="s">
        <v>803</v>
      </c>
      <c r="N94" s="211"/>
      <c r="O94" s="211"/>
      <c r="P94" s="211"/>
      <c r="Q94" s="211"/>
      <c r="R94" s="211"/>
      <c r="S94" s="211"/>
      <c r="T94" s="211"/>
      <c r="U94" s="209" t="s">
        <v>834</v>
      </c>
      <c r="V94" s="210">
        <v>0.0</v>
      </c>
    </row>
    <row r="95" ht="18.75" customHeight="1">
      <c r="A95" s="206" t="s">
        <v>807</v>
      </c>
      <c r="B95" s="207"/>
      <c r="C95" s="207"/>
      <c r="D95" s="208"/>
      <c r="E95" s="220"/>
      <c r="F95" s="220"/>
      <c r="G95" s="211"/>
      <c r="H95" s="211"/>
      <c r="I95" s="211"/>
      <c r="J95" s="211"/>
      <c r="K95" s="211"/>
      <c r="L95" s="211"/>
      <c r="M95" s="211"/>
      <c r="N95" s="211"/>
      <c r="O95" s="211"/>
      <c r="P95" s="211"/>
      <c r="Q95" s="211"/>
      <c r="R95" s="211"/>
      <c r="S95" s="211"/>
      <c r="T95" s="211"/>
      <c r="U95" s="209"/>
      <c r="V95" s="210"/>
    </row>
    <row r="96" ht="18.75" customHeight="1">
      <c r="A96" s="206" t="s">
        <v>810</v>
      </c>
      <c r="B96" s="207"/>
      <c r="C96" s="207"/>
      <c r="D96" s="208"/>
      <c r="E96" s="220"/>
      <c r="F96" s="220"/>
      <c r="G96" s="211"/>
      <c r="H96" s="211"/>
      <c r="I96" s="211"/>
      <c r="J96" s="211"/>
      <c r="K96" s="211"/>
      <c r="L96" s="211"/>
      <c r="M96" s="211"/>
      <c r="N96" s="211"/>
      <c r="O96" s="211"/>
      <c r="P96" s="211"/>
      <c r="Q96" s="211"/>
      <c r="R96" s="211"/>
      <c r="S96" s="211"/>
      <c r="T96" s="211"/>
      <c r="U96" s="209"/>
      <c r="V96" s="210"/>
    </row>
    <row r="97" ht="18.75" customHeight="1">
      <c r="A97" s="206" t="s">
        <v>832</v>
      </c>
      <c r="B97" s="207"/>
      <c r="C97" s="207"/>
      <c r="D97" s="208"/>
      <c r="E97" s="220"/>
      <c r="F97" s="220"/>
      <c r="G97" s="211"/>
      <c r="H97" s="211"/>
      <c r="I97" s="211"/>
      <c r="J97" s="211"/>
      <c r="K97" s="211"/>
      <c r="L97" s="211"/>
      <c r="M97" s="211"/>
      <c r="N97" s="211"/>
      <c r="O97" s="211"/>
      <c r="P97" s="211"/>
      <c r="Q97" s="211"/>
      <c r="R97" s="211"/>
      <c r="S97" s="211"/>
      <c r="T97" s="211"/>
      <c r="U97" s="209"/>
      <c r="V97" s="210"/>
    </row>
    <row r="98" ht="18.75" customHeight="1">
      <c r="A98" s="211"/>
      <c r="B98" s="207"/>
      <c r="C98" s="207"/>
      <c r="D98" s="208"/>
      <c r="E98" s="220"/>
      <c r="F98" s="220"/>
      <c r="G98" s="211"/>
      <c r="H98" s="211"/>
      <c r="I98" s="211"/>
      <c r="J98" s="211"/>
      <c r="K98" s="211"/>
      <c r="L98" s="211"/>
      <c r="M98" s="211"/>
      <c r="N98" s="211"/>
      <c r="O98" s="211"/>
      <c r="P98" s="211"/>
      <c r="Q98" s="211"/>
      <c r="R98" s="211"/>
      <c r="S98" s="211"/>
      <c r="T98" s="211"/>
      <c r="U98" s="209"/>
      <c r="V98" s="210"/>
    </row>
    <row r="99" ht="18.75" customHeight="1">
      <c r="A99" s="211"/>
      <c r="B99" s="207"/>
      <c r="C99" s="207"/>
      <c r="D99" s="208"/>
      <c r="E99" s="220"/>
      <c r="F99" s="220"/>
      <c r="G99" s="211"/>
      <c r="H99" s="211"/>
      <c r="I99" s="211"/>
      <c r="J99" s="211"/>
      <c r="K99" s="211"/>
      <c r="L99" s="211"/>
      <c r="M99" s="211"/>
      <c r="N99" s="211"/>
      <c r="O99" s="211"/>
      <c r="P99" s="211"/>
      <c r="Q99" s="211"/>
      <c r="R99" s="211"/>
      <c r="S99" s="211"/>
      <c r="T99" s="211"/>
      <c r="U99" s="209"/>
      <c r="V99" s="210"/>
    </row>
    <row r="100" ht="18.75" customHeight="1">
      <c r="A100" s="211"/>
      <c r="B100" s="207"/>
      <c r="C100" s="207"/>
      <c r="D100" s="208"/>
      <c r="E100" s="220"/>
      <c r="F100" s="220"/>
      <c r="G100" s="211"/>
      <c r="H100" s="211"/>
      <c r="I100" s="211"/>
      <c r="J100" s="211"/>
      <c r="K100" s="211"/>
      <c r="L100" s="211"/>
      <c r="M100" s="211"/>
      <c r="N100" s="211"/>
      <c r="O100" s="211"/>
      <c r="P100" s="211"/>
      <c r="Q100" s="211"/>
      <c r="R100" s="211"/>
      <c r="S100" s="211"/>
      <c r="T100" s="211"/>
      <c r="U100" s="209"/>
      <c r="V100" s="210"/>
    </row>
    <row r="101" ht="18.75" customHeight="1">
      <c r="A101" s="211"/>
      <c r="B101" s="207"/>
      <c r="C101" s="207"/>
      <c r="D101" s="208"/>
      <c r="E101" s="220"/>
      <c r="F101" s="220"/>
      <c r="G101" s="211"/>
      <c r="H101" s="211"/>
      <c r="I101" s="211"/>
      <c r="J101" s="211"/>
      <c r="K101" s="211"/>
      <c r="L101" s="211"/>
      <c r="M101" s="211"/>
      <c r="N101" s="211"/>
      <c r="O101" s="211"/>
      <c r="P101" s="211"/>
      <c r="Q101" s="211"/>
      <c r="R101" s="211"/>
      <c r="S101" s="211"/>
      <c r="T101" s="211"/>
      <c r="U101" s="209"/>
      <c r="V101" s="210"/>
    </row>
    <row r="102" ht="18.75" customHeight="1">
      <c r="A102" s="211"/>
      <c r="B102" s="207"/>
      <c r="C102" s="207"/>
      <c r="D102" s="208"/>
      <c r="E102" s="220"/>
      <c r="F102" s="220"/>
      <c r="G102" s="211"/>
      <c r="H102" s="211"/>
      <c r="I102" s="211"/>
      <c r="J102" s="211"/>
      <c r="K102" s="211"/>
      <c r="L102" s="211"/>
      <c r="M102" s="211"/>
      <c r="N102" s="211"/>
      <c r="O102" s="211"/>
      <c r="P102" s="211"/>
      <c r="Q102" s="211"/>
      <c r="R102" s="211"/>
      <c r="S102" s="211"/>
      <c r="T102" s="211"/>
      <c r="U102" s="209"/>
      <c r="V102" s="210"/>
    </row>
    <row r="103" ht="18.75" customHeight="1">
      <c r="A103" s="211"/>
      <c r="B103" s="207"/>
      <c r="C103" s="207"/>
      <c r="D103" s="208"/>
      <c r="E103" s="220"/>
      <c r="F103" s="220"/>
      <c r="G103" s="211"/>
      <c r="H103" s="211"/>
      <c r="I103" s="211"/>
      <c r="J103" s="211"/>
      <c r="K103" s="211"/>
      <c r="L103" s="211"/>
      <c r="M103" s="211"/>
      <c r="N103" s="211"/>
      <c r="O103" s="211"/>
      <c r="P103" s="211"/>
      <c r="Q103" s="211"/>
      <c r="R103" s="211"/>
      <c r="S103" s="211"/>
      <c r="T103" s="211"/>
      <c r="U103" s="209"/>
      <c r="V103" s="210"/>
    </row>
    <row r="104" ht="18.75" customHeight="1">
      <c r="A104" s="211"/>
      <c r="B104" s="207"/>
      <c r="C104" s="207"/>
      <c r="D104" s="208"/>
      <c r="E104" s="220"/>
      <c r="F104" s="220"/>
      <c r="G104" s="211"/>
      <c r="H104" s="211"/>
      <c r="I104" s="211"/>
      <c r="J104" s="211"/>
      <c r="K104" s="211"/>
      <c r="L104" s="211"/>
      <c r="M104" s="211"/>
      <c r="N104" s="211"/>
      <c r="O104" s="211"/>
      <c r="P104" s="211"/>
      <c r="Q104" s="211"/>
      <c r="R104" s="211"/>
      <c r="S104" s="211"/>
      <c r="T104" s="211"/>
      <c r="U104" s="209"/>
      <c r="V104" s="210"/>
    </row>
    <row r="105" ht="18.75" customHeight="1">
      <c r="A105" s="211"/>
      <c r="B105" s="207"/>
      <c r="C105" s="207"/>
      <c r="D105" s="208"/>
      <c r="E105" s="220"/>
      <c r="F105" s="220"/>
      <c r="G105" s="211"/>
      <c r="H105" s="211"/>
      <c r="I105" s="211"/>
      <c r="J105" s="211"/>
      <c r="K105" s="211"/>
      <c r="L105" s="211"/>
      <c r="M105" s="211"/>
      <c r="N105" s="211"/>
      <c r="O105" s="211"/>
      <c r="P105" s="211"/>
      <c r="Q105" s="211"/>
      <c r="R105" s="211"/>
      <c r="S105" s="211"/>
      <c r="T105" s="211"/>
      <c r="U105" s="209"/>
      <c r="V105" s="210"/>
    </row>
    <row r="106" ht="18.75" customHeight="1">
      <c r="A106" s="211"/>
      <c r="B106" s="207"/>
      <c r="C106" s="207"/>
      <c r="D106" s="208"/>
      <c r="E106" s="220"/>
      <c r="F106" s="220"/>
      <c r="G106" s="211"/>
      <c r="H106" s="211"/>
      <c r="I106" s="211"/>
      <c r="J106" s="211"/>
      <c r="K106" s="211"/>
      <c r="L106" s="211"/>
      <c r="M106" s="211"/>
      <c r="N106" s="211"/>
      <c r="O106" s="211"/>
      <c r="P106" s="211"/>
      <c r="Q106" s="211"/>
      <c r="R106" s="211"/>
      <c r="S106" s="211"/>
      <c r="T106" s="211"/>
      <c r="U106" s="209"/>
      <c r="V106" s="210"/>
    </row>
    <row r="107" ht="18.75" customHeight="1">
      <c r="A107" s="211"/>
      <c r="B107" s="207"/>
      <c r="C107" s="207"/>
      <c r="D107" s="208"/>
      <c r="E107" s="220"/>
      <c r="F107" s="220"/>
      <c r="G107" s="211"/>
      <c r="H107" s="211"/>
      <c r="I107" s="211"/>
      <c r="J107" s="211"/>
      <c r="K107" s="211"/>
      <c r="L107" s="211"/>
      <c r="M107" s="211"/>
      <c r="N107" s="211"/>
      <c r="O107" s="211"/>
      <c r="P107" s="211"/>
      <c r="Q107" s="211"/>
      <c r="R107" s="211"/>
      <c r="S107" s="211"/>
      <c r="T107" s="211"/>
      <c r="U107" s="209"/>
      <c r="V107" s="210"/>
    </row>
    <row r="108" ht="18.75" customHeight="1">
      <c r="A108" s="211"/>
      <c r="B108" s="207"/>
      <c r="C108" s="207"/>
      <c r="D108" s="208"/>
      <c r="E108" s="220"/>
      <c r="F108" s="220"/>
      <c r="G108" s="211"/>
      <c r="H108" s="211"/>
      <c r="I108" s="211"/>
      <c r="J108" s="211"/>
      <c r="K108" s="211"/>
      <c r="L108" s="211"/>
      <c r="M108" s="211"/>
      <c r="N108" s="211"/>
      <c r="O108" s="211"/>
      <c r="P108" s="211"/>
      <c r="Q108" s="211"/>
      <c r="R108" s="211"/>
      <c r="S108" s="211"/>
      <c r="T108" s="211"/>
      <c r="U108" s="209"/>
      <c r="V108" s="210"/>
    </row>
    <row r="109" ht="18.75" customHeight="1">
      <c r="A109" s="211"/>
      <c r="B109" s="207"/>
      <c r="C109" s="207"/>
      <c r="D109" s="208"/>
      <c r="E109" s="220"/>
      <c r="F109" s="220"/>
      <c r="G109" s="211"/>
      <c r="H109" s="211"/>
      <c r="I109" s="211"/>
      <c r="J109" s="211"/>
      <c r="K109" s="211"/>
      <c r="L109" s="211"/>
      <c r="M109" s="211"/>
      <c r="N109" s="211"/>
      <c r="O109" s="211"/>
      <c r="P109" s="211"/>
      <c r="Q109" s="211"/>
      <c r="R109" s="211"/>
      <c r="S109" s="211"/>
      <c r="T109" s="211"/>
      <c r="U109" s="209"/>
      <c r="V109" s="210"/>
    </row>
    <row r="110" ht="18.75" customHeight="1">
      <c r="A110" s="211"/>
      <c r="B110" s="207"/>
      <c r="C110" s="207"/>
      <c r="D110" s="208"/>
      <c r="E110" s="220"/>
      <c r="F110" s="220"/>
      <c r="G110" s="211"/>
      <c r="H110" s="211"/>
      <c r="I110" s="211"/>
      <c r="J110" s="211"/>
      <c r="K110" s="211"/>
      <c r="L110" s="211"/>
      <c r="M110" s="211"/>
      <c r="N110" s="211"/>
      <c r="O110" s="211"/>
      <c r="P110" s="211"/>
      <c r="Q110" s="211"/>
      <c r="R110" s="211"/>
      <c r="S110" s="211"/>
      <c r="T110" s="211"/>
      <c r="U110" s="209"/>
      <c r="V110" s="210"/>
    </row>
    <row r="111" ht="18.75" customHeight="1">
      <c r="A111" s="211"/>
      <c r="B111" s="207"/>
      <c r="C111" s="207"/>
      <c r="D111" s="208"/>
      <c r="E111" s="220"/>
      <c r="F111" s="220"/>
      <c r="G111" s="211"/>
      <c r="H111" s="211"/>
      <c r="I111" s="211"/>
      <c r="J111" s="211"/>
      <c r="K111" s="211"/>
      <c r="L111" s="211"/>
      <c r="M111" s="211"/>
      <c r="N111" s="211"/>
      <c r="O111" s="211"/>
      <c r="P111" s="211"/>
      <c r="Q111" s="211"/>
      <c r="R111" s="211"/>
      <c r="S111" s="211"/>
      <c r="T111" s="211"/>
      <c r="U111" s="209"/>
      <c r="V111" s="210"/>
    </row>
    <row r="112" ht="18.75" customHeight="1">
      <c r="A112" s="211"/>
      <c r="B112" s="207"/>
      <c r="C112" s="207"/>
      <c r="D112" s="208"/>
      <c r="E112" s="220"/>
      <c r="F112" s="220"/>
      <c r="G112" s="211"/>
      <c r="H112" s="211"/>
      <c r="I112" s="211"/>
      <c r="J112" s="211"/>
      <c r="K112" s="211"/>
      <c r="L112" s="211"/>
      <c r="M112" s="211"/>
      <c r="N112" s="211"/>
      <c r="O112" s="211"/>
      <c r="P112" s="211"/>
      <c r="Q112" s="211"/>
      <c r="R112" s="211"/>
      <c r="S112" s="211"/>
      <c r="T112" s="211"/>
      <c r="U112" s="209"/>
      <c r="V112" s="210"/>
    </row>
    <row r="113" ht="18.75" customHeight="1">
      <c r="A113" s="211"/>
      <c r="B113" s="207"/>
      <c r="C113" s="207"/>
      <c r="D113" s="208"/>
      <c r="E113" s="220"/>
      <c r="F113" s="220"/>
      <c r="G113" s="211"/>
      <c r="H113" s="211"/>
      <c r="I113" s="211"/>
      <c r="J113" s="211"/>
      <c r="K113" s="211"/>
      <c r="L113" s="211"/>
      <c r="M113" s="211"/>
      <c r="N113" s="211"/>
      <c r="O113" s="211"/>
      <c r="P113" s="211"/>
      <c r="Q113" s="211"/>
      <c r="R113" s="211"/>
      <c r="S113" s="211"/>
      <c r="T113" s="211"/>
      <c r="U113" s="209"/>
      <c r="V113" s="210"/>
    </row>
    <row r="114" ht="18.75" customHeight="1">
      <c r="A114" s="211"/>
      <c r="B114" s="207"/>
      <c r="C114" s="207"/>
      <c r="D114" s="208"/>
      <c r="E114" s="220"/>
      <c r="F114" s="220"/>
      <c r="G114" s="211"/>
      <c r="H114" s="211"/>
      <c r="I114" s="211"/>
      <c r="J114" s="211"/>
      <c r="K114" s="211"/>
      <c r="L114" s="211"/>
      <c r="M114" s="211"/>
      <c r="N114" s="211"/>
      <c r="O114" s="211"/>
      <c r="P114" s="211"/>
      <c r="Q114" s="211"/>
      <c r="R114" s="211"/>
      <c r="S114" s="211"/>
      <c r="T114" s="211"/>
      <c r="U114" s="209"/>
      <c r="V114" s="210"/>
    </row>
    <row r="115" ht="18.75" customHeight="1">
      <c r="A115" s="211"/>
      <c r="B115" s="207"/>
      <c r="C115" s="207"/>
      <c r="D115" s="208"/>
      <c r="E115" s="220"/>
      <c r="F115" s="220"/>
      <c r="G115" s="211"/>
      <c r="H115" s="211"/>
      <c r="I115" s="211"/>
      <c r="J115" s="211"/>
      <c r="K115" s="211"/>
      <c r="L115" s="211"/>
      <c r="M115" s="211"/>
      <c r="N115" s="211"/>
      <c r="O115" s="211"/>
      <c r="P115" s="211"/>
      <c r="Q115" s="211"/>
      <c r="R115" s="211"/>
      <c r="S115" s="211"/>
      <c r="T115" s="211"/>
      <c r="U115" s="209"/>
      <c r="V115" s="210"/>
    </row>
    <row r="116" ht="18.75" customHeight="1">
      <c r="A116" s="211"/>
      <c r="B116" s="207"/>
      <c r="C116" s="207"/>
      <c r="D116" s="208"/>
      <c r="E116" s="220"/>
      <c r="F116" s="220"/>
      <c r="G116" s="211"/>
      <c r="H116" s="211"/>
      <c r="I116" s="211"/>
      <c r="J116" s="211"/>
      <c r="K116" s="211"/>
      <c r="L116" s="211"/>
      <c r="M116" s="211"/>
      <c r="N116" s="211"/>
      <c r="O116" s="211"/>
      <c r="P116" s="211"/>
      <c r="Q116" s="211"/>
      <c r="R116" s="211"/>
      <c r="S116" s="211"/>
      <c r="T116" s="211"/>
      <c r="U116" s="209"/>
      <c r="V116" s="210"/>
    </row>
    <row r="117" ht="18.75" customHeight="1">
      <c r="A117" s="211"/>
      <c r="B117" s="207"/>
      <c r="C117" s="207"/>
      <c r="D117" s="208"/>
      <c r="E117" s="220"/>
      <c r="F117" s="220"/>
      <c r="G117" s="211"/>
      <c r="H117" s="211"/>
      <c r="I117" s="211"/>
      <c r="J117" s="211"/>
      <c r="K117" s="211"/>
      <c r="L117" s="211"/>
      <c r="M117" s="211"/>
      <c r="N117" s="211"/>
      <c r="O117" s="211"/>
      <c r="P117" s="211"/>
      <c r="Q117" s="211"/>
      <c r="R117" s="211"/>
      <c r="S117" s="211"/>
      <c r="T117" s="211"/>
      <c r="U117" s="209"/>
      <c r="V117" s="210"/>
    </row>
    <row r="118" ht="18.75" customHeight="1">
      <c r="A118" s="211"/>
      <c r="B118" s="207"/>
      <c r="C118" s="207"/>
      <c r="D118" s="208"/>
      <c r="E118" s="220"/>
      <c r="F118" s="220"/>
      <c r="G118" s="211"/>
      <c r="H118" s="211"/>
      <c r="I118" s="211"/>
      <c r="J118" s="211"/>
      <c r="K118" s="211"/>
      <c r="L118" s="211"/>
      <c r="M118" s="211"/>
      <c r="N118" s="211"/>
      <c r="O118" s="211"/>
      <c r="P118" s="211"/>
      <c r="Q118" s="211"/>
      <c r="R118" s="211"/>
      <c r="S118" s="211"/>
      <c r="T118" s="211"/>
      <c r="U118" s="211"/>
      <c r="V118" s="83"/>
    </row>
    <row r="119" ht="18.75" customHeight="1">
      <c r="A119" s="211"/>
      <c r="B119" s="207"/>
      <c r="C119" s="207"/>
      <c r="D119" s="208"/>
      <c r="E119" s="220"/>
      <c r="F119" s="220"/>
      <c r="G119" s="211"/>
      <c r="H119" s="211"/>
      <c r="I119" s="211"/>
      <c r="J119" s="211"/>
      <c r="K119" s="211"/>
      <c r="L119" s="211"/>
      <c r="M119" s="211"/>
      <c r="N119" s="211"/>
      <c r="O119" s="211"/>
      <c r="P119" s="211"/>
      <c r="Q119" s="211"/>
      <c r="R119" s="211"/>
      <c r="S119" s="211"/>
      <c r="T119" s="211"/>
      <c r="U119" s="211"/>
      <c r="V119" s="83"/>
    </row>
    <row r="120" ht="18.75" customHeight="1">
      <c r="A120" s="211"/>
      <c r="B120" s="207"/>
      <c r="C120" s="207"/>
      <c r="D120" s="208"/>
      <c r="E120" s="220"/>
      <c r="F120" s="220"/>
      <c r="G120" s="211"/>
      <c r="H120" s="211"/>
      <c r="I120" s="211"/>
      <c r="J120" s="211"/>
      <c r="K120" s="211"/>
      <c r="L120" s="211"/>
      <c r="M120" s="211"/>
      <c r="N120" s="211"/>
      <c r="O120" s="211"/>
      <c r="P120" s="211"/>
      <c r="Q120" s="211"/>
      <c r="R120" s="211"/>
      <c r="S120" s="211"/>
      <c r="T120" s="211"/>
      <c r="U120" s="211"/>
      <c r="V120" s="83"/>
    </row>
    <row r="121" ht="18.75" customHeight="1">
      <c r="A121" s="211"/>
      <c r="B121" s="207"/>
      <c r="C121" s="207"/>
      <c r="D121" s="208"/>
      <c r="E121" s="220"/>
      <c r="F121" s="220"/>
      <c r="G121" s="211"/>
      <c r="H121" s="211"/>
      <c r="I121" s="211"/>
      <c r="J121" s="211"/>
      <c r="K121" s="211"/>
      <c r="L121" s="211"/>
      <c r="M121" s="211"/>
      <c r="N121" s="211"/>
      <c r="O121" s="211"/>
      <c r="P121" s="211"/>
      <c r="Q121" s="211"/>
      <c r="R121" s="211"/>
      <c r="S121" s="211"/>
      <c r="T121" s="211"/>
      <c r="U121" s="211"/>
      <c r="V121" s="83"/>
    </row>
    <row r="122" ht="18.75" customHeight="1">
      <c r="A122" s="211"/>
      <c r="B122" s="207"/>
      <c r="C122" s="207"/>
      <c r="D122" s="208"/>
      <c r="E122" s="220"/>
      <c r="F122" s="220"/>
      <c r="G122" s="211"/>
      <c r="H122" s="211"/>
      <c r="I122" s="211"/>
      <c r="J122" s="211"/>
      <c r="K122" s="211"/>
      <c r="L122" s="211"/>
      <c r="M122" s="211"/>
      <c r="N122" s="211"/>
      <c r="O122" s="211"/>
      <c r="P122" s="211"/>
      <c r="Q122" s="211"/>
      <c r="R122" s="211"/>
      <c r="S122" s="211"/>
      <c r="T122" s="211"/>
      <c r="U122" s="211"/>
      <c r="V122" s="83"/>
    </row>
    <row r="123" ht="18.75" customHeight="1">
      <c r="A123" s="211"/>
      <c r="B123" s="207"/>
      <c r="C123" s="207"/>
      <c r="D123" s="208"/>
      <c r="E123" s="220"/>
      <c r="F123" s="220"/>
      <c r="G123" s="211"/>
      <c r="H123" s="211"/>
      <c r="I123" s="211"/>
      <c r="J123" s="211"/>
      <c r="K123" s="211"/>
      <c r="L123" s="211"/>
      <c r="M123" s="211"/>
      <c r="N123" s="211"/>
      <c r="O123" s="211"/>
      <c r="P123" s="211"/>
      <c r="Q123" s="211"/>
      <c r="R123" s="211"/>
      <c r="S123" s="211"/>
      <c r="T123" s="211"/>
      <c r="U123" s="211"/>
      <c r="V123" s="83"/>
    </row>
    <row r="124" ht="18.75" customHeight="1">
      <c r="A124" s="211"/>
      <c r="B124" s="207"/>
      <c r="C124" s="207"/>
      <c r="D124" s="208"/>
      <c r="E124" s="220"/>
      <c r="F124" s="220"/>
      <c r="G124" s="211"/>
      <c r="H124" s="211"/>
      <c r="I124" s="211"/>
      <c r="J124" s="211"/>
      <c r="K124" s="211"/>
      <c r="L124" s="211"/>
      <c r="M124" s="211"/>
      <c r="N124" s="211"/>
      <c r="O124" s="211"/>
      <c r="P124" s="211"/>
      <c r="Q124" s="211"/>
      <c r="R124" s="211"/>
      <c r="S124" s="211"/>
      <c r="T124" s="211"/>
      <c r="U124" s="211"/>
      <c r="V124" s="83"/>
    </row>
    <row r="125" ht="18.75" customHeight="1">
      <c r="A125" s="211"/>
      <c r="B125" s="207"/>
      <c r="C125" s="207"/>
      <c r="D125" s="208"/>
      <c r="E125" s="220"/>
      <c r="F125" s="220"/>
      <c r="G125" s="211"/>
      <c r="H125" s="211"/>
      <c r="I125" s="211"/>
      <c r="J125" s="211"/>
      <c r="K125" s="211"/>
      <c r="L125" s="211"/>
      <c r="M125" s="211"/>
      <c r="N125" s="211"/>
      <c r="O125" s="211"/>
      <c r="P125" s="211"/>
      <c r="Q125" s="211"/>
      <c r="R125" s="211"/>
      <c r="S125" s="211"/>
      <c r="T125" s="211"/>
      <c r="U125" s="211"/>
      <c r="V125" s="83"/>
    </row>
    <row r="126" ht="18.75" customHeight="1">
      <c r="A126" s="211"/>
      <c r="B126" s="207"/>
      <c r="C126" s="207"/>
      <c r="D126" s="208"/>
      <c r="E126" s="220"/>
      <c r="F126" s="220"/>
      <c r="G126" s="211"/>
      <c r="H126" s="211"/>
      <c r="I126" s="211"/>
      <c r="J126" s="211"/>
      <c r="K126" s="211"/>
      <c r="L126" s="211"/>
      <c r="M126" s="211"/>
      <c r="N126" s="211"/>
      <c r="O126" s="211"/>
      <c r="P126" s="211"/>
      <c r="Q126" s="211"/>
      <c r="R126" s="211"/>
      <c r="S126" s="211"/>
      <c r="T126" s="211"/>
      <c r="U126" s="211"/>
      <c r="V126" s="83"/>
    </row>
    <row r="127" ht="18.75" customHeight="1">
      <c r="A127" s="211"/>
      <c r="B127" s="207"/>
      <c r="C127" s="207"/>
      <c r="D127" s="208"/>
      <c r="E127" s="220"/>
      <c r="F127" s="220"/>
      <c r="G127" s="211"/>
      <c r="H127" s="211"/>
      <c r="I127" s="211"/>
      <c r="J127" s="211"/>
      <c r="K127" s="211"/>
      <c r="L127" s="211"/>
      <c r="M127" s="211"/>
      <c r="N127" s="211"/>
      <c r="O127" s="211"/>
      <c r="P127" s="211"/>
      <c r="Q127" s="211"/>
      <c r="R127" s="211"/>
      <c r="S127" s="211"/>
      <c r="T127" s="211"/>
      <c r="U127" s="211"/>
      <c r="V127" s="83"/>
    </row>
    <row r="128" ht="18.75" customHeight="1">
      <c r="A128" s="211"/>
      <c r="B128" s="207"/>
      <c r="C128" s="207"/>
      <c r="D128" s="208"/>
      <c r="E128" s="220"/>
      <c r="F128" s="220"/>
      <c r="G128" s="211"/>
      <c r="H128" s="211"/>
      <c r="I128" s="211"/>
      <c r="J128" s="211"/>
      <c r="K128" s="211"/>
      <c r="L128" s="211"/>
      <c r="M128" s="211"/>
      <c r="N128" s="211"/>
      <c r="O128" s="211"/>
      <c r="P128" s="211"/>
      <c r="Q128" s="211"/>
      <c r="R128" s="211"/>
      <c r="S128" s="211"/>
      <c r="T128" s="211"/>
      <c r="U128" s="211"/>
      <c r="V128" s="83"/>
    </row>
    <row r="129" ht="18.75" customHeight="1">
      <c r="A129" s="211"/>
      <c r="B129" s="207"/>
      <c r="C129" s="207"/>
      <c r="D129" s="208"/>
      <c r="E129" s="220"/>
      <c r="F129" s="220"/>
      <c r="G129" s="211"/>
      <c r="H129" s="211"/>
      <c r="I129" s="211"/>
      <c r="J129" s="211"/>
      <c r="K129" s="211"/>
      <c r="L129" s="211"/>
      <c r="M129" s="211"/>
      <c r="N129" s="211"/>
      <c r="O129" s="211"/>
      <c r="P129" s="211"/>
      <c r="Q129" s="211"/>
      <c r="R129" s="211"/>
      <c r="S129" s="211"/>
      <c r="T129" s="211"/>
      <c r="U129" s="211"/>
      <c r="V129" s="83"/>
    </row>
    <row r="130" ht="18.75" customHeight="1">
      <c r="A130" s="211"/>
      <c r="B130" s="207"/>
      <c r="C130" s="207"/>
      <c r="D130" s="208"/>
      <c r="E130" s="220"/>
      <c r="F130" s="220"/>
      <c r="G130" s="211"/>
      <c r="H130" s="211"/>
      <c r="I130" s="211"/>
      <c r="J130" s="211"/>
      <c r="K130" s="211"/>
      <c r="L130" s="211"/>
      <c r="M130" s="211"/>
      <c r="N130" s="211"/>
      <c r="O130" s="211"/>
      <c r="P130" s="211"/>
      <c r="Q130" s="211"/>
      <c r="R130" s="211"/>
      <c r="S130" s="211"/>
      <c r="T130" s="211"/>
      <c r="U130" s="211"/>
      <c r="V130" s="83"/>
    </row>
    <row r="131" ht="18.75" customHeight="1">
      <c r="A131" s="211"/>
      <c r="B131" s="207"/>
      <c r="C131" s="207"/>
      <c r="D131" s="208"/>
      <c r="E131" s="220"/>
      <c r="F131" s="220"/>
      <c r="G131" s="211"/>
      <c r="H131" s="211"/>
      <c r="I131" s="211"/>
      <c r="J131" s="211"/>
      <c r="K131" s="211"/>
      <c r="L131" s="211"/>
      <c r="M131" s="211"/>
      <c r="N131" s="211"/>
      <c r="O131" s="211"/>
      <c r="P131" s="211"/>
      <c r="Q131" s="211"/>
      <c r="R131" s="211"/>
      <c r="S131" s="211"/>
      <c r="T131" s="211"/>
      <c r="U131" s="211"/>
      <c r="V131" s="83"/>
    </row>
    <row r="132" ht="18.75" customHeight="1">
      <c r="A132" s="211"/>
      <c r="B132" s="207"/>
      <c r="C132" s="207"/>
      <c r="D132" s="208"/>
      <c r="E132" s="220"/>
      <c r="F132" s="220"/>
      <c r="G132" s="211"/>
      <c r="H132" s="211"/>
      <c r="I132" s="211"/>
      <c r="J132" s="211"/>
      <c r="K132" s="211"/>
      <c r="L132" s="211"/>
      <c r="M132" s="211"/>
      <c r="N132" s="211"/>
      <c r="O132" s="211"/>
      <c r="P132" s="211"/>
      <c r="Q132" s="211"/>
      <c r="R132" s="211"/>
      <c r="S132" s="211"/>
      <c r="T132" s="211"/>
      <c r="U132" s="211"/>
      <c r="V132" s="83"/>
    </row>
    <row r="133" ht="18.75" customHeight="1">
      <c r="A133" s="211"/>
      <c r="B133" s="207"/>
      <c r="C133" s="207"/>
      <c r="D133" s="208"/>
      <c r="E133" s="220"/>
      <c r="F133" s="220"/>
      <c r="G133" s="211"/>
      <c r="H133" s="211"/>
      <c r="I133" s="211"/>
      <c r="J133" s="211"/>
      <c r="K133" s="211"/>
      <c r="L133" s="211"/>
      <c r="M133" s="211"/>
      <c r="N133" s="211"/>
      <c r="O133" s="211"/>
      <c r="P133" s="211"/>
      <c r="Q133" s="211"/>
      <c r="R133" s="211"/>
      <c r="S133" s="211"/>
      <c r="T133" s="211"/>
      <c r="U133" s="211"/>
      <c r="V133" s="83"/>
    </row>
    <row r="134" ht="18.75" customHeight="1">
      <c r="A134" s="211"/>
      <c r="B134" s="207"/>
      <c r="C134" s="207"/>
      <c r="D134" s="208"/>
      <c r="E134" s="220"/>
      <c r="F134" s="220"/>
      <c r="G134" s="211"/>
      <c r="H134" s="211"/>
      <c r="I134" s="211"/>
      <c r="J134" s="211"/>
      <c r="K134" s="211"/>
      <c r="L134" s="211"/>
      <c r="M134" s="211"/>
      <c r="N134" s="211"/>
      <c r="O134" s="211"/>
      <c r="P134" s="211"/>
      <c r="Q134" s="211"/>
      <c r="R134" s="211"/>
      <c r="S134" s="211"/>
      <c r="T134" s="211"/>
      <c r="U134" s="211"/>
      <c r="V134" s="83"/>
    </row>
    <row r="135" ht="18.75" customHeight="1">
      <c r="A135" s="211"/>
      <c r="B135" s="207"/>
      <c r="C135" s="207"/>
      <c r="D135" s="208"/>
      <c r="E135" s="220"/>
      <c r="F135" s="220"/>
      <c r="G135" s="211"/>
      <c r="H135" s="211"/>
      <c r="I135" s="211"/>
      <c r="J135" s="211"/>
      <c r="K135" s="211"/>
      <c r="L135" s="211"/>
      <c r="M135" s="211"/>
      <c r="N135" s="211"/>
      <c r="O135" s="211"/>
      <c r="P135" s="211"/>
      <c r="Q135" s="211"/>
      <c r="R135" s="211"/>
      <c r="S135" s="211"/>
      <c r="T135" s="211"/>
      <c r="U135" s="211"/>
      <c r="V135" s="83"/>
    </row>
    <row r="136" ht="18.75" customHeight="1">
      <c r="A136" s="211"/>
      <c r="B136" s="207"/>
      <c r="C136" s="207"/>
      <c r="D136" s="208"/>
      <c r="E136" s="220"/>
      <c r="F136" s="220"/>
      <c r="G136" s="211"/>
      <c r="H136" s="211"/>
      <c r="I136" s="211"/>
      <c r="J136" s="211"/>
      <c r="K136" s="211"/>
      <c r="L136" s="211"/>
      <c r="M136" s="211"/>
      <c r="N136" s="211"/>
      <c r="O136" s="211"/>
      <c r="P136" s="211"/>
      <c r="Q136" s="211"/>
      <c r="R136" s="211"/>
      <c r="S136" s="211"/>
      <c r="T136" s="211"/>
      <c r="U136" s="211"/>
      <c r="V136" s="83"/>
    </row>
    <row r="137" ht="18.75" customHeight="1">
      <c r="A137" s="211"/>
      <c r="B137" s="207"/>
      <c r="C137" s="207"/>
      <c r="D137" s="208"/>
      <c r="E137" s="220"/>
      <c r="F137" s="220"/>
      <c r="G137" s="211"/>
      <c r="H137" s="211"/>
      <c r="I137" s="211"/>
      <c r="J137" s="211"/>
      <c r="K137" s="211"/>
      <c r="L137" s="211"/>
      <c r="M137" s="211"/>
      <c r="N137" s="211"/>
      <c r="O137" s="211"/>
      <c r="P137" s="211"/>
      <c r="Q137" s="211"/>
      <c r="R137" s="211"/>
      <c r="S137" s="211"/>
      <c r="T137" s="211"/>
      <c r="U137" s="211"/>
      <c r="V137" s="83"/>
    </row>
    <row r="138" ht="18.75" customHeight="1">
      <c r="A138" s="211"/>
      <c r="B138" s="207"/>
      <c r="C138" s="207"/>
      <c r="D138" s="208"/>
      <c r="E138" s="220"/>
      <c r="F138" s="220"/>
      <c r="G138" s="211"/>
      <c r="H138" s="211"/>
      <c r="I138" s="211"/>
      <c r="J138" s="211"/>
      <c r="K138" s="211"/>
      <c r="L138" s="211"/>
      <c r="M138" s="211"/>
      <c r="N138" s="211"/>
      <c r="O138" s="211"/>
      <c r="P138" s="211"/>
      <c r="Q138" s="211"/>
      <c r="R138" s="211"/>
      <c r="S138" s="211"/>
      <c r="T138" s="211"/>
      <c r="U138" s="211"/>
      <c r="V138" s="83"/>
    </row>
    <row r="139" ht="18.75" customHeight="1">
      <c r="A139" s="211"/>
      <c r="B139" s="207"/>
      <c r="C139" s="207"/>
      <c r="D139" s="208"/>
      <c r="E139" s="220"/>
      <c r="F139" s="220"/>
      <c r="G139" s="211"/>
      <c r="H139" s="211"/>
      <c r="I139" s="211"/>
      <c r="J139" s="211"/>
      <c r="K139" s="211"/>
      <c r="L139" s="211"/>
      <c r="M139" s="211"/>
      <c r="N139" s="211"/>
      <c r="O139" s="211"/>
      <c r="P139" s="211"/>
      <c r="Q139" s="211"/>
      <c r="R139" s="211"/>
      <c r="S139" s="211"/>
      <c r="T139" s="211"/>
      <c r="U139" s="211"/>
      <c r="V139" s="83"/>
    </row>
    <row r="140" ht="18.75" customHeight="1">
      <c r="A140" s="211"/>
      <c r="B140" s="207"/>
      <c r="C140" s="207"/>
      <c r="D140" s="208"/>
      <c r="E140" s="220"/>
      <c r="F140" s="220"/>
      <c r="G140" s="211"/>
      <c r="H140" s="211"/>
      <c r="I140" s="211"/>
      <c r="J140" s="211"/>
      <c r="K140" s="211"/>
      <c r="L140" s="211"/>
      <c r="M140" s="211"/>
      <c r="N140" s="211"/>
      <c r="O140" s="211"/>
      <c r="P140" s="211"/>
      <c r="Q140" s="211"/>
      <c r="R140" s="211"/>
      <c r="S140" s="211"/>
      <c r="T140" s="211"/>
      <c r="U140" s="211"/>
      <c r="V140" s="83"/>
    </row>
    <row r="141" ht="18.75" customHeight="1">
      <c r="A141" s="211"/>
      <c r="B141" s="207"/>
      <c r="C141" s="207"/>
      <c r="D141" s="208"/>
      <c r="E141" s="220"/>
      <c r="F141" s="220"/>
      <c r="G141" s="211"/>
      <c r="H141" s="211"/>
      <c r="I141" s="211"/>
      <c r="J141" s="211"/>
      <c r="K141" s="211"/>
      <c r="L141" s="211"/>
      <c r="M141" s="211"/>
      <c r="N141" s="211"/>
      <c r="O141" s="211"/>
      <c r="P141" s="211"/>
      <c r="Q141" s="211"/>
      <c r="R141" s="211"/>
      <c r="S141" s="211"/>
      <c r="T141" s="211"/>
      <c r="U141" s="211"/>
      <c r="V141" s="83"/>
    </row>
    <row r="142" ht="18.75" customHeight="1">
      <c r="A142" s="211"/>
      <c r="B142" s="207"/>
      <c r="C142" s="207"/>
      <c r="D142" s="208"/>
      <c r="E142" s="220"/>
      <c r="F142" s="220"/>
      <c r="G142" s="211"/>
      <c r="H142" s="211"/>
      <c r="I142" s="211"/>
      <c r="J142" s="211"/>
      <c r="K142" s="211"/>
      <c r="L142" s="211"/>
      <c r="M142" s="211"/>
      <c r="N142" s="211"/>
      <c r="O142" s="211"/>
      <c r="P142" s="211"/>
      <c r="Q142" s="211"/>
      <c r="R142" s="211"/>
      <c r="S142" s="211"/>
      <c r="T142" s="211"/>
      <c r="U142" s="211"/>
      <c r="V142" s="83"/>
    </row>
    <row r="143" ht="18.75" customHeight="1">
      <c r="A143" s="211"/>
      <c r="B143" s="207"/>
      <c r="C143" s="207"/>
      <c r="D143" s="208"/>
      <c r="E143" s="220"/>
      <c r="F143" s="220"/>
      <c r="G143" s="211"/>
      <c r="H143" s="211"/>
      <c r="I143" s="211"/>
      <c r="J143" s="211"/>
      <c r="K143" s="211"/>
      <c r="L143" s="211"/>
      <c r="M143" s="211"/>
      <c r="N143" s="211"/>
      <c r="O143" s="211"/>
      <c r="P143" s="211"/>
      <c r="Q143" s="211"/>
      <c r="R143" s="211"/>
      <c r="S143" s="211"/>
      <c r="T143" s="211"/>
      <c r="U143" s="211"/>
      <c r="V143" s="83"/>
    </row>
    <row r="144" ht="18.75" customHeight="1">
      <c r="A144" s="211"/>
      <c r="B144" s="207"/>
      <c r="C144" s="207"/>
      <c r="D144" s="208"/>
      <c r="E144" s="220"/>
      <c r="F144" s="220"/>
      <c r="G144" s="211"/>
      <c r="H144" s="211"/>
      <c r="I144" s="211"/>
      <c r="J144" s="211"/>
      <c r="K144" s="211"/>
      <c r="L144" s="211"/>
      <c r="M144" s="211"/>
      <c r="N144" s="211"/>
      <c r="O144" s="211"/>
      <c r="P144" s="211"/>
      <c r="Q144" s="211"/>
      <c r="R144" s="211"/>
      <c r="S144" s="211"/>
      <c r="T144" s="211"/>
      <c r="U144" s="211"/>
      <c r="V144" s="83"/>
    </row>
    <row r="145" ht="18.75" customHeight="1">
      <c r="A145" s="211"/>
      <c r="B145" s="207"/>
      <c r="C145" s="207"/>
      <c r="D145" s="208"/>
      <c r="E145" s="220"/>
      <c r="F145" s="220"/>
      <c r="G145" s="211"/>
      <c r="H145" s="211"/>
      <c r="I145" s="211"/>
      <c r="J145" s="211"/>
      <c r="K145" s="211"/>
      <c r="L145" s="211"/>
      <c r="M145" s="211"/>
      <c r="N145" s="211"/>
      <c r="O145" s="211"/>
      <c r="P145" s="211"/>
      <c r="Q145" s="211"/>
      <c r="R145" s="211"/>
      <c r="S145" s="211"/>
      <c r="T145" s="211"/>
      <c r="U145" s="211"/>
      <c r="V145" s="83"/>
    </row>
    <row r="146" ht="18.75" customHeight="1">
      <c r="A146" s="211"/>
      <c r="B146" s="207"/>
      <c r="C146" s="207"/>
      <c r="D146" s="208"/>
      <c r="E146" s="220"/>
      <c r="F146" s="220"/>
      <c r="G146" s="211"/>
      <c r="H146" s="211"/>
      <c r="I146" s="211"/>
      <c r="J146" s="211"/>
      <c r="K146" s="211"/>
      <c r="L146" s="211"/>
      <c r="M146" s="211"/>
      <c r="N146" s="211"/>
      <c r="O146" s="211"/>
      <c r="P146" s="211"/>
      <c r="Q146" s="211"/>
      <c r="R146" s="211"/>
      <c r="S146" s="211"/>
      <c r="T146" s="211"/>
      <c r="U146" s="211"/>
      <c r="V146" s="83"/>
    </row>
    <row r="147" ht="18.75" customHeight="1">
      <c r="A147" s="211"/>
      <c r="B147" s="207"/>
      <c r="C147" s="207"/>
      <c r="D147" s="208"/>
      <c r="E147" s="220"/>
      <c r="F147" s="220"/>
      <c r="G147" s="211"/>
      <c r="H147" s="211"/>
      <c r="I147" s="211"/>
      <c r="J147" s="211"/>
      <c r="K147" s="211"/>
      <c r="L147" s="211"/>
      <c r="M147" s="211"/>
      <c r="N147" s="211"/>
      <c r="O147" s="211"/>
      <c r="P147" s="211"/>
      <c r="Q147" s="211"/>
      <c r="R147" s="211"/>
      <c r="S147" s="211"/>
      <c r="T147" s="211"/>
      <c r="U147" s="211"/>
      <c r="V147" s="83"/>
    </row>
    <row r="148" ht="18.75" customHeight="1">
      <c r="A148" s="211"/>
      <c r="B148" s="207"/>
      <c r="C148" s="207"/>
      <c r="D148" s="208"/>
      <c r="E148" s="220"/>
      <c r="F148" s="220"/>
      <c r="G148" s="211"/>
      <c r="H148" s="211"/>
      <c r="I148" s="211"/>
      <c r="J148" s="211"/>
      <c r="K148" s="211"/>
      <c r="L148" s="211"/>
      <c r="M148" s="211"/>
      <c r="N148" s="211"/>
      <c r="O148" s="211"/>
      <c r="P148" s="211"/>
      <c r="Q148" s="211"/>
      <c r="R148" s="211"/>
      <c r="S148" s="211"/>
      <c r="T148" s="211"/>
      <c r="U148" s="211"/>
      <c r="V148" s="83"/>
    </row>
    <row r="149" ht="18.75" customHeight="1">
      <c r="A149" s="211"/>
      <c r="B149" s="207"/>
      <c r="C149" s="207"/>
      <c r="D149" s="208"/>
      <c r="E149" s="220"/>
      <c r="F149" s="220"/>
      <c r="G149" s="211"/>
      <c r="H149" s="211"/>
      <c r="I149" s="211"/>
      <c r="J149" s="211"/>
      <c r="K149" s="211"/>
      <c r="L149" s="211"/>
      <c r="M149" s="211"/>
      <c r="N149" s="211"/>
      <c r="O149" s="211"/>
      <c r="P149" s="211"/>
      <c r="Q149" s="211"/>
      <c r="R149" s="211"/>
      <c r="S149" s="211"/>
      <c r="T149" s="211"/>
      <c r="U149" s="211"/>
      <c r="V149" s="83"/>
    </row>
    <row r="150" ht="18.75" customHeight="1">
      <c r="A150" s="211"/>
      <c r="B150" s="207"/>
      <c r="C150" s="207"/>
      <c r="D150" s="208"/>
      <c r="E150" s="220"/>
      <c r="F150" s="220"/>
      <c r="G150" s="211"/>
      <c r="H150" s="211"/>
      <c r="I150" s="211"/>
      <c r="J150" s="211"/>
      <c r="K150" s="211"/>
      <c r="L150" s="211"/>
      <c r="M150" s="211"/>
      <c r="N150" s="211"/>
      <c r="O150" s="211"/>
      <c r="P150" s="211"/>
      <c r="Q150" s="211"/>
      <c r="R150" s="211"/>
      <c r="S150" s="211"/>
      <c r="T150" s="211"/>
      <c r="U150" s="211"/>
      <c r="V150" s="83"/>
    </row>
    <row r="151" ht="18.75" customHeight="1">
      <c r="A151" s="211"/>
      <c r="B151" s="207"/>
      <c r="C151" s="207"/>
      <c r="D151" s="208"/>
      <c r="E151" s="220"/>
      <c r="F151" s="220"/>
      <c r="G151" s="211"/>
      <c r="H151" s="211"/>
      <c r="I151" s="211"/>
      <c r="J151" s="211"/>
      <c r="K151" s="211"/>
      <c r="L151" s="211"/>
      <c r="M151" s="211"/>
      <c r="N151" s="211"/>
      <c r="O151" s="211"/>
      <c r="P151" s="211"/>
      <c r="Q151" s="211"/>
      <c r="R151" s="211"/>
      <c r="S151" s="211"/>
      <c r="T151" s="211"/>
      <c r="U151" s="211"/>
      <c r="V151" s="83"/>
    </row>
    <row r="152" ht="18.75" customHeight="1">
      <c r="A152" s="211"/>
      <c r="B152" s="207"/>
      <c r="C152" s="207"/>
      <c r="D152" s="208"/>
      <c r="E152" s="220"/>
      <c r="F152" s="220"/>
      <c r="G152" s="211"/>
      <c r="H152" s="211"/>
      <c r="I152" s="211"/>
      <c r="J152" s="211"/>
      <c r="K152" s="211"/>
      <c r="L152" s="211"/>
      <c r="M152" s="211"/>
      <c r="N152" s="211"/>
      <c r="O152" s="211"/>
      <c r="P152" s="211"/>
      <c r="Q152" s="211"/>
      <c r="R152" s="211"/>
      <c r="S152" s="211"/>
      <c r="T152" s="211"/>
      <c r="U152" s="211"/>
      <c r="V152" s="83"/>
    </row>
    <row r="153" ht="18.75" customHeight="1">
      <c r="A153" s="211"/>
      <c r="B153" s="207"/>
      <c r="C153" s="207"/>
      <c r="D153" s="208"/>
      <c r="E153" s="220"/>
      <c r="F153" s="220"/>
      <c r="G153" s="211"/>
      <c r="H153" s="211"/>
      <c r="I153" s="211"/>
      <c r="J153" s="211"/>
      <c r="K153" s="211"/>
      <c r="L153" s="211"/>
      <c r="M153" s="211"/>
      <c r="N153" s="211"/>
      <c r="O153" s="211"/>
      <c r="P153" s="211"/>
      <c r="Q153" s="211"/>
      <c r="R153" s="211"/>
      <c r="S153" s="211"/>
      <c r="T153" s="211"/>
      <c r="U153" s="211"/>
      <c r="V153" s="83"/>
    </row>
    <row r="154" ht="18.75" customHeight="1">
      <c r="A154" s="211"/>
      <c r="B154" s="207"/>
      <c r="C154" s="207"/>
      <c r="D154" s="208"/>
      <c r="E154" s="220"/>
      <c r="F154" s="220"/>
      <c r="G154" s="211"/>
      <c r="H154" s="211"/>
      <c r="I154" s="211"/>
      <c r="J154" s="211"/>
      <c r="K154" s="211"/>
      <c r="L154" s="211"/>
      <c r="M154" s="211"/>
      <c r="N154" s="211"/>
      <c r="O154" s="211"/>
      <c r="P154" s="211"/>
      <c r="Q154" s="211"/>
      <c r="R154" s="211"/>
      <c r="S154" s="211"/>
      <c r="T154" s="211"/>
      <c r="U154" s="211"/>
      <c r="V154" s="83"/>
    </row>
    <row r="155" ht="18.75" customHeight="1">
      <c r="A155" s="211"/>
      <c r="B155" s="207"/>
      <c r="C155" s="207"/>
      <c r="D155" s="208"/>
      <c r="E155" s="220"/>
      <c r="F155" s="220"/>
      <c r="G155" s="211"/>
      <c r="H155" s="211"/>
      <c r="I155" s="211"/>
      <c r="J155" s="211"/>
      <c r="K155" s="211"/>
      <c r="L155" s="211"/>
      <c r="M155" s="211"/>
      <c r="N155" s="211"/>
      <c r="O155" s="211"/>
      <c r="P155" s="211"/>
      <c r="Q155" s="211"/>
      <c r="R155" s="211"/>
      <c r="S155" s="211"/>
      <c r="T155" s="211"/>
      <c r="U155" s="211"/>
      <c r="V155" s="83"/>
    </row>
    <row r="156" ht="18.75" customHeight="1">
      <c r="A156" s="211"/>
      <c r="B156" s="207"/>
      <c r="C156" s="207"/>
      <c r="D156" s="208"/>
      <c r="E156" s="220"/>
      <c r="F156" s="220"/>
      <c r="G156" s="211"/>
      <c r="H156" s="211"/>
      <c r="I156" s="211"/>
      <c r="J156" s="211"/>
      <c r="K156" s="211"/>
      <c r="L156" s="211"/>
      <c r="M156" s="211"/>
      <c r="N156" s="211"/>
      <c r="O156" s="211"/>
      <c r="P156" s="211"/>
      <c r="Q156" s="211"/>
      <c r="R156" s="211"/>
      <c r="S156" s="211"/>
      <c r="T156" s="211"/>
      <c r="U156" s="211"/>
      <c r="V156" s="83"/>
    </row>
    <row r="157" ht="18.75" customHeight="1">
      <c r="A157" s="211"/>
      <c r="B157" s="207"/>
      <c r="C157" s="207"/>
      <c r="D157" s="208"/>
      <c r="E157" s="220"/>
      <c r="F157" s="220"/>
      <c r="G157" s="211"/>
      <c r="H157" s="211"/>
      <c r="I157" s="211"/>
      <c r="J157" s="211"/>
      <c r="K157" s="211"/>
      <c r="L157" s="211"/>
      <c r="M157" s="211"/>
      <c r="N157" s="211"/>
      <c r="O157" s="211"/>
      <c r="P157" s="211"/>
      <c r="Q157" s="211"/>
      <c r="R157" s="211"/>
      <c r="S157" s="211"/>
      <c r="T157" s="211"/>
      <c r="U157" s="211"/>
      <c r="V157" s="83"/>
    </row>
    <row r="158" ht="18.75" customHeight="1">
      <c r="A158" s="211"/>
      <c r="B158" s="207"/>
      <c r="C158" s="207"/>
      <c r="D158" s="208"/>
      <c r="E158" s="220"/>
      <c r="F158" s="220"/>
      <c r="G158" s="211"/>
      <c r="H158" s="211"/>
      <c r="I158" s="211"/>
      <c r="J158" s="211"/>
      <c r="K158" s="211"/>
      <c r="L158" s="211"/>
      <c r="M158" s="211"/>
      <c r="N158" s="211"/>
      <c r="O158" s="211"/>
      <c r="P158" s="211"/>
      <c r="Q158" s="211"/>
      <c r="R158" s="211"/>
      <c r="S158" s="211"/>
      <c r="T158" s="211"/>
      <c r="U158" s="211"/>
      <c r="V158" s="83"/>
    </row>
    <row r="159" ht="18.75" customHeight="1">
      <c r="A159" s="211"/>
      <c r="B159" s="207"/>
      <c r="C159" s="207"/>
      <c r="D159" s="208"/>
      <c r="E159" s="220"/>
      <c r="F159" s="220"/>
      <c r="G159" s="211"/>
      <c r="H159" s="211"/>
      <c r="I159" s="211"/>
      <c r="J159" s="211"/>
      <c r="K159" s="211"/>
      <c r="L159" s="211"/>
      <c r="M159" s="211"/>
      <c r="N159" s="211"/>
      <c r="O159" s="211"/>
      <c r="P159" s="211"/>
      <c r="Q159" s="211"/>
      <c r="R159" s="211"/>
      <c r="S159" s="211"/>
      <c r="T159" s="211"/>
      <c r="U159" s="211"/>
      <c r="V159" s="83"/>
    </row>
    <row r="160" ht="18.75" customHeight="1">
      <c r="A160" s="211"/>
      <c r="B160" s="207"/>
      <c r="C160" s="207"/>
      <c r="D160" s="208"/>
      <c r="E160" s="220"/>
      <c r="F160" s="220"/>
      <c r="G160" s="211"/>
      <c r="H160" s="211"/>
      <c r="I160" s="211"/>
      <c r="J160" s="211"/>
      <c r="K160" s="211"/>
      <c r="L160" s="211"/>
      <c r="M160" s="211"/>
      <c r="N160" s="211"/>
      <c r="O160" s="211"/>
      <c r="P160" s="211"/>
      <c r="Q160" s="211"/>
      <c r="R160" s="211"/>
      <c r="S160" s="211"/>
      <c r="T160" s="211"/>
      <c r="U160" s="211"/>
      <c r="V160" s="83"/>
    </row>
  </sheetData>
  <customSheetViews>
    <customSheetView guid="{BD6B73A2-F07F-4EC8-9B81-5C24EB2376D5}" filter="1" showAutoFilter="1">
      <autoFilter ref="$A$47:$A$61"/>
    </customSheetView>
  </customSheetViews>
  <mergeCells count="8">
    <mergeCell ref="B1:T1"/>
    <mergeCell ref="A2:A3"/>
    <mergeCell ref="B2:C2"/>
    <mergeCell ref="D2:F2"/>
    <mergeCell ref="G2:K2"/>
    <mergeCell ref="L2:P2"/>
    <mergeCell ref="Q2:T2"/>
    <mergeCell ref="U2:U3"/>
  </mergeCells>
  <conditionalFormatting sqref="G5:V24 G26:V46 B46 G48:V54 A56:A160 G56:V160">
    <cfRule type="expression" dxfId="11" priority="1">
      <formula>$U5="Done"</formula>
    </cfRule>
  </conditionalFormatting>
  <conditionalFormatting sqref="B4:T46 A5:A24 U5:V24 A26:A46 U26:V46 A48:B54 D48:V54 A56:B160 D56:V160">
    <cfRule type="expression" dxfId="0" priority="2">
      <formula>#REF!=TRUE</formula>
    </cfRule>
  </conditionalFormatting>
  <dataValidations>
    <dataValidation type="list" allowBlank="1" showErrorMessage="1" sqref="A48:A54 A56:A61 A63:A68 A70:A76 A78:A83 A85:A90 A92:A160">
      <formula1>Resources!$A$4:$A$23</formula1>
    </dataValidation>
    <dataValidation type="decimal" allowBlank="1" showDropDown="1" sqref="D5:D24 D26:D46 D48:F54 D56:F61 D63:F68 D70:F76 D78:F83 D85:F90 D92:F160">
      <formula1>0.0</formula1>
      <formula2>100.0</formula2>
    </dataValidation>
    <dataValidation type="list" allowBlank="1" sqref="G48:T54 G56:T61 G63:T68 G70:T76 G78:T83 G85:T90 G92:T160">
      <formula1>"Bad,Below par,As expected,Very well,Excellent"</formula1>
    </dataValidation>
  </dataValidations>
  <hyperlinks>
    <hyperlink r:id="rId2" ref="A48"/>
    <hyperlink r:id="rId3" ref="A49"/>
    <hyperlink r:id="rId4" ref="A50"/>
    <hyperlink r:id="rId5" ref="A51"/>
    <hyperlink r:id="rId6" ref="A52"/>
    <hyperlink r:id="rId7" ref="A53"/>
    <hyperlink r:id="rId8" ref="A54"/>
    <hyperlink r:id="rId9" ref="A56"/>
    <hyperlink r:id="rId10" ref="A57"/>
    <hyperlink r:id="rId11" ref="A58"/>
    <hyperlink r:id="rId12" ref="A59"/>
    <hyperlink r:id="rId13" ref="A60"/>
    <hyperlink r:id="rId14" ref="A61"/>
    <hyperlink r:id="rId15" ref="A63"/>
    <hyperlink r:id="rId16" ref="A64"/>
    <hyperlink r:id="rId17" ref="A65"/>
    <hyperlink r:id="rId18" ref="A66"/>
    <hyperlink r:id="rId19" ref="A67"/>
    <hyperlink r:id="rId20" ref="A68"/>
    <hyperlink r:id="rId21" ref="A70"/>
    <hyperlink r:id="rId22" ref="A71"/>
    <hyperlink r:id="rId23" ref="A72"/>
    <hyperlink r:id="rId24" ref="A73"/>
    <hyperlink r:id="rId25" ref="A74"/>
    <hyperlink r:id="rId26" ref="A75"/>
    <hyperlink r:id="rId27" ref="A76"/>
    <hyperlink r:id="rId28" ref="A78"/>
    <hyperlink r:id="rId29" ref="A79"/>
    <hyperlink r:id="rId30" ref="A80"/>
    <hyperlink r:id="rId31" ref="A81"/>
    <hyperlink r:id="rId32" ref="A82"/>
    <hyperlink r:id="rId33" ref="A83"/>
    <hyperlink r:id="rId34" ref="A85"/>
    <hyperlink r:id="rId35" ref="A86"/>
    <hyperlink r:id="rId36" ref="A87"/>
    <hyperlink r:id="rId37" ref="A88"/>
    <hyperlink r:id="rId38" ref="A89"/>
    <hyperlink r:id="rId39" ref="A90"/>
    <hyperlink r:id="rId40" ref="A92"/>
    <hyperlink r:id="rId41" ref="A93"/>
    <hyperlink r:id="rId42" ref="A94"/>
    <hyperlink r:id="rId43" ref="A95"/>
    <hyperlink r:id="rId44" ref="A96"/>
    <hyperlink r:id="rId45" ref="A97"/>
  </hyperlinks>
  <drawing r:id="rId46"/>
  <legacyDrawing r:id="rId4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outlineLevelCol="1"/>
  <cols>
    <col customWidth="1" min="1" max="1" width="14.43"/>
    <col customWidth="1" min="2" max="2" width="75.14"/>
    <col customWidth="1" min="3" max="6" width="14.43"/>
    <col customWidth="1" min="7" max="13" width="14.43" outlineLevel="1"/>
    <col customWidth="1" min="14" max="14" width="8.71"/>
    <col customWidth="1" hidden="1" min="15" max="21" width="14.43" outlineLevel="1"/>
    <col collapsed="1" customWidth="1" min="22" max="22" width="8.71"/>
    <col customWidth="1" hidden="1" min="23" max="29" width="14.43" outlineLevel="1"/>
    <col collapsed="1" customWidth="1" min="30" max="30" width="8.71"/>
    <col customWidth="1" hidden="1" min="31" max="37" width="14.43" outlineLevel="1"/>
    <col collapsed="1" customWidth="1" min="38" max="38" width="8.71"/>
    <col customWidth="1" min="39" max="39" width="14.43"/>
    <col customWidth="1" hidden="1" min="40" max="43" width="14.43" outlineLevel="1"/>
    <col collapsed="1" customWidth="1" min="44" max="44" width="14.43"/>
    <col customWidth="1" min="45" max="46" width="14.43"/>
    <col customWidth="1" min="47" max="47" width="78.71"/>
  </cols>
  <sheetData>
    <row r="1" ht="37.5" customHeight="1">
      <c r="A1" s="1"/>
      <c r="C1" s="1" t="str">
        <f>CONCAT('Roadmap setting'!B3," - Roadmap " &amp; RIGHT('Roadmap setting'!$B9,3))</f>
        <v>SuperMarty project - Roadmap MVP</v>
      </c>
      <c r="AU1" s="1"/>
    </row>
    <row r="2" ht="45.75" customHeight="1">
      <c r="A2" s="70" t="s">
        <v>57</v>
      </c>
      <c r="B2" s="70" t="s">
        <v>58</v>
      </c>
      <c r="C2" s="70" t="str">
        <f>Resources!$A$53</f>
        <v>Project manager</v>
      </c>
      <c r="D2" s="70" t="str">
        <f>Resources!$A$55</f>
        <v>Backend development</v>
      </c>
      <c r="E2" s="70" t="str">
        <f>Resources!$A$56</f>
        <v>Frontend development</v>
      </c>
      <c r="F2" s="70" t="str">
        <f>Resources!$A$57</f>
        <v>UI/UX design</v>
      </c>
      <c r="G2" s="70" t="str">
        <f>Resources!$A$58</f>
        <v>Backend auto. testing</v>
      </c>
      <c r="H2" s="70" t="str">
        <f>Resources!$A$59</f>
        <v>Frontend auto. testing</v>
      </c>
      <c r="I2" s="70" t="str">
        <f>Resources!$A$60</f>
        <v>Technical (code) review</v>
      </c>
      <c r="J2" s="70" t="str">
        <f>Resources!$A$61</f>
        <v>Performance testing</v>
      </c>
      <c r="K2" s="70" t="str">
        <f>Resources!$A$62</f>
        <v>Security testing</v>
      </c>
      <c r="L2" s="70" t="str">
        <f>Resources!$A$63</f>
        <v>Technical documentation</v>
      </c>
      <c r="M2" s="70" t="s">
        <v>59</v>
      </c>
      <c r="N2" s="70" t="s">
        <v>60</v>
      </c>
      <c r="O2" s="70" t="str">
        <f>Resources!$A$58</f>
        <v>Backend auto. testing</v>
      </c>
      <c r="P2" s="70" t="str">
        <f>Resources!$A$59</f>
        <v>Frontend auto. testing</v>
      </c>
      <c r="Q2" s="70" t="str">
        <f>Resources!$A$60</f>
        <v>Technical (code) review</v>
      </c>
      <c r="R2" s="70" t="str">
        <f>Resources!$A$61</f>
        <v>Performance testing</v>
      </c>
      <c r="S2" s="70" t="str">
        <f>Resources!$A$62</f>
        <v>Security testing</v>
      </c>
      <c r="T2" s="70" t="str">
        <f>Resources!$A$63</f>
        <v>Technical documentation</v>
      </c>
      <c r="U2" s="70" t="s">
        <v>61</v>
      </c>
      <c r="V2" s="70" t="s">
        <v>62</v>
      </c>
      <c r="W2" s="70" t="str">
        <f>Resources!$A$58</f>
        <v>Backend auto. testing</v>
      </c>
      <c r="X2" s="70" t="str">
        <f>Resources!$A$59</f>
        <v>Frontend auto. testing</v>
      </c>
      <c r="Y2" s="70" t="str">
        <f>Resources!$A$60</f>
        <v>Technical (code) review</v>
      </c>
      <c r="Z2" s="70" t="str">
        <f>Resources!$A$61</f>
        <v>Performance testing</v>
      </c>
      <c r="AA2" s="70" t="str">
        <f>Resources!$A$62</f>
        <v>Security testing</v>
      </c>
      <c r="AB2" s="70" t="str">
        <f>Resources!$A$63</f>
        <v>Technical documentation</v>
      </c>
      <c r="AC2" s="70" t="s">
        <v>61</v>
      </c>
      <c r="AD2" s="70" t="s">
        <v>63</v>
      </c>
      <c r="AE2" s="70" t="str">
        <f>Resources!$A$58</f>
        <v>Backend auto. testing</v>
      </c>
      <c r="AF2" s="70" t="str">
        <f>Resources!$A$59</f>
        <v>Frontend auto. testing</v>
      </c>
      <c r="AG2" s="70" t="str">
        <f>Resources!$A$60</f>
        <v>Technical (code) review</v>
      </c>
      <c r="AH2" s="70" t="str">
        <f>Resources!$A$61</f>
        <v>Performance testing</v>
      </c>
      <c r="AI2" s="70" t="str">
        <f>Resources!$A$62</f>
        <v>Security testing</v>
      </c>
      <c r="AJ2" s="70" t="str">
        <f>Resources!$A$63</f>
        <v>Technical documentation</v>
      </c>
      <c r="AK2" s="70" t="s">
        <v>61</v>
      </c>
      <c r="AL2" s="70" t="s">
        <v>64</v>
      </c>
      <c r="AM2" s="70" t="s">
        <v>65</v>
      </c>
      <c r="AN2" s="70" t="s">
        <v>66</v>
      </c>
      <c r="AO2" s="70" t="s">
        <v>67</v>
      </c>
      <c r="AP2" s="70" t="s">
        <v>68</v>
      </c>
      <c r="AQ2" s="70" t="s">
        <v>69</v>
      </c>
      <c r="AR2" s="70" t="s">
        <v>70</v>
      </c>
      <c r="AS2" s="70" t="s">
        <v>71</v>
      </c>
      <c r="AT2" s="70" t="s">
        <v>72</v>
      </c>
      <c r="AU2" s="70" t="s">
        <v>73</v>
      </c>
    </row>
    <row r="3" ht="15.0" customHeight="1">
      <c r="A3" s="71"/>
      <c r="B3" s="71" t="s">
        <v>74</v>
      </c>
      <c r="C3" s="72"/>
      <c r="D3" s="72"/>
      <c r="E3" s="72"/>
      <c r="F3" s="72"/>
      <c r="G3" s="72"/>
      <c r="H3" s="72"/>
      <c r="I3" s="72"/>
      <c r="J3" s="72"/>
      <c r="K3" s="72"/>
      <c r="L3" s="72"/>
      <c r="M3" s="72"/>
      <c r="N3" s="73"/>
      <c r="O3" s="72"/>
      <c r="P3" s="72"/>
      <c r="Q3" s="72"/>
      <c r="R3" s="72"/>
      <c r="S3" s="72"/>
      <c r="T3" s="72"/>
      <c r="U3" s="74"/>
      <c r="V3" s="73"/>
      <c r="W3" s="72"/>
      <c r="X3" s="72"/>
      <c r="Y3" s="72"/>
      <c r="Z3" s="72"/>
      <c r="AA3" s="72"/>
      <c r="AB3" s="72"/>
      <c r="AC3" s="74"/>
      <c r="AD3" s="73"/>
      <c r="AE3" s="72"/>
      <c r="AF3" s="72"/>
      <c r="AG3" s="72"/>
      <c r="AH3" s="72"/>
      <c r="AI3" s="72"/>
      <c r="AJ3" s="72"/>
      <c r="AK3" s="74"/>
      <c r="AL3" s="73"/>
      <c r="AM3" s="75"/>
      <c r="AN3" s="75"/>
      <c r="AO3" s="75"/>
      <c r="AP3" s="75"/>
      <c r="AQ3" s="75"/>
      <c r="AR3" s="75"/>
      <c r="AS3" s="75"/>
      <c r="AT3" s="75"/>
      <c r="AU3" s="76"/>
    </row>
    <row r="4" ht="15.0" customHeight="1">
      <c r="A4" s="77"/>
      <c r="B4" s="78" t="str">
        <f>IFERROR(__xludf.DUMMYFUNCTION("CONCAT(""Daily Stand Up - Scrum Poker - Retrospective - Sprint Demos, Other meetings "",if(len('Roadmap setting'!$B$21),TO_TEXT('Roadmap setting'!$B$21)))"),"Daily Stand Up - Scrum Poker - Retrospective - Sprint Demos, Other meetings 20%")</f>
        <v>Daily Stand Up - Scrum Poker - Retrospective - Sprint Demos, Other meetings 20%</v>
      </c>
      <c r="C4" s="77"/>
      <c r="D4" s="77"/>
      <c r="E4" s="77"/>
      <c r="F4" s="77"/>
      <c r="G4" s="77"/>
      <c r="H4" s="77"/>
      <c r="I4" s="77"/>
      <c r="J4" s="77"/>
      <c r="K4" s="77"/>
      <c r="L4" s="77"/>
      <c r="M4" s="79">
        <f>SUM(M$5:M$174)*('Roadmap setting'!$B$21)</f>
        <v>483.39</v>
      </c>
      <c r="N4" s="77"/>
      <c r="O4" s="77"/>
      <c r="P4" s="77"/>
      <c r="Q4" s="77"/>
      <c r="R4" s="77"/>
      <c r="S4" s="77"/>
      <c r="T4" s="77"/>
      <c r="U4" s="79">
        <f>SUM(U$5:U$174)*('Roadmap setting'!$B$21)</f>
        <v>449.112</v>
      </c>
      <c r="V4" s="77"/>
      <c r="W4" s="77"/>
      <c r="X4" s="77"/>
      <c r="Y4" s="77"/>
      <c r="Z4" s="77"/>
      <c r="AA4" s="77"/>
      <c r="AB4" s="77"/>
      <c r="AC4" s="79">
        <f>SUM(AC$5:AC$174)*('Roadmap setting'!$B$21)</f>
        <v>419.99</v>
      </c>
      <c r="AD4" s="77"/>
      <c r="AE4" s="77"/>
      <c r="AF4" s="77"/>
      <c r="AG4" s="77"/>
      <c r="AH4" s="77"/>
      <c r="AI4" s="77"/>
      <c r="AJ4" s="77"/>
      <c r="AK4" s="79">
        <f>SUM(AK$5:AK$174)*('Roadmap setting'!$B$21)</f>
        <v>445.644</v>
      </c>
      <c r="AL4" s="77"/>
      <c r="AM4" s="80">
        <f t="array" ref="AM4">INDEX(A4:AL4, MATCH(RIGHT('Roadmap setting'!$B$9, 3), $A$2:$AL$2, 0) - 1)
</f>
        <v>483.39</v>
      </c>
      <c r="AN4" s="77"/>
      <c r="AO4" s="77"/>
      <c r="AP4" s="77"/>
      <c r="AQ4" s="77"/>
      <c r="AR4" s="77"/>
      <c r="AS4" s="81">
        <v>48.62</v>
      </c>
      <c r="AT4" s="82"/>
      <c r="AU4" s="83"/>
    </row>
    <row r="5" ht="15.0" customHeight="1">
      <c r="A5" s="84"/>
      <c r="B5" s="85" t="s">
        <v>835</v>
      </c>
      <c r="C5" s="84"/>
      <c r="D5" s="84"/>
      <c r="E5" s="84"/>
      <c r="F5" s="84"/>
      <c r="G5" s="84"/>
      <c r="H5" s="84"/>
      <c r="I5" s="84"/>
      <c r="J5" s="84"/>
      <c r="K5" s="84"/>
      <c r="L5" s="84"/>
      <c r="M5" s="84"/>
      <c r="N5" s="84"/>
      <c r="O5" s="84"/>
      <c r="P5" s="84"/>
      <c r="Q5" s="84"/>
      <c r="R5" s="84"/>
      <c r="S5" s="84"/>
      <c r="T5" s="84"/>
      <c r="U5" s="84"/>
      <c r="V5" s="84"/>
      <c r="W5" s="84"/>
      <c r="X5" s="84"/>
      <c r="Y5" s="84"/>
      <c r="Z5" s="84"/>
      <c r="AA5" s="84"/>
      <c r="AB5" s="84"/>
      <c r="AC5" s="84"/>
      <c r="AD5" s="84"/>
      <c r="AE5" s="84"/>
      <c r="AF5" s="84"/>
      <c r="AG5" s="84"/>
      <c r="AH5" s="84"/>
      <c r="AI5" s="84"/>
      <c r="AJ5" s="84"/>
      <c r="AK5" s="84"/>
      <c r="AL5" s="84"/>
      <c r="AM5" s="84"/>
      <c r="AN5" s="84"/>
      <c r="AO5" s="84"/>
      <c r="AP5" s="84"/>
      <c r="AQ5" s="84"/>
      <c r="AR5" s="84"/>
      <c r="AS5" s="84"/>
      <c r="AT5" s="84"/>
      <c r="AU5" s="84"/>
    </row>
    <row r="6" ht="15.0" customHeight="1">
      <c r="A6" s="72"/>
      <c r="B6" s="91" t="s">
        <v>836</v>
      </c>
      <c r="C6" s="72"/>
      <c r="D6" s="72"/>
      <c r="E6" s="72"/>
      <c r="F6" s="72"/>
      <c r="G6" s="72"/>
      <c r="H6" s="72"/>
      <c r="I6" s="72"/>
      <c r="J6" s="72"/>
      <c r="K6" s="72"/>
      <c r="L6" s="72"/>
      <c r="M6" s="74"/>
      <c r="N6" s="73"/>
      <c r="O6" s="72"/>
      <c r="P6" s="72"/>
      <c r="Q6" s="72"/>
      <c r="R6" s="72"/>
      <c r="S6" s="72"/>
      <c r="T6" s="72"/>
      <c r="U6" s="74"/>
      <c r="V6" s="73"/>
      <c r="W6" s="72"/>
      <c r="X6" s="72"/>
      <c r="Y6" s="72"/>
      <c r="Z6" s="72"/>
      <c r="AA6" s="72"/>
      <c r="AB6" s="72"/>
      <c r="AC6" s="74"/>
      <c r="AD6" s="73"/>
      <c r="AE6" s="72"/>
      <c r="AF6" s="72"/>
      <c r="AG6" s="72"/>
      <c r="AH6" s="72"/>
      <c r="AI6" s="72"/>
      <c r="AJ6" s="72"/>
      <c r="AK6" s="74"/>
      <c r="AL6" s="73"/>
      <c r="AM6" s="75"/>
      <c r="AN6" s="75"/>
      <c r="AO6" s="75"/>
      <c r="AP6" s="75"/>
      <c r="AQ6" s="75"/>
      <c r="AR6" s="225"/>
      <c r="AS6" s="75"/>
      <c r="AT6" s="75"/>
      <c r="AU6" s="76"/>
    </row>
    <row r="7" ht="15.0" customHeight="1">
      <c r="A7" s="105" t="s">
        <v>77</v>
      </c>
      <c r="B7" s="103" t="s">
        <v>837</v>
      </c>
      <c r="C7" s="93">
        <f>IF($A7="Feature",SUM(D7:E7)*'Roadmap setting'!$B$13,0)</f>
        <v>0</v>
      </c>
      <c r="D7" s="94">
        <v>32.0</v>
      </c>
      <c r="E7" s="94">
        <v>1.0</v>
      </c>
      <c r="F7" s="95">
        <f>IF($A7="Feature",IF('Roadmap setting'!$E$14,$E7*('Roadmap setting'!$B$14+'Roadmap setting'!$D$14),$E7*'Roadmap setting'!$B$14),0)</f>
        <v>0</v>
      </c>
      <c r="G7" s="93">
        <f>IF($A7="Feature",$D7*'Roadmap setting'!$B$15,0)</f>
        <v>0</v>
      </c>
      <c r="H7" s="95">
        <f>IF($A7="Feature",$E7*'Roadmap setting'!$B$16,0)</f>
        <v>0</v>
      </c>
      <c r="I7" s="93">
        <f>SUM($D7:$E7)*'Roadmap setting'!$B$17</f>
        <v>3.96</v>
      </c>
      <c r="J7" s="93">
        <f>SUM($D7:$E7)*'Roadmap setting'!$B$18</f>
        <v>0.33</v>
      </c>
      <c r="K7" s="93">
        <f>SUM($D7:$E7)*'Roadmap setting'!$B$19</f>
        <v>0</v>
      </c>
      <c r="L7" s="95">
        <f>SUM($D7:$E7)*'Roadmap setting'!$B$20</f>
        <v>0.66</v>
      </c>
      <c r="M7" s="79">
        <f t="shared" ref="M7:M19" si="1">SUM($C7:$F7)+SUM(G7:L7)</f>
        <v>37.95</v>
      </c>
      <c r="N7" s="96" t="b">
        <v>1</v>
      </c>
      <c r="O7" s="97"/>
      <c r="P7" s="98"/>
      <c r="Q7" s="97">
        <v>0.99</v>
      </c>
      <c r="R7" s="97"/>
      <c r="S7" s="97"/>
      <c r="T7" s="97">
        <v>1.32</v>
      </c>
      <c r="U7" s="99">
        <v>38.61</v>
      </c>
      <c r="V7" s="96" t="b">
        <v>0</v>
      </c>
      <c r="W7" s="97"/>
      <c r="X7" s="98"/>
      <c r="Y7" s="97">
        <v>0.52</v>
      </c>
      <c r="Z7" s="97"/>
      <c r="AA7" s="97"/>
      <c r="AB7" s="97">
        <v>0.78</v>
      </c>
      <c r="AC7" s="99">
        <v>15.6</v>
      </c>
      <c r="AD7" s="96" t="b">
        <v>0</v>
      </c>
      <c r="AE7" s="97"/>
      <c r="AF7" s="98"/>
      <c r="AG7" s="97">
        <v>0.65</v>
      </c>
      <c r="AH7" s="97"/>
      <c r="AI7" s="97"/>
      <c r="AJ7" s="97">
        <v>1.04</v>
      </c>
      <c r="AK7" s="99">
        <v>15.99</v>
      </c>
      <c r="AL7" s="96" t="b">
        <v>0</v>
      </c>
      <c r="AM7" s="80">
        <f t="array" ref="AM7">INDEX(A7:AL7, MATCH(RIGHT('Roadmap setting'!$B$9, 3), $A$2:$AL$2, 0) - 1)
</f>
        <v>37.95</v>
      </c>
      <c r="AN7" s="82">
        <f t="array" ref="AN7">IFNA(LOOKUP(2,1/(ISNUMBER(AN5:AN6)),AN5:AN6)+(D7/(Resources!$P$55/7)),Today()+(D7/(Resources!$P$55/7)))</f>
        <v>45780.97845</v>
      </c>
      <c r="AO7" s="82">
        <f t="array" ref="AO7">IFNA(LOOKUP(2,1/(ISNUMBER(AO5:AO6)),AO5:AO6)+(E7/(Resources!$P$56/7)),Today()+(E7/(Resources!$P$56/7)))</f>
        <v>45777.20562</v>
      </c>
      <c r="AP7" s="82">
        <f t="array" ref="AP7">IF(ISNUMBER($AT7),IFNA(LOOKUP(2,1/(ISNUMBER(AP5:AP6)),AP5:AP6),Today()),IFNA(LOOKUP(2,1/(ISNUMBER(AP5:AP6)),AP5:AP6)+(D7/(Resources!$E$55/7)),Today()+(D7/(Resources!$E$55/7))))</f>
        <v>45785.15673</v>
      </c>
      <c r="AQ7" s="82">
        <f t="array" ref="AQ7">IF(ISNUMBER($AT7),IFNA(LOOKUP(2,1/(ISNUMBER(AQ5:AQ6)),AQ5:AQ6),Today()),IFNA(LOOKUP(2,1/(ISNUMBER(AQ5:AQ6)),AQ5:AQ6)+(E7/(Resources!$E$56/7)),Today()+(E7/(Resources!$E$56/7))))</f>
        <v>45777.34502</v>
      </c>
      <c r="AR7" s="226">
        <f t="shared" ref="AR7:AR19" si="2">IFERROR(MAX(AP7,AQ7),"")</f>
        <v>45785.15673</v>
      </c>
      <c r="AS7" s="82"/>
      <c r="AT7" s="82"/>
      <c r="AU7" s="83"/>
    </row>
    <row r="8" ht="15.0" customHeight="1">
      <c r="A8" s="105" t="s">
        <v>77</v>
      </c>
      <c r="B8" s="103" t="s">
        <v>838</v>
      </c>
      <c r="C8" s="93">
        <f>IF($A8="Feature",SUM(D8:E8)*'Roadmap setting'!$B$13,0)</f>
        <v>0</v>
      </c>
      <c r="D8" s="94">
        <v>32.0</v>
      </c>
      <c r="E8" s="94">
        <v>0.0</v>
      </c>
      <c r="F8" s="95">
        <f>IF($A8="Feature",IF('Roadmap setting'!$E$14,$E8*('Roadmap setting'!$B$14+'Roadmap setting'!$D$14),$E8*'Roadmap setting'!$B$14),0)</f>
        <v>0</v>
      </c>
      <c r="G8" s="93">
        <f>IF($A8="Feature",$D8*'Roadmap setting'!$B$15,0)</f>
        <v>0</v>
      </c>
      <c r="H8" s="95">
        <f>IF($A8="Feature",$E8*'Roadmap setting'!$B$16,0)</f>
        <v>0</v>
      </c>
      <c r="I8" s="93">
        <f>SUM($D8:$E8)*'Roadmap setting'!$B$17</f>
        <v>3.84</v>
      </c>
      <c r="J8" s="93">
        <f>SUM($D8:$E8)*'Roadmap setting'!$B$18</f>
        <v>0.32</v>
      </c>
      <c r="K8" s="93">
        <f>SUM($D8:$E8)*'Roadmap setting'!$B$19</f>
        <v>0</v>
      </c>
      <c r="L8" s="95">
        <f>SUM($D8:$E8)*'Roadmap setting'!$B$20</f>
        <v>0.64</v>
      </c>
      <c r="M8" s="79">
        <f t="shared" si="1"/>
        <v>36.8</v>
      </c>
      <c r="N8" s="96" t="b">
        <v>1</v>
      </c>
      <c r="O8" s="97"/>
      <c r="P8" s="98"/>
      <c r="Q8" s="97">
        <v>0.96</v>
      </c>
      <c r="R8" s="97"/>
      <c r="S8" s="97"/>
      <c r="T8" s="97">
        <v>1.28</v>
      </c>
      <c r="U8" s="99">
        <v>37.44</v>
      </c>
      <c r="V8" s="96" t="b">
        <v>0</v>
      </c>
      <c r="W8" s="97"/>
      <c r="X8" s="98"/>
      <c r="Y8" s="97">
        <v>0.52</v>
      </c>
      <c r="Z8" s="97"/>
      <c r="AA8" s="97"/>
      <c r="AB8" s="97">
        <v>0.78</v>
      </c>
      <c r="AC8" s="99">
        <v>15.6</v>
      </c>
      <c r="AD8" s="96" t="b">
        <v>0</v>
      </c>
      <c r="AE8" s="97"/>
      <c r="AF8" s="98"/>
      <c r="AG8" s="97">
        <v>0.65</v>
      </c>
      <c r="AH8" s="97"/>
      <c r="AI8" s="97"/>
      <c r="AJ8" s="97">
        <v>1.04</v>
      </c>
      <c r="AK8" s="99">
        <v>15.99</v>
      </c>
      <c r="AL8" s="96" t="b">
        <v>0</v>
      </c>
      <c r="AM8" s="80">
        <f t="array" ref="AM8">INDEX(A8:AL8, MATCH(RIGHT('Roadmap setting'!$B$9, 3), $A$2:$AL$2, 0) - 1)
</f>
        <v>36.8</v>
      </c>
      <c r="AN8" s="82">
        <f t="array" ref="AN8">IFNA(LOOKUP(2,1/(ISNUMBER(AN5:AN7)),AN5:AN7)+(D8/(Resources!$P$55/7)),Today()+(D8/(Resources!$P$55/7)))</f>
        <v>45784.9569</v>
      </c>
      <c r="AO8" s="82">
        <f t="array" ref="AO8">IFNA(LOOKUP(2,1/(ISNUMBER(AO5:AO7)),AO5:AO7)+(E8/(Resources!$P$56/7)),Today()+(E8/(Resources!$P$56/7)))</f>
        <v>45777.20562</v>
      </c>
      <c r="AP8" s="82">
        <f t="array" ref="AP8">IF(ISNUMBER($AT8),IFNA(LOOKUP(2,1/(ISNUMBER(AP5:AP7)),AP5:AP7),Today()),IFNA(LOOKUP(2,1/(ISNUMBER(AP5:AP7)),AP5:AP7)+(D8/(Resources!$E$55/7)),Today()+(D8/(Resources!$E$55/7))))</f>
        <v>45793.31345</v>
      </c>
      <c r="AQ8" s="82">
        <f t="array" ref="AQ8">IF(ISNUMBER($AT8),IFNA(LOOKUP(2,1/(ISNUMBER(AQ5:AQ7)),AQ5:AQ7),Today()),IFNA(LOOKUP(2,1/(ISNUMBER(AQ5:AQ7)),AQ5:AQ7)+(E8/(Resources!$E$56/7)),Today()+(E8/(Resources!$E$56/7))))</f>
        <v>45777.34502</v>
      </c>
      <c r="AR8" s="226">
        <f t="shared" si="2"/>
        <v>45793.31345</v>
      </c>
      <c r="AS8" s="82"/>
      <c r="AT8" s="82"/>
      <c r="AU8" s="83"/>
    </row>
    <row r="9" ht="15.0" customHeight="1">
      <c r="A9" s="105" t="s">
        <v>77</v>
      </c>
      <c r="B9" s="103" t="s">
        <v>839</v>
      </c>
      <c r="C9" s="93">
        <f>IF($A9="Feature",SUM(D9:E9)*'Roadmap setting'!$B$13,0)</f>
        <v>0</v>
      </c>
      <c r="D9" s="94">
        <v>32.0</v>
      </c>
      <c r="E9" s="94">
        <v>0.0</v>
      </c>
      <c r="F9" s="95">
        <f>IF($A9="Feature",IF('Roadmap setting'!$E$14,$E9*('Roadmap setting'!$B$14+'Roadmap setting'!$D$14),$E9*'Roadmap setting'!$B$14),0)</f>
        <v>0</v>
      </c>
      <c r="G9" s="93">
        <f>IF($A9="Feature",$D9*'Roadmap setting'!$B$15,0)</f>
        <v>0</v>
      </c>
      <c r="H9" s="95">
        <f>IF($A9="Feature",$E9*'Roadmap setting'!$B$16,0)</f>
        <v>0</v>
      </c>
      <c r="I9" s="93">
        <f>SUM($D9:$E9)*'Roadmap setting'!$B$17</f>
        <v>3.84</v>
      </c>
      <c r="J9" s="93">
        <f>SUM($D9:$E9)*'Roadmap setting'!$B$18</f>
        <v>0.32</v>
      </c>
      <c r="K9" s="93">
        <f>SUM($D9:$E9)*'Roadmap setting'!$B$19</f>
        <v>0</v>
      </c>
      <c r="L9" s="95">
        <f>SUM($D9:$E9)*'Roadmap setting'!$B$20</f>
        <v>0.64</v>
      </c>
      <c r="M9" s="79">
        <f t="shared" si="1"/>
        <v>36.8</v>
      </c>
      <c r="N9" s="96" t="b">
        <v>1</v>
      </c>
      <c r="O9" s="97"/>
      <c r="P9" s="98"/>
      <c r="Q9" s="97">
        <v>0.96</v>
      </c>
      <c r="R9" s="97"/>
      <c r="S9" s="97"/>
      <c r="T9" s="97">
        <v>1.28</v>
      </c>
      <c r="U9" s="99">
        <v>37.44</v>
      </c>
      <c r="V9" s="96" t="b">
        <v>0</v>
      </c>
      <c r="W9" s="97"/>
      <c r="X9" s="98"/>
      <c r="Y9" s="97">
        <v>0.52</v>
      </c>
      <c r="Z9" s="97"/>
      <c r="AA9" s="97"/>
      <c r="AB9" s="97">
        <v>0.78</v>
      </c>
      <c r="AC9" s="99">
        <v>15.6</v>
      </c>
      <c r="AD9" s="96" t="b">
        <v>0</v>
      </c>
      <c r="AE9" s="97"/>
      <c r="AF9" s="98"/>
      <c r="AG9" s="97">
        <v>0.65</v>
      </c>
      <c r="AH9" s="97"/>
      <c r="AI9" s="97"/>
      <c r="AJ9" s="97">
        <v>1.04</v>
      </c>
      <c r="AK9" s="99">
        <v>15.99</v>
      </c>
      <c r="AL9" s="96" t="b">
        <v>0</v>
      </c>
      <c r="AM9" s="80">
        <f t="array" ref="AM9">INDEX(A9:AL9, MATCH(RIGHT('Roadmap setting'!$B$9, 3), $A$2:$AL$2, 0) - 1)
</f>
        <v>36.8</v>
      </c>
      <c r="AN9" s="82">
        <f t="array" ref="AN9">IFNA(LOOKUP(2,1/(ISNUMBER(AN5:AN8)),AN5:AN8)+(D9/(Resources!$P$55/7)),Today()+(D9/(Resources!$P$55/7)))</f>
        <v>45788.93535</v>
      </c>
      <c r="AO9" s="82">
        <f t="array" ref="AO9">IFNA(LOOKUP(2,1/(ISNUMBER(AO5:AO8)),AO5:AO8)+(E9/(Resources!$P$56/7)),Today()+(E9/(Resources!$P$56/7)))</f>
        <v>45777.20562</v>
      </c>
      <c r="AP9" s="82">
        <f t="array" ref="AP9">IF(ISNUMBER($AT9),IFNA(LOOKUP(2,1/(ISNUMBER(AP5:AP8)),AP5:AP8),Today()),IFNA(LOOKUP(2,1/(ISNUMBER(AP5:AP8)),AP5:AP8)+(D9/(Resources!$E$55/7)),Today()+(D9/(Resources!$E$55/7))))</f>
        <v>45801.47018</v>
      </c>
      <c r="AQ9" s="82">
        <f t="array" ref="AQ9">IF(ISNUMBER($AT9),IFNA(LOOKUP(2,1/(ISNUMBER(AQ5:AQ8)),AQ5:AQ8),Today()),IFNA(LOOKUP(2,1/(ISNUMBER(AQ5:AQ8)),AQ5:AQ8)+(E9/(Resources!$E$56/7)),Today()+(E9/(Resources!$E$56/7))))</f>
        <v>45777.34502</v>
      </c>
      <c r="AR9" s="226">
        <f t="shared" si="2"/>
        <v>45801.47018</v>
      </c>
      <c r="AS9" s="82"/>
      <c r="AT9" s="82"/>
      <c r="AU9" s="104"/>
    </row>
    <row r="10" ht="15.0" customHeight="1">
      <c r="A10" s="105" t="s">
        <v>77</v>
      </c>
      <c r="B10" s="103" t="s">
        <v>840</v>
      </c>
      <c r="C10" s="93">
        <f>IF($A10="Feature",SUM(D10:E10)*'Roadmap setting'!$B$13,0)</f>
        <v>0</v>
      </c>
      <c r="D10" s="94">
        <v>32.0</v>
      </c>
      <c r="E10" s="94">
        <v>0.0</v>
      </c>
      <c r="F10" s="95">
        <f>IF($A10="Feature",IF('Roadmap setting'!$E$14,$E10*('Roadmap setting'!$B$14+'Roadmap setting'!$D$14),$E10*'Roadmap setting'!$B$14),0)</f>
        <v>0</v>
      </c>
      <c r="G10" s="93">
        <f>IF($A10="Feature",$D10*'Roadmap setting'!$B$15,0)</f>
        <v>0</v>
      </c>
      <c r="H10" s="95">
        <f>IF($A10="Feature",$E10*'Roadmap setting'!$B$16,0)</f>
        <v>0</v>
      </c>
      <c r="I10" s="93">
        <f>SUM($D10:$E10)*'Roadmap setting'!$B$17</f>
        <v>3.84</v>
      </c>
      <c r="J10" s="93">
        <f>SUM($D10:$E10)*'Roadmap setting'!$B$18</f>
        <v>0.32</v>
      </c>
      <c r="K10" s="93">
        <f>SUM($D10:$E10)*'Roadmap setting'!$B$19</f>
        <v>0</v>
      </c>
      <c r="L10" s="95">
        <f>SUM($D10:$E10)*'Roadmap setting'!$B$20</f>
        <v>0.64</v>
      </c>
      <c r="M10" s="79">
        <f t="shared" si="1"/>
        <v>36.8</v>
      </c>
      <c r="N10" s="96" t="b">
        <v>1</v>
      </c>
      <c r="O10" s="97"/>
      <c r="P10" s="98"/>
      <c r="Q10" s="97">
        <v>0.96</v>
      </c>
      <c r="R10" s="97"/>
      <c r="S10" s="97"/>
      <c r="T10" s="97">
        <v>1.28</v>
      </c>
      <c r="U10" s="99">
        <v>37.44</v>
      </c>
      <c r="V10" s="96" t="b">
        <v>0</v>
      </c>
      <c r="W10" s="97"/>
      <c r="X10" s="98"/>
      <c r="Y10" s="97">
        <v>0.52</v>
      </c>
      <c r="Z10" s="97"/>
      <c r="AA10" s="97"/>
      <c r="AB10" s="97">
        <v>0.78</v>
      </c>
      <c r="AC10" s="99">
        <v>15.6</v>
      </c>
      <c r="AD10" s="96" t="b">
        <v>0</v>
      </c>
      <c r="AE10" s="97"/>
      <c r="AF10" s="98"/>
      <c r="AG10" s="97">
        <v>0.65</v>
      </c>
      <c r="AH10" s="97"/>
      <c r="AI10" s="97"/>
      <c r="AJ10" s="97">
        <v>1.04</v>
      </c>
      <c r="AK10" s="99">
        <v>15.99</v>
      </c>
      <c r="AL10" s="96" t="b">
        <v>0</v>
      </c>
      <c r="AM10" s="80">
        <f t="array" ref="AM10">INDEX(A10:AL10, MATCH(RIGHT('Roadmap setting'!$B$9, 3), $A$2:$AL$2, 0) - 1)
</f>
        <v>36.8</v>
      </c>
      <c r="AN10" s="82">
        <f t="array" ref="AN10">IFNA(LOOKUP(2,1/(ISNUMBER(AN5:AN9)),AN5:AN9)+(D10/(Resources!$P$55/7)),Today()+(D10/(Resources!$P$55/7)))</f>
        <v>45792.91379</v>
      </c>
      <c r="AO10" s="82">
        <f t="array" ref="AO10">IFNA(LOOKUP(2,1/(ISNUMBER(AO5:AO9)),AO5:AO9)+(E10/(Resources!$P$56/7)),Today()+(E10/(Resources!$P$56/7)))</f>
        <v>45777.20562</v>
      </c>
      <c r="AP10" s="82">
        <f t="array" ref="AP10">IF(ISNUMBER($AT10),IFNA(LOOKUP(2,1/(ISNUMBER(AP5:AP9)),AP5:AP9),Today()),IFNA(LOOKUP(2,1/(ISNUMBER(AP5:AP9)),AP5:AP9)+(D10/(Resources!$E$55/7)),Today()+(D10/(Resources!$E$55/7))))</f>
        <v>45809.62691</v>
      </c>
      <c r="AQ10" s="82">
        <f t="array" ref="AQ10">IF(ISNUMBER($AT10),IFNA(LOOKUP(2,1/(ISNUMBER(AQ5:AQ9)),AQ5:AQ9),Today()),IFNA(LOOKUP(2,1/(ISNUMBER(AQ5:AQ9)),AQ5:AQ9)+(E10/(Resources!$E$56/7)),Today()+(E10/(Resources!$E$56/7))))</f>
        <v>45777.34502</v>
      </c>
      <c r="AR10" s="226">
        <f t="shared" si="2"/>
        <v>45809.62691</v>
      </c>
      <c r="AS10" s="82"/>
      <c r="AT10" s="82"/>
      <c r="AU10" s="83"/>
    </row>
    <row r="11" ht="15.0" customHeight="1">
      <c r="A11" s="105" t="s">
        <v>77</v>
      </c>
      <c r="B11" s="107" t="s">
        <v>841</v>
      </c>
      <c r="C11" s="93">
        <f>IF($A11="Feature",SUM(D11:E11)*'Roadmap setting'!$B$13,0)</f>
        <v>0</v>
      </c>
      <c r="D11" s="94">
        <v>12.0</v>
      </c>
      <c r="E11" s="94">
        <v>0.0</v>
      </c>
      <c r="F11" s="95">
        <f>IF($A11="Feature",IF('Roadmap setting'!$E$14,$E11*('Roadmap setting'!$B$14+'Roadmap setting'!$D$14),$E11*'Roadmap setting'!$B$14),0)</f>
        <v>0</v>
      </c>
      <c r="G11" s="93">
        <f>IF($A11="Feature",$D11*'Roadmap setting'!$B$15,0)</f>
        <v>0</v>
      </c>
      <c r="H11" s="95">
        <f>IF($A11="Feature",$E11*'Roadmap setting'!$B$16,0)</f>
        <v>0</v>
      </c>
      <c r="I11" s="93">
        <f>SUM($D11:$E11)*'Roadmap setting'!$B$17</f>
        <v>1.44</v>
      </c>
      <c r="J11" s="93">
        <f>SUM($D11:$E11)*'Roadmap setting'!$B$18</f>
        <v>0.12</v>
      </c>
      <c r="K11" s="93">
        <f>SUM($D11:$E11)*'Roadmap setting'!$B$19</f>
        <v>0</v>
      </c>
      <c r="L11" s="95">
        <f>SUM($D11:$E11)*'Roadmap setting'!$B$20</f>
        <v>0.24</v>
      </c>
      <c r="M11" s="79">
        <f t="shared" si="1"/>
        <v>13.8</v>
      </c>
      <c r="N11" s="96" t="b">
        <v>1</v>
      </c>
      <c r="O11" s="97">
        <v>1.2</v>
      </c>
      <c r="P11" s="97">
        <v>0.0</v>
      </c>
      <c r="Q11" s="97">
        <v>0.36</v>
      </c>
      <c r="R11" s="97">
        <v>0.24</v>
      </c>
      <c r="S11" s="97">
        <v>0.12</v>
      </c>
      <c r="T11" s="97">
        <v>0.48</v>
      </c>
      <c r="U11" s="99">
        <v>15.6</v>
      </c>
      <c r="V11" s="96" t="b">
        <v>0</v>
      </c>
      <c r="W11" s="97"/>
      <c r="X11" s="98"/>
      <c r="Y11" s="97">
        <v>0.52</v>
      </c>
      <c r="Z11" s="97"/>
      <c r="AA11" s="97"/>
      <c r="AB11" s="97">
        <v>0.78</v>
      </c>
      <c r="AC11" s="99">
        <v>15.6</v>
      </c>
      <c r="AD11" s="96" t="b">
        <v>0</v>
      </c>
      <c r="AE11" s="97"/>
      <c r="AF11" s="98"/>
      <c r="AG11" s="97">
        <v>0.65</v>
      </c>
      <c r="AH11" s="97"/>
      <c r="AI11" s="97"/>
      <c r="AJ11" s="97">
        <v>1.04</v>
      </c>
      <c r="AK11" s="99">
        <v>15.99</v>
      </c>
      <c r="AL11" s="96" t="b">
        <v>0</v>
      </c>
      <c r="AM11" s="80">
        <f t="array" ref="AM11">INDEX(A11:AL11, MATCH(RIGHT('Roadmap setting'!$B$9, 3), $A$2:$AL$2, 0) - 1)
</f>
        <v>13.8</v>
      </c>
      <c r="AN11" s="82">
        <f t="array" ref="AN11">IFNA(LOOKUP(2,1/(ISNUMBER(AN5:AN10)),AN5:AN10)+(D11/(Resources!$P$55/7)),Today()+(D11/(Resources!$P$55/7)))</f>
        <v>45794.40571</v>
      </c>
      <c r="AO11" s="82">
        <f t="array" ref="AO11">IFNA(LOOKUP(2,1/(ISNUMBER(AO5:AO10)),AO5:AO10)+(E11/(Resources!$P$56/7)),Today()+(E11/(Resources!$P$56/7)))</f>
        <v>45777.20562</v>
      </c>
      <c r="AP11" s="82">
        <f t="array" ref="AP11">IF(ISNUMBER($AT11),IFNA(LOOKUP(2,1/(ISNUMBER(AP5:AP10)),AP5:AP10),Today()),IFNA(LOOKUP(2,1/(ISNUMBER(AP5:AP10)),AP5:AP10)+(D11/(Resources!$E$55/7)),Today()+(D11/(Resources!$E$55/7))))</f>
        <v>45812.68568</v>
      </c>
      <c r="AQ11" s="82">
        <f t="array" ref="AQ11">IF(ISNUMBER($AT11),IFNA(LOOKUP(2,1/(ISNUMBER(AQ5:AQ10)),AQ5:AQ10),Today()),IFNA(LOOKUP(2,1/(ISNUMBER(AQ5:AQ10)),AQ5:AQ10)+(E11/(Resources!$E$56/7)),Today()+(E11/(Resources!$E$56/7))))</f>
        <v>45777.34502</v>
      </c>
      <c r="AR11" s="226">
        <f t="shared" si="2"/>
        <v>45812.68568</v>
      </c>
      <c r="AS11" s="82"/>
      <c r="AT11" s="82"/>
      <c r="AU11" s="83"/>
    </row>
    <row r="12" ht="15.0" customHeight="1">
      <c r="A12" s="105" t="s">
        <v>77</v>
      </c>
      <c r="B12" s="107" t="s">
        <v>842</v>
      </c>
      <c r="C12" s="93">
        <f>IF($A12="Feature",SUM(D12:E12)*'Roadmap setting'!$B$13,0)</f>
        <v>0</v>
      </c>
      <c r="D12" s="94">
        <v>16.0</v>
      </c>
      <c r="E12" s="94">
        <v>0.0</v>
      </c>
      <c r="F12" s="95">
        <f>IF($A12="Feature",IF('Roadmap setting'!$E$14,$E12*('Roadmap setting'!$B$14+'Roadmap setting'!$D$14),$E12*'Roadmap setting'!$B$14),0)</f>
        <v>0</v>
      </c>
      <c r="G12" s="93">
        <f>IF($A12="Feature",$D12*'Roadmap setting'!$B$15,0)</f>
        <v>0</v>
      </c>
      <c r="H12" s="95">
        <f>IF($A12="Feature",$E12*'Roadmap setting'!$B$16,0)</f>
        <v>0</v>
      </c>
      <c r="I12" s="93">
        <f>SUM($D12:$E12)*'Roadmap setting'!$B$17</f>
        <v>1.92</v>
      </c>
      <c r="J12" s="93">
        <f>SUM($D12:$E12)*'Roadmap setting'!$B$18</f>
        <v>0.16</v>
      </c>
      <c r="K12" s="93">
        <f>SUM($D12:$E12)*'Roadmap setting'!$B$19</f>
        <v>0</v>
      </c>
      <c r="L12" s="95">
        <f>SUM($D12:$E12)*'Roadmap setting'!$B$20</f>
        <v>0.32</v>
      </c>
      <c r="M12" s="79">
        <f t="shared" si="1"/>
        <v>18.4</v>
      </c>
      <c r="N12" s="96" t="b">
        <v>1</v>
      </c>
      <c r="O12" s="97">
        <v>1.6</v>
      </c>
      <c r="P12" s="97">
        <v>0.0</v>
      </c>
      <c r="Q12" s="97">
        <v>0.48</v>
      </c>
      <c r="R12" s="97">
        <v>0.32</v>
      </c>
      <c r="S12" s="97">
        <v>0.16</v>
      </c>
      <c r="T12" s="97">
        <v>0.64</v>
      </c>
      <c r="U12" s="99">
        <v>20.8</v>
      </c>
      <c r="V12" s="96" t="b">
        <v>0</v>
      </c>
      <c r="W12" s="97"/>
      <c r="X12" s="98"/>
      <c r="Y12" s="97">
        <v>0.52</v>
      </c>
      <c r="Z12" s="97"/>
      <c r="AA12" s="97"/>
      <c r="AB12" s="97">
        <v>0.78</v>
      </c>
      <c r="AC12" s="99">
        <v>15.6</v>
      </c>
      <c r="AD12" s="96" t="b">
        <v>0</v>
      </c>
      <c r="AE12" s="97"/>
      <c r="AF12" s="98"/>
      <c r="AG12" s="97">
        <v>0.65</v>
      </c>
      <c r="AH12" s="97"/>
      <c r="AI12" s="97"/>
      <c r="AJ12" s="97">
        <v>1.04</v>
      </c>
      <c r="AK12" s="99">
        <v>15.99</v>
      </c>
      <c r="AL12" s="96" t="b">
        <v>0</v>
      </c>
      <c r="AM12" s="80">
        <f t="array" ref="AM12">INDEX(A12:AL12, MATCH(RIGHT('Roadmap setting'!$B$9, 3), $A$2:$AL$2, 0) - 1)
</f>
        <v>18.4</v>
      </c>
      <c r="AN12" s="82">
        <f t="array" ref="AN12">IFNA(LOOKUP(2,1/(ISNUMBER(AN6:AN11)),AN6:AN11)+(D12/(Resources!$P$55/7)),Today()+(D12/(Resources!$P$55/7)))</f>
        <v>45796.39494</v>
      </c>
      <c r="AO12" s="82">
        <f t="array" ref="AO12">IFNA(LOOKUP(2,1/(ISNUMBER(AO6:AO11)),AO6:AO11)+(E12/(Resources!$P$56/7)),Today()+(E12/(Resources!$P$56/7)))</f>
        <v>45777.20562</v>
      </c>
      <c r="AP12" s="82">
        <f t="array" ref="AP12">IF(ISNUMBER($AT12),IFNA(LOOKUP(2,1/(ISNUMBER(AP6:AP11)),AP6:AP11),Today()),IFNA(LOOKUP(2,1/(ISNUMBER(AP6:AP11)),AP6:AP11)+(D12/(Resources!$E$55/7)),Today()+(D12/(Resources!$E$55/7))))</f>
        <v>45816.76405</v>
      </c>
      <c r="AQ12" s="82">
        <f t="array" ref="AQ12">IF(ISNUMBER($AT12),IFNA(LOOKUP(2,1/(ISNUMBER(AQ6:AQ11)),AQ6:AQ11),Today()),IFNA(LOOKUP(2,1/(ISNUMBER(AQ6:AQ11)),AQ6:AQ11)+(E12/(Resources!$E$56/7)),Today()+(E12/(Resources!$E$56/7))))</f>
        <v>45777.34502</v>
      </c>
      <c r="AR12" s="226">
        <f t="shared" si="2"/>
        <v>45816.76405</v>
      </c>
      <c r="AS12" s="82"/>
      <c r="AT12" s="82"/>
      <c r="AU12" s="227"/>
    </row>
    <row r="13" ht="15.0" customHeight="1">
      <c r="A13" s="105" t="s">
        <v>77</v>
      </c>
      <c r="B13" s="107" t="s">
        <v>843</v>
      </c>
      <c r="C13" s="93">
        <f>IF($A13="Feature",SUM(D13:E13)*'Roadmap setting'!$B$13,0)</f>
        <v>0</v>
      </c>
      <c r="D13" s="94">
        <v>12.0</v>
      </c>
      <c r="E13" s="94">
        <v>0.0</v>
      </c>
      <c r="F13" s="95">
        <f>IF($A13="Feature",IF('Roadmap setting'!$E$14,$E13*('Roadmap setting'!$B$14+'Roadmap setting'!$D$14),$E13*'Roadmap setting'!$B$14),0)</f>
        <v>0</v>
      </c>
      <c r="G13" s="93">
        <f>IF($A13="Feature",$D13*'Roadmap setting'!$B$15,0)</f>
        <v>0</v>
      </c>
      <c r="H13" s="95">
        <f>IF($A13="Feature",$E13*'Roadmap setting'!$B$16,0)</f>
        <v>0</v>
      </c>
      <c r="I13" s="93">
        <f>SUM($D13:$E13)*'Roadmap setting'!$B$17</f>
        <v>1.44</v>
      </c>
      <c r="J13" s="93">
        <f>SUM($D13:$E13)*'Roadmap setting'!$B$18</f>
        <v>0.12</v>
      </c>
      <c r="K13" s="93">
        <f>SUM($D13:$E13)*'Roadmap setting'!$B$19</f>
        <v>0</v>
      </c>
      <c r="L13" s="95">
        <f>SUM($D13:$E13)*'Roadmap setting'!$B$20</f>
        <v>0.24</v>
      </c>
      <c r="M13" s="79">
        <f t="shared" si="1"/>
        <v>13.8</v>
      </c>
      <c r="N13" s="96" t="b">
        <v>0</v>
      </c>
      <c r="O13" s="97">
        <v>1.2</v>
      </c>
      <c r="P13" s="97">
        <v>0.0</v>
      </c>
      <c r="Q13" s="97">
        <v>0.36</v>
      </c>
      <c r="R13" s="97">
        <v>0.24</v>
      </c>
      <c r="S13" s="97">
        <v>0.12</v>
      </c>
      <c r="T13" s="97">
        <v>0.48</v>
      </c>
      <c r="U13" s="99">
        <v>15.6</v>
      </c>
      <c r="V13" s="96" t="b">
        <v>0</v>
      </c>
      <c r="W13" s="97"/>
      <c r="X13" s="98"/>
      <c r="Y13" s="97">
        <v>0.52</v>
      </c>
      <c r="Z13" s="97"/>
      <c r="AA13" s="97"/>
      <c r="AB13" s="97">
        <v>0.78</v>
      </c>
      <c r="AC13" s="99">
        <v>15.6</v>
      </c>
      <c r="AD13" s="96" t="b">
        <v>0</v>
      </c>
      <c r="AE13" s="97"/>
      <c r="AF13" s="98"/>
      <c r="AG13" s="97">
        <v>0.65</v>
      </c>
      <c r="AH13" s="97"/>
      <c r="AI13" s="97"/>
      <c r="AJ13" s="97">
        <v>1.04</v>
      </c>
      <c r="AK13" s="99">
        <v>15.99</v>
      </c>
      <c r="AL13" s="96" t="b">
        <v>0</v>
      </c>
      <c r="AM13" s="80">
        <f t="array" ref="AM13">INDEX(A13:AL13, MATCH(RIGHT('Roadmap setting'!$B$9, 3), $A$2:$AL$2, 0) - 1)
</f>
        <v>13.8</v>
      </c>
      <c r="AN13" s="82">
        <f t="array" ref="AN13">IFNA(LOOKUP(2,1/(ISNUMBER(AN7:AN12)),AN7:AN12)+(D13/(Resources!$P$55/7)),Today()+(D13/(Resources!$P$55/7)))</f>
        <v>45797.88685</v>
      </c>
      <c r="AO13" s="82">
        <f t="array" ref="AO13">IFNA(LOOKUP(2,1/(ISNUMBER(AO7:AO12)),AO7:AO12)+(E13/(Resources!$P$56/7)),Today()+(E13/(Resources!$P$56/7)))</f>
        <v>45777.20562</v>
      </c>
      <c r="AP13" s="82">
        <f t="array" ref="AP13">IF(ISNUMBER($AT13),IFNA(LOOKUP(2,1/(ISNUMBER(AP7:AP12)),AP7:AP12),Today()),IFNA(LOOKUP(2,1/(ISNUMBER(AP7:AP12)),AP7:AP12)+(D13/(Resources!$E$55/7)),Today()+(D13/(Resources!$E$55/7))))</f>
        <v>45819.82282</v>
      </c>
      <c r="AQ13" s="82">
        <f t="array" ref="AQ13">IF(ISNUMBER($AT13),IFNA(LOOKUP(2,1/(ISNUMBER(AQ7:AQ12)),AQ7:AQ12),Today()),IFNA(LOOKUP(2,1/(ISNUMBER(AQ7:AQ12)),AQ7:AQ12)+(E13/(Resources!$E$56/7)),Today()+(E13/(Resources!$E$56/7))))</f>
        <v>45777.34502</v>
      </c>
      <c r="AR13" s="226">
        <f t="shared" si="2"/>
        <v>45819.82282</v>
      </c>
      <c r="AS13" s="82"/>
      <c r="AT13" s="82"/>
      <c r="AU13" s="83"/>
    </row>
    <row r="14" ht="15.0" customHeight="1">
      <c r="A14" s="105" t="s">
        <v>77</v>
      </c>
      <c r="B14" s="228" t="s">
        <v>844</v>
      </c>
      <c r="C14" s="93">
        <f>IF($A14="Feature",SUM(D14:E14)*'Roadmap setting'!$B$13,0)</f>
        <v>0</v>
      </c>
      <c r="D14" s="94">
        <v>8.0</v>
      </c>
      <c r="E14" s="94">
        <v>0.0</v>
      </c>
      <c r="F14" s="95">
        <f>IF($A14="Feature",IF('Roadmap setting'!$E$14,$E14*('Roadmap setting'!$B$14+'Roadmap setting'!$D$14),$E14*'Roadmap setting'!$B$14),0)</f>
        <v>0</v>
      </c>
      <c r="G14" s="93">
        <f>IF($A14="Feature",$D14*'Roadmap setting'!$B$15,0)</f>
        <v>0</v>
      </c>
      <c r="H14" s="95">
        <f>IF($A14="Feature",$E14*'Roadmap setting'!$B$16,0)</f>
        <v>0</v>
      </c>
      <c r="I14" s="93">
        <f>SUM($D14:$E14)*'Roadmap setting'!$B$17</f>
        <v>0.96</v>
      </c>
      <c r="J14" s="93">
        <f>SUM($D14:$E14)*'Roadmap setting'!$B$18</f>
        <v>0.08</v>
      </c>
      <c r="K14" s="93">
        <f>SUM($D14:$E14)*'Roadmap setting'!$B$19</f>
        <v>0</v>
      </c>
      <c r="L14" s="95">
        <f>SUM($D14:$E14)*'Roadmap setting'!$B$20</f>
        <v>0.16</v>
      </c>
      <c r="M14" s="79">
        <f t="shared" si="1"/>
        <v>9.2</v>
      </c>
      <c r="N14" s="96" t="b">
        <v>0</v>
      </c>
      <c r="O14" s="97">
        <v>0.8</v>
      </c>
      <c r="P14" s="97">
        <v>0.0</v>
      </c>
      <c r="Q14" s="97">
        <v>0.24</v>
      </c>
      <c r="R14" s="97">
        <v>0.16</v>
      </c>
      <c r="S14" s="97">
        <v>0.08</v>
      </c>
      <c r="T14" s="97">
        <v>0.32</v>
      </c>
      <c r="U14" s="99">
        <v>10.4</v>
      </c>
      <c r="V14" s="96" t="b">
        <v>0</v>
      </c>
      <c r="W14" s="97"/>
      <c r="X14" s="98"/>
      <c r="Y14" s="97">
        <v>0.52</v>
      </c>
      <c r="Z14" s="97"/>
      <c r="AA14" s="97"/>
      <c r="AB14" s="97">
        <v>0.78</v>
      </c>
      <c r="AC14" s="99">
        <v>15.6</v>
      </c>
      <c r="AD14" s="96" t="b">
        <v>0</v>
      </c>
      <c r="AE14" s="97"/>
      <c r="AF14" s="98"/>
      <c r="AG14" s="97">
        <v>0.65</v>
      </c>
      <c r="AH14" s="97"/>
      <c r="AI14" s="97"/>
      <c r="AJ14" s="97">
        <v>1.04</v>
      </c>
      <c r="AK14" s="99">
        <v>15.99</v>
      </c>
      <c r="AL14" s="96" t="b">
        <v>0</v>
      </c>
      <c r="AM14" s="80">
        <f t="array" ref="AM14">INDEX(A14:AL14, MATCH(RIGHT('Roadmap setting'!$B$9, 3), $A$2:$AL$2, 0) - 1)
</f>
        <v>9.2</v>
      </c>
      <c r="AN14" s="82">
        <f t="array" ref="AN14">IFNA(LOOKUP(2,1/(ISNUMBER(AN8:AN13)),AN8:AN13)+(D14/(Resources!$P$55/7)),Today()+(D14/(Resources!$P$55/7)))</f>
        <v>45798.88147</v>
      </c>
      <c r="AO14" s="82">
        <f t="array" ref="AO14">IFNA(LOOKUP(2,1/(ISNUMBER(AO8:AO13)),AO8:AO13)+(E14/(Resources!$P$56/7)),Today()+(E14/(Resources!$P$56/7)))</f>
        <v>45777.20562</v>
      </c>
      <c r="AP14" s="82">
        <f t="array" ref="AP14">IF(ISNUMBER($AT14),IFNA(LOOKUP(2,1/(ISNUMBER(AP8:AP13)),AP8:AP13),Today()),IFNA(LOOKUP(2,1/(ISNUMBER(AP8:AP13)),AP8:AP13)+(D14/(Resources!$E$55/7)),Today()+(D14/(Resources!$E$55/7))))</f>
        <v>45821.862</v>
      </c>
      <c r="AQ14" s="82">
        <f t="array" ref="AQ14">IF(ISNUMBER($AT14),IFNA(LOOKUP(2,1/(ISNUMBER(AQ8:AQ13)),AQ8:AQ13),Today()),IFNA(LOOKUP(2,1/(ISNUMBER(AQ8:AQ13)),AQ8:AQ13)+(E14/(Resources!$E$56/7)),Today()+(E14/(Resources!$E$56/7))))</f>
        <v>45777.34502</v>
      </c>
      <c r="AR14" s="226">
        <f t="shared" si="2"/>
        <v>45821.862</v>
      </c>
      <c r="AS14" s="82"/>
      <c r="AT14" s="82"/>
      <c r="AU14" s="83"/>
    </row>
    <row r="15" ht="15.0" customHeight="1">
      <c r="A15" s="83" t="s">
        <v>77</v>
      </c>
      <c r="B15" s="107" t="s">
        <v>845</v>
      </c>
      <c r="C15" s="93">
        <f>IF($A15="Feature",SUM(D15:E15)*'Roadmap setting'!$B$13,0)</f>
        <v>0</v>
      </c>
      <c r="D15" s="94">
        <v>8.0</v>
      </c>
      <c r="E15" s="94">
        <v>0.0</v>
      </c>
      <c r="F15" s="95">
        <f>IF($A15="Feature",IF('Roadmap setting'!$E$14,$E15*('Roadmap setting'!$B$14+'Roadmap setting'!$D$14),$E15*'Roadmap setting'!$B$14),0)</f>
        <v>0</v>
      </c>
      <c r="G15" s="93">
        <f>IF($A15="Feature",$D15*'Roadmap setting'!$B$15,0)</f>
        <v>0</v>
      </c>
      <c r="H15" s="95">
        <f>IF($A15="Feature",$E15*'Roadmap setting'!$B$16,0)</f>
        <v>0</v>
      </c>
      <c r="I15" s="93">
        <f>SUM($D15:$E15)*'Roadmap setting'!$B$17</f>
        <v>0.96</v>
      </c>
      <c r="J15" s="93">
        <f>SUM($D15:$E15)*'Roadmap setting'!$B$18</f>
        <v>0.08</v>
      </c>
      <c r="K15" s="93">
        <f>SUM($D15:$E15)*'Roadmap setting'!$B$19</f>
        <v>0</v>
      </c>
      <c r="L15" s="95">
        <f>SUM($D15:$E15)*'Roadmap setting'!$B$20</f>
        <v>0.16</v>
      </c>
      <c r="M15" s="79">
        <f t="shared" si="1"/>
        <v>9.2</v>
      </c>
      <c r="N15" s="96" t="b">
        <v>0</v>
      </c>
      <c r="O15" s="97">
        <v>0.8</v>
      </c>
      <c r="P15" s="97">
        <v>0.0</v>
      </c>
      <c r="Q15" s="97">
        <v>0.24</v>
      </c>
      <c r="R15" s="97">
        <v>0.16</v>
      </c>
      <c r="S15" s="97">
        <v>0.08</v>
      </c>
      <c r="T15" s="97">
        <v>0.32</v>
      </c>
      <c r="U15" s="99">
        <v>10.4</v>
      </c>
      <c r="V15" s="96" t="b">
        <v>0</v>
      </c>
      <c r="W15" s="97"/>
      <c r="X15" s="98"/>
      <c r="Y15" s="97">
        <v>0.52</v>
      </c>
      <c r="Z15" s="97"/>
      <c r="AA15" s="97"/>
      <c r="AB15" s="97">
        <v>0.78</v>
      </c>
      <c r="AC15" s="99">
        <v>15.6</v>
      </c>
      <c r="AD15" s="96" t="b">
        <v>0</v>
      </c>
      <c r="AE15" s="97"/>
      <c r="AF15" s="98"/>
      <c r="AG15" s="97">
        <v>0.65</v>
      </c>
      <c r="AH15" s="97"/>
      <c r="AI15" s="97"/>
      <c r="AJ15" s="97">
        <v>1.04</v>
      </c>
      <c r="AK15" s="99">
        <v>15.99</v>
      </c>
      <c r="AL15" s="96" t="b">
        <v>0</v>
      </c>
      <c r="AM15" s="80">
        <f t="array" ref="AM15">INDEX(A15:AL15, MATCH(RIGHT('Roadmap setting'!$B$9, 3), $A$2:$AL$2, 0) - 1)
</f>
        <v>9.2</v>
      </c>
      <c r="AN15" s="82">
        <f t="array" ref="AN15">IFNA(LOOKUP(2,1/(ISNUMBER(AN9:AN14)),AN9:AN14)+(D15/(Resources!$P$55/7)),Today()+(D15/(Resources!$P$55/7)))</f>
        <v>45799.87608</v>
      </c>
      <c r="AO15" s="82">
        <f t="array" ref="AO15">IFNA(LOOKUP(2,1/(ISNUMBER(AO9:AO14)),AO9:AO14)+(E15/(Resources!$P$56/7)),Today()+(E15/(Resources!$P$56/7)))</f>
        <v>45777.20562</v>
      </c>
      <c r="AP15" s="82">
        <f t="array" ref="AP15">IF(ISNUMBER($AT15),IFNA(LOOKUP(2,1/(ISNUMBER(AP9:AP14)),AP9:AP14),Today()),IFNA(LOOKUP(2,1/(ISNUMBER(AP9:AP14)),AP9:AP14)+(D15/(Resources!$E$55/7)),Today()+(D15/(Resources!$E$55/7))))</f>
        <v>45823.90118</v>
      </c>
      <c r="AQ15" s="82">
        <f t="array" ref="AQ15">IF(ISNUMBER($AT15),IFNA(LOOKUP(2,1/(ISNUMBER(AQ9:AQ14)),AQ9:AQ14),Today()),IFNA(LOOKUP(2,1/(ISNUMBER(AQ9:AQ14)),AQ9:AQ14)+(E15/(Resources!$E$56/7)),Today()+(E15/(Resources!$E$56/7))))</f>
        <v>45777.34502</v>
      </c>
      <c r="AR15" s="226">
        <f t="shared" si="2"/>
        <v>45823.90118</v>
      </c>
      <c r="AS15" s="82"/>
      <c r="AT15" s="82"/>
      <c r="AU15" s="83"/>
    </row>
    <row r="16" ht="15.0" customHeight="1">
      <c r="A16" s="83" t="s">
        <v>77</v>
      </c>
      <c r="B16" s="107" t="s">
        <v>846</v>
      </c>
      <c r="C16" s="93">
        <f>IF($A16="Feature",SUM(D16:E16)*'Roadmap setting'!$B$13,0)</f>
        <v>0</v>
      </c>
      <c r="D16" s="94">
        <v>5.0</v>
      </c>
      <c r="E16" s="94">
        <v>0.0</v>
      </c>
      <c r="F16" s="95">
        <f>IF($A16="Feature",IF('Roadmap setting'!$E$14,$E16*('Roadmap setting'!$B$14+'Roadmap setting'!$D$14),$E16*'Roadmap setting'!$B$14),0)</f>
        <v>0</v>
      </c>
      <c r="G16" s="93">
        <f>IF($A16="Feature",$D16*'Roadmap setting'!$B$15,0)</f>
        <v>0</v>
      </c>
      <c r="H16" s="95">
        <f>IF($A16="Feature",$E16*'Roadmap setting'!$B$16,0)</f>
        <v>0</v>
      </c>
      <c r="I16" s="93">
        <f>SUM($D16:$E16)*'Roadmap setting'!$B$17</f>
        <v>0.6</v>
      </c>
      <c r="J16" s="93">
        <f>SUM($D16:$E16)*'Roadmap setting'!$B$18</f>
        <v>0.05</v>
      </c>
      <c r="K16" s="93">
        <f>SUM($D16:$E16)*'Roadmap setting'!$B$19</f>
        <v>0</v>
      </c>
      <c r="L16" s="95">
        <f>SUM($D16:$E16)*'Roadmap setting'!$B$20</f>
        <v>0.1</v>
      </c>
      <c r="M16" s="79">
        <f t="shared" si="1"/>
        <v>5.75</v>
      </c>
      <c r="N16" s="96" t="b">
        <v>0</v>
      </c>
      <c r="O16" s="97">
        <v>0.5</v>
      </c>
      <c r="P16" s="97">
        <v>0.0</v>
      </c>
      <c r="Q16" s="97">
        <v>0.15</v>
      </c>
      <c r="R16" s="97">
        <v>0.1</v>
      </c>
      <c r="S16" s="97">
        <v>0.05</v>
      </c>
      <c r="T16" s="97">
        <v>0.2</v>
      </c>
      <c r="U16" s="99">
        <v>6.5</v>
      </c>
      <c r="V16" s="96" t="b">
        <v>0</v>
      </c>
      <c r="W16" s="97"/>
      <c r="X16" s="98"/>
      <c r="Y16" s="97">
        <v>0.52</v>
      </c>
      <c r="Z16" s="97"/>
      <c r="AA16" s="97"/>
      <c r="AB16" s="97">
        <v>0.78</v>
      </c>
      <c r="AC16" s="99">
        <v>15.6</v>
      </c>
      <c r="AD16" s="96" t="b">
        <v>0</v>
      </c>
      <c r="AE16" s="97"/>
      <c r="AF16" s="98"/>
      <c r="AG16" s="97">
        <v>0.65</v>
      </c>
      <c r="AH16" s="97"/>
      <c r="AI16" s="97"/>
      <c r="AJ16" s="97">
        <v>1.04</v>
      </c>
      <c r="AK16" s="99">
        <v>15.99</v>
      </c>
      <c r="AL16" s="96" t="b">
        <v>0</v>
      </c>
      <c r="AM16" s="80">
        <f t="array" ref="AM16">INDEX(A16:AL16, MATCH(RIGHT('Roadmap setting'!$B$9, 3), $A$2:$AL$2, 0) - 1)
</f>
        <v>5.75</v>
      </c>
      <c r="AN16" s="82">
        <f t="array" ref="AN16">IFNA(LOOKUP(2,1/(ISNUMBER(AN10:AN15)),AN10:AN15)+(D16/(Resources!$P$55/7)),Today()+(D16/(Resources!$P$55/7)))</f>
        <v>45800.49771</v>
      </c>
      <c r="AO16" s="82">
        <f t="array" ref="AO16">IFNA(LOOKUP(2,1/(ISNUMBER(AO10:AO15)),AO10:AO15)+(E16/(Resources!$P$56/7)),Today()+(E16/(Resources!$P$56/7)))</f>
        <v>45777.20562</v>
      </c>
      <c r="AP16" s="82">
        <f t="array" ref="AP16">IF(ISNUMBER($AT16),IFNA(LOOKUP(2,1/(ISNUMBER(AP10:AP15)),AP10:AP15),Today()),IFNA(LOOKUP(2,1/(ISNUMBER(AP10:AP15)),AP10:AP15)+(D16/(Resources!$E$55/7)),Today()+(D16/(Resources!$E$55/7))))</f>
        <v>45825.17567</v>
      </c>
      <c r="AQ16" s="82">
        <f t="array" ref="AQ16">IF(ISNUMBER($AT16),IFNA(LOOKUP(2,1/(ISNUMBER(AQ10:AQ15)),AQ10:AQ15),Today()),IFNA(LOOKUP(2,1/(ISNUMBER(AQ10:AQ15)),AQ10:AQ15)+(E16/(Resources!$E$56/7)),Today()+(E16/(Resources!$E$56/7))))</f>
        <v>45777.34502</v>
      </c>
      <c r="AR16" s="226">
        <f t="shared" si="2"/>
        <v>45825.17567</v>
      </c>
      <c r="AS16" s="82"/>
      <c r="AT16" s="82"/>
      <c r="AU16" s="83"/>
    </row>
    <row r="17" ht="15.0" customHeight="1">
      <c r="A17" s="83" t="s">
        <v>77</v>
      </c>
      <c r="B17" s="107" t="s">
        <v>847</v>
      </c>
      <c r="C17" s="93">
        <f>IF($A17="Feature",SUM(D17:E17)*'Roadmap setting'!$B$13,0)</f>
        <v>0</v>
      </c>
      <c r="D17" s="94">
        <v>24.0</v>
      </c>
      <c r="E17" s="94">
        <v>0.0</v>
      </c>
      <c r="F17" s="95">
        <f>IF($A17="Feature",IF('Roadmap setting'!$E$14,$E17*('Roadmap setting'!$B$14+'Roadmap setting'!$D$14),$E17*'Roadmap setting'!$B$14),0)</f>
        <v>0</v>
      </c>
      <c r="G17" s="93">
        <f>IF($A17="Feature",$D17*'Roadmap setting'!$B$15,0)</f>
        <v>0</v>
      </c>
      <c r="H17" s="95">
        <f>IF($A17="Feature",$E17*'Roadmap setting'!$B$16,0)</f>
        <v>0</v>
      </c>
      <c r="I17" s="93">
        <f>SUM($D17:$E17)*'Roadmap setting'!$B$17</f>
        <v>2.88</v>
      </c>
      <c r="J17" s="93">
        <f>SUM($D17:$E17)*'Roadmap setting'!$B$18</f>
        <v>0.24</v>
      </c>
      <c r="K17" s="93">
        <f>SUM($D17:$E17)*'Roadmap setting'!$B$19</f>
        <v>0</v>
      </c>
      <c r="L17" s="95">
        <f>SUM($D17:$E17)*'Roadmap setting'!$B$20</f>
        <v>0.48</v>
      </c>
      <c r="M17" s="79">
        <f t="shared" si="1"/>
        <v>27.6</v>
      </c>
      <c r="N17" s="96" t="b">
        <v>1</v>
      </c>
      <c r="O17" s="97">
        <v>2.4</v>
      </c>
      <c r="P17" s="97">
        <v>0.0</v>
      </c>
      <c r="Q17" s="97">
        <v>0.72</v>
      </c>
      <c r="R17" s="97">
        <v>0.48</v>
      </c>
      <c r="S17" s="97">
        <v>0.24</v>
      </c>
      <c r="T17" s="97">
        <v>0.96</v>
      </c>
      <c r="U17" s="99">
        <v>31.2</v>
      </c>
      <c r="V17" s="96" t="b">
        <v>0</v>
      </c>
      <c r="W17" s="97"/>
      <c r="X17" s="98"/>
      <c r="Y17" s="97">
        <v>0.52</v>
      </c>
      <c r="Z17" s="97"/>
      <c r="AA17" s="97"/>
      <c r="AB17" s="97">
        <v>0.78</v>
      </c>
      <c r="AC17" s="99">
        <v>15.6</v>
      </c>
      <c r="AD17" s="96" t="b">
        <v>0</v>
      </c>
      <c r="AE17" s="97"/>
      <c r="AF17" s="98"/>
      <c r="AG17" s="97">
        <v>0.65</v>
      </c>
      <c r="AH17" s="97"/>
      <c r="AI17" s="97"/>
      <c r="AJ17" s="97">
        <v>1.04</v>
      </c>
      <c r="AK17" s="99">
        <v>15.99</v>
      </c>
      <c r="AL17" s="96" t="b">
        <v>0</v>
      </c>
      <c r="AM17" s="80">
        <f t="array" ref="AM17">INDEX(A17:AL17, MATCH(RIGHT('Roadmap setting'!$B$9, 3), $A$2:$AL$2, 0) - 1)
</f>
        <v>27.6</v>
      </c>
      <c r="AN17" s="82">
        <f t="array" ref="AN17">IFNA(LOOKUP(2,1/(ISNUMBER(AN11:AN16)),AN11:AN16)+(D17/(Resources!$P$55/7)),Today()+(D17/(Resources!$P$55/7)))</f>
        <v>45803.48155</v>
      </c>
      <c r="AO17" s="82">
        <f t="array" ref="AO17">IFNA(LOOKUP(2,1/(ISNUMBER(AO11:AO16)),AO11:AO16)+(E17/(Resources!$P$56/7)),Today()+(E17/(Resources!$P$56/7)))</f>
        <v>45777.20562</v>
      </c>
      <c r="AP17" s="82">
        <f t="array" ref="AP17">IF(ISNUMBER($AT17),IFNA(LOOKUP(2,1/(ISNUMBER(AP11:AP16)),AP11:AP16),Today()),IFNA(LOOKUP(2,1/(ISNUMBER(AP11:AP16)),AP11:AP16)+(D17/(Resources!$E$55/7)),Today()+(D17/(Resources!$E$55/7))))</f>
        <v>45831.29322</v>
      </c>
      <c r="AQ17" s="82">
        <f t="array" ref="AQ17">IF(ISNUMBER($AT17),IFNA(LOOKUP(2,1/(ISNUMBER(AQ11:AQ16)),AQ11:AQ16),Today()),IFNA(LOOKUP(2,1/(ISNUMBER(AQ11:AQ16)),AQ11:AQ16)+(E17/(Resources!$E$56/7)),Today()+(E17/(Resources!$E$56/7))))</f>
        <v>45777.34502</v>
      </c>
      <c r="AR17" s="226">
        <f t="shared" si="2"/>
        <v>45831.29322</v>
      </c>
      <c r="AS17" s="82"/>
      <c r="AT17" s="82"/>
      <c r="AU17" s="83"/>
    </row>
    <row r="18" ht="15.0" customHeight="1">
      <c r="A18" s="83" t="s">
        <v>77</v>
      </c>
      <c r="B18" s="103" t="s">
        <v>848</v>
      </c>
      <c r="C18" s="93">
        <f>IF($A18="Feature",SUM(D18:E18)*'Roadmap setting'!$B$13,0)</f>
        <v>0</v>
      </c>
      <c r="D18" s="94">
        <v>24.0</v>
      </c>
      <c r="E18" s="94">
        <v>0.0</v>
      </c>
      <c r="F18" s="95">
        <f>IF($A18="Feature",IF('Roadmap setting'!$E$14,$E18*('Roadmap setting'!$B$14+'Roadmap setting'!$D$14),$E18*'Roadmap setting'!$B$14),0)</f>
        <v>0</v>
      </c>
      <c r="G18" s="93">
        <f>IF($A18="Feature",$D18*'Roadmap setting'!$B$15,0)</f>
        <v>0</v>
      </c>
      <c r="H18" s="95">
        <f>IF($A18="Feature",$E18*'Roadmap setting'!$B$16,0)</f>
        <v>0</v>
      </c>
      <c r="I18" s="93">
        <f>SUM($D18:$E18)*'Roadmap setting'!$B$17</f>
        <v>2.88</v>
      </c>
      <c r="J18" s="93">
        <f>SUM($D18:$E18)*'Roadmap setting'!$B$18</f>
        <v>0.24</v>
      </c>
      <c r="K18" s="93">
        <f>SUM($D18:$E18)*'Roadmap setting'!$B$19</f>
        <v>0</v>
      </c>
      <c r="L18" s="95">
        <f>SUM($D18:$E18)*'Roadmap setting'!$B$20</f>
        <v>0.48</v>
      </c>
      <c r="M18" s="79">
        <f t="shared" si="1"/>
        <v>27.6</v>
      </c>
      <c r="N18" s="96" t="b">
        <v>1</v>
      </c>
      <c r="O18" s="97"/>
      <c r="P18" s="98"/>
      <c r="Q18" s="97">
        <v>0.72</v>
      </c>
      <c r="R18" s="97"/>
      <c r="S18" s="97"/>
      <c r="T18" s="97">
        <v>0.96</v>
      </c>
      <c r="U18" s="99">
        <v>28.08</v>
      </c>
      <c r="V18" s="96" t="b">
        <v>0</v>
      </c>
      <c r="W18" s="97"/>
      <c r="X18" s="98"/>
      <c r="Y18" s="97">
        <v>0.52</v>
      </c>
      <c r="Z18" s="97"/>
      <c r="AA18" s="97"/>
      <c r="AB18" s="97">
        <v>0.78</v>
      </c>
      <c r="AC18" s="99">
        <v>15.6</v>
      </c>
      <c r="AD18" s="96" t="b">
        <v>0</v>
      </c>
      <c r="AE18" s="97"/>
      <c r="AF18" s="98"/>
      <c r="AG18" s="97">
        <v>0.65</v>
      </c>
      <c r="AH18" s="97"/>
      <c r="AI18" s="97"/>
      <c r="AJ18" s="97">
        <v>1.04</v>
      </c>
      <c r="AK18" s="99">
        <v>15.99</v>
      </c>
      <c r="AL18" s="96" t="b">
        <v>0</v>
      </c>
      <c r="AM18" s="80">
        <f t="array" ref="AM18">INDEX(A18:AL18, MATCH(RIGHT('Roadmap setting'!$B$9, 3), $A$2:$AL$2, 0) - 1)
</f>
        <v>27.6</v>
      </c>
      <c r="AN18" s="82">
        <f t="array" ref="AN18">IFNA(LOOKUP(2,1/(ISNUMBER(AN12:AN17)),AN12:AN17)+(D18/(Resources!$P$55/7)),Today()+(D18/(Resources!$P$55/7)))</f>
        <v>45806.46538</v>
      </c>
      <c r="AO18" s="82">
        <f t="array" ref="AO18">IFNA(LOOKUP(2,1/(ISNUMBER(AO12:AO17)),AO12:AO17)+(E18/(Resources!$P$56/7)),Today()+(E18/(Resources!$P$56/7)))</f>
        <v>45777.20562</v>
      </c>
      <c r="AP18" s="82">
        <f t="array" ref="AP18">IF(ISNUMBER($AT18),IFNA(LOOKUP(2,1/(ISNUMBER(AP12:AP17)),AP12:AP17),Today()),IFNA(LOOKUP(2,1/(ISNUMBER(AP12:AP17)),AP12:AP17)+(D18/(Resources!$E$55/7)),Today()+(D18/(Resources!$E$55/7))))</f>
        <v>45837.41076</v>
      </c>
      <c r="AQ18" s="82">
        <f t="array" ref="AQ18">IF(ISNUMBER($AT18),IFNA(LOOKUP(2,1/(ISNUMBER(AQ12:AQ17)),AQ12:AQ17),Today()),IFNA(LOOKUP(2,1/(ISNUMBER(AQ12:AQ17)),AQ12:AQ17)+(E18/(Resources!$E$56/7)),Today()+(E18/(Resources!$E$56/7))))</f>
        <v>45777.34502</v>
      </c>
      <c r="AR18" s="226">
        <f t="shared" si="2"/>
        <v>45837.41076</v>
      </c>
      <c r="AS18" s="82"/>
      <c r="AT18" s="82"/>
      <c r="AU18" s="83"/>
    </row>
    <row r="19" ht="15.0" customHeight="1">
      <c r="A19" s="83" t="s">
        <v>77</v>
      </c>
      <c r="B19" s="107" t="s">
        <v>849</v>
      </c>
      <c r="C19" s="93">
        <f>IF($A19="Feature",SUM(D19:E19)*'Roadmap setting'!$B$13,0)</f>
        <v>0</v>
      </c>
      <c r="D19" s="94">
        <v>12.0</v>
      </c>
      <c r="E19" s="94">
        <v>0.0</v>
      </c>
      <c r="F19" s="95">
        <f>IF($A19="Feature",IF('Roadmap setting'!$E$14,$E19*('Roadmap setting'!$B$14+'Roadmap setting'!$D$14),$E19*'Roadmap setting'!$B$14),0)</f>
        <v>0</v>
      </c>
      <c r="G19" s="93">
        <f>IF($A19="Feature",$D19*'Roadmap setting'!$B$15,0)</f>
        <v>0</v>
      </c>
      <c r="H19" s="95">
        <f>IF($A19="Feature",$E19*'Roadmap setting'!$B$16,0)</f>
        <v>0</v>
      </c>
      <c r="I19" s="93">
        <f>SUM($D19:$E19)*'Roadmap setting'!$B$17</f>
        <v>1.44</v>
      </c>
      <c r="J19" s="93">
        <f>SUM($D19:$E19)*'Roadmap setting'!$B$18</f>
        <v>0.12</v>
      </c>
      <c r="K19" s="93">
        <f>SUM($D19:$E19)*'Roadmap setting'!$B$19</f>
        <v>0</v>
      </c>
      <c r="L19" s="95">
        <f>SUM($D19:$E19)*'Roadmap setting'!$B$20</f>
        <v>0.24</v>
      </c>
      <c r="M19" s="79">
        <f t="shared" si="1"/>
        <v>13.8</v>
      </c>
      <c r="N19" s="96" t="b">
        <v>1</v>
      </c>
      <c r="O19" s="97">
        <v>1.2</v>
      </c>
      <c r="P19" s="97">
        <v>0.0</v>
      </c>
      <c r="Q19" s="97">
        <v>0.36</v>
      </c>
      <c r="R19" s="97">
        <v>0.24</v>
      </c>
      <c r="S19" s="97">
        <v>0.12</v>
      </c>
      <c r="T19" s="97">
        <v>0.48</v>
      </c>
      <c r="U19" s="99">
        <v>15.6</v>
      </c>
      <c r="V19" s="96" t="b">
        <v>0</v>
      </c>
      <c r="W19" s="97"/>
      <c r="X19" s="98"/>
      <c r="Y19" s="97">
        <v>0.52</v>
      </c>
      <c r="Z19" s="97"/>
      <c r="AA19" s="97"/>
      <c r="AB19" s="97">
        <v>0.78</v>
      </c>
      <c r="AC19" s="99">
        <v>15.6</v>
      </c>
      <c r="AD19" s="96" t="b">
        <v>0</v>
      </c>
      <c r="AE19" s="97"/>
      <c r="AF19" s="98"/>
      <c r="AG19" s="97">
        <v>0.65</v>
      </c>
      <c r="AH19" s="97"/>
      <c r="AI19" s="97"/>
      <c r="AJ19" s="97">
        <v>1.04</v>
      </c>
      <c r="AK19" s="99">
        <v>15.99</v>
      </c>
      <c r="AL19" s="96" t="b">
        <v>0</v>
      </c>
      <c r="AM19" s="80">
        <f t="array" ref="AM19">INDEX(A19:AL19, MATCH(RIGHT('Roadmap setting'!$B$9, 3), $A$2:$AL$2, 0) - 1)
</f>
        <v>13.8</v>
      </c>
      <c r="AN19" s="82">
        <f t="array" ref="AN19">IFNA(LOOKUP(2,1/(ISNUMBER(AN13:AN18)),AN13:AN18)+(D19/(Resources!$P$55/7)),Today()+(D19/(Resources!$P$55/7)))</f>
        <v>45807.9573</v>
      </c>
      <c r="AO19" s="82">
        <f t="array" ref="AO19">IFNA(LOOKUP(2,1/(ISNUMBER(AO13:AO18)),AO13:AO18)+(E19/(Resources!$P$56/7)),Today()+(E19/(Resources!$P$56/7)))</f>
        <v>45777.20562</v>
      </c>
      <c r="AP19" s="82">
        <f t="array" ref="AP19">IF(ISNUMBER($AT19),IFNA(LOOKUP(2,1/(ISNUMBER(AP13:AP18)),AP13:AP18),Today()),IFNA(LOOKUP(2,1/(ISNUMBER(AP13:AP18)),AP13:AP18)+(D19/(Resources!$E$55/7)),Today()+(D19/(Resources!$E$55/7))))</f>
        <v>45840.46954</v>
      </c>
      <c r="AQ19" s="82">
        <f t="array" ref="AQ19">IF(ISNUMBER($AT19),IFNA(LOOKUP(2,1/(ISNUMBER(AQ13:AQ18)),AQ13:AQ18),Today()),IFNA(LOOKUP(2,1/(ISNUMBER(AQ13:AQ18)),AQ13:AQ18)+(E19/(Resources!$E$56/7)),Today()+(E19/(Resources!$E$56/7))))</f>
        <v>45777.34502</v>
      </c>
      <c r="AR19" s="226">
        <f t="shared" si="2"/>
        <v>45840.46954</v>
      </c>
      <c r="AS19" s="82"/>
      <c r="AT19" s="82"/>
      <c r="AU19" s="83"/>
    </row>
    <row r="20" ht="15.0" customHeight="1">
      <c r="A20" s="84"/>
      <c r="B20" s="85" t="s">
        <v>850</v>
      </c>
      <c r="C20" s="84"/>
      <c r="D20" s="84"/>
      <c r="E20" s="84"/>
      <c r="F20" s="84"/>
      <c r="G20" s="84"/>
      <c r="H20" s="84"/>
      <c r="I20" s="84"/>
      <c r="J20" s="84"/>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4"/>
    </row>
    <row r="21" ht="15.0" customHeight="1">
      <c r="A21" s="72"/>
      <c r="B21" s="91" t="s">
        <v>851</v>
      </c>
      <c r="C21" s="72"/>
      <c r="D21" s="72"/>
      <c r="E21" s="72"/>
      <c r="F21" s="72"/>
      <c r="G21" s="72"/>
      <c r="H21" s="72"/>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row>
    <row r="22" ht="15.0" customHeight="1">
      <c r="A22" s="229" t="s">
        <v>77</v>
      </c>
      <c r="B22" s="107" t="s">
        <v>852</v>
      </c>
      <c r="C22" s="93">
        <f>IF($A22="Feature",SUM(D22:E22)*'Roadmap setting'!$B$13,0)</f>
        <v>0</v>
      </c>
      <c r="D22" s="94">
        <v>0.0</v>
      </c>
      <c r="E22" s="94">
        <v>8.0</v>
      </c>
      <c r="F22" s="95">
        <f>IF($A22="Feature",IF('Roadmap setting'!$E$14,$E22*('Roadmap setting'!$B$14+'Roadmap setting'!$D$14),$E22*'Roadmap setting'!$B$14),0)</f>
        <v>0</v>
      </c>
      <c r="G22" s="93">
        <f>IF($A22="Feature",$D22*'Roadmap setting'!$B$15,0)</f>
        <v>0</v>
      </c>
      <c r="H22" s="95">
        <f>IF($A22="Feature",$E22*'Roadmap setting'!$B$16,0)</f>
        <v>0</v>
      </c>
      <c r="I22" s="93">
        <f>SUM($D22:$E22)*'Roadmap setting'!$B$17</f>
        <v>0.96</v>
      </c>
      <c r="J22" s="93">
        <f>SUM($D22:$E22)*'Roadmap setting'!$B$18</f>
        <v>0.08</v>
      </c>
      <c r="K22" s="93">
        <f>SUM($D22:$E22)*'Roadmap setting'!$B$19</f>
        <v>0</v>
      </c>
      <c r="L22" s="95">
        <f>SUM($D22:$E22)*'Roadmap setting'!$B$20</f>
        <v>0.16</v>
      </c>
      <c r="M22" s="79">
        <f t="shared" ref="M22:M32" si="3">SUM($C22:$F22)+SUM(G22:L22)</f>
        <v>9.2</v>
      </c>
      <c r="N22" s="96" t="b">
        <v>1</v>
      </c>
      <c r="O22" s="97">
        <v>0.0</v>
      </c>
      <c r="P22" s="97">
        <v>0.8</v>
      </c>
      <c r="Q22" s="97">
        <v>0.24</v>
      </c>
      <c r="R22" s="97">
        <v>0.16</v>
      </c>
      <c r="S22" s="97">
        <v>0.08</v>
      </c>
      <c r="T22" s="97">
        <v>0.32</v>
      </c>
      <c r="U22" s="99">
        <v>10.4</v>
      </c>
      <c r="V22" s="96" t="b">
        <v>0</v>
      </c>
      <c r="W22" s="97">
        <v>0.0</v>
      </c>
      <c r="X22" s="97">
        <v>1.2</v>
      </c>
      <c r="Y22" s="97">
        <v>0.32</v>
      </c>
      <c r="Z22" s="97">
        <v>0.24</v>
      </c>
      <c r="AA22" s="97">
        <v>0.16</v>
      </c>
      <c r="AB22" s="97">
        <v>0.48</v>
      </c>
      <c r="AC22" s="99">
        <v>11.2</v>
      </c>
      <c r="AD22" s="96" t="b">
        <v>0</v>
      </c>
      <c r="AE22" s="97">
        <v>0.0</v>
      </c>
      <c r="AF22" s="97">
        <v>1.6</v>
      </c>
      <c r="AG22" s="97">
        <v>0.4</v>
      </c>
      <c r="AH22" s="97">
        <v>0.32</v>
      </c>
      <c r="AI22" s="97">
        <v>0.24</v>
      </c>
      <c r="AJ22" s="97">
        <v>0.64</v>
      </c>
      <c r="AK22" s="99">
        <v>12.0</v>
      </c>
      <c r="AL22" s="96" t="b">
        <v>0</v>
      </c>
      <c r="AM22" s="80">
        <f t="array" ref="AM22">INDEX(A22:AL22, MATCH(RIGHT('Roadmap setting'!$B$9, 3), $A$2:$AL$2, 0) - 1)
</f>
        <v>9.2</v>
      </c>
      <c r="AN22" s="82">
        <f t="array" ref="AN22">IFNA(LOOKUP(2,1/(ISNUMBER(AN16:AN21)),AN16:AN21)+(D22/(Resources!$P$55/7)),Today()+(D22/(Resources!$P$55/7)))</f>
        <v>45807.9573</v>
      </c>
      <c r="AO22" s="82">
        <f t="array" ref="AO22">IFNA(LOOKUP(2,1/(ISNUMBER(AO16:AO21)),AO16:AO21)+(E22/(Resources!$P$56/7)),Today()+(E22/(Resources!$P$56/7)))</f>
        <v>45778.85056</v>
      </c>
      <c r="AP22" s="82">
        <f t="array" ref="AP22">IF(ISNUMBER($AT22),IFNA(LOOKUP(2,1/(ISNUMBER(AP16:AP21)),AP16:AP21),Today()),IFNA(LOOKUP(2,1/(ISNUMBER(AP16:AP21)),AP16:AP21)+(D22/(Resources!$E$55/7)),Today()+(D22/(Resources!$E$55/7))))</f>
        <v>45840.46954</v>
      </c>
      <c r="AQ22" s="82">
        <f t="array" ref="AQ22">IF(ISNUMBER($AT22),IFNA(LOOKUP(2,1/(ISNUMBER(AQ16:AQ21)),AQ16:AQ21),Today()),IFNA(LOOKUP(2,1/(ISNUMBER(AQ16:AQ21)),AQ16:AQ21)+(E22/(Resources!$E$56/7)),Today()+(E22/(Resources!$E$56/7))))</f>
        <v>45780.10518</v>
      </c>
      <c r="AR22" s="226">
        <f t="shared" ref="AR22:AR32" si="4">IFERROR(MAX(AP22,AQ22),"")</f>
        <v>45840.46954</v>
      </c>
      <c r="AS22" s="82"/>
      <c r="AT22" s="82"/>
      <c r="AU22" s="83"/>
    </row>
    <row r="23" ht="15.0" customHeight="1">
      <c r="A23" s="229" t="s">
        <v>97</v>
      </c>
      <c r="B23" s="107" t="s">
        <v>853</v>
      </c>
      <c r="C23" s="93">
        <f>IF($A23="Feature",SUM(D23:E23)*'Roadmap setting'!$B$13,0)</f>
        <v>1.4</v>
      </c>
      <c r="D23" s="94">
        <v>3.0</v>
      </c>
      <c r="E23" s="94">
        <v>4.0</v>
      </c>
      <c r="F23" s="95">
        <f>IF($A23="Feature",IF('Roadmap setting'!$E$14,$E23*('Roadmap setting'!$B$14+'Roadmap setting'!$D$14),$E23*'Roadmap setting'!$B$14),0)</f>
        <v>0.6</v>
      </c>
      <c r="G23" s="93">
        <f>IF($A23="Feature",$D23*'Roadmap setting'!$B$15,0)</f>
        <v>0</v>
      </c>
      <c r="H23" s="95">
        <f>IF($A23="Feature",$E23*'Roadmap setting'!$B$16,0)</f>
        <v>0</v>
      </c>
      <c r="I23" s="93">
        <f>SUM($D23:$E23)*'Roadmap setting'!$B$17</f>
        <v>0.84</v>
      </c>
      <c r="J23" s="93">
        <f>SUM($D23:$E23)*'Roadmap setting'!$B$18</f>
        <v>0.07</v>
      </c>
      <c r="K23" s="93">
        <f>SUM($D23:$E23)*'Roadmap setting'!$B$19</f>
        <v>0</v>
      </c>
      <c r="L23" s="95">
        <f>SUM($D23:$E23)*'Roadmap setting'!$B$20</f>
        <v>0.14</v>
      </c>
      <c r="M23" s="79">
        <f t="shared" si="3"/>
        <v>10.05</v>
      </c>
      <c r="N23" s="96" t="b">
        <v>1</v>
      </c>
      <c r="O23" s="97">
        <v>0.3</v>
      </c>
      <c r="P23" s="97">
        <v>0.4</v>
      </c>
      <c r="Q23" s="97">
        <v>0.21</v>
      </c>
      <c r="R23" s="97">
        <v>0.14</v>
      </c>
      <c r="S23" s="97">
        <v>0.07</v>
      </c>
      <c r="T23" s="97">
        <v>0.28</v>
      </c>
      <c r="U23" s="99">
        <v>10.1</v>
      </c>
      <c r="V23" s="96" t="b">
        <v>0</v>
      </c>
      <c r="W23" s="97">
        <v>0.0</v>
      </c>
      <c r="X23" s="97">
        <v>1.2</v>
      </c>
      <c r="Y23" s="97">
        <v>0.32</v>
      </c>
      <c r="Z23" s="97">
        <v>0.24</v>
      </c>
      <c r="AA23" s="97">
        <v>0.16</v>
      </c>
      <c r="AB23" s="97">
        <v>0.48</v>
      </c>
      <c r="AC23" s="99">
        <v>11.2</v>
      </c>
      <c r="AD23" s="96" t="b">
        <v>0</v>
      </c>
      <c r="AE23" s="97">
        <v>0.0</v>
      </c>
      <c r="AF23" s="97">
        <v>1.6</v>
      </c>
      <c r="AG23" s="97">
        <v>0.4</v>
      </c>
      <c r="AH23" s="97">
        <v>0.32</v>
      </c>
      <c r="AI23" s="97">
        <v>0.24</v>
      </c>
      <c r="AJ23" s="97">
        <v>0.64</v>
      </c>
      <c r="AK23" s="99">
        <v>12.0</v>
      </c>
      <c r="AL23" s="96" t="b">
        <v>0</v>
      </c>
      <c r="AM23" s="80">
        <f t="array" ref="AM23">INDEX(A23:AL23, MATCH(RIGHT('Roadmap setting'!$B$9, 3), $A$2:$AL$2, 0) - 1)
</f>
        <v>10.05</v>
      </c>
      <c r="AN23" s="82">
        <f t="array" ref="AN23">IFNA(LOOKUP(2,1/(ISNUMBER(AN17:AN22)),AN17:AN22)+(D23/(Resources!$P$55/7)),Today()+(D23/(Resources!$P$55/7)))</f>
        <v>45808.33028</v>
      </c>
      <c r="AO23" s="82">
        <f t="array" ref="AO23">IFNA(LOOKUP(2,1/(ISNUMBER(AO17:AO22)),AO17:AO22)+(E23/(Resources!$P$56/7)),Today()+(E23/(Resources!$P$56/7)))</f>
        <v>45779.67304</v>
      </c>
      <c r="AP23" s="82">
        <f t="array" ref="AP23">IF(ISNUMBER($AT23),IFNA(LOOKUP(2,1/(ISNUMBER(AP17:AP22)),AP17:AP22),Today()),IFNA(LOOKUP(2,1/(ISNUMBER(AP17:AP22)),AP17:AP22)+(D23/(Resources!$E$55/7)),Today()+(D23/(Resources!$E$55/7))))</f>
        <v>45841.23423</v>
      </c>
      <c r="AQ23" s="82">
        <f t="array" ref="AQ23">IF(ISNUMBER($AT23),IFNA(LOOKUP(2,1/(ISNUMBER(AQ17:AQ22)),AQ17:AQ22),Today()),IFNA(LOOKUP(2,1/(ISNUMBER(AQ17:AQ22)),AQ17:AQ22)+(E23/(Resources!$E$56/7)),Today()+(E23/(Resources!$E$56/7))))</f>
        <v>45781.48527</v>
      </c>
      <c r="AR23" s="226">
        <f t="shared" si="4"/>
        <v>45841.23423</v>
      </c>
      <c r="AS23" s="82"/>
      <c r="AT23" s="82"/>
      <c r="AU23" s="83"/>
    </row>
    <row r="24" ht="15.0" customHeight="1">
      <c r="A24" s="229" t="s">
        <v>97</v>
      </c>
      <c r="B24" s="107" t="s">
        <v>854</v>
      </c>
      <c r="C24" s="93">
        <f>IF($A24="Feature",SUM(D24:E24)*'Roadmap setting'!$B$13,0)</f>
        <v>1.4</v>
      </c>
      <c r="D24" s="94">
        <v>4.0</v>
      </c>
      <c r="E24" s="94">
        <v>3.0</v>
      </c>
      <c r="F24" s="95">
        <f>IF($A24="Feature",IF('Roadmap setting'!$E$14,$E24*('Roadmap setting'!$B$14+'Roadmap setting'!$D$14),$E24*'Roadmap setting'!$B$14),0)</f>
        <v>0.45</v>
      </c>
      <c r="G24" s="93">
        <f>IF($A24="Feature",$D24*'Roadmap setting'!$B$15,0)</f>
        <v>0</v>
      </c>
      <c r="H24" s="95">
        <f>IF($A24="Feature",$E24*'Roadmap setting'!$B$16,0)</f>
        <v>0</v>
      </c>
      <c r="I24" s="93">
        <f>SUM($D24:$E24)*'Roadmap setting'!$B$17</f>
        <v>0.84</v>
      </c>
      <c r="J24" s="93">
        <f>SUM($D24:$E24)*'Roadmap setting'!$B$18</f>
        <v>0.07</v>
      </c>
      <c r="K24" s="93">
        <f>SUM($D24:$E24)*'Roadmap setting'!$B$19</f>
        <v>0</v>
      </c>
      <c r="L24" s="95">
        <f>SUM($D24:$E24)*'Roadmap setting'!$B$20</f>
        <v>0.14</v>
      </c>
      <c r="M24" s="79">
        <f t="shared" si="3"/>
        <v>9.9</v>
      </c>
      <c r="N24" s="96" t="b">
        <v>1</v>
      </c>
      <c r="O24" s="97">
        <v>0.4</v>
      </c>
      <c r="P24" s="97">
        <v>0.3</v>
      </c>
      <c r="Q24" s="97">
        <v>0.21</v>
      </c>
      <c r="R24" s="97">
        <v>0.14</v>
      </c>
      <c r="S24" s="97">
        <v>0.07</v>
      </c>
      <c r="T24" s="97">
        <v>0.28</v>
      </c>
      <c r="U24" s="99">
        <v>9.85</v>
      </c>
      <c r="V24" s="96" t="b">
        <v>0</v>
      </c>
      <c r="W24" s="97">
        <v>0.0</v>
      </c>
      <c r="X24" s="97">
        <v>1.2</v>
      </c>
      <c r="Y24" s="97">
        <v>0.32</v>
      </c>
      <c r="Z24" s="97">
        <v>0.24</v>
      </c>
      <c r="AA24" s="97">
        <v>0.16</v>
      </c>
      <c r="AB24" s="97">
        <v>0.48</v>
      </c>
      <c r="AC24" s="99">
        <v>11.2</v>
      </c>
      <c r="AD24" s="96" t="b">
        <v>0</v>
      </c>
      <c r="AE24" s="97">
        <v>0.0</v>
      </c>
      <c r="AF24" s="97">
        <v>1.6</v>
      </c>
      <c r="AG24" s="97">
        <v>0.4</v>
      </c>
      <c r="AH24" s="97">
        <v>0.32</v>
      </c>
      <c r="AI24" s="97">
        <v>0.24</v>
      </c>
      <c r="AJ24" s="97">
        <v>0.64</v>
      </c>
      <c r="AK24" s="99">
        <v>12.0</v>
      </c>
      <c r="AL24" s="96" t="b">
        <v>0</v>
      </c>
      <c r="AM24" s="80">
        <f t="array" ref="AM24">INDEX(A24:AL24, MATCH(RIGHT('Roadmap setting'!$B$9, 3), $A$2:$AL$2, 0) - 1)
</f>
        <v>9.9</v>
      </c>
      <c r="AN24" s="82">
        <f t="array" ref="AN24">IFNA(LOOKUP(2,1/(ISNUMBER(AN18:AN23)),AN18:AN23)+(D24/(Resources!$P$55/7)),Today()+(D24/(Resources!$P$55/7)))</f>
        <v>45808.82759</v>
      </c>
      <c r="AO24" s="82">
        <f t="array" ref="AO24">IFNA(LOOKUP(2,1/(ISNUMBER(AO18:AO23)),AO18:AO23)+(E24/(Resources!$P$56/7)),Today()+(E24/(Resources!$P$56/7)))</f>
        <v>45780.28989</v>
      </c>
      <c r="AP24" s="82">
        <f t="array" ref="AP24">IF(ISNUMBER($AT24),IFNA(LOOKUP(2,1/(ISNUMBER(AP18:AP23)),AP18:AP23),Today()),IFNA(LOOKUP(2,1/(ISNUMBER(AP18:AP23)),AP18:AP23)+(D24/(Resources!$E$55/7)),Today()+(D24/(Resources!$E$55/7))))</f>
        <v>45842.25382</v>
      </c>
      <c r="AQ24" s="82">
        <f t="array" ref="AQ24">IF(ISNUMBER($AT24),IFNA(LOOKUP(2,1/(ISNUMBER(AQ18:AQ23)),AQ18:AQ23),Today()),IFNA(LOOKUP(2,1/(ISNUMBER(AQ18:AQ23)),AQ18:AQ23)+(E24/(Resources!$E$56/7)),Today()+(E24/(Resources!$E$56/7))))</f>
        <v>45782.52033</v>
      </c>
      <c r="AR24" s="226">
        <f t="shared" si="4"/>
        <v>45842.25382</v>
      </c>
      <c r="AS24" s="82"/>
      <c r="AT24" s="82"/>
      <c r="AU24" s="83"/>
    </row>
    <row r="25" ht="15.0" customHeight="1">
      <c r="A25" s="229" t="s">
        <v>97</v>
      </c>
      <c r="B25" s="107" t="s">
        <v>855</v>
      </c>
      <c r="C25" s="93">
        <f>IF($A25="Feature",SUM(D25:E25)*'Roadmap setting'!$B$13,0)</f>
        <v>1.2</v>
      </c>
      <c r="D25" s="94">
        <v>3.0</v>
      </c>
      <c r="E25" s="94">
        <v>3.0</v>
      </c>
      <c r="F25" s="95">
        <f>IF($A25="Feature",IF('Roadmap setting'!$E$14,$E25*('Roadmap setting'!$B$14+'Roadmap setting'!$D$14),$E25*'Roadmap setting'!$B$14),0)</f>
        <v>0.45</v>
      </c>
      <c r="G25" s="93">
        <f>IF($A25="Feature",$D25*'Roadmap setting'!$B$15,0)</f>
        <v>0</v>
      </c>
      <c r="H25" s="95">
        <f>IF($A25="Feature",$E25*'Roadmap setting'!$B$16,0)</f>
        <v>0</v>
      </c>
      <c r="I25" s="93">
        <f>SUM($D25:$E25)*'Roadmap setting'!$B$17</f>
        <v>0.72</v>
      </c>
      <c r="J25" s="93">
        <f>SUM($D25:$E25)*'Roadmap setting'!$B$18</f>
        <v>0.06</v>
      </c>
      <c r="K25" s="93">
        <f>SUM($D25:$E25)*'Roadmap setting'!$B$19</f>
        <v>0</v>
      </c>
      <c r="L25" s="95">
        <f>SUM($D25:$E25)*'Roadmap setting'!$B$20</f>
        <v>0.12</v>
      </c>
      <c r="M25" s="79">
        <f t="shared" si="3"/>
        <v>8.55</v>
      </c>
      <c r="N25" s="96" t="b">
        <v>1</v>
      </c>
      <c r="O25" s="97">
        <v>0.3</v>
      </c>
      <c r="P25" s="97">
        <v>0.3</v>
      </c>
      <c r="Q25" s="97">
        <v>0.18</v>
      </c>
      <c r="R25" s="97">
        <v>0.12</v>
      </c>
      <c r="S25" s="97">
        <v>0.06</v>
      </c>
      <c r="T25" s="97">
        <v>0.24</v>
      </c>
      <c r="U25" s="99">
        <v>8.55</v>
      </c>
      <c r="V25" s="96" t="b">
        <v>0</v>
      </c>
      <c r="W25" s="97">
        <v>0.0</v>
      </c>
      <c r="X25" s="97">
        <v>1.2</v>
      </c>
      <c r="Y25" s="97">
        <v>0.32</v>
      </c>
      <c r="Z25" s="97">
        <v>0.24</v>
      </c>
      <c r="AA25" s="97">
        <v>0.16</v>
      </c>
      <c r="AB25" s="97">
        <v>0.48</v>
      </c>
      <c r="AC25" s="99">
        <v>11.2</v>
      </c>
      <c r="AD25" s="96" t="b">
        <v>0</v>
      </c>
      <c r="AE25" s="97">
        <v>0.0</v>
      </c>
      <c r="AF25" s="97">
        <v>1.6</v>
      </c>
      <c r="AG25" s="97">
        <v>0.4</v>
      </c>
      <c r="AH25" s="97">
        <v>0.32</v>
      </c>
      <c r="AI25" s="97">
        <v>0.24</v>
      </c>
      <c r="AJ25" s="97">
        <v>0.64</v>
      </c>
      <c r="AK25" s="99">
        <v>12.0</v>
      </c>
      <c r="AL25" s="96" t="b">
        <v>0</v>
      </c>
      <c r="AM25" s="80">
        <f t="array" ref="AM25">INDEX(A25:AL25, MATCH(RIGHT('Roadmap setting'!$B$9, 3), $A$2:$AL$2, 0) - 1)
</f>
        <v>8.55</v>
      </c>
      <c r="AN25" s="82">
        <f t="array" ref="AN25">IFNA(LOOKUP(2,1/(ISNUMBER(AN19:AN24)),AN19:AN24)+(D25/(Resources!$P$55/7)),Today()+(D25/(Resources!$P$55/7)))</f>
        <v>45809.20057</v>
      </c>
      <c r="AO25" s="82">
        <f t="array" ref="AO25">IFNA(LOOKUP(2,1/(ISNUMBER(AO19:AO24)),AO19:AO24)+(E25/(Resources!$P$56/7)),Today()+(E25/(Resources!$P$56/7)))</f>
        <v>45780.90675</v>
      </c>
      <c r="AP25" s="82">
        <f t="array" ref="AP25">IF(ISNUMBER($AT25),IFNA(LOOKUP(2,1/(ISNUMBER(AP19:AP24)),AP19:AP24),Today()),IFNA(LOOKUP(2,1/(ISNUMBER(AP19:AP24)),AP19:AP24)+(D25/(Resources!$E$55/7)),Today()+(D25/(Resources!$E$55/7))))</f>
        <v>45843.01851</v>
      </c>
      <c r="AQ25" s="82">
        <f t="array" ref="AQ25">IF(ISNUMBER($AT25),IFNA(LOOKUP(2,1/(ISNUMBER(AQ19:AQ24)),AQ19:AQ24),Today()),IFNA(LOOKUP(2,1/(ISNUMBER(AQ19:AQ24)),AQ19:AQ24)+(E25/(Resources!$E$56/7)),Today()+(E25/(Resources!$E$56/7))))</f>
        <v>45783.55539</v>
      </c>
      <c r="AR25" s="226">
        <f t="shared" si="4"/>
        <v>45843.01851</v>
      </c>
      <c r="AS25" s="82"/>
      <c r="AT25" s="82"/>
      <c r="AU25" s="227"/>
    </row>
    <row r="26" ht="15.0" customHeight="1">
      <c r="A26" s="229" t="s">
        <v>77</v>
      </c>
      <c r="B26" s="107" t="s">
        <v>856</v>
      </c>
      <c r="C26" s="93">
        <f>IF($A26="Feature",SUM(D26:E26)*'Roadmap setting'!$B$13,0)</f>
        <v>0</v>
      </c>
      <c r="D26" s="94">
        <v>4.0</v>
      </c>
      <c r="E26" s="94">
        <v>0.0</v>
      </c>
      <c r="F26" s="95">
        <f>IF($A26="Feature",IF('Roadmap setting'!$E$14,$E26*('Roadmap setting'!$B$14+'Roadmap setting'!$D$14),$E26*'Roadmap setting'!$B$14),0)</f>
        <v>0</v>
      </c>
      <c r="G26" s="93">
        <f>IF($A26="Feature",$D26*'Roadmap setting'!$B$15,0)</f>
        <v>0</v>
      </c>
      <c r="H26" s="95">
        <f>IF($A26="Feature",$E26*'Roadmap setting'!$B$16,0)</f>
        <v>0</v>
      </c>
      <c r="I26" s="93">
        <f>SUM($D26:$E26)*'Roadmap setting'!$B$17</f>
        <v>0.48</v>
      </c>
      <c r="J26" s="93">
        <f>SUM($D26:$E26)*'Roadmap setting'!$B$18</f>
        <v>0.04</v>
      </c>
      <c r="K26" s="93">
        <f>SUM($D26:$E26)*'Roadmap setting'!$B$19</f>
        <v>0</v>
      </c>
      <c r="L26" s="95">
        <f>SUM($D26:$E26)*'Roadmap setting'!$B$20</f>
        <v>0.08</v>
      </c>
      <c r="M26" s="79">
        <f t="shared" si="3"/>
        <v>4.6</v>
      </c>
      <c r="N26" s="96" t="b">
        <v>1</v>
      </c>
      <c r="O26" s="97">
        <v>0.4</v>
      </c>
      <c r="P26" s="97">
        <v>0.0</v>
      </c>
      <c r="Q26" s="97">
        <v>0.12</v>
      </c>
      <c r="R26" s="97">
        <v>0.08</v>
      </c>
      <c r="S26" s="97">
        <v>0.04</v>
      </c>
      <c r="T26" s="97">
        <v>0.16</v>
      </c>
      <c r="U26" s="99">
        <v>5.2</v>
      </c>
      <c r="V26" s="96" t="b">
        <v>0</v>
      </c>
      <c r="W26" s="97">
        <v>0.0</v>
      </c>
      <c r="X26" s="97">
        <v>1.2</v>
      </c>
      <c r="Y26" s="97">
        <v>0.32</v>
      </c>
      <c r="Z26" s="97">
        <v>0.24</v>
      </c>
      <c r="AA26" s="97">
        <v>0.16</v>
      </c>
      <c r="AB26" s="97">
        <v>0.48</v>
      </c>
      <c r="AC26" s="99">
        <v>11.2</v>
      </c>
      <c r="AD26" s="96" t="b">
        <v>0</v>
      </c>
      <c r="AE26" s="97">
        <v>0.0</v>
      </c>
      <c r="AF26" s="97">
        <v>1.6</v>
      </c>
      <c r="AG26" s="97">
        <v>0.4</v>
      </c>
      <c r="AH26" s="97">
        <v>0.32</v>
      </c>
      <c r="AI26" s="97">
        <v>0.24</v>
      </c>
      <c r="AJ26" s="97">
        <v>0.64</v>
      </c>
      <c r="AK26" s="99">
        <v>12.0</v>
      </c>
      <c r="AL26" s="96" t="b">
        <v>0</v>
      </c>
      <c r="AM26" s="80">
        <f t="array" ref="AM26">INDEX(A26:AL26, MATCH(RIGHT('Roadmap setting'!$B$9, 3), $A$2:$AL$2, 0) - 1)
</f>
        <v>4.6</v>
      </c>
      <c r="AN26" s="82">
        <f t="array" ref="AN26">IFNA(LOOKUP(2,1/(ISNUMBER(AN20:AN25)),AN20:AN25)+(D26/(Resources!$P$55/7)),Today()+(D26/(Resources!$P$55/7)))</f>
        <v>45809.69787</v>
      </c>
      <c r="AO26" s="82">
        <f t="array" ref="AO26">IFNA(LOOKUP(2,1/(ISNUMBER(AO20:AO25)),AO20:AO25)+(E26/(Resources!$P$56/7)),Today()+(E26/(Resources!$P$56/7)))</f>
        <v>45780.90675</v>
      </c>
      <c r="AP26" s="82">
        <f t="array" ref="AP26">IF(ISNUMBER($AT26),IFNA(LOOKUP(2,1/(ISNUMBER(AP20:AP25)),AP20:AP25),Today()),IFNA(LOOKUP(2,1/(ISNUMBER(AP20:AP25)),AP20:AP25)+(D26/(Resources!$E$55/7)),Today()+(D26/(Resources!$E$55/7))))</f>
        <v>45844.0381</v>
      </c>
      <c r="AQ26" s="82">
        <f t="array" ref="AQ26">IF(ISNUMBER($AT26),IFNA(LOOKUP(2,1/(ISNUMBER(AQ20:AQ25)),AQ20:AQ25),Today()),IFNA(LOOKUP(2,1/(ISNUMBER(AQ20:AQ25)),AQ20:AQ25)+(E26/(Resources!$E$56/7)),Today()+(E26/(Resources!$E$56/7))))</f>
        <v>45783.55539</v>
      </c>
      <c r="AR26" s="226">
        <f t="shared" si="4"/>
        <v>45844.0381</v>
      </c>
      <c r="AS26" s="82"/>
      <c r="AT26" s="82"/>
      <c r="AU26" s="83"/>
    </row>
    <row r="27" ht="15.0" customHeight="1">
      <c r="A27" s="229" t="s">
        <v>77</v>
      </c>
      <c r="B27" s="107" t="s">
        <v>857</v>
      </c>
      <c r="C27" s="93">
        <f>IF($A27="Feature",SUM(D27:E27)*'Roadmap setting'!$B$13,0)</f>
        <v>0</v>
      </c>
      <c r="D27" s="94">
        <v>2.0</v>
      </c>
      <c r="E27" s="94">
        <v>2.0</v>
      </c>
      <c r="F27" s="95">
        <f>IF($A27="Feature",IF('Roadmap setting'!$E$14,$E27*('Roadmap setting'!$B$14+'Roadmap setting'!$D$14),$E27*'Roadmap setting'!$B$14),0)</f>
        <v>0</v>
      </c>
      <c r="G27" s="93">
        <f>IF($A27="Feature",$D27*'Roadmap setting'!$B$15,0)</f>
        <v>0</v>
      </c>
      <c r="H27" s="95">
        <f>IF($A27="Feature",$E27*'Roadmap setting'!$B$16,0)</f>
        <v>0</v>
      </c>
      <c r="I27" s="93">
        <f>SUM($D27:$E27)*'Roadmap setting'!$B$17</f>
        <v>0.48</v>
      </c>
      <c r="J27" s="93">
        <f>SUM($D27:$E27)*'Roadmap setting'!$B$18</f>
        <v>0.04</v>
      </c>
      <c r="K27" s="93">
        <f>SUM($D27:$E27)*'Roadmap setting'!$B$19</f>
        <v>0</v>
      </c>
      <c r="L27" s="95">
        <f>SUM($D27:$E27)*'Roadmap setting'!$B$20</f>
        <v>0.08</v>
      </c>
      <c r="M27" s="79">
        <f t="shared" si="3"/>
        <v>4.6</v>
      </c>
      <c r="N27" s="96" t="b">
        <v>1</v>
      </c>
      <c r="O27" s="97">
        <v>0.2</v>
      </c>
      <c r="P27" s="97">
        <v>0.2</v>
      </c>
      <c r="Q27" s="97">
        <v>0.12</v>
      </c>
      <c r="R27" s="97">
        <v>0.08</v>
      </c>
      <c r="S27" s="97">
        <v>0.04</v>
      </c>
      <c r="T27" s="97">
        <v>0.16</v>
      </c>
      <c r="U27" s="99">
        <v>5.2</v>
      </c>
      <c r="V27" s="96" t="b">
        <v>0</v>
      </c>
      <c r="W27" s="97">
        <v>0.0</v>
      </c>
      <c r="X27" s="97">
        <v>1.2</v>
      </c>
      <c r="Y27" s="97">
        <v>0.32</v>
      </c>
      <c r="Z27" s="97">
        <v>0.24</v>
      </c>
      <c r="AA27" s="97">
        <v>0.16</v>
      </c>
      <c r="AB27" s="97">
        <v>0.48</v>
      </c>
      <c r="AC27" s="99">
        <v>11.2</v>
      </c>
      <c r="AD27" s="96" t="b">
        <v>0</v>
      </c>
      <c r="AE27" s="97">
        <v>0.0</v>
      </c>
      <c r="AF27" s="97">
        <v>1.6</v>
      </c>
      <c r="AG27" s="97">
        <v>0.4</v>
      </c>
      <c r="AH27" s="97">
        <v>0.32</v>
      </c>
      <c r="AI27" s="97">
        <v>0.24</v>
      </c>
      <c r="AJ27" s="97">
        <v>0.64</v>
      </c>
      <c r="AK27" s="99">
        <v>12.0</v>
      </c>
      <c r="AL27" s="96" t="b">
        <v>0</v>
      </c>
      <c r="AM27" s="80">
        <f t="array" ref="AM27">INDEX(A27:AL27, MATCH(RIGHT('Roadmap setting'!$B$9, 3), $A$2:$AL$2, 0) - 1)
</f>
        <v>4.6</v>
      </c>
      <c r="AN27" s="82">
        <f t="array" ref="AN27">IFNA(LOOKUP(2,1/(ISNUMBER(AN21:AN26)),AN21:AN26)+(D27/(Resources!$P$55/7)),Today()+(D27/(Resources!$P$55/7)))</f>
        <v>45809.94653</v>
      </c>
      <c r="AO27" s="82">
        <f t="array" ref="AO27">IFNA(LOOKUP(2,1/(ISNUMBER(AO21:AO26)),AO21:AO26)+(E27/(Resources!$P$56/7)),Today()+(E27/(Resources!$P$56/7)))</f>
        <v>45781.31798</v>
      </c>
      <c r="AP27" s="82">
        <f t="array" ref="AP27">IF(ISNUMBER($AT27),IFNA(LOOKUP(2,1/(ISNUMBER(AP21:AP26)),AP21:AP26),Today()),IFNA(LOOKUP(2,1/(ISNUMBER(AP21:AP26)),AP21:AP26)+(D27/(Resources!$E$55/7)),Today()+(D27/(Resources!$E$55/7))))</f>
        <v>45844.5479</v>
      </c>
      <c r="AQ27" s="82">
        <f t="array" ref="AQ27">IF(ISNUMBER($AT27),IFNA(LOOKUP(2,1/(ISNUMBER(AQ21:AQ26)),AQ21:AQ26),Today()),IFNA(LOOKUP(2,1/(ISNUMBER(AQ21:AQ26)),AQ21:AQ26)+(E27/(Resources!$E$56/7)),Today()+(E27/(Resources!$E$56/7))))</f>
        <v>45784.24543</v>
      </c>
      <c r="AR27" s="226">
        <f t="shared" si="4"/>
        <v>45844.5479</v>
      </c>
      <c r="AS27" s="82"/>
      <c r="AT27" s="82"/>
      <c r="AU27" s="83"/>
    </row>
    <row r="28" ht="15.0" customHeight="1">
      <c r="A28" s="229" t="s">
        <v>97</v>
      </c>
      <c r="B28" s="107" t="s">
        <v>858</v>
      </c>
      <c r="C28" s="93">
        <f>IF($A28="Feature",SUM(D28:E28)*'Roadmap setting'!$B$13,0)</f>
        <v>2.6</v>
      </c>
      <c r="D28" s="94">
        <v>5.0</v>
      </c>
      <c r="E28" s="94">
        <v>8.0</v>
      </c>
      <c r="F28" s="95">
        <f>IF($A28="Feature",IF('Roadmap setting'!$E$14,$E28*('Roadmap setting'!$B$14+'Roadmap setting'!$D$14),$E28*'Roadmap setting'!$B$14),0)</f>
        <v>1.2</v>
      </c>
      <c r="G28" s="93">
        <f>IF($A28="Feature",$D28*'Roadmap setting'!$B$15,0)</f>
        <v>0</v>
      </c>
      <c r="H28" s="95">
        <f>IF($A28="Feature",$E28*'Roadmap setting'!$B$16,0)</f>
        <v>0</v>
      </c>
      <c r="I28" s="93">
        <f>SUM($D28:$E28)*'Roadmap setting'!$B$17</f>
        <v>1.56</v>
      </c>
      <c r="J28" s="93">
        <f>SUM($D28:$E28)*'Roadmap setting'!$B$18</f>
        <v>0.13</v>
      </c>
      <c r="K28" s="93">
        <f>SUM($D28:$E28)*'Roadmap setting'!$B$19</f>
        <v>0</v>
      </c>
      <c r="L28" s="95">
        <f>SUM($D28:$E28)*'Roadmap setting'!$B$20</f>
        <v>0.26</v>
      </c>
      <c r="M28" s="79">
        <f t="shared" si="3"/>
        <v>18.75</v>
      </c>
      <c r="N28" s="96" t="b">
        <v>0</v>
      </c>
      <c r="O28" s="97">
        <v>0.5</v>
      </c>
      <c r="P28" s="97">
        <v>0.8</v>
      </c>
      <c r="Q28" s="97">
        <v>0.39</v>
      </c>
      <c r="R28" s="97">
        <v>0.26</v>
      </c>
      <c r="S28" s="97">
        <v>0.13</v>
      </c>
      <c r="T28" s="97">
        <v>0.52</v>
      </c>
      <c r="U28" s="99">
        <v>18.9</v>
      </c>
      <c r="V28" s="96" t="b">
        <v>0</v>
      </c>
      <c r="W28" s="97">
        <v>0.0</v>
      </c>
      <c r="X28" s="97">
        <v>1.2</v>
      </c>
      <c r="Y28" s="97">
        <v>0.32</v>
      </c>
      <c r="Z28" s="97">
        <v>0.24</v>
      </c>
      <c r="AA28" s="97">
        <v>0.16</v>
      </c>
      <c r="AB28" s="97">
        <v>0.48</v>
      </c>
      <c r="AC28" s="99">
        <v>11.2</v>
      </c>
      <c r="AD28" s="96" t="b">
        <v>0</v>
      </c>
      <c r="AE28" s="97">
        <v>0.0</v>
      </c>
      <c r="AF28" s="97">
        <v>1.6</v>
      </c>
      <c r="AG28" s="97">
        <v>0.4</v>
      </c>
      <c r="AH28" s="97">
        <v>0.32</v>
      </c>
      <c r="AI28" s="97">
        <v>0.24</v>
      </c>
      <c r="AJ28" s="97">
        <v>0.64</v>
      </c>
      <c r="AK28" s="99">
        <v>12.0</v>
      </c>
      <c r="AL28" s="96" t="b">
        <v>0</v>
      </c>
      <c r="AM28" s="80">
        <f t="array" ref="AM28">INDEX(A28:AL28, MATCH(RIGHT('Roadmap setting'!$B$9, 3), $A$2:$AL$2, 0) - 1)
</f>
        <v>18.75</v>
      </c>
      <c r="AN28" s="82">
        <f t="array" ref="AN28">IFNA(LOOKUP(2,1/(ISNUMBER(AN22:AN27)),AN22:AN27)+(D28/(Resources!$P$55/7)),Today()+(D28/(Resources!$P$55/7)))</f>
        <v>45810.56816</v>
      </c>
      <c r="AO28" s="82">
        <f t="array" ref="AO28">IFNA(LOOKUP(2,1/(ISNUMBER(AO22:AO27)),AO22:AO27)+(E28/(Resources!$P$56/7)),Today()+(E28/(Resources!$P$56/7)))</f>
        <v>45782.96293</v>
      </c>
      <c r="AP28" s="82">
        <f t="array" ref="AP28">IF(ISNUMBER($AT28),IFNA(LOOKUP(2,1/(ISNUMBER(AP22:AP27)),AP22:AP27),Today()),IFNA(LOOKUP(2,1/(ISNUMBER(AP22:AP27)),AP22:AP27)+(D28/(Resources!$E$55/7)),Today()+(D28/(Resources!$E$55/7))))</f>
        <v>45845.82239</v>
      </c>
      <c r="AQ28" s="82">
        <f t="array" ref="AQ28">IF(ISNUMBER($AT28),IFNA(LOOKUP(2,1/(ISNUMBER(AQ22:AQ27)),AQ22:AQ27),Today()),IFNA(LOOKUP(2,1/(ISNUMBER(AQ22:AQ27)),AQ22:AQ27)+(E28/(Resources!$E$56/7)),Today()+(E28/(Resources!$E$56/7))))</f>
        <v>45787.00559</v>
      </c>
      <c r="AR28" s="226">
        <f t="shared" si="4"/>
        <v>45845.82239</v>
      </c>
      <c r="AS28" s="82"/>
      <c r="AT28" s="82"/>
      <c r="AU28" s="83"/>
    </row>
    <row r="29" ht="15.0" customHeight="1">
      <c r="A29" s="229" t="s">
        <v>97</v>
      </c>
      <c r="B29" s="107" t="s">
        <v>859</v>
      </c>
      <c r="C29" s="93">
        <f>IF($A29="Feature",SUM(D29:E29)*'Roadmap setting'!$B$13,0)</f>
        <v>1.2</v>
      </c>
      <c r="D29" s="94">
        <v>3.0</v>
      </c>
      <c r="E29" s="94">
        <v>3.0</v>
      </c>
      <c r="F29" s="95">
        <f>IF($A29="Feature",IF('Roadmap setting'!$E$14,$E29*('Roadmap setting'!$B$14+'Roadmap setting'!$D$14),$E29*'Roadmap setting'!$B$14),0)</f>
        <v>0.45</v>
      </c>
      <c r="G29" s="93">
        <f>IF($A29="Feature",$D29*'Roadmap setting'!$B$15,0)</f>
        <v>0</v>
      </c>
      <c r="H29" s="95">
        <f>IF($A29="Feature",$E29*'Roadmap setting'!$B$16,0)</f>
        <v>0</v>
      </c>
      <c r="I29" s="93">
        <f>SUM($D29:$E29)*'Roadmap setting'!$B$17</f>
        <v>0.72</v>
      </c>
      <c r="J29" s="93">
        <f>SUM($D29:$E29)*'Roadmap setting'!$B$18</f>
        <v>0.06</v>
      </c>
      <c r="K29" s="93">
        <f>SUM($D29:$E29)*'Roadmap setting'!$B$19</f>
        <v>0</v>
      </c>
      <c r="L29" s="95">
        <f>SUM($D29:$E29)*'Roadmap setting'!$B$20</f>
        <v>0.12</v>
      </c>
      <c r="M29" s="79">
        <f t="shared" si="3"/>
        <v>8.55</v>
      </c>
      <c r="N29" s="96" t="b">
        <v>1</v>
      </c>
      <c r="O29" s="97">
        <v>0.3</v>
      </c>
      <c r="P29" s="97">
        <v>0.3</v>
      </c>
      <c r="Q29" s="97">
        <v>0.18</v>
      </c>
      <c r="R29" s="97">
        <v>0.12</v>
      </c>
      <c r="S29" s="97">
        <v>0.06</v>
      </c>
      <c r="T29" s="97">
        <v>0.24</v>
      </c>
      <c r="U29" s="99">
        <v>8.55</v>
      </c>
      <c r="V29" s="96" t="b">
        <v>0</v>
      </c>
      <c r="W29" s="97">
        <v>0.0</v>
      </c>
      <c r="X29" s="97">
        <v>1.2</v>
      </c>
      <c r="Y29" s="97">
        <v>0.32</v>
      </c>
      <c r="Z29" s="97">
        <v>0.24</v>
      </c>
      <c r="AA29" s="97">
        <v>0.16</v>
      </c>
      <c r="AB29" s="97">
        <v>0.48</v>
      </c>
      <c r="AC29" s="99">
        <v>11.2</v>
      </c>
      <c r="AD29" s="96" t="b">
        <v>0</v>
      </c>
      <c r="AE29" s="97">
        <v>0.0</v>
      </c>
      <c r="AF29" s="97">
        <v>1.6</v>
      </c>
      <c r="AG29" s="97">
        <v>0.4</v>
      </c>
      <c r="AH29" s="97">
        <v>0.32</v>
      </c>
      <c r="AI29" s="97">
        <v>0.24</v>
      </c>
      <c r="AJ29" s="97">
        <v>0.64</v>
      </c>
      <c r="AK29" s="99">
        <v>12.0</v>
      </c>
      <c r="AL29" s="96" t="b">
        <v>0</v>
      </c>
      <c r="AM29" s="80">
        <f t="array" ref="AM29">INDEX(A29:AL29, MATCH(RIGHT('Roadmap setting'!$B$9, 3), $A$2:$AL$2, 0) - 1)
</f>
        <v>8.55</v>
      </c>
      <c r="AN29" s="82">
        <f t="array" ref="AN29">IFNA(LOOKUP(2,1/(ISNUMBER(AN23:AN28)),AN23:AN28)+(D29/(Resources!$P$55/7)),Today()+(D29/(Resources!$P$55/7)))</f>
        <v>45810.94114</v>
      </c>
      <c r="AO29" s="82">
        <f t="array" ref="AO29">IFNA(LOOKUP(2,1/(ISNUMBER(AO23:AO28)),AO23:AO28)+(E29/(Resources!$P$56/7)),Today()+(E29/(Resources!$P$56/7)))</f>
        <v>45783.57978</v>
      </c>
      <c r="AP29" s="82">
        <f t="array" ref="AP29">IF(ISNUMBER($AT29),IFNA(LOOKUP(2,1/(ISNUMBER(AP23:AP28)),AP23:AP28),Today()),IFNA(LOOKUP(2,1/(ISNUMBER(AP23:AP28)),AP23:AP28)+(D29/(Resources!$E$55/7)),Today()+(D29/(Resources!$E$55/7))))</f>
        <v>45846.58708</v>
      </c>
      <c r="AQ29" s="82">
        <f t="array" ref="AQ29">IF(ISNUMBER($AT29),IFNA(LOOKUP(2,1/(ISNUMBER(AQ23:AQ28)),AQ23:AQ28),Today()),IFNA(LOOKUP(2,1/(ISNUMBER(AQ23:AQ28)),AQ23:AQ28)+(E29/(Resources!$E$56/7)),Today()+(E29/(Resources!$E$56/7))))</f>
        <v>45788.04066</v>
      </c>
      <c r="AR29" s="226">
        <f t="shared" si="4"/>
        <v>45846.58708</v>
      </c>
      <c r="AS29" s="82"/>
      <c r="AT29" s="82"/>
      <c r="AU29" s="83"/>
    </row>
    <row r="30" ht="15.0" customHeight="1">
      <c r="A30" s="229" t="s">
        <v>97</v>
      </c>
      <c r="B30" s="107" t="s">
        <v>860</v>
      </c>
      <c r="C30" s="93">
        <f>IF($A30="Feature",SUM(D30:E30)*'Roadmap setting'!$B$13,0)</f>
        <v>2</v>
      </c>
      <c r="D30" s="94">
        <v>5.0</v>
      </c>
      <c r="E30" s="94">
        <v>5.0</v>
      </c>
      <c r="F30" s="95">
        <f>IF($A30="Feature",IF('Roadmap setting'!$E$14,$E30*('Roadmap setting'!$B$14+'Roadmap setting'!$D$14),$E30*'Roadmap setting'!$B$14),0)</f>
        <v>0.75</v>
      </c>
      <c r="G30" s="93">
        <f>IF($A30="Feature",$D30*'Roadmap setting'!$B$15,0)</f>
        <v>0</v>
      </c>
      <c r="H30" s="95">
        <f>IF($A30="Feature",$E30*'Roadmap setting'!$B$16,0)</f>
        <v>0</v>
      </c>
      <c r="I30" s="93">
        <f>SUM($D30:$E30)*'Roadmap setting'!$B$17</f>
        <v>1.2</v>
      </c>
      <c r="J30" s="93">
        <f>SUM($D30:$E30)*'Roadmap setting'!$B$18</f>
        <v>0.1</v>
      </c>
      <c r="K30" s="93">
        <f>SUM($D30:$E30)*'Roadmap setting'!$B$19</f>
        <v>0</v>
      </c>
      <c r="L30" s="95">
        <f>SUM($D30:$E30)*'Roadmap setting'!$B$20</f>
        <v>0.2</v>
      </c>
      <c r="M30" s="79">
        <f t="shared" si="3"/>
        <v>14.25</v>
      </c>
      <c r="N30" s="96" t="b">
        <v>0</v>
      </c>
      <c r="O30" s="97">
        <v>0.5</v>
      </c>
      <c r="P30" s="97">
        <v>0.5</v>
      </c>
      <c r="Q30" s="97">
        <v>0.3</v>
      </c>
      <c r="R30" s="97">
        <v>0.2</v>
      </c>
      <c r="S30" s="97">
        <v>0.1</v>
      </c>
      <c r="T30" s="97">
        <v>0.4</v>
      </c>
      <c r="U30" s="99">
        <v>14.25</v>
      </c>
      <c r="V30" s="96" t="b">
        <v>0</v>
      </c>
      <c r="W30" s="97">
        <v>0.0</v>
      </c>
      <c r="X30" s="97">
        <v>1.2</v>
      </c>
      <c r="Y30" s="97">
        <v>0.32</v>
      </c>
      <c r="Z30" s="97">
        <v>0.24</v>
      </c>
      <c r="AA30" s="97">
        <v>0.16</v>
      </c>
      <c r="AB30" s="97">
        <v>0.48</v>
      </c>
      <c r="AC30" s="99">
        <v>11.2</v>
      </c>
      <c r="AD30" s="96" t="b">
        <v>0</v>
      </c>
      <c r="AE30" s="97">
        <v>0.0</v>
      </c>
      <c r="AF30" s="97">
        <v>1.6</v>
      </c>
      <c r="AG30" s="97">
        <v>0.4</v>
      </c>
      <c r="AH30" s="97">
        <v>0.32</v>
      </c>
      <c r="AI30" s="97">
        <v>0.24</v>
      </c>
      <c r="AJ30" s="97">
        <v>0.64</v>
      </c>
      <c r="AK30" s="99">
        <v>12.0</v>
      </c>
      <c r="AL30" s="96" t="b">
        <v>0</v>
      </c>
      <c r="AM30" s="80">
        <f t="array" ref="AM30">INDEX(A30:AL30, MATCH(RIGHT('Roadmap setting'!$B$9, 3), $A$2:$AL$2, 0) - 1)
</f>
        <v>14.25</v>
      </c>
      <c r="AN30" s="82">
        <f t="array" ref="AN30">IFNA(LOOKUP(2,1/(ISNUMBER(AN24:AN29)),AN24:AN29)+(D30/(Resources!$P$55/7)),Today()+(D30/(Resources!$P$55/7)))</f>
        <v>45811.56277</v>
      </c>
      <c r="AO30" s="82">
        <f t="array" ref="AO30">IFNA(LOOKUP(2,1/(ISNUMBER(AO24:AO29)),AO24:AO29)+(E30/(Resources!$P$56/7)),Today()+(E30/(Resources!$P$56/7)))</f>
        <v>45784.60788</v>
      </c>
      <c r="AP30" s="82">
        <f t="array" ref="AP30">IF(ISNUMBER($AT30),IFNA(LOOKUP(2,1/(ISNUMBER(AP24:AP29)),AP24:AP29),Today()),IFNA(LOOKUP(2,1/(ISNUMBER(AP24:AP29)),AP24:AP29)+(D30/(Resources!$E$55/7)),Today()+(D30/(Resources!$E$55/7))))</f>
        <v>45847.86157</v>
      </c>
      <c r="AQ30" s="82">
        <f t="array" ref="AQ30">IF(ISNUMBER($AT30),IFNA(LOOKUP(2,1/(ISNUMBER(AQ24:AQ29)),AQ24:AQ29),Today()),IFNA(LOOKUP(2,1/(ISNUMBER(AQ24:AQ29)),AQ24:AQ29)+(E30/(Resources!$E$56/7)),Today()+(E30/(Resources!$E$56/7))))</f>
        <v>45789.76576</v>
      </c>
      <c r="AR30" s="226">
        <f t="shared" si="4"/>
        <v>45847.86157</v>
      </c>
      <c r="AS30" s="82"/>
      <c r="AT30" s="82"/>
      <c r="AU30" s="83"/>
    </row>
    <row r="31" ht="15.0" customHeight="1">
      <c r="A31" s="229" t="s">
        <v>77</v>
      </c>
      <c r="B31" s="107" t="s">
        <v>861</v>
      </c>
      <c r="C31" s="93">
        <f>IF($A31="Feature",SUM(D31:E31)*'Roadmap setting'!$B$13,0)</f>
        <v>0</v>
      </c>
      <c r="D31" s="94">
        <v>8.0</v>
      </c>
      <c r="E31" s="94">
        <v>5.0</v>
      </c>
      <c r="F31" s="95">
        <f>IF($A31="Feature",IF('Roadmap setting'!$E$14,$E31*('Roadmap setting'!$B$14+'Roadmap setting'!$D$14),$E31*'Roadmap setting'!$B$14),0)</f>
        <v>0</v>
      </c>
      <c r="G31" s="93">
        <f>IF($A31="Feature",$D31*'Roadmap setting'!$B$15,0)</f>
        <v>0</v>
      </c>
      <c r="H31" s="95">
        <f>IF($A31="Feature",$E31*'Roadmap setting'!$B$16,0)</f>
        <v>0</v>
      </c>
      <c r="I31" s="93">
        <f>SUM($D31:$E31)*'Roadmap setting'!$B$17</f>
        <v>1.56</v>
      </c>
      <c r="J31" s="93">
        <f>SUM($D31:$E31)*'Roadmap setting'!$B$18</f>
        <v>0.13</v>
      </c>
      <c r="K31" s="93">
        <f>SUM($D31:$E31)*'Roadmap setting'!$B$19</f>
        <v>0</v>
      </c>
      <c r="L31" s="95">
        <f>SUM($D31:$E31)*'Roadmap setting'!$B$20</f>
        <v>0.26</v>
      </c>
      <c r="M31" s="79">
        <f t="shared" si="3"/>
        <v>14.95</v>
      </c>
      <c r="N31" s="96" t="b">
        <v>0</v>
      </c>
      <c r="O31" s="97">
        <v>0.8</v>
      </c>
      <c r="P31" s="97">
        <v>0.5</v>
      </c>
      <c r="Q31" s="97">
        <v>0.39</v>
      </c>
      <c r="R31" s="97">
        <v>0.26</v>
      </c>
      <c r="S31" s="97">
        <v>0.13</v>
      </c>
      <c r="T31" s="97">
        <v>0.52</v>
      </c>
      <c r="U31" s="99">
        <v>16.9</v>
      </c>
      <c r="V31" s="96" t="b">
        <v>0</v>
      </c>
      <c r="W31" s="97">
        <v>0.0</v>
      </c>
      <c r="X31" s="97">
        <v>1.2</v>
      </c>
      <c r="Y31" s="97">
        <v>0.32</v>
      </c>
      <c r="Z31" s="97">
        <v>0.24</v>
      </c>
      <c r="AA31" s="97">
        <v>0.16</v>
      </c>
      <c r="AB31" s="97">
        <v>0.48</v>
      </c>
      <c r="AC31" s="99">
        <v>11.2</v>
      </c>
      <c r="AD31" s="96" t="b">
        <v>0</v>
      </c>
      <c r="AE31" s="97">
        <v>0.0</v>
      </c>
      <c r="AF31" s="97">
        <v>1.6</v>
      </c>
      <c r="AG31" s="97">
        <v>0.4</v>
      </c>
      <c r="AH31" s="97">
        <v>0.32</v>
      </c>
      <c r="AI31" s="97">
        <v>0.24</v>
      </c>
      <c r="AJ31" s="97">
        <v>0.64</v>
      </c>
      <c r="AK31" s="99">
        <v>12.0</v>
      </c>
      <c r="AL31" s="96" t="b">
        <v>0</v>
      </c>
      <c r="AM31" s="80">
        <f t="array" ref="AM31">INDEX(A31:AL31, MATCH(RIGHT('Roadmap setting'!$B$9, 3), $A$2:$AL$2, 0) - 1)
</f>
        <v>14.95</v>
      </c>
      <c r="AN31" s="82">
        <f t="array" ref="AN31">IFNA(LOOKUP(2,1/(ISNUMBER(AN25:AN30)),AN25:AN30)+(D31/(Resources!$P$55/7)),Today()+(D31/(Resources!$P$55/7)))</f>
        <v>45812.55738</v>
      </c>
      <c r="AO31" s="82">
        <f t="array" ref="AO31">IFNA(LOOKUP(2,1/(ISNUMBER(AO25:AO30)),AO25:AO30)+(E31/(Resources!$P$56/7)),Today()+(E31/(Resources!$P$56/7)))</f>
        <v>45785.63597</v>
      </c>
      <c r="AP31" s="82">
        <f t="array" ref="AP31">IF(ISNUMBER($AT31),IFNA(LOOKUP(2,1/(ISNUMBER(AP25:AP30)),AP25:AP30),Today()),IFNA(LOOKUP(2,1/(ISNUMBER(AP25:AP30)),AP25:AP30)+(D31/(Resources!$E$55/7)),Today()+(D31/(Resources!$E$55/7))))</f>
        <v>45849.90075</v>
      </c>
      <c r="AQ31" s="82">
        <f t="array" ref="AQ31">IF(ISNUMBER($AT31),IFNA(LOOKUP(2,1/(ISNUMBER(AQ25:AQ30)),AQ25:AQ30),Today()),IFNA(LOOKUP(2,1/(ISNUMBER(AQ25:AQ30)),AQ25:AQ30)+(E31/(Resources!$E$56/7)),Today()+(E31/(Resources!$E$56/7))))</f>
        <v>45791.49086</v>
      </c>
      <c r="AR31" s="226">
        <f t="shared" si="4"/>
        <v>45849.90075</v>
      </c>
      <c r="AS31" s="82"/>
      <c r="AT31" s="82"/>
      <c r="AU31" s="83"/>
    </row>
    <row r="32" ht="15.0" customHeight="1">
      <c r="A32" s="229" t="s">
        <v>97</v>
      </c>
      <c r="B32" s="107" t="s">
        <v>862</v>
      </c>
      <c r="C32" s="93">
        <f>IF($A32="Feature",SUM(D32:E32)*'Roadmap setting'!$B$13,0)</f>
        <v>1</v>
      </c>
      <c r="D32" s="94">
        <v>0.0</v>
      </c>
      <c r="E32" s="94">
        <v>5.0</v>
      </c>
      <c r="F32" s="95">
        <f>IF($A32="Feature",IF('Roadmap setting'!$E$14,$E32*('Roadmap setting'!$B$14+'Roadmap setting'!$D$14),$E32*'Roadmap setting'!$B$14),0)</f>
        <v>0.75</v>
      </c>
      <c r="G32" s="93">
        <f>IF($A32="Feature",$D32*'Roadmap setting'!$B$15,0)</f>
        <v>0</v>
      </c>
      <c r="H32" s="95">
        <f>IF($A32="Feature",$E32*'Roadmap setting'!$B$16,0)</f>
        <v>0</v>
      </c>
      <c r="I32" s="93">
        <f>SUM($D32:$E32)*'Roadmap setting'!$B$17</f>
        <v>0.6</v>
      </c>
      <c r="J32" s="93">
        <f>SUM($D32:$E32)*'Roadmap setting'!$B$18</f>
        <v>0.05</v>
      </c>
      <c r="K32" s="93">
        <f>SUM($D32:$E32)*'Roadmap setting'!$B$19</f>
        <v>0</v>
      </c>
      <c r="L32" s="95">
        <f>SUM($D32:$E32)*'Roadmap setting'!$B$20</f>
        <v>0.1</v>
      </c>
      <c r="M32" s="79">
        <f t="shared" si="3"/>
        <v>7.5</v>
      </c>
      <c r="N32" s="96" t="b">
        <v>1</v>
      </c>
      <c r="O32" s="97">
        <v>0.0</v>
      </c>
      <c r="P32" s="97">
        <v>0.5</v>
      </c>
      <c r="Q32" s="97">
        <v>0.15</v>
      </c>
      <c r="R32" s="97">
        <v>0.1</v>
      </c>
      <c r="S32" s="97">
        <v>0.05</v>
      </c>
      <c r="T32" s="97">
        <v>0.2</v>
      </c>
      <c r="U32" s="99">
        <v>7.75</v>
      </c>
      <c r="V32" s="96" t="b">
        <v>0</v>
      </c>
      <c r="W32" s="97">
        <v>0.0</v>
      </c>
      <c r="X32" s="97">
        <v>1.2</v>
      </c>
      <c r="Y32" s="97">
        <v>0.32</v>
      </c>
      <c r="Z32" s="97">
        <v>0.24</v>
      </c>
      <c r="AA32" s="97">
        <v>0.16</v>
      </c>
      <c r="AB32" s="97">
        <v>0.48</v>
      </c>
      <c r="AC32" s="99">
        <v>11.2</v>
      </c>
      <c r="AD32" s="96" t="b">
        <v>0</v>
      </c>
      <c r="AE32" s="97">
        <v>0.0</v>
      </c>
      <c r="AF32" s="97">
        <v>1.6</v>
      </c>
      <c r="AG32" s="97">
        <v>0.4</v>
      </c>
      <c r="AH32" s="97">
        <v>0.32</v>
      </c>
      <c r="AI32" s="97">
        <v>0.24</v>
      </c>
      <c r="AJ32" s="97">
        <v>0.64</v>
      </c>
      <c r="AK32" s="99">
        <v>12.0</v>
      </c>
      <c r="AL32" s="96" t="b">
        <v>0</v>
      </c>
      <c r="AM32" s="80">
        <f t="array" ref="AM32">INDEX(A32:AL32, MATCH(RIGHT('Roadmap setting'!$B$9, 3), $A$2:$AL$2, 0) - 1)
</f>
        <v>7.5</v>
      </c>
      <c r="AN32" s="82">
        <f t="array" ref="AN32">IFNA(LOOKUP(2,1/(ISNUMBER(AN26:AN31)),AN26:AN31)+(D32/(Resources!$P$55/7)),Today()+(D32/(Resources!$P$55/7)))</f>
        <v>45812.55738</v>
      </c>
      <c r="AO32" s="82">
        <f t="array" ref="AO32">IFNA(LOOKUP(2,1/(ISNUMBER(AO26:AO31)),AO26:AO31)+(E32/(Resources!$P$56/7)),Today()+(E32/(Resources!$P$56/7)))</f>
        <v>45786.66406</v>
      </c>
      <c r="AP32" s="82">
        <f t="array" ref="AP32">IF(ISNUMBER($AT32),IFNA(LOOKUP(2,1/(ISNUMBER(AP26:AP31)),AP26:AP31),Today()),IFNA(LOOKUP(2,1/(ISNUMBER(AP26:AP31)),AP26:AP31)+(D32/(Resources!$E$55/7)),Today()+(D32/(Resources!$E$55/7))))</f>
        <v>45849.90075</v>
      </c>
      <c r="AQ32" s="82">
        <f t="array" ref="AQ32">IF(ISNUMBER($AT32),IFNA(LOOKUP(2,1/(ISNUMBER(AQ26:AQ31)),AQ26:AQ31),Today()),IFNA(LOOKUP(2,1/(ISNUMBER(AQ26:AQ31)),AQ26:AQ31)+(E32/(Resources!$E$56/7)),Today()+(E32/(Resources!$E$56/7))))</f>
        <v>45793.21596</v>
      </c>
      <c r="AR32" s="226">
        <f t="shared" si="4"/>
        <v>45849.90075</v>
      </c>
      <c r="AS32" s="82"/>
      <c r="AT32" s="82"/>
      <c r="AU32" s="83"/>
    </row>
    <row r="33" ht="15.0" customHeight="1">
      <c r="A33" s="72"/>
      <c r="B33" s="91" t="s">
        <v>863</v>
      </c>
      <c r="C33" s="72"/>
      <c r="D33" s="72"/>
      <c r="E33" s="72"/>
      <c r="F33" s="72"/>
      <c r="G33" s="72"/>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row>
    <row r="34" ht="15.0" customHeight="1">
      <c r="A34" s="229" t="s">
        <v>97</v>
      </c>
      <c r="B34" s="110" t="s">
        <v>864</v>
      </c>
      <c r="C34" s="93">
        <f>IF($A34="Feature",SUM(D34:E34)*'Roadmap setting'!$B$13,0)</f>
        <v>1.8</v>
      </c>
      <c r="D34" s="94">
        <v>4.0</v>
      </c>
      <c r="E34" s="94">
        <v>5.0</v>
      </c>
      <c r="F34" s="95">
        <f>IF($A34="Feature",IF('Roadmap setting'!$E$14,$E34*('Roadmap setting'!$B$14+'Roadmap setting'!$D$14),$E34*'Roadmap setting'!$B$14),0)</f>
        <v>0.75</v>
      </c>
      <c r="G34" s="93">
        <f>IF($A34="Feature",$D34*'Roadmap setting'!$B$15,0)</f>
        <v>0</v>
      </c>
      <c r="H34" s="95">
        <f>IF($A34="Feature",$E34*'Roadmap setting'!$B$16,0)</f>
        <v>0</v>
      </c>
      <c r="I34" s="93">
        <f>SUM($D34:$E34)*'Roadmap setting'!$B$17</f>
        <v>1.08</v>
      </c>
      <c r="J34" s="93">
        <f>SUM($D34:$E34)*'Roadmap setting'!$B$18</f>
        <v>0.09</v>
      </c>
      <c r="K34" s="93">
        <f>SUM($D34:$E34)*'Roadmap setting'!$B$19</f>
        <v>0</v>
      </c>
      <c r="L34" s="95">
        <f>SUM($D34:$E34)*'Roadmap setting'!$B$20</f>
        <v>0.18</v>
      </c>
      <c r="M34" s="79">
        <f t="shared" ref="M34:M42" si="5">SUM($C34:$F34)+SUM(G34:L34)</f>
        <v>12.9</v>
      </c>
      <c r="N34" s="96" t="b">
        <v>1</v>
      </c>
      <c r="O34" s="97">
        <v>0.4</v>
      </c>
      <c r="P34" s="97">
        <v>0.5</v>
      </c>
      <c r="Q34" s="97">
        <v>0.27</v>
      </c>
      <c r="R34" s="97">
        <v>0.18</v>
      </c>
      <c r="S34" s="97">
        <v>0.09</v>
      </c>
      <c r="T34" s="97">
        <v>0.36</v>
      </c>
      <c r="U34" s="99">
        <v>12.95</v>
      </c>
      <c r="V34" s="96" t="b">
        <v>0</v>
      </c>
      <c r="W34" s="97">
        <v>0.0</v>
      </c>
      <c r="X34" s="97">
        <v>1.2</v>
      </c>
      <c r="Y34" s="97">
        <v>0.32</v>
      </c>
      <c r="Z34" s="97">
        <v>0.24</v>
      </c>
      <c r="AA34" s="97">
        <v>0.16</v>
      </c>
      <c r="AB34" s="97">
        <v>0.48</v>
      </c>
      <c r="AC34" s="99">
        <v>11.2</v>
      </c>
      <c r="AD34" s="96" t="b">
        <v>0</v>
      </c>
      <c r="AE34" s="97">
        <v>0.0</v>
      </c>
      <c r="AF34" s="97">
        <v>1.6</v>
      </c>
      <c r="AG34" s="97">
        <v>0.4</v>
      </c>
      <c r="AH34" s="97">
        <v>0.32</v>
      </c>
      <c r="AI34" s="97">
        <v>0.24</v>
      </c>
      <c r="AJ34" s="97">
        <v>0.64</v>
      </c>
      <c r="AK34" s="99">
        <v>12.0</v>
      </c>
      <c r="AL34" s="96" t="b">
        <v>0</v>
      </c>
      <c r="AM34" s="80">
        <f t="array" ref="AM34">INDEX(A34:AL34, MATCH(RIGHT('Roadmap setting'!$B$9, 3), $A$2:$AL$2, 0) - 1)
</f>
        <v>12.9</v>
      </c>
      <c r="AN34" s="82">
        <f t="array" ref="AN34">IFNA(LOOKUP(2,1/(ISNUMBER(AN28:AN33)),AN28:AN33)+(D34/(Resources!$P$55/7)),Today()+(D34/(Resources!$P$55/7)))</f>
        <v>45813.05469</v>
      </c>
      <c r="AO34" s="82">
        <f t="array" ref="AO34">IFNA(LOOKUP(2,1/(ISNUMBER(AO28:AO33)),AO28:AO33)+(E34/(Resources!$P$56/7)),Today()+(E34/(Resources!$P$56/7)))</f>
        <v>45787.69215</v>
      </c>
      <c r="AP34" s="82">
        <f t="array" ref="AP34">IF(ISNUMBER($AT34),IFNA(LOOKUP(2,1/(ISNUMBER(AP28:AP33)),AP28:AP33),Today()),IFNA(LOOKUP(2,1/(ISNUMBER(AP28:AP33)),AP28:AP33)+(D34/(Resources!$E$55/7)),Today()+(D34/(Resources!$E$55/7))))</f>
        <v>45850.92034</v>
      </c>
      <c r="AQ34" s="82">
        <f t="array" ref="AQ34">IF(ISNUMBER($AT34),IFNA(LOOKUP(2,1/(ISNUMBER(AQ28:AQ33)),AQ28:AQ33),Today()),IFNA(LOOKUP(2,1/(ISNUMBER(AQ28:AQ33)),AQ28:AQ33)+(E34/(Resources!$E$56/7)),Today()+(E34/(Resources!$E$56/7))))</f>
        <v>45794.94106</v>
      </c>
      <c r="AR34" s="226">
        <f t="shared" ref="AR34:AR42" si="6">IFERROR(MAX(AP34,AQ34),"")</f>
        <v>45850.92034</v>
      </c>
      <c r="AS34" s="82"/>
      <c r="AT34" s="82"/>
      <c r="AU34" s="83"/>
    </row>
    <row r="35" ht="15.0" customHeight="1">
      <c r="A35" s="229" t="s">
        <v>97</v>
      </c>
      <c r="B35" s="110" t="s">
        <v>865</v>
      </c>
      <c r="C35" s="93">
        <f>IF($A35="Feature",SUM(D35:E35)*'Roadmap setting'!$B$13,0)</f>
        <v>1.4</v>
      </c>
      <c r="D35" s="94">
        <v>4.0</v>
      </c>
      <c r="E35" s="94">
        <v>3.0</v>
      </c>
      <c r="F35" s="95">
        <f>IF($A35="Feature",IF('Roadmap setting'!$E$14,$E35*('Roadmap setting'!$B$14+'Roadmap setting'!$D$14),$E35*'Roadmap setting'!$B$14),0)</f>
        <v>0.45</v>
      </c>
      <c r="G35" s="93">
        <f>IF($A35="Feature",$D35*'Roadmap setting'!$B$15,0)</f>
        <v>0</v>
      </c>
      <c r="H35" s="95">
        <f>IF($A35="Feature",$E35*'Roadmap setting'!$B$16,0)</f>
        <v>0</v>
      </c>
      <c r="I35" s="93">
        <f>SUM($D35:$E35)*'Roadmap setting'!$B$17</f>
        <v>0.84</v>
      </c>
      <c r="J35" s="93">
        <f>SUM($D35:$E35)*'Roadmap setting'!$B$18</f>
        <v>0.07</v>
      </c>
      <c r="K35" s="93">
        <f>SUM($D35:$E35)*'Roadmap setting'!$B$19</f>
        <v>0</v>
      </c>
      <c r="L35" s="95">
        <f>SUM($D35:$E35)*'Roadmap setting'!$B$20</f>
        <v>0.14</v>
      </c>
      <c r="M35" s="79">
        <f t="shared" si="5"/>
        <v>9.9</v>
      </c>
      <c r="N35" s="96" t="b">
        <v>1</v>
      </c>
      <c r="O35" s="97">
        <v>0.4</v>
      </c>
      <c r="P35" s="97">
        <v>0.3</v>
      </c>
      <c r="Q35" s="97">
        <v>0.21</v>
      </c>
      <c r="R35" s="97">
        <v>0.14</v>
      </c>
      <c r="S35" s="97">
        <v>0.07</v>
      </c>
      <c r="T35" s="97">
        <v>0.28</v>
      </c>
      <c r="U35" s="99">
        <v>9.85</v>
      </c>
      <c r="V35" s="96" t="b">
        <v>0</v>
      </c>
      <c r="W35" s="97">
        <v>0.0</v>
      </c>
      <c r="X35" s="97">
        <v>1.2</v>
      </c>
      <c r="Y35" s="97">
        <v>0.32</v>
      </c>
      <c r="Z35" s="97">
        <v>0.24</v>
      </c>
      <c r="AA35" s="97">
        <v>0.16</v>
      </c>
      <c r="AB35" s="97">
        <v>0.48</v>
      </c>
      <c r="AC35" s="99">
        <v>11.2</v>
      </c>
      <c r="AD35" s="96" t="b">
        <v>0</v>
      </c>
      <c r="AE35" s="97">
        <v>0.0</v>
      </c>
      <c r="AF35" s="97">
        <v>1.6</v>
      </c>
      <c r="AG35" s="97">
        <v>0.4</v>
      </c>
      <c r="AH35" s="97">
        <v>0.32</v>
      </c>
      <c r="AI35" s="97">
        <v>0.24</v>
      </c>
      <c r="AJ35" s="97">
        <v>0.64</v>
      </c>
      <c r="AK35" s="99">
        <v>12.0</v>
      </c>
      <c r="AL35" s="96" t="b">
        <v>0</v>
      </c>
      <c r="AM35" s="80">
        <f t="array" ref="AM35">INDEX(A35:AL35, MATCH(RIGHT('Roadmap setting'!$B$9, 3), $A$2:$AL$2, 0) - 1)
</f>
        <v>9.9</v>
      </c>
      <c r="AN35" s="82">
        <f t="array" ref="AN35">IFNA(LOOKUP(2,1/(ISNUMBER(AN29:AN34)),AN29:AN34)+(D35/(Resources!$P$55/7)),Today()+(D35/(Resources!$P$55/7)))</f>
        <v>45813.55199</v>
      </c>
      <c r="AO35" s="82">
        <f t="array" ref="AO35">IFNA(LOOKUP(2,1/(ISNUMBER(AO29:AO34)),AO29:AO34)+(E35/(Resources!$P$56/7)),Today()+(E35/(Resources!$P$56/7)))</f>
        <v>45788.309</v>
      </c>
      <c r="AP35" s="82">
        <f t="array" ref="AP35">IF(ISNUMBER($AT35),IFNA(LOOKUP(2,1/(ISNUMBER(AP29:AP34)),AP29:AP34),Today()),IFNA(LOOKUP(2,1/(ISNUMBER(AP29:AP34)),AP29:AP34)+(D35/(Resources!$E$55/7)),Today()+(D35/(Resources!$E$55/7))))</f>
        <v>45851.93993</v>
      </c>
      <c r="AQ35" s="82">
        <f t="array" ref="AQ35">IF(ISNUMBER($AT35),IFNA(LOOKUP(2,1/(ISNUMBER(AQ29:AQ34)),AQ29:AQ34),Today()),IFNA(LOOKUP(2,1/(ISNUMBER(AQ29:AQ34)),AQ29:AQ34)+(E35/(Resources!$E$56/7)),Today()+(E35/(Resources!$E$56/7))))</f>
        <v>45795.97613</v>
      </c>
      <c r="AR35" s="226">
        <f t="shared" si="6"/>
        <v>45851.93993</v>
      </c>
      <c r="AS35" s="82"/>
      <c r="AT35" s="82"/>
      <c r="AU35" s="83"/>
    </row>
    <row r="36" ht="15.0" customHeight="1">
      <c r="A36" s="229" t="s">
        <v>97</v>
      </c>
      <c r="B36" s="110" t="s">
        <v>866</v>
      </c>
      <c r="C36" s="93">
        <f>IF($A36="Feature",SUM(D36:E36)*'Roadmap setting'!$B$13,0)</f>
        <v>2.4</v>
      </c>
      <c r="D36" s="94">
        <v>6.0</v>
      </c>
      <c r="E36" s="94">
        <v>6.0</v>
      </c>
      <c r="F36" s="95">
        <f>IF($A36="Feature",IF('Roadmap setting'!$E$14,$E36*('Roadmap setting'!$B$14+'Roadmap setting'!$D$14),$E36*'Roadmap setting'!$B$14),0)</f>
        <v>0.9</v>
      </c>
      <c r="G36" s="93">
        <f>IF($A36="Feature",$D36*'Roadmap setting'!$B$15,0)</f>
        <v>0</v>
      </c>
      <c r="H36" s="95">
        <f>IF($A36="Feature",$E36*'Roadmap setting'!$B$16,0)</f>
        <v>0</v>
      </c>
      <c r="I36" s="93">
        <f>SUM($D36:$E36)*'Roadmap setting'!$B$17</f>
        <v>1.44</v>
      </c>
      <c r="J36" s="93">
        <f>SUM($D36:$E36)*'Roadmap setting'!$B$18</f>
        <v>0.12</v>
      </c>
      <c r="K36" s="93">
        <f>SUM($D36:$E36)*'Roadmap setting'!$B$19</f>
        <v>0</v>
      </c>
      <c r="L36" s="95">
        <f>SUM($D36:$E36)*'Roadmap setting'!$B$20</f>
        <v>0.24</v>
      </c>
      <c r="M36" s="79">
        <f t="shared" si="5"/>
        <v>17.1</v>
      </c>
      <c r="N36" s="96" t="b">
        <v>1</v>
      </c>
      <c r="O36" s="97">
        <v>0.6</v>
      </c>
      <c r="P36" s="97">
        <v>0.6</v>
      </c>
      <c r="Q36" s="97">
        <v>0.36</v>
      </c>
      <c r="R36" s="97">
        <v>0.24</v>
      </c>
      <c r="S36" s="97">
        <v>0.12</v>
      </c>
      <c r="T36" s="97">
        <v>0.48</v>
      </c>
      <c r="U36" s="99">
        <v>17.1</v>
      </c>
      <c r="V36" s="96" t="b">
        <v>0</v>
      </c>
      <c r="W36" s="97">
        <v>0.0</v>
      </c>
      <c r="X36" s="97">
        <v>1.2</v>
      </c>
      <c r="Y36" s="97">
        <v>0.32</v>
      </c>
      <c r="Z36" s="97">
        <v>0.24</v>
      </c>
      <c r="AA36" s="97">
        <v>0.16</v>
      </c>
      <c r="AB36" s="97">
        <v>0.48</v>
      </c>
      <c r="AC36" s="99">
        <v>11.2</v>
      </c>
      <c r="AD36" s="96" t="b">
        <v>0</v>
      </c>
      <c r="AE36" s="97">
        <v>0.0</v>
      </c>
      <c r="AF36" s="97">
        <v>1.6</v>
      </c>
      <c r="AG36" s="97">
        <v>0.4</v>
      </c>
      <c r="AH36" s="97">
        <v>0.32</v>
      </c>
      <c r="AI36" s="97">
        <v>0.24</v>
      </c>
      <c r="AJ36" s="97">
        <v>0.64</v>
      </c>
      <c r="AK36" s="99">
        <v>12.0</v>
      </c>
      <c r="AL36" s="96" t="b">
        <v>0</v>
      </c>
      <c r="AM36" s="80">
        <f t="array" ref="AM36">INDEX(A36:AL36, MATCH(RIGHT('Roadmap setting'!$B$9, 3), $A$2:$AL$2, 0) - 1)
</f>
        <v>17.1</v>
      </c>
      <c r="AN36" s="82">
        <f t="array" ref="AN36">IFNA(LOOKUP(2,1/(ISNUMBER(AN30:AN35)),AN30:AN35)+(D36/(Resources!$P$55/7)),Today()+(D36/(Resources!$P$55/7)))</f>
        <v>45814.29795</v>
      </c>
      <c r="AO36" s="82">
        <f t="array" ref="AO36">IFNA(LOOKUP(2,1/(ISNUMBER(AO30:AO35)),AO30:AO35)+(E36/(Resources!$P$56/7)),Today()+(E36/(Resources!$P$56/7)))</f>
        <v>45789.54271</v>
      </c>
      <c r="AP36" s="82">
        <f t="array" ref="AP36">IF(ISNUMBER($AT36),IFNA(LOOKUP(2,1/(ISNUMBER(AP30:AP35)),AP30:AP35),Today()),IFNA(LOOKUP(2,1/(ISNUMBER(AP30:AP35)),AP30:AP35)+(D36/(Resources!$E$55/7)),Today()+(D36/(Resources!$E$55/7))))</f>
        <v>45853.46932</v>
      </c>
      <c r="AQ36" s="82">
        <f t="array" ref="AQ36">IF(ISNUMBER($AT36),IFNA(LOOKUP(2,1/(ISNUMBER(AQ30:AQ35)),AQ30:AQ35),Today()),IFNA(LOOKUP(2,1/(ISNUMBER(AQ30:AQ35)),AQ30:AQ35)+(E36/(Resources!$E$56/7)),Today()+(E36/(Resources!$E$56/7))))</f>
        <v>45798.04625</v>
      </c>
      <c r="AR36" s="226">
        <f t="shared" si="6"/>
        <v>45853.46932</v>
      </c>
      <c r="AS36" s="82"/>
      <c r="AT36" s="82"/>
      <c r="AU36" s="83"/>
    </row>
    <row r="37" ht="15.0" customHeight="1">
      <c r="A37" s="229" t="s">
        <v>97</v>
      </c>
      <c r="B37" s="110" t="s">
        <v>867</v>
      </c>
      <c r="C37" s="93">
        <f>IF($A37="Feature",SUM(D37:E37)*'Roadmap setting'!$B$13,0)</f>
        <v>1.2</v>
      </c>
      <c r="D37" s="94">
        <v>3.0</v>
      </c>
      <c r="E37" s="94">
        <v>3.0</v>
      </c>
      <c r="F37" s="95">
        <f>IF($A37="Feature",IF('Roadmap setting'!$E$14,$E37*('Roadmap setting'!$B$14+'Roadmap setting'!$D$14),$E37*'Roadmap setting'!$B$14),0)</f>
        <v>0.45</v>
      </c>
      <c r="G37" s="93">
        <f>IF($A37="Feature",$D37*'Roadmap setting'!$B$15,0)</f>
        <v>0</v>
      </c>
      <c r="H37" s="95">
        <f>IF($A37="Feature",$E37*'Roadmap setting'!$B$16,0)</f>
        <v>0</v>
      </c>
      <c r="I37" s="93">
        <f>SUM($D37:$E37)*'Roadmap setting'!$B$17</f>
        <v>0.72</v>
      </c>
      <c r="J37" s="93">
        <f>SUM($D37:$E37)*'Roadmap setting'!$B$18</f>
        <v>0.06</v>
      </c>
      <c r="K37" s="93">
        <f>SUM($D37:$E37)*'Roadmap setting'!$B$19</f>
        <v>0</v>
      </c>
      <c r="L37" s="95">
        <f>SUM($D37:$E37)*'Roadmap setting'!$B$20</f>
        <v>0.12</v>
      </c>
      <c r="M37" s="79">
        <f t="shared" si="5"/>
        <v>8.55</v>
      </c>
      <c r="N37" s="96" t="b">
        <v>1</v>
      </c>
      <c r="O37" s="97">
        <v>0.3</v>
      </c>
      <c r="P37" s="97">
        <v>0.3</v>
      </c>
      <c r="Q37" s="97">
        <v>0.18</v>
      </c>
      <c r="R37" s="97">
        <v>0.12</v>
      </c>
      <c r="S37" s="97">
        <v>0.06</v>
      </c>
      <c r="T37" s="97">
        <v>0.24</v>
      </c>
      <c r="U37" s="99">
        <v>8.55</v>
      </c>
      <c r="V37" s="96" t="b">
        <v>0</v>
      </c>
      <c r="W37" s="97">
        <v>0.0</v>
      </c>
      <c r="X37" s="97">
        <v>1.2</v>
      </c>
      <c r="Y37" s="97">
        <v>0.32</v>
      </c>
      <c r="Z37" s="97">
        <v>0.24</v>
      </c>
      <c r="AA37" s="97">
        <v>0.16</v>
      </c>
      <c r="AB37" s="97">
        <v>0.48</v>
      </c>
      <c r="AC37" s="99">
        <v>11.2</v>
      </c>
      <c r="AD37" s="96" t="b">
        <v>0</v>
      </c>
      <c r="AE37" s="97">
        <v>0.0</v>
      </c>
      <c r="AF37" s="97">
        <v>1.6</v>
      </c>
      <c r="AG37" s="97">
        <v>0.4</v>
      </c>
      <c r="AH37" s="97">
        <v>0.32</v>
      </c>
      <c r="AI37" s="97">
        <v>0.24</v>
      </c>
      <c r="AJ37" s="97">
        <v>0.64</v>
      </c>
      <c r="AK37" s="99">
        <v>12.0</v>
      </c>
      <c r="AL37" s="96" t="b">
        <v>0</v>
      </c>
      <c r="AM37" s="80">
        <f t="array" ref="AM37">INDEX(A37:AL37, MATCH(RIGHT('Roadmap setting'!$B$9, 3), $A$2:$AL$2, 0) - 1)
</f>
        <v>8.55</v>
      </c>
      <c r="AN37" s="82">
        <f t="array" ref="AN37">IFNA(LOOKUP(2,1/(ISNUMBER(AN31:AN36)),AN31:AN36)+(D37/(Resources!$P$55/7)),Today()+(D37/(Resources!$P$55/7)))</f>
        <v>45814.67093</v>
      </c>
      <c r="AO37" s="82">
        <f t="array" ref="AO37">IFNA(LOOKUP(2,1/(ISNUMBER(AO31:AO36)),AO31:AO36)+(E37/(Resources!$P$56/7)),Today()+(E37/(Resources!$P$56/7)))</f>
        <v>45790.15957</v>
      </c>
      <c r="AP37" s="82">
        <f t="array" ref="AP37">IF(ISNUMBER($AT37),IFNA(LOOKUP(2,1/(ISNUMBER(AP31:AP36)),AP31:AP36),Today()),IFNA(LOOKUP(2,1/(ISNUMBER(AP31:AP36)),AP31:AP36)+(D37/(Resources!$E$55/7)),Today()+(D37/(Resources!$E$55/7))))</f>
        <v>45854.23401</v>
      </c>
      <c r="AQ37" s="82">
        <f t="array" ref="AQ37">IF(ISNUMBER($AT37),IFNA(LOOKUP(2,1/(ISNUMBER(AQ31:AQ36)),AQ31:AQ36),Today()),IFNA(LOOKUP(2,1/(ISNUMBER(AQ31:AQ36)),AQ31:AQ36)+(E37/(Resources!$E$56/7)),Today()+(E37/(Resources!$E$56/7))))</f>
        <v>45799.08131</v>
      </c>
      <c r="AR37" s="226">
        <f t="shared" si="6"/>
        <v>45854.23401</v>
      </c>
      <c r="AS37" s="82"/>
      <c r="AT37" s="82"/>
      <c r="AU37" s="83"/>
    </row>
    <row r="38" ht="15.0" customHeight="1">
      <c r="A38" s="229" t="s">
        <v>97</v>
      </c>
      <c r="B38" s="110" t="s">
        <v>868</v>
      </c>
      <c r="C38" s="93">
        <f>IF($A38="Feature",SUM(D38:E38)*'Roadmap setting'!$B$13,0)</f>
        <v>4</v>
      </c>
      <c r="D38" s="94">
        <v>8.0</v>
      </c>
      <c r="E38" s="94">
        <v>12.0</v>
      </c>
      <c r="F38" s="95">
        <f>IF($A38="Feature",IF('Roadmap setting'!$E$14,$E38*('Roadmap setting'!$B$14+'Roadmap setting'!$D$14),$E38*'Roadmap setting'!$B$14),0)</f>
        <v>1.8</v>
      </c>
      <c r="G38" s="93">
        <f>IF($A38="Feature",$D38*'Roadmap setting'!$B$15,0)</f>
        <v>0</v>
      </c>
      <c r="H38" s="95">
        <f>IF($A38="Feature",$E38*'Roadmap setting'!$B$16,0)</f>
        <v>0</v>
      </c>
      <c r="I38" s="93">
        <f>SUM($D38:$E38)*'Roadmap setting'!$B$17</f>
        <v>2.4</v>
      </c>
      <c r="J38" s="93">
        <f>SUM($D38:$E38)*'Roadmap setting'!$B$18</f>
        <v>0.2</v>
      </c>
      <c r="K38" s="93">
        <f>SUM($D38:$E38)*'Roadmap setting'!$B$19</f>
        <v>0</v>
      </c>
      <c r="L38" s="95">
        <f>SUM($D38:$E38)*'Roadmap setting'!$B$20</f>
        <v>0.4</v>
      </c>
      <c r="M38" s="79">
        <f t="shared" si="5"/>
        <v>28.8</v>
      </c>
      <c r="N38" s="96" t="b">
        <v>1</v>
      </c>
      <c r="O38" s="97">
        <v>0.8</v>
      </c>
      <c r="P38" s="97">
        <v>1.2</v>
      </c>
      <c r="Q38" s="97">
        <v>0.6</v>
      </c>
      <c r="R38" s="97">
        <v>0.4</v>
      </c>
      <c r="S38" s="97">
        <v>0.2</v>
      </c>
      <c r="T38" s="97">
        <v>0.8</v>
      </c>
      <c r="U38" s="99">
        <v>29.0</v>
      </c>
      <c r="V38" s="96" t="b">
        <v>0</v>
      </c>
      <c r="W38" s="97">
        <v>0.0</v>
      </c>
      <c r="X38" s="97">
        <v>1.2</v>
      </c>
      <c r="Y38" s="97">
        <v>0.32</v>
      </c>
      <c r="Z38" s="97">
        <v>0.24</v>
      </c>
      <c r="AA38" s="97">
        <v>0.16</v>
      </c>
      <c r="AB38" s="97">
        <v>0.48</v>
      </c>
      <c r="AC38" s="99">
        <v>11.2</v>
      </c>
      <c r="AD38" s="96" t="b">
        <v>0</v>
      </c>
      <c r="AE38" s="97">
        <v>0.0</v>
      </c>
      <c r="AF38" s="97">
        <v>1.6</v>
      </c>
      <c r="AG38" s="97">
        <v>0.4</v>
      </c>
      <c r="AH38" s="97">
        <v>0.32</v>
      </c>
      <c r="AI38" s="97">
        <v>0.24</v>
      </c>
      <c r="AJ38" s="97">
        <v>0.64</v>
      </c>
      <c r="AK38" s="99">
        <v>12.0</v>
      </c>
      <c r="AL38" s="96" t="b">
        <v>0</v>
      </c>
      <c r="AM38" s="80">
        <f t="array" ref="AM38">INDEX(A38:AL38, MATCH(RIGHT('Roadmap setting'!$B$9, 3), $A$2:$AL$2, 0) - 1)
</f>
        <v>28.8</v>
      </c>
      <c r="AN38" s="82">
        <f t="array" ref="AN38">IFNA(LOOKUP(2,1/(ISNUMBER(AN32:AN37)),AN32:AN37)+(D38/(Resources!$P$55/7)),Today()+(D38/(Resources!$P$55/7)))</f>
        <v>45815.66555</v>
      </c>
      <c r="AO38" s="82">
        <f t="array" ref="AO38">IFNA(LOOKUP(2,1/(ISNUMBER(AO32:AO37)),AO32:AO37)+(E38/(Resources!$P$56/7)),Today()+(E38/(Resources!$P$56/7)))</f>
        <v>45792.62699</v>
      </c>
      <c r="AP38" s="82">
        <f t="array" ref="AP38">IF(ISNUMBER($AT38),IFNA(LOOKUP(2,1/(ISNUMBER(AP32:AP37)),AP32:AP37),Today()),IFNA(LOOKUP(2,1/(ISNUMBER(AP32:AP37)),AP32:AP37)+(D38/(Resources!$E$55/7)),Today()+(D38/(Resources!$E$55/7))))</f>
        <v>45856.2732</v>
      </c>
      <c r="AQ38" s="82">
        <f t="array" ref="AQ38">IF(ISNUMBER($AT38),IFNA(LOOKUP(2,1/(ISNUMBER(AQ32:AQ37)),AQ32:AQ37),Today()),IFNA(LOOKUP(2,1/(ISNUMBER(AQ32:AQ37)),AQ32:AQ37)+(E38/(Resources!$E$56/7)),Today()+(E38/(Resources!$E$56/7))))</f>
        <v>45803.22156</v>
      </c>
      <c r="AR38" s="226">
        <f t="shared" si="6"/>
        <v>45856.2732</v>
      </c>
      <c r="AS38" s="82"/>
      <c r="AT38" s="82"/>
      <c r="AU38" s="83"/>
    </row>
    <row r="39" ht="15.0" customHeight="1">
      <c r="A39" s="229" t="s">
        <v>97</v>
      </c>
      <c r="B39" s="110" t="s">
        <v>869</v>
      </c>
      <c r="C39" s="93">
        <f>IF($A39="Feature",SUM(D39:E39)*'Roadmap setting'!$B$13,0)</f>
        <v>1.4</v>
      </c>
      <c r="D39" s="94">
        <v>3.0</v>
      </c>
      <c r="E39" s="94">
        <v>4.0</v>
      </c>
      <c r="F39" s="95">
        <f>IF($A39="Feature",IF('Roadmap setting'!$E$14,$E39*('Roadmap setting'!$B$14+'Roadmap setting'!$D$14),$E39*'Roadmap setting'!$B$14),0)</f>
        <v>0.6</v>
      </c>
      <c r="G39" s="93">
        <f>IF($A39="Feature",$D39*'Roadmap setting'!$B$15,0)</f>
        <v>0</v>
      </c>
      <c r="H39" s="95">
        <f>IF($A39="Feature",$E39*'Roadmap setting'!$B$16,0)</f>
        <v>0</v>
      </c>
      <c r="I39" s="93">
        <f>SUM($D39:$E39)*'Roadmap setting'!$B$17</f>
        <v>0.84</v>
      </c>
      <c r="J39" s="93">
        <f>SUM($D39:$E39)*'Roadmap setting'!$B$18</f>
        <v>0.07</v>
      </c>
      <c r="K39" s="93">
        <f>SUM($D39:$E39)*'Roadmap setting'!$B$19</f>
        <v>0</v>
      </c>
      <c r="L39" s="95">
        <f>SUM($D39:$E39)*'Roadmap setting'!$B$20</f>
        <v>0.14</v>
      </c>
      <c r="M39" s="79">
        <f t="shared" si="5"/>
        <v>10.05</v>
      </c>
      <c r="N39" s="96" t="b">
        <v>0</v>
      </c>
      <c r="O39" s="97">
        <v>0.3</v>
      </c>
      <c r="P39" s="97">
        <v>0.4</v>
      </c>
      <c r="Q39" s="97">
        <v>0.21</v>
      </c>
      <c r="R39" s="97">
        <v>0.14</v>
      </c>
      <c r="S39" s="97">
        <v>0.07</v>
      </c>
      <c r="T39" s="97">
        <v>0.28</v>
      </c>
      <c r="U39" s="99">
        <v>10.1</v>
      </c>
      <c r="V39" s="96" t="b">
        <v>0</v>
      </c>
      <c r="W39" s="97">
        <v>0.0</v>
      </c>
      <c r="X39" s="97">
        <v>1.2</v>
      </c>
      <c r="Y39" s="97">
        <v>0.32</v>
      </c>
      <c r="Z39" s="97">
        <v>0.24</v>
      </c>
      <c r="AA39" s="97">
        <v>0.16</v>
      </c>
      <c r="AB39" s="97">
        <v>0.48</v>
      </c>
      <c r="AC39" s="99">
        <v>11.2</v>
      </c>
      <c r="AD39" s="96" t="b">
        <v>0</v>
      </c>
      <c r="AE39" s="97">
        <v>0.0</v>
      </c>
      <c r="AF39" s="97">
        <v>1.6</v>
      </c>
      <c r="AG39" s="97">
        <v>0.4</v>
      </c>
      <c r="AH39" s="97">
        <v>0.32</v>
      </c>
      <c r="AI39" s="97">
        <v>0.24</v>
      </c>
      <c r="AJ39" s="97">
        <v>0.64</v>
      </c>
      <c r="AK39" s="99">
        <v>12.0</v>
      </c>
      <c r="AL39" s="96" t="b">
        <v>0</v>
      </c>
      <c r="AM39" s="80">
        <f t="array" ref="AM39">INDEX(A39:AL39, MATCH(RIGHT('Roadmap setting'!$B$9, 3), $A$2:$AL$2, 0) - 1)
</f>
        <v>10.05</v>
      </c>
      <c r="AN39" s="82">
        <f t="array" ref="AN39">IFNA(LOOKUP(2,1/(ISNUMBER(AN33:AN38)),AN33:AN38)+(D39/(Resources!$P$55/7)),Today()+(D39/(Resources!$P$55/7)))</f>
        <v>45816.03852</v>
      </c>
      <c r="AO39" s="82">
        <f t="array" ref="AO39">IFNA(LOOKUP(2,1/(ISNUMBER(AO33:AO38)),AO33:AO38)+(E39/(Resources!$P$56/7)),Today()+(E39/(Resources!$P$56/7)))</f>
        <v>45793.44946</v>
      </c>
      <c r="AP39" s="82">
        <f t="array" ref="AP39">IF(ISNUMBER($AT39),IFNA(LOOKUP(2,1/(ISNUMBER(AP33:AP38)),AP33:AP38),Today()),IFNA(LOOKUP(2,1/(ISNUMBER(AP33:AP38)),AP33:AP38)+(D39/(Resources!$E$55/7)),Today()+(D39/(Resources!$E$55/7))))</f>
        <v>45857.03789</v>
      </c>
      <c r="AQ39" s="82">
        <f t="array" ref="AQ39">IF(ISNUMBER($AT39),IFNA(LOOKUP(2,1/(ISNUMBER(AQ33:AQ38)),AQ33:AQ38),Today()),IFNA(LOOKUP(2,1/(ISNUMBER(AQ33:AQ38)),AQ33:AQ38)+(E39/(Resources!$E$56/7)),Today()+(E39/(Resources!$E$56/7))))</f>
        <v>45804.60164</v>
      </c>
      <c r="AR39" s="226">
        <f t="shared" si="6"/>
        <v>45857.03789</v>
      </c>
      <c r="AS39" s="82"/>
      <c r="AT39" s="82"/>
      <c r="AU39" s="83"/>
    </row>
    <row r="40" ht="15.0" customHeight="1">
      <c r="A40" s="229" t="s">
        <v>97</v>
      </c>
      <c r="B40" s="110" t="s">
        <v>870</v>
      </c>
      <c r="C40" s="93">
        <f>IF($A40="Feature",SUM(D40:E40)*'Roadmap setting'!$B$13,0)</f>
        <v>1.8</v>
      </c>
      <c r="D40" s="94">
        <v>4.0</v>
      </c>
      <c r="E40" s="94">
        <v>5.0</v>
      </c>
      <c r="F40" s="95">
        <f>IF($A40="Feature",IF('Roadmap setting'!$E$14,$E40*('Roadmap setting'!$B$14+'Roadmap setting'!$D$14),$E40*'Roadmap setting'!$B$14),0)</f>
        <v>0.75</v>
      </c>
      <c r="G40" s="93">
        <f>IF($A40="Feature",$D40*'Roadmap setting'!$B$15,0)</f>
        <v>0</v>
      </c>
      <c r="H40" s="95">
        <f>IF($A40="Feature",$E40*'Roadmap setting'!$B$16,0)</f>
        <v>0</v>
      </c>
      <c r="I40" s="93">
        <f>SUM($D40:$E40)*'Roadmap setting'!$B$17</f>
        <v>1.08</v>
      </c>
      <c r="J40" s="93">
        <f>SUM($D40:$E40)*'Roadmap setting'!$B$18</f>
        <v>0.09</v>
      </c>
      <c r="K40" s="93">
        <f>SUM($D40:$E40)*'Roadmap setting'!$B$19</f>
        <v>0</v>
      </c>
      <c r="L40" s="95">
        <f>SUM($D40:$E40)*'Roadmap setting'!$B$20</f>
        <v>0.18</v>
      </c>
      <c r="M40" s="79">
        <f t="shared" si="5"/>
        <v>12.9</v>
      </c>
      <c r="N40" s="96" t="b">
        <v>0</v>
      </c>
      <c r="O40" s="97">
        <v>0.4</v>
      </c>
      <c r="P40" s="97">
        <v>0.5</v>
      </c>
      <c r="Q40" s="97">
        <v>0.27</v>
      </c>
      <c r="R40" s="97">
        <v>0.18</v>
      </c>
      <c r="S40" s="97">
        <v>0.09</v>
      </c>
      <c r="T40" s="97">
        <v>0.36</v>
      </c>
      <c r="U40" s="99">
        <v>12.95</v>
      </c>
      <c r="V40" s="96" t="b">
        <v>0</v>
      </c>
      <c r="W40" s="97">
        <v>0.0</v>
      </c>
      <c r="X40" s="97">
        <v>1.2</v>
      </c>
      <c r="Y40" s="97">
        <v>0.32</v>
      </c>
      <c r="Z40" s="97">
        <v>0.24</v>
      </c>
      <c r="AA40" s="97">
        <v>0.16</v>
      </c>
      <c r="AB40" s="97">
        <v>0.48</v>
      </c>
      <c r="AC40" s="99">
        <v>11.2</v>
      </c>
      <c r="AD40" s="96" t="b">
        <v>0</v>
      </c>
      <c r="AE40" s="97">
        <v>0.0</v>
      </c>
      <c r="AF40" s="97">
        <v>1.6</v>
      </c>
      <c r="AG40" s="97">
        <v>0.4</v>
      </c>
      <c r="AH40" s="97">
        <v>0.32</v>
      </c>
      <c r="AI40" s="97">
        <v>0.24</v>
      </c>
      <c r="AJ40" s="97">
        <v>0.64</v>
      </c>
      <c r="AK40" s="99">
        <v>12.0</v>
      </c>
      <c r="AL40" s="96" t="b">
        <v>0</v>
      </c>
      <c r="AM40" s="80">
        <f t="array" ref="AM40">INDEX(A40:AL40, MATCH(RIGHT('Roadmap setting'!$B$9, 3), $A$2:$AL$2, 0) - 1)
</f>
        <v>12.9</v>
      </c>
      <c r="AN40" s="82">
        <f t="array" ref="AN40">IFNA(LOOKUP(2,1/(ISNUMBER(AN34:AN39)),AN34:AN39)+(D40/(Resources!$P$55/7)),Today()+(D40/(Resources!$P$55/7)))</f>
        <v>45816.53583</v>
      </c>
      <c r="AO40" s="82">
        <f t="array" ref="AO40">IFNA(LOOKUP(2,1/(ISNUMBER(AO34:AO39)),AO34:AO39)+(E40/(Resources!$P$56/7)),Today()+(E40/(Resources!$P$56/7)))</f>
        <v>45794.47755</v>
      </c>
      <c r="AP40" s="82">
        <f t="array" ref="AP40">IF(ISNUMBER($AT40),IFNA(LOOKUP(2,1/(ISNUMBER(AP34:AP39)),AP34:AP39),Today()),IFNA(LOOKUP(2,1/(ISNUMBER(AP34:AP39)),AP34:AP39)+(D40/(Resources!$E$55/7)),Today()+(D40/(Resources!$E$55/7))))</f>
        <v>45858.05748</v>
      </c>
      <c r="AQ40" s="82">
        <f t="array" ref="AQ40">IF(ISNUMBER($AT40),IFNA(LOOKUP(2,1/(ISNUMBER(AQ34:AQ39)),AQ34:AQ39),Today()),IFNA(LOOKUP(2,1/(ISNUMBER(AQ34:AQ39)),AQ34:AQ39)+(E40/(Resources!$E$56/7)),Today()+(E40/(Resources!$E$56/7))))</f>
        <v>45806.32674</v>
      </c>
      <c r="AR40" s="226">
        <f t="shared" si="6"/>
        <v>45858.05748</v>
      </c>
      <c r="AS40" s="82"/>
      <c r="AT40" s="82"/>
      <c r="AU40" s="83"/>
    </row>
    <row r="41" ht="15.0" customHeight="1">
      <c r="A41" s="229" t="s">
        <v>97</v>
      </c>
      <c r="B41" s="110" t="s">
        <v>871</v>
      </c>
      <c r="C41" s="93">
        <f>IF($A41="Feature",SUM(D41:E41)*'Roadmap setting'!$B$13,0)</f>
        <v>1</v>
      </c>
      <c r="D41" s="94">
        <v>2.0</v>
      </c>
      <c r="E41" s="94">
        <v>3.0</v>
      </c>
      <c r="F41" s="95">
        <f>IF($A41="Feature",IF('Roadmap setting'!$E$14,$E41*('Roadmap setting'!$B$14+'Roadmap setting'!$D$14),$E41*'Roadmap setting'!$B$14),0)</f>
        <v>0.45</v>
      </c>
      <c r="G41" s="93">
        <f>IF($A41="Feature",$D41*'Roadmap setting'!$B$15,0)</f>
        <v>0</v>
      </c>
      <c r="H41" s="95">
        <f>IF($A41="Feature",$E41*'Roadmap setting'!$B$16,0)</f>
        <v>0</v>
      </c>
      <c r="I41" s="93">
        <f>SUM($D41:$E41)*'Roadmap setting'!$B$17</f>
        <v>0.6</v>
      </c>
      <c r="J41" s="93">
        <f>SUM($D41:$E41)*'Roadmap setting'!$B$18</f>
        <v>0.05</v>
      </c>
      <c r="K41" s="93">
        <f>SUM($D41:$E41)*'Roadmap setting'!$B$19</f>
        <v>0</v>
      </c>
      <c r="L41" s="95">
        <f>SUM($D41:$E41)*'Roadmap setting'!$B$20</f>
        <v>0.1</v>
      </c>
      <c r="M41" s="79">
        <f t="shared" si="5"/>
        <v>7.2</v>
      </c>
      <c r="N41" s="96" t="b">
        <v>0</v>
      </c>
      <c r="O41" s="97">
        <v>0.2</v>
      </c>
      <c r="P41" s="97">
        <v>0.3</v>
      </c>
      <c r="Q41" s="97">
        <v>0.15</v>
      </c>
      <c r="R41" s="97">
        <v>0.1</v>
      </c>
      <c r="S41" s="97">
        <v>0.05</v>
      </c>
      <c r="T41" s="97">
        <v>0.2</v>
      </c>
      <c r="U41" s="99">
        <v>7.25</v>
      </c>
      <c r="V41" s="96" t="b">
        <v>0</v>
      </c>
      <c r="W41" s="97">
        <v>0.0</v>
      </c>
      <c r="X41" s="97">
        <v>1.2</v>
      </c>
      <c r="Y41" s="97">
        <v>0.32</v>
      </c>
      <c r="Z41" s="97">
        <v>0.24</v>
      </c>
      <c r="AA41" s="97">
        <v>0.16</v>
      </c>
      <c r="AB41" s="97">
        <v>0.48</v>
      </c>
      <c r="AC41" s="99">
        <v>11.2</v>
      </c>
      <c r="AD41" s="96" t="b">
        <v>0</v>
      </c>
      <c r="AE41" s="97">
        <v>0.0</v>
      </c>
      <c r="AF41" s="97">
        <v>1.6</v>
      </c>
      <c r="AG41" s="97">
        <v>0.4</v>
      </c>
      <c r="AH41" s="97">
        <v>0.32</v>
      </c>
      <c r="AI41" s="97">
        <v>0.24</v>
      </c>
      <c r="AJ41" s="97">
        <v>0.64</v>
      </c>
      <c r="AK41" s="99">
        <v>12.0</v>
      </c>
      <c r="AL41" s="96" t="b">
        <v>0</v>
      </c>
      <c r="AM41" s="80">
        <f t="array" ref="AM41">INDEX(A41:AL41, MATCH(RIGHT('Roadmap setting'!$B$9, 3), $A$2:$AL$2, 0) - 1)
</f>
        <v>7.2</v>
      </c>
      <c r="AN41" s="82">
        <f t="array" ref="AN41">IFNA(LOOKUP(2,1/(ISNUMBER(AN35:AN40)),AN35:AN40)+(D41/(Resources!$P$55/7)),Today()+(D41/(Resources!$P$55/7)))</f>
        <v>45816.78448</v>
      </c>
      <c r="AO41" s="82">
        <f t="array" ref="AO41">IFNA(LOOKUP(2,1/(ISNUMBER(AO35:AO40)),AO35:AO40)+(E41/(Resources!$P$56/7)),Today()+(E41/(Resources!$P$56/7)))</f>
        <v>45795.09441</v>
      </c>
      <c r="AP41" s="82">
        <f t="array" ref="AP41">IF(ISNUMBER($AT41),IFNA(LOOKUP(2,1/(ISNUMBER(AP35:AP40)),AP35:AP40),Today()),IFNA(LOOKUP(2,1/(ISNUMBER(AP35:AP40)),AP35:AP40)+(D41/(Resources!$E$55/7)),Today()+(D41/(Resources!$E$55/7))))</f>
        <v>45858.56727</v>
      </c>
      <c r="AQ41" s="82">
        <f t="array" ref="AQ41">IF(ISNUMBER($AT41),IFNA(LOOKUP(2,1/(ISNUMBER(AQ35:AQ40)),AQ35:AQ40),Today()),IFNA(LOOKUP(2,1/(ISNUMBER(AQ35:AQ40)),AQ35:AQ40)+(E41/(Resources!$E$56/7)),Today()+(E41/(Resources!$E$56/7))))</f>
        <v>45807.3618</v>
      </c>
      <c r="AR41" s="226">
        <f t="shared" si="6"/>
        <v>45858.56727</v>
      </c>
      <c r="AS41" s="82"/>
      <c r="AT41" s="82"/>
      <c r="AU41" s="83"/>
    </row>
    <row r="42" ht="15.0" customHeight="1">
      <c r="A42" s="229" t="s">
        <v>97</v>
      </c>
      <c r="B42" s="230" t="s">
        <v>872</v>
      </c>
      <c r="C42" s="93">
        <f>IF($A42="Feature",SUM(D42:E42)*'Roadmap setting'!$B$13,0)</f>
        <v>6.4</v>
      </c>
      <c r="D42" s="94">
        <v>16.0</v>
      </c>
      <c r="E42" s="94">
        <v>16.0</v>
      </c>
      <c r="F42" s="95">
        <f>IF($A42="Feature",IF('Roadmap setting'!$E$14,$E42*('Roadmap setting'!$B$14+'Roadmap setting'!$D$14),$E42*'Roadmap setting'!$B$14),0)</f>
        <v>2.4</v>
      </c>
      <c r="G42" s="93">
        <f>IF($A42="Feature",$D42*'Roadmap setting'!$B$15,0)</f>
        <v>0</v>
      </c>
      <c r="H42" s="95">
        <f>IF($A42="Feature",$E42*'Roadmap setting'!$B$16,0)</f>
        <v>0</v>
      </c>
      <c r="I42" s="93">
        <f>SUM($D42:$E42)*'Roadmap setting'!$B$17</f>
        <v>3.84</v>
      </c>
      <c r="J42" s="93">
        <f>SUM($D42:$E42)*'Roadmap setting'!$B$18</f>
        <v>0.32</v>
      </c>
      <c r="K42" s="93">
        <f>SUM($D42:$E42)*'Roadmap setting'!$B$19</f>
        <v>0</v>
      </c>
      <c r="L42" s="95">
        <f>SUM($D42:$E42)*'Roadmap setting'!$B$20</f>
        <v>0.64</v>
      </c>
      <c r="M42" s="79">
        <f t="shared" si="5"/>
        <v>45.6</v>
      </c>
      <c r="N42" s="96" t="b">
        <v>1</v>
      </c>
      <c r="O42" s="97">
        <v>1.6</v>
      </c>
      <c r="P42" s="97">
        <v>1.6</v>
      </c>
      <c r="Q42" s="97">
        <v>0.96</v>
      </c>
      <c r="R42" s="97">
        <v>0.64</v>
      </c>
      <c r="S42" s="97">
        <v>0.32</v>
      </c>
      <c r="T42" s="97">
        <v>1.28</v>
      </c>
      <c r="U42" s="99">
        <v>45.6</v>
      </c>
      <c r="V42" s="96" t="b">
        <v>0</v>
      </c>
      <c r="W42" s="97">
        <v>0.0</v>
      </c>
      <c r="X42" s="97">
        <v>1.2</v>
      </c>
      <c r="Y42" s="97">
        <v>0.32</v>
      </c>
      <c r="Z42" s="97">
        <v>0.24</v>
      </c>
      <c r="AA42" s="97">
        <v>0.16</v>
      </c>
      <c r="AB42" s="97">
        <v>0.48</v>
      </c>
      <c r="AC42" s="99">
        <v>11.2</v>
      </c>
      <c r="AD42" s="96" t="b">
        <v>0</v>
      </c>
      <c r="AE42" s="97">
        <v>0.0</v>
      </c>
      <c r="AF42" s="97">
        <v>1.6</v>
      </c>
      <c r="AG42" s="97">
        <v>0.4</v>
      </c>
      <c r="AH42" s="97">
        <v>0.32</v>
      </c>
      <c r="AI42" s="97">
        <v>0.24</v>
      </c>
      <c r="AJ42" s="97">
        <v>0.64</v>
      </c>
      <c r="AK42" s="99">
        <v>12.0</v>
      </c>
      <c r="AL42" s="96" t="b">
        <v>0</v>
      </c>
      <c r="AM42" s="80">
        <f t="array" ref="AM42">INDEX(A42:AL42, MATCH(RIGHT('Roadmap setting'!$B$9, 3), $A$2:$AL$2, 0) - 1)
</f>
        <v>45.6</v>
      </c>
      <c r="AN42" s="82">
        <f t="array" ref="AN42">IFNA(LOOKUP(2,1/(ISNUMBER(AN36:AN41)),AN36:AN41)+(D42/(Resources!$P$55/7)),Today()+(D42/(Resources!$P$55/7)))</f>
        <v>45818.77371</v>
      </c>
      <c r="AO42" s="82">
        <f t="array" ref="AO42">IFNA(LOOKUP(2,1/(ISNUMBER(AO36:AO41)),AO36:AO41)+(E42/(Resources!$P$56/7)),Today()+(E42/(Resources!$P$56/7)))</f>
        <v>45798.3843</v>
      </c>
      <c r="AP42" s="82">
        <f t="array" ref="AP42">IF(ISNUMBER($AT42),IFNA(LOOKUP(2,1/(ISNUMBER(AP36:AP41)),AP36:AP41),Today()),IFNA(LOOKUP(2,1/(ISNUMBER(AP36:AP41)),AP36:AP41)+(D42/(Resources!$E$55/7)),Today()+(D42/(Resources!$E$55/7))))</f>
        <v>45862.64564</v>
      </c>
      <c r="AQ42" s="82">
        <f t="array" ref="AQ42">IF(ISNUMBER($AT42),IFNA(LOOKUP(2,1/(ISNUMBER(AQ36:AQ41)),AQ36:AQ41),Today()),IFNA(LOOKUP(2,1/(ISNUMBER(AQ36:AQ41)),AQ36:AQ41)+(E42/(Resources!$E$56/7)),Today()+(E42/(Resources!$E$56/7))))</f>
        <v>45812.88213</v>
      </c>
      <c r="AR42" s="226">
        <f t="shared" si="6"/>
        <v>45862.64564</v>
      </c>
      <c r="AS42" s="82"/>
      <c r="AT42" s="82"/>
      <c r="AU42" s="83"/>
    </row>
    <row r="43" ht="15.0" customHeight="1">
      <c r="A43" s="84"/>
      <c r="B43" s="85" t="s">
        <v>873</v>
      </c>
      <c r="C43" s="84"/>
      <c r="D43" s="84"/>
      <c r="E43" s="84"/>
      <c r="F43" s="84"/>
      <c r="G43" s="84"/>
      <c r="H43" s="84"/>
      <c r="I43" s="84"/>
      <c r="J43" s="84"/>
      <c r="K43" s="84"/>
      <c r="L43" s="84"/>
      <c r="M43" s="84"/>
      <c r="N43" s="84"/>
      <c r="O43" s="84"/>
      <c r="P43" s="84"/>
      <c r="Q43" s="84"/>
      <c r="R43" s="84"/>
      <c r="S43" s="84"/>
      <c r="T43" s="84"/>
      <c r="U43" s="84"/>
      <c r="V43" s="84"/>
      <c r="W43" s="84"/>
      <c r="X43" s="84"/>
      <c r="Y43" s="84"/>
      <c r="Z43" s="84"/>
      <c r="AA43" s="84"/>
      <c r="AB43" s="84"/>
      <c r="AC43" s="84"/>
      <c r="AD43" s="84"/>
      <c r="AE43" s="84"/>
      <c r="AF43" s="84"/>
      <c r="AG43" s="84"/>
      <c r="AH43" s="84"/>
      <c r="AI43" s="84"/>
      <c r="AJ43" s="84"/>
      <c r="AK43" s="84"/>
      <c r="AL43" s="84"/>
      <c r="AM43" s="84"/>
      <c r="AN43" s="84"/>
      <c r="AO43" s="84"/>
      <c r="AP43" s="84"/>
      <c r="AQ43" s="84"/>
      <c r="AR43" s="84"/>
      <c r="AS43" s="84"/>
      <c r="AT43" s="84"/>
      <c r="AU43" s="84"/>
    </row>
    <row r="44" ht="15.0" customHeight="1">
      <c r="A44" s="71"/>
      <c r="B44" s="91" t="s">
        <v>874</v>
      </c>
      <c r="C44" s="71"/>
      <c r="D44" s="71"/>
      <c r="E44" s="71"/>
      <c r="F44" s="71"/>
      <c r="G44" s="71"/>
      <c r="H44" s="71"/>
      <c r="I44" s="71"/>
      <c r="J44" s="71"/>
      <c r="K44" s="71"/>
      <c r="L44" s="71"/>
      <c r="M44" s="71"/>
      <c r="N44" s="71"/>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71"/>
      <c r="AQ44" s="71"/>
      <c r="AR44" s="71"/>
      <c r="AS44" s="71"/>
      <c r="AT44" s="71"/>
      <c r="AU44" s="71"/>
    </row>
    <row r="45" ht="15.0" customHeight="1">
      <c r="A45" s="229" t="s">
        <v>97</v>
      </c>
      <c r="B45" s="107" t="s">
        <v>875</v>
      </c>
      <c r="C45" s="93">
        <f>IF($A45="Feature",SUM(D45:E45)*'Roadmap setting'!$B$13,0)</f>
        <v>1</v>
      </c>
      <c r="D45" s="94">
        <v>0.0</v>
      </c>
      <c r="E45" s="94">
        <v>5.0</v>
      </c>
      <c r="F45" s="95">
        <f>IF($A45="Feature",IF('Roadmap setting'!$E$14,$E45*('Roadmap setting'!$B$14+'Roadmap setting'!$D$14),$E45*'Roadmap setting'!$B$14),0)</f>
        <v>0.75</v>
      </c>
      <c r="G45" s="93">
        <f>IF($A45="Feature",$D45*'Roadmap setting'!$B$15,0)</f>
        <v>0</v>
      </c>
      <c r="H45" s="95">
        <f>IF($A45="Feature",$E45*'Roadmap setting'!$B$16,0)</f>
        <v>0</v>
      </c>
      <c r="I45" s="93">
        <f>SUM($D45:$E45)*'Roadmap setting'!$B$17</f>
        <v>0.6</v>
      </c>
      <c r="J45" s="93">
        <f>SUM($D45:$E45)*'Roadmap setting'!$B$18</f>
        <v>0.05</v>
      </c>
      <c r="K45" s="93">
        <f>SUM($D45:$E45)*'Roadmap setting'!$B$19</f>
        <v>0</v>
      </c>
      <c r="L45" s="95">
        <f>SUM($D45:$E45)*'Roadmap setting'!$B$20</f>
        <v>0.1</v>
      </c>
      <c r="M45" s="79">
        <f t="shared" ref="M45:M50" si="7">SUM($C45:$F45)+SUM(G45:L45)</f>
        <v>7.5</v>
      </c>
      <c r="N45" s="96" t="b">
        <v>1</v>
      </c>
      <c r="O45" s="97">
        <v>0.0</v>
      </c>
      <c r="P45" s="97">
        <v>0.5</v>
      </c>
      <c r="Q45" s="97">
        <v>0.15</v>
      </c>
      <c r="R45" s="97">
        <v>0.1</v>
      </c>
      <c r="S45" s="97">
        <v>0.05</v>
      </c>
      <c r="T45" s="97">
        <v>0.2</v>
      </c>
      <c r="U45" s="99">
        <v>7.75</v>
      </c>
      <c r="V45" s="96" t="b">
        <v>0</v>
      </c>
      <c r="W45" s="97">
        <v>0.0</v>
      </c>
      <c r="X45" s="97">
        <v>1.2</v>
      </c>
      <c r="Y45" s="97">
        <v>0.32</v>
      </c>
      <c r="Z45" s="97">
        <v>0.24</v>
      </c>
      <c r="AA45" s="97">
        <v>0.16</v>
      </c>
      <c r="AB45" s="97">
        <v>0.48</v>
      </c>
      <c r="AC45" s="99">
        <v>11.2</v>
      </c>
      <c r="AD45" s="96" t="b">
        <v>0</v>
      </c>
      <c r="AE45" s="97">
        <v>0.0</v>
      </c>
      <c r="AF45" s="97">
        <v>1.6</v>
      </c>
      <c r="AG45" s="97">
        <v>0.4</v>
      </c>
      <c r="AH45" s="97">
        <v>0.32</v>
      </c>
      <c r="AI45" s="97">
        <v>0.24</v>
      </c>
      <c r="AJ45" s="97">
        <v>0.64</v>
      </c>
      <c r="AK45" s="99">
        <v>12.0</v>
      </c>
      <c r="AL45" s="96" t="b">
        <v>0</v>
      </c>
      <c r="AM45" s="80">
        <f t="array" ref="AM45">INDEX(A45:AL45, MATCH(RIGHT('Roadmap setting'!$B$9, 3), $A$2:$AL$2, 0) - 1)
</f>
        <v>7.5</v>
      </c>
      <c r="AN45" s="82">
        <f t="array" ref="AN45">IFNA(LOOKUP(2,1/(ISNUMBER(AN39:AN44)),AN39:AN44)+(D45/(Resources!$P$55/7)),Today()+(D45/(Resources!$P$55/7)))</f>
        <v>45818.77371</v>
      </c>
      <c r="AO45" s="82">
        <f t="array" ref="AO45">IFNA(LOOKUP(2,1/(ISNUMBER(AO39:AO44)),AO39:AO44)+(E45/(Resources!$P$56/7)),Today()+(E45/(Resources!$P$56/7)))</f>
        <v>45799.41239</v>
      </c>
      <c r="AP45" s="82">
        <f t="array" ref="AP45">IF(ISNUMBER($AT45),IFNA(LOOKUP(2,1/(ISNUMBER(AP39:AP44)),AP39:AP44),Today()),IFNA(LOOKUP(2,1/(ISNUMBER(AP39:AP44)),AP39:AP44)+(D45/(Resources!$E$55/7)),Today()+(D45/(Resources!$E$55/7))))</f>
        <v>45862.64564</v>
      </c>
      <c r="AQ45" s="82">
        <f t="array" ref="AQ45">IF(ISNUMBER($AT45),IFNA(LOOKUP(2,1/(ISNUMBER(AQ39:AQ44)),AQ39:AQ44),Today()),IFNA(LOOKUP(2,1/(ISNUMBER(AQ39:AQ44)),AQ39:AQ44)+(E45/(Resources!$E$56/7)),Today()+(E45/(Resources!$E$56/7))))</f>
        <v>45814.60723</v>
      </c>
      <c r="AR45" s="226">
        <f t="shared" ref="AR45:AR50" si="8">IFERROR(MAX(AP45,AQ45),"")</f>
        <v>45862.64564</v>
      </c>
      <c r="AS45" s="82"/>
      <c r="AT45" s="82"/>
      <c r="AU45" s="83"/>
    </row>
    <row r="46" ht="15.0" customHeight="1">
      <c r="A46" s="229" t="s">
        <v>97</v>
      </c>
      <c r="B46" s="107" t="s">
        <v>876</v>
      </c>
      <c r="C46" s="93">
        <f>IF($A46="Feature",SUM(D46:E46)*'Roadmap setting'!$B$13,0)</f>
        <v>1.6</v>
      </c>
      <c r="D46" s="94">
        <v>0.0</v>
      </c>
      <c r="E46" s="94">
        <v>8.0</v>
      </c>
      <c r="F46" s="95">
        <f>IF($A46="Feature",IF('Roadmap setting'!$E$14,$E46*('Roadmap setting'!$B$14+'Roadmap setting'!$D$14),$E46*'Roadmap setting'!$B$14),0)</f>
        <v>1.2</v>
      </c>
      <c r="G46" s="93">
        <f>IF($A46="Feature",$D46*'Roadmap setting'!$B$15,0)</f>
        <v>0</v>
      </c>
      <c r="H46" s="95">
        <f>IF($A46="Feature",$E46*'Roadmap setting'!$B$16,0)</f>
        <v>0</v>
      </c>
      <c r="I46" s="93">
        <f>SUM($D46:$E46)*'Roadmap setting'!$B$17</f>
        <v>0.96</v>
      </c>
      <c r="J46" s="93">
        <f>SUM($D46:$E46)*'Roadmap setting'!$B$18</f>
        <v>0.08</v>
      </c>
      <c r="K46" s="93">
        <f>SUM($D46:$E46)*'Roadmap setting'!$B$19</f>
        <v>0</v>
      </c>
      <c r="L46" s="95">
        <f>SUM($D46:$E46)*'Roadmap setting'!$B$20</f>
        <v>0.16</v>
      </c>
      <c r="M46" s="79">
        <f t="shared" si="7"/>
        <v>12</v>
      </c>
      <c r="N46" s="96" t="b">
        <v>1</v>
      </c>
      <c r="O46" s="97">
        <v>0.0</v>
      </c>
      <c r="P46" s="97">
        <v>0.8</v>
      </c>
      <c r="Q46" s="97">
        <v>0.24</v>
      </c>
      <c r="R46" s="97">
        <v>0.16</v>
      </c>
      <c r="S46" s="97">
        <v>0.08</v>
      </c>
      <c r="T46" s="97">
        <v>0.32</v>
      </c>
      <c r="U46" s="99">
        <v>12.4</v>
      </c>
      <c r="V46" s="96" t="b">
        <v>0</v>
      </c>
      <c r="W46" s="97">
        <v>0.0</v>
      </c>
      <c r="X46" s="97">
        <v>1.2</v>
      </c>
      <c r="Y46" s="97">
        <v>0.32</v>
      </c>
      <c r="Z46" s="97">
        <v>0.24</v>
      </c>
      <c r="AA46" s="97">
        <v>0.16</v>
      </c>
      <c r="AB46" s="97">
        <v>0.48</v>
      </c>
      <c r="AC46" s="99">
        <v>11.2</v>
      </c>
      <c r="AD46" s="96" t="b">
        <v>0</v>
      </c>
      <c r="AE46" s="97">
        <v>0.0</v>
      </c>
      <c r="AF46" s="97">
        <v>1.6</v>
      </c>
      <c r="AG46" s="97">
        <v>0.4</v>
      </c>
      <c r="AH46" s="97">
        <v>0.32</v>
      </c>
      <c r="AI46" s="97">
        <v>0.24</v>
      </c>
      <c r="AJ46" s="97">
        <v>0.64</v>
      </c>
      <c r="AK46" s="99">
        <v>12.0</v>
      </c>
      <c r="AL46" s="96" t="b">
        <v>0</v>
      </c>
      <c r="AM46" s="80">
        <f t="array" ref="AM46">INDEX(A46:AL46, MATCH(RIGHT('Roadmap setting'!$B$9, 3), $A$2:$AL$2, 0) - 1)
</f>
        <v>12</v>
      </c>
      <c r="AN46" s="82">
        <f t="array" ref="AN46">IFNA(LOOKUP(2,1/(ISNUMBER(AN40:AN45)),AN40:AN45)+(D46/(Resources!$P$55/7)),Today()+(D46/(Resources!$P$55/7)))</f>
        <v>45818.77371</v>
      </c>
      <c r="AO46" s="82">
        <f t="array" ref="AO46">IFNA(LOOKUP(2,1/(ISNUMBER(AO40:AO45)),AO40:AO45)+(E46/(Resources!$P$56/7)),Today()+(E46/(Resources!$P$56/7)))</f>
        <v>45801.05734</v>
      </c>
      <c r="AP46" s="82">
        <f t="array" ref="AP46">IF(ISNUMBER($AT46),IFNA(LOOKUP(2,1/(ISNUMBER(AP40:AP45)),AP40:AP45),Today()),IFNA(LOOKUP(2,1/(ISNUMBER(AP40:AP45)),AP40:AP45)+(D46/(Resources!$E$55/7)),Today()+(D46/(Resources!$E$55/7))))</f>
        <v>45862.64564</v>
      </c>
      <c r="AQ46" s="82">
        <f t="array" ref="AQ46">IF(ISNUMBER($AT46),IFNA(LOOKUP(2,1/(ISNUMBER(AQ40:AQ45)),AQ40:AQ45),Today()),IFNA(LOOKUP(2,1/(ISNUMBER(AQ40:AQ45)),AQ40:AQ45)+(E46/(Resources!$E$56/7)),Today()+(E46/(Resources!$E$56/7))))</f>
        <v>45817.36739</v>
      </c>
      <c r="AR46" s="226">
        <f t="shared" si="8"/>
        <v>45862.64564</v>
      </c>
      <c r="AS46" s="82"/>
      <c r="AT46" s="82"/>
      <c r="AU46" s="83"/>
    </row>
    <row r="47" ht="15.0" customHeight="1">
      <c r="A47" s="229" t="s">
        <v>97</v>
      </c>
      <c r="B47" s="107" t="s">
        <v>877</v>
      </c>
      <c r="C47" s="93">
        <f>IF($A47="Feature",SUM(D47:E47)*'Roadmap setting'!$B$13,0)</f>
        <v>1.4</v>
      </c>
      <c r="D47" s="94">
        <v>3.0</v>
      </c>
      <c r="E47" s="94">
        <v>4.0</v>
      </c>
      <c r="F47" s="95">
        <f>IF($A47="Feature",IF('Roadmap setting'!$E$14,$E47*('Roadmap setting'!$B$14+'Roadmap setting'!$D$14),$E47*'Roadmap setting'!$B$14),0)</f>
        <v>0.6</v>
      </c>
      <c r="G47" s="93">
        <f>IF($A47="Feature",$D47*'Roadmap setting'!$B$15,0)</f>
        <v>0</v>
      </c>
      <c r="H47" s="95">
        <f>IF($A47="Feature",$E47*'Roadmap setting'!$B$16,0)</f>
        <v>0</v>
      </c>
      <c r="I47" s="93">
        <f>SUM($D47:$E47)*'Roadmap setting'!$B$17</f>
        <v>0.84</v>
      </c>
      <c r="J47" s="93">
        <f>SUM($D47:$E47)*'Roadmap setting'!$B$18</f>
        <v>0.07</v>
      </c>
      <c r="K47" s="93">
        <f>SUM($D47:$E47)*'Roadmap setting'!$B$19</f>
        <v>0</v>
      </c>
      <c r="L47" s="95">
        <f>SUM($D47:$E47)*'Roadmap setting'!$B$20</f>
        <v>0.14</v>
      </c>
      <c r="M47" s="79">
        <f t="shared" si="7"/>
        <v>10.05</v>
      </c>
      <c r="N47" s="96" t="b">
        <v>1</v>
      </c>
      <c r="O47" s="97">
        <v>0.3</v>
      </c>
      <c r="P47" s="97">
        <v>0.4</v>
      </c>
      <c r="Q47" s="97">
        <v>0.21</v>
      </c>
      <c r="R47" s="97">
        <v>0.14</v>
      </c>
      <c r="S47" s="97">
        <v>0.07</v>
      </c>
      <c r="T47" s="97">
        <v>0.28</v>
      </c>
      <c r="U47" s="99">
        <v>10.1</v>
      </c>
      <c r="V47" s="96" t="b">
        <v>0</v>
      </c>
      <c r="W47" s="97">
        <v>0.0</v>
      </c>
      <c r="X47" s="97">
        <v>1.2</v>
      </c>
      <c r="Y47" s="97">
        <v>0.32</v>
      </c>
      <c r="Z47" s="97">
        <v>0.24</v>
      </c>
      <c r="AA47" s="97">
        <v>0.16</v>
      </c>
      <c r="AB47" s="97">
        <v>0.48</v>
      </c>
      <c r="AC47" s="99">
        <v>11.2</v>
      </c>
      <c r="AD47" s="96" t="b">
        <v>0</v>
      </c>
      <c r="AE47" s="97">
        <v>0.0</v>
      </c>
      <c r="AF47" s="97">
        <v>1.6</v>
      </c>
      <c r="AG47" s="97">
        <v>0.4</v>
      </c>
      <c r="AH47" s="97">
        <v>0.32</v>
      </c>
      <c r="AI47" s="97">
        <v>0.24</v>
      </c>
      <c r="AJ47" s="97">
        <v>0.64</v>
      </c>
      <c r="AK47" s="99">
        <v>12.0</v>
      </c>
      <c r="AL47" s="96" t="b">
        <v>0</v>
      </c>
      <c r="AM47" s="80">
        <f t="array" ref="AM47">INDEX(A47:AL47, MATCH(RIGHT('Roadmap setting'!$B$9, 3), $A$2:$AL$2, 0) - 1)
</f>
        <v>10.05</v>
      </c>
      <c r="AN47" s="82">
        <f t="array" ref="AN47">IFNA(LOOKUP(2,1/(ISNUMBER(AN41:AN46)),AN41:AN46)+(D47/(Resources!$P$55/7)),Today()+(D47/(Resources!$P$55/7)))</f>
        <v>45819.14669</v>
      </c>
      <c r="AO47" s="82">
        <f t="array" ref="AO47">IFNA(LOOKUP(2,1/(ISNUMBER(AO41:AO46)),AO41:AO46)+(E47/(Resources!$P$56/7)),Today()+(E47/(Resources!$P$56/7)))</f>
        <v>45801.87981</v>
      </c>
      <c r="AP47" s="82">
        <f t="array" ref="AP47">IF(ISNUMBER($AT47),IFNA(LOOKUP(2,1/(ISNUMBER(AP41:AP46)),AP41:AP46),Today()),IFNA(LOOKUP(2,1/(ISNUMBER(AP41:AP46)),AP41:AP46)+(D47/(Resources!$E$55/7)),Today()+(D47/(Resources!$E$55/7))))</f>
        <v>45863.41033</v>
      </c>
      <c r="AQ47" s="82">
        <f t="array" ref="AQ47">IF(ISNUMBER($AT47),IFNA(LOOKUP(2,1/(ISNUMBER(AQ41:AQ46)),AQ41:AQ46),Today()),IFNA(LOOKUP(2,1/(ISNUMBER(AQ41:AQ46)),AQ41:AQ46)+(E47/(Resources!$E$56/7)),Today()+(E47/(Resources!$E$56/7))))</f>
        <v>45818.74748</v>
      </c>
      <c r="AR47" s="226">
        <f t="shared" si="8"/>
        <v>45863.41033</v>
      </c>
      <c r="AS47" s="82"/>
      <c r="AT47" s="82"/>
      <c r="AU47" s="83"/>
    </row>
    <row r="48" ht="15.0" customHeight="1">
      <c r="A48" s="229" t="s">
        <v>97</v>
      </c>
      <c r="B48" s="103" t="s">
        <v>878</v>
      </c>
      <c r="C48" s="93">
        <f>IF($A48="Feature",SUM(D48:E48)*'Roadmap setting'!$B$13,0)</f>
        <v>1.4</v>
      </c>
      <c r="D48" s="94">
        <v>4.0</v>
      </c>
      <c r="E48" s="94">
        <v>3.0</v>
      </c>
      <c r="F48" s="95">
        <f>IF($A48="Feature",IF('Roadmap setting'!$E$14,$E48*('Roadmap setting'!$B$14+'Roadmap setting'!$D$14),$E48*'Roadmap setting'!$B$14),0)</f>
        <v>0.45</v>
      </c>
      <c r="G48" s="93">
        <f>IF($A48="Feature",$D48*'Roadmap setting'!$B$15,0)</f>
        <v>0</v>
      </c>
      <c r="H48" s="95">
        <f>IF($A48="Feature",$E48*'Roadmap setting'!$B$16,0)</f>
        <v>0</v>
      </c>
      <c r="I48" s="93">
        <f>SUM($D48:$E48)*'Roadmap setting'!$B$17</f>
        <v>0.84</v>
      </c>
      <c r="J48" s="93">
        <f>SUM($D48:$E48)*'Roadmap setting'!$B$18</f>
        <v>0.07</v>
      </c>
      <c r="K48" s="93">
        <f>SUM($D48:$E48)*'Roadmap setting'!$B$19</f>
        <v>0</v>
      </c>
      <c r="L48" s="95">
        <f>SUM($D48:$E48)*'Roadmap setting'!$B$20</f>
        <v>0.14</v>
      </c>
      <c r="M48" s="79">
        <f t="shared" si="7"/>
        <v>9.9</v>
      </c>
      <c r="N48" s="96" t="b">
        <v>1</v>
      </c>
      <c r="O48" s="97">
        <v>0.4</v>
      </c>
      <c r="P48" s="97">
        <v>0.3</v>
      </c>
      <c r="Q48" s="97">
        <v>0.21</v>
      </c>
      <c r="R48" s="97">
        <v>0.14</v>
      </c>
      <c r="S48" s="97">
        <v>0.07</v>
      </c>
      <c r="T48" s="97">
        <v>0.28</v>
      </c>
      <c r="U48" s="99">
        <v>9.85</v>
      </c>
      <c r="V48" s="96" t="b">
        <v>0</v>
      </c>
      <c r="W48" s="97">
        <v>0.0</v>
      </c>
      <c r="X48" s="97">
        <v>1.2</v>
      </c>
      <c r="Y48" s="97">
        <v>0.32</v>
      </c>
      <c r="Z48" s="97">
        <v>0.24</v>
      </c>
      <c r="AA48" s="97">
        <v>0.16</v>
      </c>
      <c r="AB48" s="97">
        <v>0.48</v>
      </c>
      <c r="AC48" s="99">
        <v>11.2</v>
      </c>
      <c r="AD48" s="96" t="b">
        <v>0</v>
      </c>
      <c r="AE48" s="97">
        <v>0.0</v>
      </c>
      <c r="AF48" s="97">
        <v>1.6</v>
      </c>
      <c r="AG48" s="97">
        <v>0.4</v>
      </c>
      <c r="AH48" s="97">
        <v>0.32</v>
      </c>
      <c r="AI48" s="97">
        <v>0.24</v>
      </c>
      <c r="AJ48" s="97">
        <v>0.64</v>
      </c>
      <c r="AK48" s="99">
        <v>12.0</v>
      </c>
      <c r="AL48" s="96" t="b">
        <v>0</v>
      </c>
      <c r="AM48" s="80">
        <f t="array" ref="AM48">INDEX(A48:AL48, MATCH(RIGHT('Roadmap setting'!$B$9, 3), $A$2:$AL$2, 0) - 1)
</f>
        <v>9.9</v>
      </c>
      <c r="AN48" s="82">
        <f t="array" ref="AN48">IFNA(LOOKUP(2,1/(ISNUMBER(AN42:AN47)),AN42:AN47)+(D48/(Resources!$P$55/7)),Today()+(D48/(Resources!$P$55/7)))</f>
        <v>45819.64399</v>
      </c>
      <c r="AO48" s="82">
        <f t="array" ref="AO48">IFNA(LOOKUP(2,1/(ISNUMBER(AO42:AO47)),AO42:AO47)+(E48/(Resources!$P$56/7)),Today()+(E48/(Resources!$P$56/7)))</f>
        <v>45802.49666</v>
      </c>
      <c r="AP48" s="82">
        <f t="array" ref="AP48">IF(ISNUMBER($AT48),IFNA(LOOKUP(2,1/(ISNUMBER(AP42:AP47)),AP42:AP47),Today()),IFNA(LOOKUP(2,1/(ISNUMBER(AP42:AP47)),AP42:AP47)+(D48/(Resources!$E$55/7)),Today()+(D48/(Resources!$E$55/7))))</f>
        <v>45864.42992</v>
      </c>
      <c r="AQ48" s="82">
        <f t="array" ref="AQ48">IF(ISNUMBER($AT48),IFNA(LOOKUP(2,1/(ISNUMBER(AQ42:AQ47)),AQ42:AQ47),Today()),IFNA(LOOKUP(2,1/(ISNUMBER(AQ42:AQ47)),AQ42:AQ47)+(E48/(Resources!$E$56/7)),Today()+(E48/(Resources!$E$56/7))))</f>
        <v>45819.78254</v>
      </c>
      <c r="AR48" s="226">
        <f t="shared" si="8"/>
        <v>45864.42992</v>
      </c>
      <c r="AS48" s="82"/>
      <c r="AT48" s="82"/>
      <c r="AU48" s="83"/>
    </row>
    <row r="49" ht="15.0" customHeight="1">
      <c r="A49" s="229" t="s">
        <v>97</v>
      </c>
      <c r="B49" s="103" t="s">
        <v>879</v>
      </c>
      <c r="C49" s="93">
        <f>IF($A49="Feature",SUM(D49:E49)*'Roadmap setting'!$B$13,0)</f>
        <v>1.2</v>
      </c>
      <c r="D49" s="94">
        <v>3.0</v>
      </c>
      <c r="E49" s="94">
        <v>3.0</v>
      </c>
      <c r="F49" s="95">
        <f>IF($A49="Feature",IF('Roadmap setting'!$E$14,$E49*('Roadmap setting'!$B$14+'Roadmap setting'!$D$14),$E49*'Roadmap setting'!$B$14),0)</f>
        <v>0.45</v>
      </c>
      <c r="G49" s="93">
        <f>IF($A49="Feature",$D49*'Roadmap setting'!$B$15,0)</f>
        <v>0</v>
      </c>
      <c r="H49" s="95">
        <f>IF($A49="Feature",$E49*'Roadmap setting'!$B$16,0)</f>
        <v>0</v>
      </c>
      <c r="I49" s="93">
        <f>SUM($D49:$E49)*'Roadmap setting'!$B$17</f>
        <v>0.72</v>
      </c>
      <c r="J49" s="93">
        <f>SUM($D49:$E49)*'Roadmap setting'!$B$18</f>
        <v>0.06</v>
      </c>
      <c r="K49" s="93">
        <f>SUM($D49:$E49)*'Roadmap setting'!$B$19</f>
        <v>0</v>
      </c>
      <c r="L49" s="95">
        <f>SUM($D49:$E49)*'Roadmap setting'!$B$20</f>
        <v>0.12</v>
      </c>
      <c r="M49" s="79">
        <f t="shared" si="7"/>
        <v>8.55</v>
      </c>
      <c r="N49" s="96" t="b">
        <v>1</v>
      </c>
      <c r="O49" s="97">
        <v>0.3</v>
      </c>
      <c r="P49" s="97">
        <v>0.3</v>
      </c>
      <c r="Q49" s="97">
        <v>0.18</v>
      </c>
      <c r="R49" s="97">
        <v>0.12</v>
      </c>
      <c r="S49" s="97">
        <v>0.06</v>
      </c>
      <c r="T49" s="97">
        <v>0.24</v>
      </c>
      <c r="U49" s="99">
        <v>8.55</v>
      </c>
      <c r="V49" s="96" t="b">
        <v>0</v>
      </c>
      <c r="W49" s="97">
        <v>0.0</v>
      </c>
      <c r="X49" s="97">
        <v>1.2</v>
      </c>
      <c r="Y49" s="97">
        <v>0.32</v>
      </c>
      <c r="Z49" s="97">
        <v>0.24</v>
      </c>
      <c r="AA49" s="97">
        <v>0.16</v>
      </c>
      <c r="AB49" s="97">
        <v>0.48</v>
      </c>
      <c r="AC49" s="99">
        <v>11.2</v>
      </c>
      <c r="AD49" s="96" t="b">
        <v>0</v>
      </c>
      <c r="AE49" s="97">
        <v>0.0</v>
      </c>
      <c r="AF49" s="97">
        <v>1.6</v>
      </c>
      <c r="AG49" s="97">
        <v>0.4</v>
      </c>
      <c r="AH49" s="97">
        <v>0.32</v>
      </c>
      <c r="AI49" s="97">
        <v>0.24</v>
      </c>
      <c r="AJ49" s="97">
        <v>0.64</v>
      </c>
      <c r="AK49" s="99">
        <v>12.0</v>
      </c>
      <c r="AL49" s="96" t="b">
        <v>0</v>
      </c>
      <c r="AM49" s="80">
        <f t="array" ref="AM49">INDEX(A49:AL49, MATCH(RIGHT('Roadmap setting'!$B$9, 3), $A$2:$AL$2, 0) - 1)
</f>
        <v>8.55</v>
      </c>
      <c r="AN49" s="82">
        <f t="array" ref="AN49">IFNA(LOOKUP(2,1/(ISNUMBER(AN43:AN48)),AN43:AN48)+(D49/(Resources!$P$55/7)),Today()+(D49/(Resources!$P$55/7)))</f>
        <v>45820.01697</v>
      </c>
      <c r="AO49" s="82">
        <f t="array" ref="AO49">IFNA(LOOKUP(2,1/(ISNUMBER(AO43:AO48)),AO43:AO48)+(E49/(Resources!$P$56/7)),Today()+(E49/(Resources!$P$56/7)))</f>
        <v>45803.11352</v>
      </c>
      <c r="AP49" s="82">
        <f t="array" ref="AP49">IF(ISNUMBER($AT49),IFNA(LOOKUP(2,1/(ISNUMBER(AP43:AP48)),AP43:AP48),Today()),IFNA(LOOKUP(2,1/(ISNUMBER(AP43:AP48)),AP43:AP48)+(D49/(Resources!$E$55/7)),Today()+(D49/(Resources!$E$55/7))))</f>
        <v>45865.19462</v>
      </c>
      <c r="AQ49" s="82">
        <f t="array" ref="AQ49">IF(ISNUMBER($AT49),IFNA(LOOKUP(2,1/(ISNUMBER(AQ43:AQ48)),AQ43:AQ48),Today()),IFNA(LOOKUP(2,1/(ISNUMBER(AQ43:AQ48)),AQ43:AQ48)+(E49/(Resources!$E$56/7)),Today()+(E49/(Resources!$E$56/7))))</f>
        <v>45820.8176</v>
      </c>
      <c r="AR49" s="226">
        <f t="shared" si="8"/>
        <v>45865.19462</v>
      </c>
      <c r="AS49" s="82"/>
      <c r="AT49" s="82"/>
      <c r="AU49" s="83"/>
    </row>
    <row r="50" ht="15.0" customHeight="1">
      <c r="A50" s="229" t="s">
        <v>97</v>
      </c>
      <c r="B50" s="103" t="s">
        <v>880</v>
      </c>
      <c r="C50" s="93">
        <f>IF($A50="Feature",SUM(D50:E50)*'Roadmap setting'!$B$13,0)</f>
        <v>0.8</v>
      </c>
      <c r="D50" s="94">
        <v>4.0</v>
      </c>
      <c r="E50" s="94">
        <v>0.0</v>
      </c>
      <c r="F50" s="95">
        <f>IF($A50="Feature",IF('Roadmap setting'!$E$14,$E50*('Roadmap setting'!$B$14+'Roadmap setting'!$D$14),$E50*'Roadmap setting'!$B$14),0)</f>
        <v>0</v>
      </c>
      <c r="G50" s="93">
        <f>IF($A50="Feature",$D50*'Roadmap setting'!$B$15,0)</f>
        <v>0</v>
      </c>
      <c r="H50" s="95">
        <f>IF($A50="Feature",$E50*'Roadmap setting'!$B$16,0)</f>
        <v>0</v>
      </c>
      <c r="I50" s="93">
        <f>SUM($D50:$E50)*'Roadmap setting'!$B$17</f>
        <v>0.48</v>
      </c>
      <c r="J50" s="93">
        <f>SUM($D50:$E50)*'Roadmap setting'!$B$18</f>
        <v>0.04</v>
      </c>
      <c r="K50" s="93">
        <f>SUM($D50:$E50)*'Roadmap setting'!$B$19</f>
        <v>0</v>
      </c>
      <c r="L50" s="95">
        <f>SUM($D50:$E50)*'Roadmap setting'!$B$20</f>
        <v>0.08</v>
      </c>
      <c r="M50" s="79">
        <f t="shared" si="7"/>
        <v>5.4</v>
      </c>
      <c r="N50" s="96" t="b">
        <v>1</v>
      </c>
      <c r="O50" s="97">
        <v>0.4</v>
      </c>
      <c r="P50" s="97">
        <v>0.0</v>
      </c>
      <c r="Q50" s="97">
        <v>0.12</v>
      </c>
      <c r="R50" s="97">
        <v>0.08</v>
      </c>
      <c r="S50" s="97">
        <v>0.04</v>
      </c>
      <c r="T50" s="97">
        <v>0.16</v>
      </c>
      <c r="U50" s="99">
        <v>5.2</v>
      </c>
      <c r="V50" s="96" t="b">
        <v>0</v>
      </c>
      <c r="W50" s="97">
        <v>0.0</v>
      </c>
      <c r="X50" s="97">
        <v>1.2</v>
      </c>
      <c r="Y50" s="97">
        <v>0.32</v>
      </c>
      <c r="Z50" s="97">
        <v>0.24</v>
      </c>
      <c r="AA50" s="97">
        <v>0.16</v>
      </c>
      <c r="AB50" s="97">
        <v>0.48</v>
      </c>
      <c r="AC50" s="99">
        <v>11.2</v>
      </c>
      <c r="AD50" s="96" t="b">
        <v>0</v>
      </c>
      <c r="AE50" s="97">
        <v>0.0</v>
      </c>
      <c r="AF50" s="97">
        <v>1.6</v>
      </c>
      <c r="AG50" s="97">
        <v>0.4</v>
      </c>
      <c r="AH50" s="97">
        <v>0.32</v>
      </c>
      <c r="AI50" s="97">
        <v>0.24</v>
      </c>
      <c r="AJ50" s="97">
        <v>0.64</v>
      </c>
      <c r="AK50" s="99">
        <v>12.0</v>
      </c>
      <c r="AL50" s="96" t="b">
        <v>0</v>
      </c>
      <c r="AM50" s="80">
        <f t="array" ref="AM50">INDEX(A50:AL50, MATCH(RIGHT('Roadmap setting'!$B$9, 3), $A$2:$AL$2, 0) - 1)
</f>
        <v>5.4</v>
      </c>
      <c r="AN50" s="82">
        <f t="array" ref="AN50">IFNA(LOOKUP(2,1/(ISNUMBER(AN44:AN49)),AN44:AN49)+(D50/(Resources!$P$55/7)),Today()+(D50/(Resources!$P$55/7)))</f>
        <v>45820.51428</v>
      </c>
      <c r="AO50" s="82">
        <f t="array" ref="AO50">IFNA(LOOKUP(2,1/(ISNUMBER(AO44:AO49)),AO44:AO49)+(E50/(Resources!$P$56/7)),Today()+(E50/(Resources!$P$56/7)))</f>
        <v>45803.11352</v>
      </c>
      <c r="AP50" s="82">
        <f t="array" ref="AP50">IF(ISNUMBER($AT50),IFNA(LOOKUP(2,1/(ISNUMBER(AP44:AP49)),AP44:AP49),Today()),IFNA(LOOKUP(2,1/(ISNUMBER(AP44:AP49)),AP44:AP49)+(D50/(Resources!$E$55/7)),Today()+(D50/(Resources!$E$55/7))))</f>
        <v>45866.21421</v>
      </c>
      <c r="AQ50" s="82">
        <f t="array" ref="AQ50">IF(ISNUMBER($AT50),IFNA(LOOKUP(2,1/(ISNUMBER(AQ44:AQ49)),AQ44:AQ49),Today()),IFNA(LOOKUP(2,1/(ISNUMBER(AQ44:AQ49)),AQ44:AQ49)+(E50/(Resources!$E$56/7)),Today()+(E50/(Resources!$E$56/7))))</f>
        <v>45820.8176</v>
      </c>
      <c r="AR50" s="226">
        <f t="shared" si="8"/>
        <v>45866.21421</v>
      </c>
      <c r="AS50" s="82"/>
      <c r="AT50" s="82"/>
      <c r="AU50" s="83"/>
    </row>
    <row r="51" ht="15.0" customHeight="1">
      <c r="A51" s="72"/>
      <c r="B51" s="91" t="s">
        <v>881</v>
      </c>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c r="AC51" s="72"/>
      <c r="AD51" s="72"/>
      <c r="AE51" s="72"/>
      <c r="AF51" s="72"/>
      <c r="AG51" s="72"/>
      <c r="AH51" s="72"/>
      <c r="AI51" s="72"/>
      <c r="AJ51" s="72"/>
      <c r="AK51" s="72"/>
      <c r="AL51" s="72"/>
      <c r="AM51" s="72"/>
      <c r="AN51" s="72"/>
      <c r="AO51" s="72"/>
      <c r="AP51" s="72"/>
      <c r="AQ51" s="72"/>
      <c r="AR51" s="72"/>
      <c r="AS51" s="72"/>
      <c r="AT51" s="72"/>
      <c r="AU51" s="72"/>
    </row>
    <row r="52" ht="15.0" customHeight="1">
      <c r="A52" s="229" t="s">
        <v>97</v>
      </c>
      <c r="B52" s="110" t="s">
        <v>882</v>
      </c>
      <c r="C52" s="93">
        <f>IF($A52="Feature",SUM(D52:E52)*'Roadmap setting'!$B$13,0)</f>
        <v>1.8</v>
      </c>
      <c r="D52" s="94">
        <v>4.0</v>
      </c>
      <c r="E52" s="94">
        <v>5.0</v>
      </c>
      <c r="F52" s="95">
        <f>IF($A52="Feature",IF('Roadmap setting'!$E$14,$E52*('Roadmap setting'!$B$14+'Roadmap setting'!$D$14),$E52*'Roadmap setting'!$B$14),0)</f>
        <v>0.75</v>
      </c>
      <c r="G52" s="93">
        <f>IF($A52="Feature",$D52*'Roadmap setting'!$B$15,0)</f>
        <v>0</v>
      </c>
      <c r="H52" s="95">
        <f>IF($A52="Feature",$E52*'Roadmap setting'!$B$16,0)</f>
        <v>0</v>
      </c>
      <c r="I52" s="93">
        <f>SUM($D52:$E52)*'Roadmap setting'!$B$17</f>
        <v>1.08</v>
      </c>
      <c r="J52" s="93">
        <f>SUM($D52:$E52)*'Roadmap setting'!$B$18</f>
        <v>0.09</v>
      </c>
      <c r="K52" s="93">
        <f>SUM($D52:$E52)*'Roadmap setting'!$B$19</f>
        <v>0</v>
      </c>
      <c r="L52" s="95">
        <f>SUM($D52:$E52)*'Roadmap setting'!$B$20</f>
        <v>0.18</v>
      </c>
      <c r="M52" s="79">
        <f t="shared" ref="M52:M56" si="9">SUM($C52:$F52)+SUM(G52:L52)</f>
        <v>12.9</v>
      </c>
      <c r="N52" s="96" t="b">
        <v>0</v>
      </c>
      <c r="O52" s="97">
        <v>0.4</v>
      </c>
      <c r="P52" s="97">
        <v>0.5</v>
      </c>
      <c r="Q52" s="97">
        <v>0.27</v>
      </c>
      <c r="R52" s="97">
        <v>0.18</v>
      </c>
      <c r="S52" s="97">
        <v>0.09</v>
      </c>
      <c r="T52" s="97">
        <v>0.36</v>
      </c>
      <c r="U52" s="99">
        <v>12.95</v>
      </c>
      <c r="V52" s="96" t="b">
        <v>0</v>
      </c>
      <c r="W52" s="97">
        <v>0.0</v>
      </c>
      <c r="X52" s="97">
        <v>1.2</v>
      </c>
      <c r="Y52" s="97">
        <v>0.32</v>
      </c>
      <c r="Z52" s="97">
        <v>0.24</v>
      </c>
      <c r="AA52" s="97">
        <v>0.16</v>
      </c>
      <c r="AB52" s="97">
        <v>0.48</v>
      </c>
      <c r="AC52" s="99">
        <v>11.2</v>
      </c>
      <c r="AD52" s="96" t="b">
        <v>0</v>
      </c>
      <c r="AE52" s="97">
        <v>0.0</v>
      </c>
      <c r="AF52" s="97">
        <v>1.6</v>
      </c>
      <c r="AG52" s="97">
        <v>0.4</v>
      </c>
      <c r="AH52" s="97">
        <v>0.32</v>
      </c>
      <c r="AI52" s="97">
        <v>0.24</v>
      </c>
      <c r="AJ52" s="97">
        <v>0.64</v>
      </c>
      <c r="AK52" s="99">
        <v>12.0</v>
      </c>
      <c r="AL52" s="96" t="b">
        <v>0</v>
      </c>
      <c r="AM52" s="80">
        <f t="array" ref="AM52">INDEX(A52:AL52, MATCH(RIGHT('Roadmap setting'!$B$9, 3), $A$2:$AL$2, 0) - 1)
</f>
        <v>12.9</v>
      </c>
      <c r="AN52" s="82">
        <f t="array" ref="AN52">IFNA(LOOKUP(2,1/(ISNUMBER(AN46:AN51)),AN46:AN51)+(D52/(Resources!$P$55/7)),Today()+(D52/(Resources!$P$55/7)))</f>
        <v>45821.01159</v>
      </c>
      <c r="AO52" s="82">
        <f t="array" ref="AO52">IFNA(LOOKUP(2,1/(ISNUMBER(AO46:AO51)),AO46:AO51)+(E52/(Resources!$P$56/7)),Today()+(E52/(Resources!$P$56/7)))</f>
        <v>45804.14161</v>
      </c>
      <c r="AP52" s="82">
        <f t="array" ref="AP52">IF(ISNUMBER($AT52),IFNA(LOOKUP(2,1/(ISNUMBER(AP46:AP51)),AP46:AP51),Today()),IFNA(LOOKUP(2,1/(ISNUMBER(AP46:AP51)),AP46:AP51)+(D52/(Resources!$E$55/7)),Today()+(D52/(Resources!$E$55/7))))</f>
        <v>45867.2338</v>
      </c>
      <c r="AQ52" s="82">
        <f t="array" ref="AQ52">IF(ISNUMBER($AT52),IFNA(LOOKUP(2,1/(ISNUMBER(AQ46:AQ51)),AQ46:AQ51),Today()),IFNA(LOOKUP(2,1/(ISNUMBER(AQ46:AQ51)),AQ46:AQ51)+(E52/(Resources!$E$56/7)),Today()+(E52/(Resources!$E$56/7))))</f>
        <v>45822.5427</v>
      </c>
      <c r="AR52" s="226">
        <f t="shared" ref="AR52:AR56" si="10">IFERROR(MAX(AP52,AQ52),"")</f>
        <v>45867.2338</v>
      </c>
      <c r="AS52" s="82"/>
      <c r="AT52" s="82"/>
      <c r="AU52" s="83"/>
    </row>
    <row r="53" ht="15.0" customHeight="1">
      <c r="A53" s="229" t="s">
        <v>97</v>
      </c>
      <c r="B53" s="110" t="s">
        <v>883</v>
      </c>
      <c r="C53" s="93">
        <f>IF($A53="Feature",SUM(D53:E53)*'Roadmap setting'!$B$13,0)</f>
        <v>1.4</v>
      </c>
      <c r="D53" s="94">
        <v>4.0</v>
      </c>
      <c r="E53" s="94">
        <v>3.0</v>
      </c>
      <c r="F53" s="95">
        <f>IF($A53="Feature",IF('Roadmap setting'!$E$14,$E53*('Roadmap setting'!$B$14+'Roadmap setting'!$D$14),$E53*'Roadmap setting'!$B$14),0)</f>
        <v>0.45</v>
      </c>
      <c r="G53" s="93">
        <f>IF($A53="Feature",$D53*'Roadmap setting'!$B$15,0)</f>
        <v>0</v>
      </c>
      <c r="H53" s="95">
        <f>IF($A53="Feature",$E53*'Roadmap setting'!$B$16,0)</f>
        <v>0</v>
      </c>
      <c r="I53" s="93">
        <f>SUM($D53:$E53)*'Roadmap setting'!$B$17</f>
        <v>0.84</v>
      </c>
      <c r="J53" s="93">
        <f>SUM($D53:$E53)*'Roadmap setting'!$B$18</f>
        <v>0.07</v>
      </c>
      <c r="K53" s="93">
        <f>SUM($D53:$E53)*'Roadmap setting'!$B$19</f>
        <v>0</v>
      </c>
      <c r="L53" s="95">
        <f>SUM($D53:$E53)*'Roadmap setting'!$B$20</f>
        <v>0.14</v>
      </c>
      <c r="M53" s="79">
        <f t="shared" si="9"/>
        <v>9.9</v>
      </c>
      <c r="N53" s="96" t="b">
        <v>0</v>
      </c>
      <c r="O53" s="97">
        <v>0.4</v>
      </c>
      <c r="P53" s="97">
        <v>0.3</v>
      </c>
      <c r="Q53" s="97">
        <v>0.21</v>
      </c>
      <c r="R53" s="97">
        <v>0.14</v>
      </c>
      <c r="S53" s="97">
        <v>0.07</v>
      </c>
      <c r="T53" s="97">
        <v>0.28</v>
      </c>
      <c r="U53" s="99">
        <v>9.85</v>
      </c>
      <c r="V53" s="96" t="b">
        <v>0</v>
      </c>
      <c r="W53" s="97">
        <v>0.0</v>
      </c>
      <c r="X53" s="97">
        <v>1.2</v>
      </c>
      <c r="Y53" s="97">
        <v>0.32</v>
      </c>
      <c r="Z53" s="97">
        <v>0.24</v>
      </c>
      <c r="AA53" s="97">
        <v>0.16</v>
      </c>
      <c r="AB53" s="97">
        <v>0.48</v>
      </c>
      <c r="AC53" s="99">
        <v>11.2</v>
      </c>
      <c r="AD53" s="96" t="b">
        <v>0</v>
      </c>
      <c r="AE53" s="97">
        <v>0.0</v>
      </c>
      <c r="AF53" s="97">
        <v>1.6</v>
      </c>
      <c r="AG53" s="97">
        <v>0.4</v>
      </c>
      <c r="AH53" s="97">
        <v>0.32</v>
      </c>
      <c r="AI53" s="97">
        <v>0.24</v>
      </c>
      <c r="AJ53" s="97">
        <v>0.64</v>
      </c>
      <c r="AK53" s="99">
        <v>12.0</v>
      </c>
      <c r="AL53" s="96" t="b">
        <v>0</v>
      </c>
      <c r="AM53" s="80">
        <f t="array" ref="AM53">INDEX(A53:AL53, MATCH(RIGHT('Roadmap setting'!$B$9, 3), $A$2:$AL$2, 0) - 1)
</f>
        <v>9.9</v>
      </c>
      <c r="AN53" s="82">
        <f t="array" ref="AN53">IFNA(LOOKUP(2,1/(ISNUMBER(AN47:AN52)),AN47:AN52)+(D53/(Resources!$P$55/7)),Today()+(D53/(Resources!$P$55/7)))</f>
        <v>45821.50889</v>
      </c>
      <c r="AO53" s="82">
        <f t="array" ref="AO53">IFNA(LOOKUP(2,1/(ISNUMBER(AO47:AO52)),AO47:AO52)+(E53/(Resources!$P$56/7)),Today()+(E53/(Resources!$P$56/7)))</f>
        <v>45804.75847</v>
      </c>
      <c r="AP53" s="82">
        <f t="array" ref="AP53">IF(ISNUMBER($AT53),IFNA(LOOKUP(2,1/(ISNUMBER(AP47:AP52)),AP47:AP52),Today()),IFNA(LOOKUP(2,1/(ISNUMBER(AP47:AP52)),AP47:AP52)+(D53/(Resources!$E$55/7)),Today()+(D53/(Resources!$E$55/7))))</f>
        <v>45868.25339</v>
      </c>
      <c r="AQ53" s="82">
        <f t="array" ref="AQ53">IF(ISNUMBER($AT53),IFNA(LOOKUP(2,1/(ISNUMBER(AQ47:AQ52)),AQ47:AQ52),Today()),IFNA(LOOKUP(2,1/(ISNUMBER(AQ47:AQ52)),AQ47:AQ52)+(E53/(Resources!$E$56/7)),Today()+(E53/(Resources!$E$56/7))))</f>
        <v>45823.57776</v>
      </c>
      <c r="AR53" s="226">
        <f t="shared" si="10"/>
        <v>45868.25339</v>
      </c>
      <c r="AS53" s="82"/>
      <c r="AT53" s="82"/>
      <c r="AU53" s="83"/>
    </row>
    <row r="54" ht="15.0" customHeight="1">
      <c r="A54" s="229" t="s">
        <v>97</v>
      </c>
      <c r="B54" s="110" t="s">
        <v>884</v>
      </c>
      <c r="C54" s="93">
        <f>IF($A54="Feature",SUM(D54:E54)*'Roadmap setting'!$B$13,0)</f>
        <v>2</v>
      </c>
      <c r="D54" s="94">
        <v>4.0</v>
      </c>
      <c r="E54" s="94">
        <v>6.0</v>
      </c>
      <c r="F54" s="95">
        <f>IF($A54="Feature",IF('Roadmap setting'!$E$14,$E54*('Roadmap setting'!$B$14+'Roadmap setting'!$D$14),$E54*'Roadmap setting'!$B$14),0)</f>
        <v>0.9</v>
      </c>
      <c r="G54" s="93">
        <f>IF($A54="Feature",$D54*'Roadmap setting'!$B$15,0)</f>
        <v>0</v>
      </c>
      <c r="H54" s="95">
        <f>IF($A54="Feature",$E54*'Roadmap setting'!$B$16,0)</f>
        <v>0</v>
      </c>
      <c r="I54" s="93">
        <f>SUM($D54:$E54)*'Roadmap setting'!$B$17</f>
        <v>1.2</v>
      </c>
      <c r="J54" s="93">
        <f>SUM($D54:$E54)*'Roadmap setting'!$B$18</f>
        <v>0.1</v>
      </c>
      <c r="K54" s="93">
        <f>SUM($D54:$E54)*'Roadmap setting'!$B$19</f>
        <v>0</v>
      </c>
      <c r="L54" s="95">
        <f>SUM($D54:$E54)*'Roadmap setting'!$B$20</f>
        <v>0.2</v>
      </c>
      <c r="M54" s="79">
        <f t="shared" si="9"/>
        <v>14.4</v>
      </c>
      <c r="N54" s="96" t="b">
        <v>0</v>
      </c>
      <c r="O54" s="97">
        <v>0.4</v>
      </c>
      <c r="P54" s="97">
        <v>0.6</v>
      </c>
      <c r="Q54" s="97">
        <v>0.3</v>
      </c>
      <c r="R54" s="97">
        <v>0.2</v>
      </c>
      <c r="S54" s="97">
        <v>0.1</v>
      </c>
      <c r="T54" s="97">
        <v>0.4</v>
      </c>
      <c r="U54" s="99">
        <v>14.5</v>
      </c>
      <c r="V54" s="96" t="b">
        <v>0</v>
      </c>
      <c r="W54" s="97">
        <v>0.0</v>
      </c>
      <c r="X54" s="97">
        <v>1.2</v>
      </c>
      <c r="Y54" s="97">
        <v>0.32</v>
      </c>
      <c r="Z54" s="97">
        <v>0.24</v>
      </c>
      <c r="AA54" s="97">
        <v>0.16</v>
      </c>
      <c r="AB54" s="97">
        <v>0.48</v>
      </c>
      <c r="AC54" s="99">
        <v>11.2</v>
      </c>
      <c r="AD54" s="96" t="b">
        <v>0</v>
      </c>
      <c r="AE54" s="97">
        <v>0.0</v>
      </c>
      <c r="AF54" s="97">
        <v>1.6</v>
      </c>
      <c r="AG54" s="97">
        <v>0.4</v>
      </c>
      <c r="AH54" s="97">
        <v>0.32</v>
      </c>
      <c r="AI54" s="97">
        <v>0.24</v>
      </c>
      <c r="AJ54" s="97">
        <v>0.64</v>
      </c>
      <c r="AK54" s="99">
        <v>12.0</v>
      </c>
      <c r="AL54" s="96" t="b">
        <v>0</v>
      </c>
      <c r="AM54" s="80">
        <f t="array" ref="AM54">INDEX(A54:AL54, MATCH(RIGHT('Roadmap setting'!$B$9, 3), $A$2:$AL$2, 0) - 1)
</f>
        <v>14.4</v>
      </c>
      <c r="AN54" s="82">
        <f t="array" ref="AN54">IFNA(LOOKUP(2,1/(ISNUMBER(AN48:AN53)),AN48:AN53)+(D54/(Resources!$P$55/7)),Today()+(D54/(Resources!$P$55/7)))</f>
        <v>45822.0062</v>
      </c>
      <c r="AO54" s="82">
        <f t="array" ref="AO54">IFNA(LOOKUP(2,1/(ISNUMBER(AO48:AO53)),AO48:AO53)+(E54/(Resources!$P$56/7)),Today()+(E54/(Resources!$P$56/7)))</f>
        <v>45805.99217</v>
      </c>
      <c r="AP54" s="82">
        <f t="array" ref="AP54">IF(ISNUMBER($AT54),IFNA(LOOKUP(2,1/(ISNUMBER(AP48:AP53)),AP48:AP53),Today()),IFNA(LOOKUP(2,1/(ISNUMBER(AP48:AP53)),AP48:AP53)+(D54/(Resources!$E$55/7)),Today()+(D54/(Resources!$E$55/7))))</f>
        <v>45869.27298</v>
      </c>
      <c r="AQ54" s="82">
        <f t="array" ref="AQ54">IF(ISNUMBER($AT54),IFNA(LOOKUP(2,1/(ISNUMBER(AQ48:AQ53)),AQ48:AQ53),Today()),IFNA(LOOKUP(2,1/(ISNUMBER(AQ48:AQ53)),AQ48:AQ53)+(E54/(Resources!$E$56/7)),Today()+(E54/(Resources!$E$56/7))))</f>
        <v>45825.64789</v>
      </c>
      <c r="AR54" s="226">
        <f t="shared" si="10"/>
        <v>45869.27298</v>
      </c>
      <c r="AS54" s="82"/>
      <c r="AT54" s="82"/>
      <c r="AU54" s="83"/>
    </row>
    <row r="55" ht="15.0" customHeight="1">
      <c r="A55" s="229" t="s">
        <v>97</v>
      </c>
      <c r="B55" s="110" t="s">
        <v>885</v>
      </c>
      <c r="C55" s="93">
        <f>IF($A55="Feature",SUM(D55:E55)*'Roadmap setting'!$B$13,0)</f>
        <v>2.4</v>
      </c>
      <c r="D55" s="94">
        <v>4.0</v>
      </c>
      <c r="E55" s="94">
        <v>8.0</v>
      </c>
      <c r="F55" s="95">
        <f>IF($A55="Feature",IF('Roadmap setting'!$E$14,$E55*('Roadmap setting'!$B$14+'Roadmap setting'!$D$14),$E55*'Roadmap setting'!$B$14),0)</f>
        <v>1.2</v>
      </c>
      <c r="G55" s="93">
        <f>IF($A55="Feature",$D55*'Roadmap setting'!$B$15,0)</f>
        <v>0</v>
      </c>
      <c r="H55" s="95">
        <f>IF($A55="Feature",$E55*'Roadmap setting'!$B$16,0)</f>
        <v>0</v>
      </c>
      <c r="I55" s="93">
        <f>SUM($D55:$E55)*'Roadmap setting'!$B$17</f>
        <v>1.44</v>
      </c>
      <c r="J55" s="93">
        <f>SUM($D55:$E55)*'Roadmap setting'!$B$18</f>
        <v>0.12</v>
      </c>
      <c r="K55" s="93">
        <f>SUM($D55:$E55)*'Roadmap setting'!$B$19</f>
        <v>0</v>
      </c>
      <c r="L55" s="95">
        <f>SUM($D55:$E55)*'Roadmap setting'!$B$20</f>
        <v>0.24</v>
      </c>
      <c r="M55" s="79">
        <f t="shared" si="9"/>
        <v>17.4</v>
      </c>
      <c r="N55" s="96" t="b">
        <v>0</v>
      </c>
      <c r="O55" s="97">
        <v>0.4</v>
      </c>
      <c r="P55" s="97">
        <v>0.8</v>
      </c>
      <c r="Q55" s="97">
        <v>0.36</v>
      </c>
      <c r="R55" s="97">
        <v>0.24</v>
      </c>
      <c r="S55" s="97">
        <v>0.12</v>
      </c>
      <c r="T55" s="97">
        <v>0.48</v>
      </c>
      <c r="U55" s="99">
        <v>17.6</v>
      </c>
      <c r="V55" s="96" t="b">
        <v>0</v>
      </c>
      <c r="W55" s="97">
        <v>0.0</v>
      </c>
      <c r="X55" s="97">
        <v>1.2</v>
      </c>
      <c r="Y55" s="97">
        <v>0.32</v>
      </c>
      <c r="Z55" s="97">
        <v>0.24</v>
      </c>
      <c r="AA55" s="97">
        <v>0.16</v>
      </c>
      <c r="AB55" s="97">
        <v>0.48</v>
      </c>
      <c r="AC55" s="99">
        <v>11.2</v>
      </c>
      <c r="AD55" s="96" t="b">
        <v>0</v>
      </c>
      <c r="AE55" s="97">
        <v>0.0</v>
      </c>
      <c r="AF55" s="97">
        <v>1.6</v>
      </c>
      <c r="AG55" s="97">
        <v>0.4</v>
      </c>
      <c r="AH55" s="97">
        <v>0.32</v>
      </c>
      <c r="AI55" s="97">
        <v>0.24</v>
      </c>
      <c r="AJ55" s="97">
        <v>0.64</v>
      </c>
      <c r="AK55" s="99">
        <v>12.0</v>
      </c>
      <c r="AL55" s="96" t="b">
        <v>0</v>
      </c>
      <c r="AM55" s="80">
        <f t="array" ref="AM55">INDEX(A55:AL55, MATCH(RIGHT('Roadmap setting'!$B$9, 3), $A$2:$AL$2, 0) - 1)
</f>
        <v>17.4</v>
      </c>
      <c r="AN55" s="82">
        <f t="array" ref="AN55">IFNA(LOOKUP(2,1/(ISNUMBER(AN49:AN54)),AN49:AN54)+(D55/(Resources!$P$55/7)),Today()+(D55/(Resources!$P$55/7)))</f>
        <v>45822.5035</v>
      </c>
      <c r="AO55" s="82">
        <f t="array" ref="AO55">IFNA(LOOKUP(2,1/(ISNUMBER(AO49:AO54)),AO49:AO54)+(E55/(Resources!$P$56/7)),Today()+(E55/(Resources!$P$56/7)))</f>
        <v>45807.63712</v>
      </c>
      <c r="AP55" s="82">
        <f t="array" ref="AP55">IF(ISNUMBER($AT55),IFNA(LOOKUP(2,1/(ISNUMBER(AP49:AP54)),AP49:AP54),Today()),IFNA(LOOKUP(2,1/(ISNUMBER(AP49:AP54)),AP49:AP54)+(D55/(Resources!$E$55/7)),Today()+(D55/(Resources!$E$55/7))))</f>
        <v>45870.29257</v>
      </c>
      <c r="AQ55" s="82">
        <f t="array" ref="AQ55">IF(ISNUMBER($AT55),IFNA(LOOKUP(2,1/(ISNUMBER(AQ49:AQ54)),AQ49:AQ54),Today()),IFNA(LOOKUP(2,1/(ISNUMBER(AQ49:AQ54)),AQ49:AQ54)+(E55/(Resources!$E$56/7)),Today()+(E55/(Resources!$E$56/7))))</f>
        <v>45828.40805</v>
      </c>
      <c r="AR55" s="226">
        <f t="shared" si="10"/>
        <v>45870.29257</v>
      </c>
      <c r="AS55" s="82"/>
      <c r="AT55" s="82"/>
      <c r="AU55" s="83"/>
    </row>
    <row r="56" ht="15.0" customHeight="1">
      <c r="A56" s="229" t="s">
        <v>97</v>
      </c>
      <c r="B56" s="110" t="s">
        <v>886</v>
      </c>
      <c r="C56" s="93">
        <f>IF($A56="Feature",SUM(D56:E56)*'Roadmap setting'!$B$13,0)</f>
        <v>2.6</v>
      </c>
      <c r="D56" s="94">
        <v>8.0</v>
      </c>
      <c r="E56" s="94">
        <v>5.0</v>
      </c>
      <c r="F56" s="95">
        <f>IF($A56="Feature",IF('Roadmap setting'!$E$14,$E56*('Roadmap setting'!$B$14+'Roadmap setting'!$D$14),$E56*'Roadmap setting'!$B$14),0)</f>
        <v>0.75</v>
      </c>
      <c r="G56" s="93">
        <f>IF($A56="Feature",$D56*'Roadmap setting'!$B$15,0)</f>
        <v>0</v>
      </c>
      <c r="H56" s="95">
        <f>IF($A56="Feature",$E56*'Roadmap setting'!$B$16,0)</f>
        <v>0</v>
      </c>
      <c r="I56" s="93">
        <f>SUM($D56:$E56)*'Roadmap setting'!$B$17</f>
        <v>1.56</v>
      </c>
      <c r="J56" s="93">
        <f>SUM($D56:$E56)*'Roadmap setting'!$B$18</f>
        <v>0.13</v>
      </c>
      <c r="K56" s="93">
        <f>SUM($D56:$E56)*'Roadmap setting'!$B$19</f>
        <v>0</v>
      </c>
      <c r="L56" s="95">
        <f>SUM($D56:$E56)*'Roadmap setting'!$B$20</f>
        <v>0.26</v>
      </c>
      <c r="M56" s="79">
        <f t="shared" si="9"/>
        <v>18.3</v>
      </c>
      <c r="N56" s="96" t="b">
        <v>0</v>
      </c>
      <c r="O56" s="97">
        <v>0.8</v>
      </c>
      <c r="P56" s="97">
        <v>0.5</v>
      </c>
      <c r="Q56" s="97">
        <v>0.39</v>
      </c>
      <c r="R56" s="97">
        <v>0.26</v>
      </c>
      <c r="S56" s="97">
        <v>0.13</v>
      </c>
      <c r="T56" s="97">
        <v>0.52</v>
      </c>
      <c r="U56" s="99">
        <v>18.15</v>
      </c>
      <c r="V56" s="96" t="b">
        <v>0</v>
      </c>
      <c r="W56" s="97">
        <v>0.0</v>
      </c>
      <c r="X56" s="97">
        <v>1.2</v>
      </c>
      <c r="Y56" s="97">
        <v>0.32</v>
      </c>
      <c r="Z56" s="97">
        <v>0.24</v>
      </c>
      <c r="AA56" s="97">
        <v>0.16</v>
      </c>
      <c r="AB56" s="97">
        <v>0.48</v>
      </c>
      <c r="AC56" s="99">
        <v>11.2</v>
      </c>
      <c r="AD56" s="96" t="b">
        <v>0</v>
      </c>
      <c r="AE56" s="97">
        <v>0.0</v>
      </c>
      <c r="AF56" s="97">
        <v>1.6</v>
      </c>
      <c r="AG56" s="97">
        <v>0.4</v>
      </c>
      <c r="AH56" s="97">
        <v>0.32</v>
      </c>
      <c r="AI56" s="97">
        <v>0.24</v>
      </c>
      <c r="AJ56" s="97">
        <v>0.64</v>
      </c>
      <c r="AK56" s="99">
        <v>12.0</v>
      </c>
      <c r="AL56" s="96" t="b">
        <v>0</v>
      </c>
      <c r="AM56" s="80">
        <f t="array" ref="AM56">INDEX(A56:AL56, MATCH(RIGHT('Roadmap setting'!$B$9, 3), $A$2:$AL$2, 0) - 1)
</f>
        <v>18.3</v>
      </c>
      <c r="AN56" s="82">
        <f t="array" ref="AN56">IFNA(LOOKUP(2,1/(ISNUMBER(AN50:AN55)),AN50:AN55)+(D56/(Resources!$P$55/7)),Today()+(D56/(Resources!$P$55/7)))</f>
        <v>45823.49812</v>
      </c>
      <c r="AO56" s="82">
        <f t="array" ref="AO56">IFNA(LOOKUP(2,1/(ISNUMBER(AO50:AO55)),AO50:AO55)+(E56/(Resources!$P$56/7)),Today()+(E56/(Resources!$P$56/7)))</f>
        <v>45808.66521</v>
      </c>
      <c r="AP56" s="82">
        <f t="array" ref="AP56">IF(ISNUMBER($AT56),IFNA(LOOKUP(2,1/(ISNUMBER(AP50:AP55)),AP50:AP55),Today()),IFNA(LOOKUP(2,1/(ISNUMBER(AP50:AP55)),AP50:AP55)+(D56/(Resources!$E$55/7)),Today()+(D56/(Resources!$E$55/7))))</f>
        <v>45872.33175</v>
      </c>
      <c r="AQ56" s="82">
        <f t="array" ref="AQ56">IF(ISNUMBER($AT56),IFNA(LOOKUP(2,1/(ISNUMBER(AQ50:AQ55)),AQ50:AQ55),Today()),IFNA(LOOKUP(2,1/(ISNUMBER(AQ50:AQ55)),AQ50:AQ55)+(E56/(Resources!$E$56/7)),Today()+(E56/(Resources!$E$56/7))))</f>
        <v>45830.13315</v>
      </c>
      <c r="AR56" s="226">
        <f t="shared" si="10"/>
        <v>45872.33175</v>
      </c>
      <c r="AS56" s="82"/>
      <c r="AT56" s="82"/>
      <c r="AU56" s="83"/>
    </row>
    <row r="57" ht="15.0" customHeight="1">
      <c r="A57" s="72"/>
      <c r="B57" s="91" t="s">
        <v>887</v>
      </c>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row>
    <row r="58" ht="15.0" customHeight="1">
      <c r="A58" s="229" t="s">
        <v>97</v>
      </c>
      <c r="B58" s="110" t="s">
        <v>888</v>
      </c>
      <c r="C58" s="93">
        <f>IF($A58="Feature",SUM(D58:E58)*'Roadmap setting'!$B$13,0)</f>
        <v>1.8</v>
      </c>
      <c r="D58" s="94">
        <v>3.0</v>
      </c>
      <c r="E58" s="94">
        <v>6.0</v>
      </c>
      <c r="F58" s="95">
        <f>IF($A58="Feature",IF('Roadmap setting'!$E$14,$E58*('Roadmap setting'!$B$14+'Roadmap setting'!$D$14),$E58*'Roadmap setting'!$B$14),0)</f>
        <v>0.9</v>
      </c>
      <c r="G58" s="93">
        <f>IF($A58="Feature",$D58*'Roadmap setting'!$B$15,0)</f>
        <v>0</v>
      </c>
      <c r="H58" s="95">
        <f>IF($A58="Feature",$E58*'Roadmap setting'!$B$16,0)</f>
        <v>0</v>
      </c>
      <c r="I58" s="93">
        <f>SUM($D58:$E58)*'Roadmap setting'!$B$17</f>
        <v>1.08</v>
      </c>
      <c r="J58" s="93">
        <f>SUM($D58:$E58)*'Roadmap setting'!$B$18</f>
        <v>0.09</v>
      </c>
      <c r="K58" s="93">
        <f>SUM($D58:$E58)*'Roadmap setting'!$B$19</f>
        <v>0</v>
      </c>
      <c r="L58" s="95">
        <f>SUM($D58:$E58)*'Roadmap setting'!$B$20</f>
        <v>0.18</v>
      </c>
      <c r="M58" s="79">
        <f t="shared" ref="M58:M63" si="11">SUM($C58:$F58)+SUM(G58:L58)</f>
        <v>13.05</v>
      </c>
      <c r="N58" s="96" t="b">
        <v>1</v>
      </c>
      <c r="O58" s="97">
        <v>0.3</v>
      </c>
      <c r="P58" s="97">
        <v>0.6</v>
      </c>
      <c r="Q58" s="97">
        <v>0.27</v>
      </c>
      <c r="R58" s="97">
        <v>0.18</v>
      </c>
      <c r="S58" s="97">
        <v>0.09</v>
      </c>
      <c r="T58" s="97">
        <v>0.36</v>
      </c>
      <c r="U58" s="99">
        <v>13.2</v>
      </c>
      <c r="V58" s="96" t="b">
        <v>0</v>
      </c>
      <c r="W58" s="97">
        <v>0.0</v>
      </c>
      <c r="X58" s="97">
        <v>1.2</v>
      </c>
      <c r="Y58" s="97">
        <v>0.32</v>
      </c>
      <c r="Z58" s="97">
        <v>0.24</v>
      </c>
      <c r="AA58" s="97">
        <v>0.16</v>
      </c>
      <c r="AB58" s="97">
        <v>0.48</v>
      </c>
      <c r="AC58" s="99">
        <v>11.2</v>
      </c>
      <c r="AD58" s="96" t="b">
        <v>0</v>
      </c>
      <c r="AE58" s="97">
        <v>0.0</v>
      </c>
      <c r="AF58" s="97">
        <v>1.6</v>
      </c>
      <c r="AG58" s="97">
        <v>0.4</v>
      </c>
      <c r="AH58" s="97">
        <v>0.32</v>
      </c>
      <c r="AI58" s="97">
        <v>0.24</v>
      </c>
      <c r="AJ58" s="97">
        <v>0.64</v>
      </c>
      <c r="AK58" s="99">
        <v>12.0</v>
      </c>
      <c r="AL58" s="96" t="b">
        <v>0</v>
      </c>
      <c r="AM58" s="80">
        <f t="array" ref="AM58">INDEX(A58:AL58, MATCH(RIGHT('Roadmap setting'!$B$9, 3), $A$2:$AL$2, 0) - 1)
</f>
        <v>13.05</v>
      </c>
      <c r="AN58" s="82">
        <f t="array" ref="AN58">IFNA(LOOKUP(2,1/(ISNUMBER(AN52:AN57)),AN52:AN57)+(D58/(Resources!$P$55/7)),Today()+(D58/(Resources!$P$55/7)))</f>
        <v>45823.87109</v>
      </c>
      <c r="AO58" s="82">
        <f t="array" ref="AO58">IFNA(LOOKUP(2,1/(ISNUMBER(AO52:AO57)),AO52:AO57)+(E58/(Resources!$P$56/7)),Today()+(E58/(Resources!$P$56/7)))</f>
        <v>45809.89892</v>
      </c>
      <c r="AP58" s="82">
        <f t="array" ref="AP58">IF(ISNUMBER($AT58),IFNA(LOOKUP(2,1/(ISNUMBER(AP52:AP57)),AP52:AP57),Today()),IFNA(LOOKUP(2,1/(ISNUMBER(AP52:AP57)),AP52:AP57)+(D58/(Resources!$E$55/7)),Today()+(D58/(Resources!$E$55/7))))</f>
        <v>45873.09645</v>
      </c>
      <c r="AQ58" s="82">
        <f t="array" ref="AQ58">IF(ISNUMBER($AT58),IFNA(LOOKUP(2,1/(ISNUMBER(AQ52:AQ57)),AQ52:AQ57),Today()),IFNA(LOOKUP(2,1/(ISNUMBER(AQ52:AQ57)),AQ52:AQ57)+(E58/(Resources!$E$56/7)),Today()+(E58/(Resources!$E$56/7))))</f>
        <v>45832.20328</v>
      </c>
      <c r="AR58" s="226">
        <f t="shared" ref="AR58:AR63" si="12">IFERROR(MAX(AP58,AQ58),"")</f>
        <v>45873.09645</v>
      </c>
      <c r="AS58" s="82"/>
      <c r="AT58" s="82"/>
      <c r="AU58" s="83"/>
    </row>
    <row r="59" ht="15.0" customHeight="1">
      <c r="A59" s="229" t="s">
        <v>97</v>
      </c>
      <c r="B59" s="110" t="s">
        <v>889</v>
      </c>
      <c r="C59" s="93">
        <f>IF($A59="Feature",SUM(D59:E59)*'Roadmap setting'!$B$13,0)</f>
        <v>1.6</v>
      </c>
      <c r="D59" s="94">
        <v>4.0</v>
      </c>
      <c r="E59" s="94">
        <v>4.0</v>
      </c>
      <c r="F59" s="95">
        <f>IF($A59="Feature",IF('Roadmap setting'!$E$14,$E59*('Roadmap setting'!$B$14+'Roadmap setting'!$D$14),$E59*'Roadmap setting'!$B$14),0)</f>
        <v>0.6</v>
      </c>
      <c r="G59" s="93">
        <f>IF($A59="Feature",$D59*'Roadmap setting'!$B$15,0)</f>
        <v>0</v>
      </c>
      <c r="H59" s="95">
        <f>IF($A59="Feature",$E59*'Roadmap setting'!$B$16,0)</f>
        <v>0</v>
      </c>
      <c r="I59" s="93">
        <f>SUM($D59:$E59)*'Roadmap setting'!$B$17</f>
        <v>0.96</v>
      </c>
      <c r="J59" s="93">
        <f>SUM($D59:$E59)*'Roadmap setting'!$B$18</f>
        <v>0.08</v>
      </c>
      <c r="K59" s="93">
        <f>SUM($D59:$E59)*'Roadmap setting'!$B$19</f>
        <v>0</v>
      </c>
      <c r="L59" s="95">
        <f>SUM($D59:$E59)*'Roadmap setting'!$B$20</f>
        <v>0.16</v>
      </c>
      <c r="M59" s="79">
        <f t="shared" si="11"/>
        <v>11.4</v>
      </c>
      <c r="N59" s="96" t="b">
        <v>1</v>
      </c>
      <c r="O59" s="97">
        <v>0.4</v>
      </c>
      <c r="P59" s="97">
        <v>0.4</v>
      </c>
      <c r="Q59" s="97">
        <v>0.24</v>
      </c>
      <c r="R59" s="97">
        <v>0.16</v>
      </c>
      <c r="S59" s="97">
        <v>0.08</v>
      </c>
      <c r="T59" s="97">
        <v>0.32</v>
      </c>
      <c r="U59" s="99">
        <v>11.4</v>
      </c>
      <c r="V59" s="96" t="b">
        <v>0</v>
      </c>
      <c r="W59" s="97">
        <v>0.0</v>
      </c>
      <c r="X59" s="97">
        <v>1.2</v>
      </c>
      <c r="Y59" s="97">
        <v>0.32</v>
      </c>
      <c r="Z59" s="97">
        <v>0.24</v>
      </c>
      <c r="AA59" s="97">
        <v>0.16</v>
      </c>
      <c r="AB59" s="97">
        <v>0.48</v>
      </c>
      <c r="AC59" s="99">
        <v>11.2</v>
      </c>
      <c r="AD59" s="96" t="b">
        <v>0</v>
      </c>
      <c r="AE59" s="97">
        <v>0.0</v>
      </c>
      <c r="AF59" s="97">
        <v>1.6</v>
      </c>
      <c r="AG59" s="97">
        <v>0.4</v>
      </c>
      <c r="AH59" s="97">
        <v>0.32</v>
      </c>
      <c r="AI59" s="97">
        <v>0.24</v>
      </c>
      <c r="AJ59" s="97">
        <v>0.64</v>
      </c>
      <c r="AK59" s="99">
        <v>12.0</v>
      </c>
      <c r="AL59" s="96" t="b">
        <v>0</v>
      </c>
      <c r="AM59" s="80">
        <f t="array" ref="AM59">INDEX(A59:AL59, MATCH(RIGHT('Roadmap setting'!$B$9, 3), $A$2:$AL$2, 0) - 1)
</f>
        <v>11.4</v>
      </c>
      <c r="AN59" s="82">
        <f t="array" ref="AN59">IFNA(LOOKUP(2,1/(ISNUMBER(AN53:AN58)),AN53:AN58)+(D59/(Resources!$P$55/7)),Today()+(D59/(Resources!$P$55/7)))</f>
        <v>45824.3684</v>
      </c>
      <c r="AO59" s="82">
        <f t="array" ref="AO59">IFNA(LOOKUP(2,1/(ISNUMBER(AO53:AO58)),AO53:AO58)+(E59/(Resources!$P$56/7)),Today()+(E59/(Resources!$P$56/7)))</f>
        <v>45810.72139</v>
      </c>
      <c r="AP59" s="82">
        <f t="array" ref="AP59">IF(ISNUMBER($AT59),IFNA(LOOKUP(2,1/(ISNUMBER(AP53:AP58)),AP53:AP58),Today()),IFNA(LOOKUP(2,1/(ISNUMBER(AP53:AP58)),AP53:AP58)+(D59/(Resources!$E$55/7)),Today()+(D59/(Resources!$E$55/7))))</f>
        <v>45874.11604</v>
      </c>
      <c r="AQ59" s="82">
        <f t="array" ref="AQ59">IF(ISNUMBER($AT59),IFNA(LOOKUP(2,1/(ISNUMBER(AQ53:AQ58)),AQ53:AQ58),Today()),IFNA(LOOKUP(2,1/(ISNUMBER(AQ53:AQ58)),AQ53:AQ58)+(E59/(Resources!$E$56/7)),Today()+(E59/(Resources!$E$56/7))))</f>
        <v>45833.58336</v>
      </c>
      <c r="AR59" s="226">
        <f t="shared" si="12"/>
        <v>45874.11604</v>
      </c>
      <c r="AS59" s="82"/>
      <c r="AT59" s="82"/>
      <c r="AU59" s="83"/>
    </row>
    <row r="60" ht="15.0" customHeight="1">
      <c r="A60" s="229" t="s">
        <v>97</v>
      </c>
      <c r="B60" s="110" t="s">
        <v>890</v>
      </c>
      <c r="C60" s="93">
        <f>IF($A60="Feature",SUM(D60:E60)*'Roadmap setting'!$B$13,0)</f>
        <v>2</v>
      </c>
      <c r="D60" s="94">
        <v>4.0</v>
      </c>
      <c r="E60" s="94">
        <v>6.0</v>
      </c>
      <c r="F60" s="95">
        <f>IF($A60="Feature",IF('Roadmap setting'!$E$14,$E60*('Roadmap setting'!$B$14+'Roadmap setting'!$D$14),$E60*'Roadmap setting'!$B$14),0)</f>
        <v>0.9</v>
      </c>
      <c r="G60" s="93">
        <f>IF($A60="Feature",$D60*'Roadmap setting'!$B$15,0)</f>
        <v>0</v>
      </c>
      <c r="H60" s="95">
        <f>IF($A60="Feature",$E60*'Roadmap setting'!$B$16,0)</f>
        <v>0</v>
      </c>
      <c r="I60" s="93">
        <f>SUM($D60:$E60)*'Roadmap setting'!$B$17</f>
        <v>1.2</v>
      </c>
      <c r="J60" s="93">
        <f>SUM($D60:$E60)*'Roadmap setting'!$B$18</f>
        <v>0.1</v>
      </c>
      <c r="K60" s="93">
        <f>SUM($D60:$E60)*'Roadmap setting'!$B$19</f>
        <v>0</v>
      </c>
      <c r="L60" s="95">
        <f>SUM($D60:$E60)*'Roadmap setting'!$B$20</f>
        <v>0.2</v>
      </c>
      <c r="M60" s="79">
        <f t="shared" si="11"/>
        <v>14.4</v>
      </c>
      <c r="N60" s="96" t="b">
        <v>1</v>
      </c>
      <c r="O60" s="97">
        <v>0.4</v>
      </c>
      <c r="P60" s="97">
        <v>0.6</v>
      </c>
      <c r="Q60" s="97">
        <v>0.3</v>
      </c>
      <c r="R60" s="97">
        <v>0.2</v>
      </c>
      <c r="S60" s="97">
        <v>0.1</v>
      </c>
      <c r="T60" s="97">
        <v>0.4</v>
      </c>
      <c r="U60" s="99">
        <v>14.5</v>
      </c>
      <c r="V60" s="96" t="b">
        <v>0</v>
      </c>
      <c r="W60" s="97">
        <v>0.0</v>
      </c>
      <c r="X60" s="97">
        <v>1.2</v>
      </c>
      <c r="Y60" s="97">
        <v>0.32</v>
      </c>
      <c r="Z60" s="97">
        <v>0.24</v>
      </c>
      <c r="AA60" s="97">
        <v>0.16</v>
      </c>
      <c r="AB60" s="97">
        <v>0.48</v>
      </c>
      <c r="AC60" s="99">
        <v>11.2</v>
      </c>
      <c r="AD60" s="96" t="b">
        <v>0</v>
      </c>
      <c r="AE60" s="97">
        <v>0.0</v>
      </c>
      <c r="AF60" s="97">
        <v>1.6</v>
      </c>
      <c r="AG60" s="97">
        <v>0.4</v>
      </c>
      <c r="AH60" s="97">
        <v>0.32</v>
      </c>
      <c r="AI60" s="97">
        <v>0.24</v>
      </c>
      <c r="AJ60" s="97">
        <v>0.64</v>
      </c>
      <c r="AK60" s="99">
        <v>12.0</v>
      </c>
      <c r="AL60" s="96" t="b">
        <v>0</v>
      </c>
      <c r="AM60" s="80">
        <f t="array" ref="AM60">INDEX(A60:AL60, MATCH(RIGHT('Roadmap setting'!$B$9, 3), $A$2:$AL$2, 0) - 1)
</f>
        <v>14.4</v>
      </c>
      <c r="AN60" s="82">
        <f t="array" ref="AN60">IFNA(LOOKUP(2,1/(ISNUMBER(AN54:AN59)),AN54:AN59)+(D60/(Resources!$P$55/7)),Today()+(D60/(Resources!$P$55/7)))</f>
        <v>45824.86571</v>
      </c>
      <c r="AO60" s="82">
        <f t="array" ref="AO60">IFNA(LOOKUP(2,1/(ISNUMBER(AO54:AO59)),AO54:AO59)+(E60/(Resources!$P$56/7)),Today()+(E60/(Resources!$P$56/7)))</f>
        <v>45811.9551</v>
      </c>
      <c r="AP60" s="82">
        <f t="array" ref="AP60">IF(ISNUMBER($AT60),IFNA(LOOKUP(2,1/(ISNUMBER(AP54:AP59)),AP54:AP59),Today()),IFNA(LOOKUP(2,1/(ISNUMBER(AP54:AP59)),AP54:AP59)+(D60/(Resources!$E$55/7)),Today()+(D60/(Resources!$E$55/7))))</f>
        <v>45875.13563</v>
      </c>
      <c r="AQ60" s="82">
        <f t="array" ref="AQ60">IF(ISNUMBER($AT60),IFNA(LOOKUP(2,1/(ISNUMBER(AQ54:AQ59)),AQ54:AQ59),Today()),IFNA(LOOKUP(2,1/(ISNUMBER(AQ54:AQ59)),AQ54:AQ59)+(E60/(Resources!$E$56/7)),Today()+(E60/(Resources!$E$56/7))))</f>
        <v>45835.65348</v>
      </c>
      <c r="AR60" s="226">
        <f t="shared" si="12"/>
        <v>45875.13563</v>
      </c>
      <c r="AS60" s="82"/>
      <c r="AT60" s="82"/>
      <c r="AU60" s="83"/>
    </row>
    <row r="61" ht="15.0" customHeight="1">
      <c r="A61" s="229" t="s">
        <v>97</v>
      </c>
      <c r="B61" s="110" t="s">
        <v>891</v>
      </c>
      <c r="C61" s="93">
        <f>IF($A61="Feature",SUM(D61:E61)*'Roadmap setting'!$B$13,0)</f>
        <v>2.4</v>
      </c>
      <c r="D61" s="94">
        <v>4.0</v>
      </c>
      <c r="E61" s="94">
        <v>8.0</v>
      </c>
      <c r="F61" s="95">
        <f>IF($A61="Feature",IF('Roadmap setting'!$E$14,$E61*('Roadmap setting'!$B$14+'Roadmap setting'!$D$14),$E61*'Roadmap setting'!$B$14),0)</f>
        <v>1.2</v>
      </c>
      <c r="G61" s="93">
        <f>IF($A61="Feature",$D61*'Roadmap setting'!$B$15,0)</f>
        <v>0</v>
      </c>
      <c r="H61" s="95">
        <f>IF($A61="Feature",$E61*'Roadmap setting'!$B$16,0)</f>
        <v>0</v>
      </c>
      <c r="I61" s="93">
        <f>SUM($D61:$E61)*'Roadmap setting'!$B$17</f>
        <v>1.44</v>
      </c>
      <c r="J61" s="93">
        <f>SUM($D61:$E61)*'Roadmap setting'!$B$18</f>
        <v>0.12</v>
      </c>
      <c r="K61" s="93">
        <f>SUM($D61:$E61)*'Roadmap setting'!$B$19</f>
        <v>0</v>
      </c>
      <c r="L61" s="95">
        <f>SUM($D61:$E61)*'Roadmap setting'!$B$20</f>
        <v>0.24</v>
      </c>
      <c r="M61" s="79">
        <f t="shared" si="11"/>
        <v>17.4</v>
      </c>
      <c r="N61" s="96" t="b">
        <v>1</v>
      </c>
      <c r="O61" s="97">
        <v>0.4</v>
      </c>
      <c r="P61" s="97">
        <v>0.8</v>
      </c>
      <c r="Q61" s="97">
        <v>0.36</v>
      </c>
      <c r="R61" s="97">
        <v>0.24</v>
      </c>
      <c r="S61" s="97">
        <v>0.12</v>
      </c>
      <c r="T61" s="97">
        <v>0.48</v>
      </c>
      <c r="U61" s="99">
        <v>17.6</v>
      </c>
      <c r="V61" s="96" t="b">
        <v>0</v>
      </c>
      <c r="W61" s="97">
        <v>0.0</v>
      </c>
      <c r="X61" s="97">
        <v>1.2</v>
      </c>
      <c r="Y61" s="97">
        <v>0.32</v>
      </c>
      <c r="Z61" s="97">
        <v>0.24</v>
      </c>
      <c r="AA61" s="97">
        <v>0.16</v>
      </c>
      <c r="AB61" s="97">
        <v>0.48</v>
      </c>
      <c r="AC61" s="99">
        <v>11.2</v>
      </c>
      <c r="AD61" s="96" t="b">
        <v>0</v>
      </c>
      <c r="AE61" s="97">
        <v>0.0</v>
      </c>
      <c r="AF61" s="97">
        <v>1.6</v>
      </c>
      <c r="AG61" s="97">
        <v>0.4</v>
      </c>
      <c r="AH61" s="97">
        <v>0.32</v>
      </c>
      <c r="AI61" s="97">
        <v>0.24</v>
      </c>
      <c r="AJ61" s="97">
        <v>0.64</v>
      </c>
      <c r="AK61" s="99">
        <v>12.0</v>
      </c>
      <c r="AL61" s="96" t="b">
        <v>0</v>
      </c>
      <c r="AM61" s="80">
        <f t="array" ref="AM61">INDEX(A61:AL61, MATCH(RIGHT('Roadmap setting'!$B$9, 3), $A$2:$AL$2, 0) - 1)
</f>
        <v>17.4</v>
      </c>
      <c r="AN61" s="82">
        <f t="array" ref="AN61">IFNA(LOOKUP(2,1/(ISNUMBER(AN55:AN60)),AN55:AN60)+(D61/(Resources!$P$55/7)),Today()+(D61/(Resources!$P$55/7)))</f>
        <v>45825.36301</v>
      </c>
      <c r="AO61" s="82">
        <f t="array" ref="AO61">IFNA(LOOKUP(2,1/(ISNUMBER(AO55:AO60)),AO55:AO60)+(E61/(Resources!$P$56/7)),Today()+(E61/(Resources!$P$56/7)))</f>
        <v>45813.60005</v>
      </c>
      <c r="AP61" s="82">
        <f t="array" ref="AP61">IF(ISNUMBER($AT61),IFNA(LOOKUP(2,1/(ISNUMBER(AP55:AP60)),AP55:AP60),Today()),IFNA(LOOKUP(2,1/(ISNUMBER(AP55:AP60)),AP55:AP60)+(D61/(Resources!$E$55/7)),Today()+(D61/(Resources!$E$55/7))))</f>
        <v>45876.15522</v>
      </c>
      <c r="AQ61" s="82">
        <f t="array" ref="AQ61">IF(ISNUMBER($AT61),IFNA(LOOKUP(2,1/(ISNUMBER(AQ55:AQ60)),AQ55:AQ60),Today()),IFNA(LOOKUP(2,1/(ISNUMBER(AQ55:AQ60)),AQ55:AQ60)+(E61/(Resources!$E$56/7)),Today()+(E61/(Resources!$E$56/7))))</f>
        <v>45838.41364</v>
      </c>
      <c r="AR61" s="226">
        <f t="shared" si="12"/>
        <v>45876.15522</v>
      </c>
      <c r="AS61" s="82"/>
      <c r="AT61" s="82"/>
      <c r="AU61" s="83"/>
    </row>
    <row r="62" ht="15.0" customHeight="1">
      <c r="A62" s="229" t="s">
        <v>97</v>
      </c>
      <c r="B62" s="103" t="s">
        <v>892</v>
      </c>
      <c r="C62" s="93">
        <f>IF($A62="Feature",SUM(D62:E62)*'Roadmap setting'!$B$13,0)</f>
        <v>1.4</v>
      </c>
      <c r="D62" s="94">
        <v>3.0</v>
      </c>
      <c r="E62" s="94">
        <v>4.0</v>
      </c>
      <c r="F62" s="95">
        <f>IF($A62="Feature",IF('Roadmap setting'!$E$14,$E62*('Roadmap setting'!$B$14+'Roadmap setting'!$D$14),$E62*'Roadmap setting'!$B$14),0)</f>
        <v>0.6</v>
      </c>
      <c r="G62" s="93">
        <f>IF($A62="Feature",$D62*'Roadmap setting'!$B$15,0)</f>
        <v>0</v>
      </c>
      <c r="H62" s="95">
        <f>IF($A62="Feature",$E62*'Roadmap setting'!$B$16,0)</f>
        <v>0</v>
      </c>
      <c r="I62" s="93">
        <f>SUM($D62:$E62)*'Roadmap setting'!$B$17</f>
        <v>0.84</v>
      </c>
      <c r="J62" s="93">
        <f>SUM($D62:$E62)*'Roadmap setting'!$B$18</f>
        <v>0.07</v>
      </c>
      <c r="K62" s="93">
        <f>SUM($D62:$E62)*'Roadmap setting'!$B$19</f>
        <v>0</v>
      </c>
      <c r="L62" s="95">
        <f>SUM($D62:$E62)*'Roadmap setting'!$B$20</f>
        <v>0.14</v>
      </c>
      <c r="M62" s="79">
        <f t="shared" si="11"/>
        <v>10.05</v>
      </c>
      <c r="N62" s="96" t="b">
        <v>1</v>
      </c>
      <c r="O62" s="97">
        <v>0.3</v>
      </c>
      <c r="P62" s="97">
        <v>0.4</v>
      </c>
      <c r="Q62" s="97">
        <v>0.21</v>
      </c>
      <c r="R62" s="97">
        <v>0.14</v>
      </c>
      <c r="S62" s="97">
        <v>0.07</v>
      </c>
      <c r="T62" s="97">
        <v>0.28</v>
      </c>
      <c r="U62" s="99">
        <v>10.1</v>
      </c>
      <c r="V62" s="96" t="b">
        <v>0</v>
      </c>
      <c r="W62" s="97">
        <v>0.0</v>
      </c>
      <c r="X62" s="97">
        <v>1.2</v>
      </c>
      <c r="Y62" s="97">
        <v>0.32</v>
      </c>
      <c r="Z62" s="97">
        <v>0.24</v>
      </c>
      <c r="AA62" s="97">
        <v>0.16</v>
      </c>
      <c r="AB62" s="97">
        <v>0.48</v>
      </c>
      <c r="AC62" s="99">
        <v>11.2</v>
      </c>
      <c r="AD62" s="96" t="b">
        <v>0</v>
      </c>
      <c r="AE62" s="97">
        <v>0.0</v>
      </c>
      <c r="AF62" s="97">
        <v>1.6</v>
      </c>
      <c r="AG62" s="97">
        <v>0.4</v>
      </c>
      <c r="AH62" s="97">
        <v>0.32</v>
      </c>
      <c r="AI62" s="97">
        <v>0.24</v>
      </c>
      <c r="AJ62" s="97">
        <v>0.64</v>
      </c>
      <c r="AK62" s="99">
        <v>12.0</v>
      </c>
      <c r="AL62" s="96" t="b">
        <v>0</v>
      </c>
      <c r="AM62" s="80">
        <f t="array" ref="AM62">INDEX(A62:AL62, MATCH(RIGHT('Roadmap setting'!$B$9, 3), $A$2:$AL$2, 0) - 1)
</f>
        <v>10.05</v>
      </c>
      <c r="AN62" s="82">
        <f t="array" ref="AN62">IFNA(LOOKUP(2,1/(ISNUMBER(AN56:AN61)),AN56:AN61)+(D62/(Resources!$P$55/7)),Today()+(D62/(Resources!$P$55/7)))</f>
        <v>45825.73599</v>
      </c>
      <c r="AO62" s="82">
        <f t="array" ref="AO62">IFNA(LOOKUP(2,1/(ISNUMBER(AO56:AO61)),AO56:AO61)+(E62/(Resources!$P$56/7)),Today()+(E62/(Resources!$P$56/7)))</f>
        <v>45814.42252</v>
      </c>
      <c r="AP62" s="82">
        <f t="array" ref="AP62">IF(ISNUMBER($AT62),IFNA(LOOKUP(2,1/(ISNUMBER(AP56:AP61)),AP56:AP61),Today()),IFNA(LOOKUP(2,1/(ISNUMBER(AP56:AP61)),AP56:AP61)+(D62/(Resources!$E$55/7)),Today()+(D62/(Resources!$E$55/7))))</f>
        <v>45876.91991</v>
      </c>
      <c r="AQ62" s="82">
        <f t="array" ref="AQ62">IF(ISNUMBER($AT62),IFNA(LOOKUP(2,1/(ISNUMBER(AQ56:AQ61)),AQ56:AQ61),Today()),IFNA(LOOKUP(2,1/(ISNUMBER(AQ56:AQ61)),AQ56:AQ61)+(E62/(Resources!$E$56/7)),Today()+(E62/(Resources!$E$56/7))))</f>
        <v>45839.79373</v>
      </c>
      <c r="AR62" s="226">
        <f t="shared" si="12"/>
        <v>45876.91991</v>
      </c>
      <c r="AS62" s="82"/>
      <c r="AT62" s="82"/>
      <c r="AU62" s="83"/>
    </row>
    <row r="63" ht="15.0" customHeight="1">
      <c r="A63" s="229" t="s">
        <v>97</v>
      </c>
      <c r="B63" s="230" t="s">
        <v>872</v>
      </c>
      <c r="C63" s="93">
        <f>IF($A63="Feature",SUM(D63:E63)*'Roadmap setting'!$B$13,0)</f>
        <v>6.4</v>
      </c>
      <c r="D63" s="94">
        <v>16.0</v>
      </c>
      <c r="E63" s="94">
        <v>16.0</v>
      </c>
      <c r="F63" s="95">
        <f>IF($A63="Feature",IF('Roadmap setting'!$E$14,$E63*('Roadmap setting'!$B$14+'Roadmap setting'!$D$14),$E63*'Roadmap setting'!$B$14),0)</f>
        <v>2.4</v>
      </c>
      <c r="G63" s="93">
        <f>IF($A63="Feature",$D63*'Roadmap setting'!$B$15,0)</f>
        <v>0</v>
      </c>
      <c r="H63" s="95">
        <f>IF($A63="Feature",$E63*'Roadmap setting'!$B$16,0)</f>
        <v>0</v>
      </c>
      <c r="I63" s="93">
        <f>SUM($D63:$E63)*'Roadmap setting'!$B$17</f>
        <v>3.84</v>
      </c>
      <c r="J63" s="93">
        <f>SUM($D63:$E63)*'Roadmap setting'!$B$18</f>
        <v>0.32</v>
      </c>
      <c r="K63" s="93">
        <f>SUM($D63:$E63)*'Roadmap setting'!$B$19</f>
        <v>0</v>
      </c>
      <c r="L63" s="95">
        <f>SUM($D63:$E63)*'Roadmap setting'!$B$20</f>
        <v>0.64</v>
      </c>
      <c r="M63" s="79">
        <f t="shared" si="11"/>
        <v>45.6</v>
      </c>
      <c r="N63" s="96" t="b">
        <v>1</v>
      </c>
      <c r="O63" s="97">
        <v>1.6</v>
      </c>
      <c r="P63" s="97">
        <v>1.6</v>
      </c>
      <c r="Q63" s="97">
        <v>0.96</v>
      </c>
      <c r="R63" s="97">
        <v>0.64</v>
      </c>
      <c r="S63" s="97">
        <v>0.32</v>
      </c>
      <c r="T63" s="97">
        <v>1.28</v>
      </c>
      <c r="U63" s="99">
        <v>45.6</v>
      </c>
      <c r="V63" s="96" t="b">
        <v>0</v>
      </c>
      <c r="W63" s="97">
        <v>0.0</v>
      </c>
      <c r="X63" s="97">
        <v>1.2</v>
      </c>
      <c r="Y63" s="97">
        <v>0.32</v>
      </c>
      <c r="Z63" s="97">
        <v>0.24</v>
      </c>
      <c r="AA63" s="97">
        <v>0.16</v>
      </c>
      <c r="AB63" s="97">
        <v>0.48</v>
      </c>
      <c r="AC63" s="99">
        <v>11.2</v>
      </c>
      <c r="AD63" s="96" t="b">
        <v>0</v>
      </c>
      <c r="AE63" s="97">
        <v>0.0</v>
      </c>
      <c r="AF63" s="97">
        <v>1.6</v>
      </c>
      <c r="AG63" s="97">
        <v>0.4</v>
      </c>
      <c r="AH63" s="97">
        <v>0.32</v>
      </c>
      <c r="AI63" s="97">
        <v>0.24</v>
      </c>
      <c r="AJ63" s="97">
        <v>0.64</v>
      </c>
      <c r="AK63" s="99">
        <v>12.0</v>
      </c>
      <c r="AL63" s="96" t="b">
        <v>0</v>
      </c>
      <c r="AM63" s="80">
        <f t="array" ref="AM63">INDEX(A63:AL63, MATCH(RIGHT('Roadmap setting'!$B$9, 3), $A$2:$AL$2, 0) - 1)
</f>
        <v>45.6</v>
      </c>
      <c r="AN63" s="82">
        <f t="array" ref="AN63">IFNA(LOOKUP(2,1/(ISNUMBER(AN57:AN62)),AN57:AN62)+(D63/(Resources!$P$55/7)),Today()+(D63/(Resources!$P$55/7)))</f>
        <v>45827.72522</v>
      </c>
      <c r="AO63" s="82">
        <f t="array" ref="AO63">IFNA(LOOKUP(2,1/(ISNUMBER(AO57:AO62)),AO57:AO62)+(E63/(Resources!$P$56/7)),Today()+(E63/(Resources!$P$56/7)))</f>
        <v>45817.71242</v>
      </c>
      <c r="AP63" s="82">
        <f t="array" ref="AP63">IF(ISNUMBER($AT63),IFNA(LOOKUP(2,1/(ISNUMBER(AP57:AP62)),AP57:AP62),Today()),IFNA(LOOKUP(2,1/(ISNUMBER(AP57:AP62)),AP57:AP62)+(D63/(Resources!$E$55/7)),Today()+(D63/(Resources!$E$55/7))))</f>
        <v>45880.99828</v>
      </c>
      <c r="AQ63" s="82">
        <f t="array" ref="AQ63">IF(ISNUMBER($AT63),IFNA(LOOKUP(2,1/(ISNUMBER(AQ57:AQ62)),AQ57:AQ62),Today()),IFNA(LOOKUP(2,1/(ISNUMBER(AQ57:AQ62)),AQ57:AQ62)+(E63/(Resources!$E$56/7)),Today()+(E63/(Resources!$E$56/7))))</f>
        <v>45845.31405</v>
      </c>
      <c r="AR63" s="226">
        <f t="shared" si="12"/>
        <v>45880.99828</v>
      </c>
      <c r="AS63" s="82"/>
      <c r="AT63" s="82"/>
      <c r="AU63" s="83"/>
    </row>
    <row r="64" ht="15.0" customHeight="1">
      <c r="A64" s="84"/>
      <c r="B64" s="85" t="s">
        <v>893</v>
      </c>
      <c r="C64" s="84"/>
      <c r="D64" s="84"/>
      <c r="E64" s="84"/>
      <c r="F64" s="84"/>
      <c r="G64" s="84"/>
      <c r="H64" s="84"/>
      <c r="I64" s="84"/>
      <c r="J64" s="84"/>
      <c r="K64" s="84"/>
      <c r="L64" s="84"/>
      <c r="M64" s="84"/>
      <c r="N64" s="84"/>
      <c r="O64" s="84"/>
      <c r="P64" s="84"/>
      <c r="Q64" s="84"/>
      <c r="R64" s="84"/>
      <c r="S64" s="84"/>
      <c r="T64" s="84"/>
      <c r="U64" s="84"/>
      <c r="V64" s="84"/>
      <c r="W64" s="84"/>
      <c r="X64" s="84"/>
      <c r="Y64" s="84"/>
      <c r="Z64" s="84"/>
      <c r="AA64" s="84"/>
      <c r="AB64" s="84"/>
      <c r="AC64" s="84"/>
      <c r="AD64" s="84"/>
      <c r="AE64" s="84"/>
      <c r="AF64" s="84"/>
      <c r="AG64" s="84"/>
      <c r="AH64" s="84"/>
      <c r="AI64" s="84"/>
      <c r="AJ64" s="84"/>
      <c r="AK64" s="84"/>
      <c r="AL64" s="84"/>
      <c r="AM64" s="84"/>
      <c r="AN64" s="84"/>
      <c r="AO64" s="84"/>
      <c r="AP64" s="84"/>
      <c r="AQ64" s="84"/>
      <c r="AR64" s="84"/>
      <c r="AS64" s="84"/>
      <c r="AT64" s="84"/>
      <c r="AU64" s="84"/>
    </row>
    <row r="65" ht="15.0" customHeight="1">
      <c r="A65" s="71"/>
      <c r="B65" s="91" t="s">
        <v>894</v>
      </c>
      <c r="C65" s="71"/>
      <c r="D65" s="71"/>
      <c r="E65" s="71"/>
      <c r="F65" s="71"/>
      <c r="G65" s="71"/>
      <c r="H65" s="71"/>
      <c r="I65" s="71"/>
      <c r="J65" s="71"/>
      <c r="K65" s="71"/>
      <c r="L65" s="71"/>
      <c r="M65" s="71"/>
      <c r="N65" s="71"/>
      <c r="O65" s="71"/>
      <c r="P65" s="71"/>
      <c r="Q65" s="71"/>
      <c r="R65" s="71"/>
      <c r="S65" s="71"/>
      <c r="T65" s="71"/>
      <c r="U65" s="71"/>
      <c r="V65" s="71"/>
      <c r="W65" s="71"/>
      <c r="X65" s="71"/>
      <c r="Y65" s="71"/>
      <c r="Z65" s="71"/>
      <c r="AA65" s="71"/>
      <c r="AB65" s="71"/>
      <c r="AC65" s="71"/>
      <c r="AD65" s="71"/>
      <c r="AE65" s="71"/>
      <c r="AF65" s="71"/>
      <c r="AG65" s="71"/>
      <c r="AH65" s="71"/>
      <c r="AI65" s="71"/>
      <c r="AJ65" s="71"/>
      <c r="AK65" s="71"/>
      <c r="AL65" s="71"/>
      <c r="AM65" s="71"/>
      <c r="AN65" s="71"/>
      <c r="AO65" s="71"/>
      <c r="AP65" s="71"/>
      <c r="AQ65" s="71"/>
      <c r="AR65" s="71"/>
      <c r="AS65" s="71"/>
      <c r="AT65" s="71"/>
      <c r="AU65" s="71"/>
    </row>
    <row r="66" ht="15.0" customHeight="1">
      <c r="A66" s="229" t="s">
        <v>97</v>
      </c>
      <c r="B66" s="107" t="s">
        <v>895</v>
      </c>
      <c r="C66" s="93">
        <f>IF($A66="Feature",SUM(D66:E66)*'Roadmap setting'!$B$13,0)</f>
        <v>1.8</v>
      </c>
      <c r="D66" s="94">
        <v>3.0</v>
      </c>
      <c r="E66" s="94">
        <v>6.0</v>
      </c>
      <c r="F66" s="95">
        <f>IF($A66="Feature",IF('Roadmap setting'!$E$14,$E66*('Roadmap setting'!$B$14+'Roadmap setting'!$D$14),$E66*'Roadmap setting'!$B$14),0)</f>
        <v>0.9</v>
      </c>
      <c r="G66" s="93">
        <f>IF($A66="Feature",$D66*'Roadmap setting'!$B$15,0)</f>
        <v>0</v>
      </c>
      <c r="H66" s="95">
        <f>IF($A66="Feature",$E66*'Roadmap setting'!$B$16,0)</f>
        <v>0</v>
      </c>
      <c r="I66" s="93">
        <f>SUM($D66:$E66)*'Roadmap setting'!$B$17</f>
        <v>1.08</v>
      </c>
      <c r="J66" s="93">
        <f>SUM($D66:$E66)*'Roadmap setting'!$B$18</f>
        <v>0.09</v>
      </c>
      <c r="K66" s="93">
        <f>SUM($D66:$E66)*'Roadmap setting'!$B$19</f>
        <v>0</v>
      </c>
      <c r="L66" s="95">
        <f>SUM($D66:$E66)*'Roadmap setting'!$B$20</f>
        <v>0.18</v>
      </c>
      <c r="M66" s="79">
        <f t="shared" ref="M66:M72" si="13">SUM($C66:$F66)+SUM(G66:L66)</f>
        <v>13.05</v>
      </c>
      <c r="N66" s="96" t="b">
        <v>1</v>
      </c>
      <c r="O66" s="97">
        <v>0.3</v>
      </c>
      <c r="P66" s="97">
        <v>0.6</v>
      </c>
      <c r="Q66" s="97">
        <v>0.27</v>
      </c>
      <c r="R66" s="97">
        <v>0.18</v>
      </c>
      <c r="S66" s="97">
        <v>0.09</v>
      </c>
      <c r="T66" s="97">
        <v>0.36</v>
      </c>
      <c r="U66" s="99">
        <v>13.2</v>
      </c>
      <c r="V66" s="96" t="b">
        <v>0</v>
      </c>
      <c r="W66" s="97">
        <v>0.0</v>
      </c>
      <c r="X66" s="97">
        <v>1.2</v>
      </c>
      <c r="Y66" s="97">
        <v>0.32</v>
      </c>
      <c r="Z66" s="97">
        <v>0.24</v>
      </c>
      <c r="AA66" s="97">
        <v>0.16</v>
      </c>
      <c r="AB66" s="97">
        <v>0.48</v>
      </c>
      <c r="AC66" s="99">
        <v>11.2</v>
      </c>
      <c r="AD66" s="96" t="b">
        <v>0</v>
      </c>
      <c r="AE66" s="97">
        <v>0.0</v>
      </c>
      <c r="AF66" s="97">
        <v>1.6</v>
      </c>
      <c r="AG66" s="97">
        <v>0.4</v>
      </c>
      <c r="AH66" s="97">
        <v>0.32</v>
      </c>
      <c r="AI66" s="97">
        <v>0.24</v>
      </c>
      <c r="AJ66" s="97">
        <v>0.64</v>
      </c>
      <c r="AK66" s="99">
        <v>12.0</v>
      </c>
      <c r="AL66" s="96" t="b">
        <v>0</v>
      </c>
      <c r="AM66" s="80">
        <f t="array" ref="AM66">INDEX(A66:AL66, MATCH(RIGHT('Roadmap setting'!$B$9, 3), $A$2:$AL$2, 0) - 1)
</f>
        <v>13.05</v>
      </c>
      <c r="AN66" s="82">
        <f t="array" ref="AN66">IFNA(LOOKUP(2,1/(ISNUMBER(AN60:AN65)),AN60:AN65)+(D66/(Resources!$P$55/7)),Today()+(D66/(Resources!$P$55/7)))</f>
        <v>45828.0982</v>
      </c>
      <c r="AO66" s="82">
        <f t="array" ref="AO66">IFNA(LOOKUP(2,1/(ISNUMBER(AO60:AO65)),AO60:AO65)+(E66/(Resources!$P$56/7)),Today()+(E66/(Resources!$P$56/7)))</f>
        <v>45818.94612</v>
      </c>
      <c r="AP66" s="82">
        <f t="array" ref="AP66">IF(ISNUMBER($AT66),IFNA(LOOKUP(2,1/(ISNUMBER(AP60:AP65)),AP60:AP65),Today()),IFNA(LOOKUP(2,1/(ISNUMBER(AP60:AP65)),AP60:AP65)+(D66/(Resources!$E$55/7)),Today()+(D66/(Resources!$E$55/7))))</f>
        <v>45881.76297</v>
      </c>
      <c r="AQ66" s="82">
        <f t="array" ref="AQ66">IF(ISNUMBER($AT66),IFNA(LOOKUP(2,1/(ISNUMBER(AQ60:AQ65)),AQ60:AQ65),Today()),IFNA(LOOKUP(2,1/(ISNUMBER(AQ60:AQ65)),AQ60:AQ65)+(E66/(Resources!$E$56/7)),Today()+(E66/(Resources!$E$56/7))))</f>
        <v>45847.38418</v>
      </c>
      <c r="AR66" s="226">
        <f t="shared" ref="AR66:AR72" si="14">IFERROR(MAX(AP66,AQ66),"")</f>
        <v>45881.76297</v>
      </c>
      <c r="AS66" s="82"/>
      <c r="AT66" s="82"/>
      <c r="AU66" s="83"/>
    </row>
    <row r="67" ht="15.0" customHeight="1">
      <c r="A67" s="229" t="s">
        <v>97</v>
      </c>
      <c r="B67" s="107" t="s">
        <v>896</v>
      </c>
      <c r="C67" s="93">
        <f>IF($A67="Feature",SUM(D67:E67)*'Roadmap setting'!$B$13,0)</f>
        <v>1.6</v>
      </c>
      <c r="D67" s="94">
        <v>4.0</v>
      </c>
      <c r="E67" s="94">
        <v>4.0</v>
      </c>
      <c r="F67" s="95">
        <f>IF($A67="Feature",IF('Roadmap setting'!$E$14,$E67*('Roadmap setting'!$B$14+'Roadmap setting'!$D$14),$E67*'Roadmap setting'!$B$14),0)</f>
        <v>0.6</v>
      </c>
      <c r="G67" s="93">
        <f>IF($A67="Feature",$D67*'Roadmap setting'!$B$15,0)</f>
        <v>0</v>
      </c>
      <c r="H67" s="95">
        <f>IF($A67="Feature",$E67*'Roadmap setting'!$B$16,0)</f>
        <v>0</v>
      </c>
      <c r="I67" s="93">
        <f>SUM($D67:$E67)*'Roadmap setting'!$B$17</f>
        <v>0.96</v>
      </c>
      <c r="J67" s="93">
        <f>SUM($D67:$E67)*'Roadmap setting'!$B$18</f>
        <v>0.08</v>
      </c>
      <c r="K67" s="93">
        <f>SUM($D67:$E67)*'Roadmap setting'!$B$19</f>
        <v>0</v>
      </c>
      <c r="L67" s="95">
        <f>SUM($D67:$E67)*'Roadmap setting'!$B$20</f>
        <v>0.16</v>
      </c>
      <c r="M67" s="79">
        <f t="shared" si="13"/>
        <v>11.4</v>
      </c>
      <c r="N67" s="96" t="b">
        <v>1</v>
      </c>
      <c r="O67" s="97">
        <v>0.4</v>
      </c>
      <c r="P67" s="97">
        <v>0.4</v>
      </c>
      <c r="Q67" s="97">
        <v>0.24</v>
      </c>
      <c r="R67" s="97">
        <v>0.16</v>
      </c>
      <c r="S67" s="97">
        <v>0.08</v>
      </c>
      <c r="T67" s="97">
        <v>0.32</v>
      </c>
      <c r="U67" s="99">
        <v>11.4</v>
      </c>
      <c r="V67" s="96" t="b">
        <v>0</v>
      </c>
      <c r="W67" s="97">
        <v>0.0</v>
      </c>
      <c r="X67" s="97">
        <v>1.2</v>
      </c>
      <c r="Y67" s="97">
        <v>0.32</v>
      </c>
      <c r="Z67" s="97">
        <v>0.24</v>
      </c>
      <c r="AA67" s="97">
        <v>0.16</v>
      </c>
      <c r="AB67" s="97">
        <v>0.48</v>
      </c>
      <c r="AC67" s="99">
        <v>11.2</v>
      </c>
      <c r="AD67" s="96" t="b">
        <v>0</v>
      </c>
      <c r="AE67" s="97">
        <v>0.0</v>
      </c>
      <c r="AF67" s="97">
        <v>1.6</v>
      </c>
      <c r="AG67" s="97">
        <v>0.4</v>
      </c>
      <c r="AH67" s="97">
        <v>0.32</v>
      </c>
      <c r="AI67" s="97">
        <v>0.24</v>
      </c>
      <c r="AJ67" s="97">
        <v>0.64</v>
      </c>
      <c r="AK67" s="99">
        <v>12.0</v>
      </c>
      <c r="AL67" s="96" t="b">
        <v>0</v>
      </c>
      <c r="AM67" s="80">
        <f t="array" ref="AM67">INDEX(A67:AL67, MATCH(RIGHT('Roadmap setting'!$B$9, 3), $A$2:$AL$2, 0) - 1)
</f>
        <v>11.4</v>
      </c>
      <c r="AN67" s="82">
        <f t="array" ref="AN67">IFNA(LOOKUP(2,1/(ISNUMBER(AN61:AN66)),AN61:AN66)+(D67/(Resources!$P$55/7)),Today()+(D67/(Resources!$P$55/7)))</f>
        <v>45828.5955</v>
      </c>
      <c r="AO67" s="82">
        <f t="array" ref="AO67">IFNA(LOOKUP(2,1/(ISNUMBER(AO61:AO66)),AO61:AO66)+(E67/(Resources!$P$56/7)),Today()+(E67/(Resources!$P$56/7)))</f>
        <v>45819.7686</v>
      </c>
      <c r="AP67" s="82">
        <f t="array" ref="AP67">IF(ISNUMBER($AT67),IFNA(LOOKUP(2,1/(ISNUMBER(AP61:AP66)),AP61:AP66),Today()),IFNA(LOOKUP(2,1/(ISNUMBER(AP61:AP66)),AP61:AP66)+(D67/(Resources!$E$55/7)),Today()+(D67/(Resources!$E$55/7))))</f>
        <v>45882.78256</v>
      </c>
      <c r="AQ67" s="82">
        <f t="array" ref="AQ67">IF(ISNUMBER($AT67),IFNA(LOOKUP(2,1/(ISNUMBER(AQ61:AQ66)),AQ61:AQ66),Today()),IFNA(LOOKUP(2,1/(ISNUMBER(AQ61:AQ66)),AQ61:AQ66)+(E67/(Resources!$E$56/7)),Today()+(E67/(Resources!$E$56/7))))</f>
        <v>45848.76426</v>
      </c>
      <c r="AR67" s="226">
        <f t="shared" si="14"/>
        <v>45882.78256</v>
      </c>
      <c r="AS67" s="82"/>
      <c r="AT67" s="82"/>
      <c r="AU67" s="83"/>
    </row>
    <row r="68" ht="15.0" customHeight="1">
      <c r="A68" s="229" t="s">
        <v>97</v>
      </c>
      <c r="B68" s="103" t="s">
        <v>897</v>
      </c>
      <c r="C68" s="93">
        <f>IF($A68="Feature",SUM(D68:E68)*'Roadmap setting'!$B$13,0)</f>
        <v>3.2</v>
      </c>
      <c r="D68" s="94">
        <v>8.0</v>
      </c>
      <c r="E68" s="94">
        <v>8.0</v>
      </c>
      <c r="F68" s="95">
        <f>IF($A68="Feature",IF('Roadmap setting'!$E$14,$E68*('Roadmap setting'!$B$14+'Roadmap setting'!$D$14),$E68*'Roadmap setting'!$B$14),0)</f>
        <v>1.2</v>
      </c>
      <c r="G68" s="93">
        <f>IF($A68="Feature",$D68*'Roadmap setting'!$B$15,0)</f>
        <v>0</v>
      </c>
      <c r="H68" s="95">
        <f>IF($A68="Feature",$E68*'Roadmap setting'!$B$16,0)</f>
        <v>0</v>
      </c>
      <c r="I68" s="93">
        <f>SUM($D68:$E68)*'Roadmap setting'!$B$17</f>
        <v>1.92</v>
      </c>
      <c r="J68" s="93">
        <f>SUM($D68:$E68)*'Roadmap setting'!$B$18</f>
        <v>0.16</v>
      </c>
      <c r="K68" s="93">
        <f>SUM($D68:$E68)*'Roadmap setting'!$B$19</f>
        <v>0</v>
      </c>
      <c r="L68" s="95">
        <f>SUM($D68:$E68)*'Roadmap setting'!$B$20</f>
        <v>0.32</v>
      </c>
      <c r="M68" s="79">
        <f t="shared" si="13"/>
        <v>22.8</v>
      </c>
      <c r="N68" s="96" t="b">
        <v>1</v>
      </c>
      <c r="O68" s="97">
        <v>0.8</v>
      </c>
      <c r="P68" s="97">
        <v>0.8</v>
      </c>
      <c r="Q68" s="97">
        <v>0.48</v>
      </c>
      <c r="R68" s="97">
        <v>0.32</v>
      </c>
      <c r="S68" s="97">
        <v>0.16</v>
      </c>
      <c r="T68" s="97">
        <v>0.64</v>
      </c>
      <c r="U68" s="99">
        <v>22.8</v>
      </c>
      <c r="V68" s="96" t="b">
        <v>0</v>
      </c>
      <c r="W68" s="97">
        <v>0.0</v>
      </c>
      <c r="X68" s="97">
        <v>1.2</v>
      </c>
      <c r="Y68" s="97">
        <v>0.32</v>
      </c>
      <c r="Z68" s="97">
        <v>0.24</v>
      </c>
      <c r="AA68" s="97">
        <v>0.16</v>
      </c>
      <c r="AB68" s="97">
        <v>0.48</v>
      </c>
      <c r="AC68" s="99">
        <v>11.2</v>
      </c>
      <c r="AD68" s="96" t="b">
        <v>0</v>
      </c>
      <c r="AE68" s="97">
        <v>0.0</v>
      </c>
      <c r="AF68" s="97">
        <v>1.6</v>
      </c>
      <c r="AG68" s="97">
        <v>0.4</v>
      </c>
      <c r="AH68" s="97">
        <v>0.32</v>
      </c>
      <c r="AI68" s="97">
        <v>0.24</v>
      </c>
      <c r="AJ68" s="97">
        <v>0.64</v>
      </c>
      <c r="AK68" s="99">
        <v>12.0</v>
      </c>
      <c r="AL68" s="96" t="b">
        <v>0</v>
      </c>
      <c r="AM68" s="80">
        <f t="array" ref="AM68">INDEX(A68:AL68, MATCH(RIGHT('Roadmap setting'!$B$9, 3), $A$2:$AL$2, 0) - 1)
</f>
        <v>22.8</v>
      </c>
      <c r="AN68" s="82">
        <f t="array" ref="AN68">IFNA(LOOKUP(2,1/(ISNUMBER(AN62:AN67)),AN62:AN67)+(D68/(Resources!$P$55/7)),Today()+(D68/(Resources!$P$55/7)))</f>
        <v>45829.59011</v>
      </c>
      <c r="AO68" s="82">
        <f t="array" ref="AO68">IFNA(LOOKUP(2,1/(ISNUMBER(AO62:AO67)),AO62:AO67)+(E68/(Resources!$P$56/7)),Today()+(E68/(Resources!$P$56/7)))</f>
        <v>45821.41354</v>
      </c>
      <c r="AP68" s="82">
        <f t="array" ref="AP68">IF(ISNUMBER($AT68),IFNA(LOOKUP(2,1/(ISNUMBER(AP62:AP67)),AP62:AP67),Today()),IFNA(LOOKUP(2,1/(ISNUMBER(AP62:AP67)),AP62:AP67)+(D68/(Resources!$E$55/7)),Today()+(D68/(Resources!$E$55/7))))</f>
        <v>45884.82174</v>
      </c>
      <c r="AQ68" s="82">
        <f t="array" ref="AQ68">IF(ISNUMBER($AT68),IFNA(LOOKUP(2,1/(ISNUMBER(AQ62:AQ67)),AQ62:AQ67),Today()),IFNA(LOOKUP(2,1/(ISNUMBER(AQ62:AQ67)),AQ62:AQ67)+(E68/(Resources!$E$56/7)),Today()+(E68/(Resources!$E$56/7))))</f>
        <v>45851.52442</v>
      </c>
      <c r="AR68" s="226">
        <f t="shared" si="14"/>
        <v>45884.82174</v>
      </c>
      <c r="AS68" s="82"/>
      <c r="AT68" s="82"/>
      <c r="AU68" s="83"/>
    </row>
    <row r="69" ht="15.0" customHeight="1">
      <c r="A69" s="229" t="s">
        <v>97</v>
      </c>
      <c r="B69" s="103" t="s">
        <v>898</v>
      </c>
      <c r="C69" s="93">
        <f>IF($A69="Feature",SUM(D69:E69)*'Roadmap setting'!$B$13,0)</f>
        <v>1.4</v>
      </c>
      <c r="D69" s="94">
        <v>3.0</v>
      </c>
      <c r="E69" s="94">
        <v>4.0</v>
      </c>
      <c r="F69" s="95">
        <f>IF($A69="Feature",IF('Roadmap setting'!$E$14,$E69*('Roadmap setting'!$B$14+'Roadmap setting'!$D$14),$E69*'Roadmap setting'!$B$14),0)</f>
        <v>0.6</v>
      </c>
      <c r="G69" s="93">
        <f>IF($A69="Feature",$D69*'Roadmap setting'!$B$15,0)</f>
        <v>0</v>
      </c>
      <c r="H69" s="95">
        <f>IF($A69="Feature",$E69*'Roadmap setting'!$B$16,0)</f>
        <v>0</v>
      </c>
      <c r="I69" s="93">
        <f>SUM($D69:$E69)*'Roadmap setting'!$B$17</f>
        <v>0.84</v>
      </c>
      <c r="J69" s="93">
        <f>SUM($D69:$E69)*'Roadmap setting'!$B$18</f>
        <v>0.07</v>
      </c>
      <c r="K69" s="93">
        <f>SUM($D69:$E69)*'Roadmap setting'!$B$19</f>
        <v>0</v>
      </c>
      <c r="L69" s="95">
        <f>SUM($D69:$E69)*'Roadmap setting'!$B$20</f>
        <v>0.14</v>
      </c>
      <c r="M69" s="79">
        <f t="shared" si="13"/>
        <v>10.05</v>
      </c>
      <c r="N69" s="96" t="b">
        <v>1</v>
      </c>
      <c r="O69" s="97">
        <v>0.3</v>
      </c>
      <c r="P69" s="97">
        <v>0.4</v>
      </c>
      <c r="Q69" s="97">
        <v>0.21</v>
      </c>
      <c r="R69" s="97">
        <v>0.14</v>
      </c>
      <c r="S69" s="97">
        <v>0.07</v>
      </c>
      <c r="T69" s="97">
        <v>0.28</v>
      </c>
      <c r="U69" s="99">
        <v>10.1</v>
      </c>
      <c r="V69" s="96" t="b">
        <v>0</v>
      </c>
      <c r="W69" s="97">
        <v>0.0</v>
      </c>
      <c r="X69" s="97">
        <v>1.2</v>
      </c>
      <c r="Y69" s="97">
        <v>0.32</v>
      </c>
      <c r="Z69" s="97">
        <v>0.24</v>
      </c>
      <c r="AA69" s="97">
        <v>0.16</v>
      </c>
      <c r="AB69" s="97">
        <v>0.48</v>
      </c>
      <c r="AC69" s="99">
        <v>11.2</v>
      </c>
      <c r="AD69" s="96" t="b">
        <v>0</v>
      </c>
      <c r="AE69" s="97">
        <v>0.0</v>
      </c>
      <c r="AF69" s="97">
        <v>1.6</v>
      </c>
      <c r="AG69" s="97">
        <v>0.4</v>
      </c>
      <c r="AH69" s="97">
        <v>0.32</v>
      </c>
      <c r="AI69" s="97">
        <v>0.24</v>
      </c>
      <c r="AJ69" s="97">
        <v>0.64</v>
      </c>
      <c r="AK69" s="99">
        <v>12.0</v>
      </c>
      <c r="AL69" s="96" t="b">
        <v>0</v>
      </c>
      <c r="AM69" s="80">
        <f t="array" ref="AM69">INDEX(A69:AL69, MATCH(RIGHT('Roadmap setting'!$B$9, 3), $A$2:$AL$2, 0) - 1)
</f>
        <v>10.05</v>
      </c>
      <c r="AN69" s="82">
        <f t="array" ref="AN69">IFNA(LOOKUP(2,1/(ISNUMBER(AN63:AN68)),AN63:AN68)+(D69/(Resources!$P$55/7)),Today()+(D69/(Resources!$P$55/7)))</f>
        <v>45829.96309</v>
      </c>
      <c r="AO69" s="82">
        <f t="array" ref="AO69">IFNA(LOOKUP(2,1/(ISNUMBER(AO63:AO68)),AO63:AO68)+(E69/(Resources!$P$56/7)),Today()+(E69/(Resources!$P$56/7)))</f>
        <v>45822.23602</v>
      </c>
      <c r="AP69" s="82">
        <f t="array" ref="AP69">IF(ISNUMBER($AT69),IFNA(LOOKUP(2,1/(ISNUMBER(AP63:AP68)),AP63:AP68),Today()),IFNA(LOOKUP(2,1/(ISNUMBER(AP63:AP68)),AP63:AP68)+(D69/(Resources!$E$55/7)),Today()+(D69/(Resources!$E$55/7))))</f>
        <v>45885.58643</v>
      </c>
      <c r="AQ69" s="82">
        <f t="array" ref="AQ69">IF(ISNUMBER($AT69),IFNA(LOOKUP(2,1/(ISNUMBER(AQ63:AQ68)),AQ63:AQ68),Today()),IFNA(LOOKUP(2,1/(ISNUMBER(AQ63:AQ68)),AQ63:AQ68)+(E69/(Resources!$E$56/7)),Today()+(E69/(Resources!$E$56/7))))</f>
        <v>45852.9045</v>
      </c>
      <c r="AR69" s="226">
        <f t="shared" si="14"/>
        <v>45885.58643</v>
      </c>
      <c r="AS69" s="82"/>
      <c r="AT69" s="82"/>
      <c r="AU69" s="83"/>
    </row>
    <row r="70" ht="15.0" customHeight="1">
      <c r="A70" s="229" t="s">
        <v>97</v>
      </c>
      <c r="B70" s="103" t="s">
        <v>899</v>
      </c>
      <c r="C70" s="93">
        <f>IF($A70="Feature",SUM(D70:E70)*'Roadmap setting'!$B$13,0)</f>
        <v>2.6</v>
      </c>
      <c r="D70" s="94">
        <v>8.0</v>
      </c>
      <c r="E70" s="94">
        <v>5.0</v>
      </c>
      <c r="F70" s="95">
        <f>IF($A70="Feature",IF('Roadmap setting'!$E$14,$E70*('Roadmap setting'!$B$14+'Roadmap setting'!$D$14),$E70*'Roadmap setting'!$B$14),0)</f>
        <v>0.75</v>
      </c>
      <c r="G70" s="93">
        <f>IF($A70="Feature",$D70*'Roadmap setting'!$B$15,0)</f>
        <v>0</v>
      </c>
      <c r="H70" s="95">
        <f>IF($A70="Feature",$E70*'Roadmap setting'!$B$16,0)</f>
        <v>0</v>
      </c>
      <c r="I70" s="93">
        <f>SUM($D70:$E70)*'Roadmap setting'!$B$17</f>
        <v>1.56</v>
      </c>
      <c r="J70" s="93">
        <f>SUM($D70:$E70)*'Roadmap setting'!$B$18</f>
        <v>0.13</v>
      </c>
      <c r="K70" s="93">
        <f>SUM($D70:$E70)*'Roadmap setting'!$B$19</f>
        <v>0</v>
      </c>
      <c r="L70" s="95">
        <f>SUM($D70:$E70)*'Roadmap setting'!$B$20</f>
        <v>0.26</v>
      </c>
      <c r="M70" s="79">
        <f t="shared" si="13"/>
        <v>18.3</v>
      </c>
      <c r="N70" s="96" t="b">
        <v>1</v>
      </c>
      <c r="O70" s="97">
        <v>0.8</v>
      </c>
      <c r="P70" s="97">
        <v>0.5</v>
      </c>
      <c r="Q70" s="97">
        <v>0.39</v>
      </c>
      <c r="R70" s="97">
        <v>0.26</v>
      </c>
      <c r="S70" s="97">
        <v>0.13</v>
      </c>
      <c r="T70" s="97">
        <v>0.52</v>
      </c>
      <c r="U70" s="99">
        <v>18.15</v>
      </c>
      <c r="V70" s="96" t="b">
        <v>0</v>
      </c>
      <c r="W70" s="97">
        <v>0.0</v>
      </c>
      <c r="X70" s="97">
        <v>1.2</v>
      </c>
      <c r="Y70" s="97">
        <v>0.32</v>
      </c>
      <c r="Z70" s="97">
        <v>0.24</v>
      </c>
      <c r="AA70" s="97">
        <v>0.16</v>
      </c>
      <c r="AB70" s="97">
        <v>0.48</v>
      </c>
      <c r="AC70" s="99">
        <v>11.2</v>
      </c>
      <c r="AD70" s="96" t="b">
        <v>0</v>
      </c>
      <c r="AE70" s="97">
        <v>0.0</v>
      </c>
      <c r="AF70" s="97">
        <v>1.6</v>
      </c>
      <c r="AG70" s="97">
        <v>0.4</v>
      </c>
      <c r="AH70" s="97">
        <v>0.32</v>
      </c>
      <c r="AI70" s="97">
        <v>0.24</v>
      </c>
      <c r="AJ70" s="97">
        <v>0.64</v>
      </c>
      <c r="AK70" s="99">
        <v>12.0</v>
      </c>
      <c r="AL70" s="96" t="b">
        <v>0</v>
      </c>
      <c r="AM70" s="80">
        <f t="array" ref="AM70">INDEX(A70:AL70, MATCH(RIGHT('Roadmap setting'!$B$9, 3), $A$2:$AL$2, 0) - 1)
</f>
        <v>18.3</v>
      </c>
      <c r="AN70" s="82">
        <f t="array" ref="AN70">IFNA(LOOKUP(2,1/(ISNUMBER(AN64:AN69)),AN64:AN69)+(D70/(Resources!$P$55/7)),Today()+(D70/(Resources!$P$55/7)))</f>
        <v>45830.95771</v>
      </c>
      <c r="AO70" s="82">
        <f t="array" ref="AO70">IFNA(LOOKUP(2,1/(ISNUMBER(AO64:AO69)),AO64:AO69)+(E70/(Resources!$P$56/7)),Today()+(E70/(Resources!$P$56/7)))</f>
        <v>45823.26411</v>
      </c>
      <c r="AP70" s="82">
        <f t="array" ref="AP70">IF(ISNUMBER($AT70),IFNA(LOOKUP(2,1/(ISNUMBER(AP64:AP69)),AP64:AP69),Today()),IFNA(LOOKUP(2,1/(ISNUMBER(AP64:AP69)),AP64:AP69)+(D70/(Resources!$E$55/7)),Today()+(D70/(Resources!$E$55/7))))</f>
        <v>45887.62562</v>
      </c>
      <c r="AQ70" s="82">
        <f t="array" ref="AQ70">IF(ISNUMBER($AT70),IFNA(LOOKUP(2,1/(ISNUMBER(AQ64:AQ69)),AQ64:AQ69),Today()),IFNA(LOOKUP(2,1/(ISNUMBER(AQ64:AQ69)),AQ64:AQ69)+(E70/(Resources!$E$56/7)),Today()+(E70/(Resources!$E$56/7))))</f>
        <v>45854.62961</v>
      </c>
      <c r="AR70" s="226">
        <f t="shared" si="14"/>
        <v>45887.62562</v>
      </c>
      <c r="AS70" s="82"/>
      <c r="AT70" s="82"/>
      <c r="AU70" s="83"/>
    </row>
    <row r="71" ht="15.0" customHeight="1">
      <c r="A71" s="229" t="s">
        <v>97</v>
      </c>
      <c r="B71" s="103" t="s">
        <v>900</v>
      </c>
      <c r="C71" s="93">
        <f>IF($A71="Feature",SUM(D71:E71)*'Roadmap setting'!$B$13,0)</f>
        <v>1.2</v>
      </c>
      <c r="D71" s="94">
        <v>3.0</v>
      </c>
      <c r="E71" s="94">
        <v>3.0</v>
      </c>
      <c r="F71" s="95">
        <f>IF($A71="Feature",IF('Roadmap setting'!$E$14,$E71*('Roadmap setting'!$B$14+'Roadmap setting'!$D$14),$E71*'Roadmap setting'!$B$14),0)</f>
        <v>0.45</v>
      </c>
      <c r="G71" s="93">
        <f>IF($A71="Feature",$D71*'Roadmap setting'!$B$15,0)</f>
        <v>0</v>
      </c>
      <c r="H71" s="95">
        <f>IF($A71="Feature",$E71*'Roadmap setting'!$B$16,0)</f>
        <v>0</v>
      </c>
      <c r="I71" s="93">
        <f>SUM($D71:$E71)*'Roadmap setting'!$B$17</f>
        <v>0.72</v>
      </c>
      <c r="J71" s="93">
        <f>SUM($D71:$E71)*'Roadmap setting'!$B$18</f>
        <v>0.06</v>
      </c>
      <c r="K71" s="93">
        <f>SUM($D71:$E71)*'Roadmap setting'!$B$19</f>
        <v>0</v>
      </c>
      <c r="L71" s="95">
        <f>SUM($D71:$E71)*'Roadmap setting'!$B$20</f>
        <v>0.12</v>
      </c>
      <c r="M71" s="79">
        <f t="shared" si="13"/>
        <v>8.55</v>
      </c>
      <c r="N71" s="96" t="b">
        <v>1</v>
      </c>
      <c r="O71" s="97">
        <v>0.3</v>
      </c>
      <c r="P71" s="97">
        <v>0.3</v>
      </c>
      <c r="Q71" s="97">
        <v>0.18</v>
      </c>
      <c r="R71" s="97">
        <v>0.12</v>
      </c>
      <c r="S71" s="97">
        <v>0.06</v>
      </c>
      <c r="T71" s="97">
        <v>0.24</v>
      </c>
      <c r="U71" s="99">
        <v>8.55</v>
      </c>
      <c r="V71" s="96" t="b">
        <v>0</v>
      </c>
      <c r="W71" s="97">
        <v>0.0</v>
      </c>
      <c r="X71" s="97">
        <v>1.2</v>
      </c>
      <c r="Y71" s="97">
        <v>0.32</v>
      </c>
      <c r="Z71" s="97">
        <v>0.24</v>
      </c>
      <c r="AA71" s="97">
        <v>0.16</v>
      </c>
      <c r="AB71" s="97">
        <v>0.48</v>
      </c>
      <c r="AC71" s="99">
        <v>11.2</v>
      </c>
      <c r="AD71" s="96" t="b">
        <v>0</v>
      </c>
      <c r="AE71" s="97">
        <v>0.0</v>
      </c>
      <c r="AF71" s="97">
        <v>1.6</v>
      </c>
      <c r="AG71" s="97">
        <v>0.4</v>
      </c>
      <c r="AH71" s="97">
        <v>0.32</v>
      </c>
      <c r="AI71" s="97">
        <v>0.24</v>
      </c>
      <c r="AJ71" s="97">
        <v>0.64</v>
      </c>
      <c r="AK71" s="99">
        <v>12.0</v>
      </c>
      <c r="AL71" s="96" t="b">
        <v>0</v>
      </c>
      <c r="AM71" s="80">
        <f t="array" ref="AM71">INDEX(A71:AL71, MATCH(RIGHT('Roadmap setting'!$B$9, 3), $A$2:$AL$2, 0) - 1)
</f>
        <v>8.55</v>
      </c>
      <c r="AN71" s="82">
        <f t="array" ref="AN71">IFNA(LOOKUP(2,1/(ISNUMBER(AN65:AN70)),AN65:AN70)+(D71/(Resources!$P$55/7)),Today()+(D71/(Resources!$P$55/7)))</f>
        <v>45831.33069</v>
      </c>
      <c r="AO71" s="82">
        <f t="array" ref="AO71">IFNA(LOOKUP(2,1/(ISNUMBER(AO65:AO70)),AO65:AO70)+(E71/(Resources!$P$56/7)),Today()+(E71/(Resources!$P$56/7)))</f>
        <v>45823.88096</v>
      </c>
      <c r="AP71" s="82">
        <f t="array" ref="AP71">IF(ISNUMBER($AT71),IFNA(LOOKUP(2,1/(ISNUMBER(AP65:AP70)),AP65:AP70),Today()),IFNA(LOOKUP(2,1/(ISNUMBER(AP65:AP70)),AP65:AP70)+(D71/(Resources!$E$55/7)),Today()+(D71/(Resources!$E$55/7))))</f>
        <v>45888.39031</v>
      </c>
      <c r="AQ71" s="82">
        <f t="array" ref="AQ71">IF(ISNUMBER($AT71),IFNA(LOOKUP(2,1/(ISNUMBER(AQ65:AQ70)),AQ65:AQ70),Today()),IFNA(LOOKUP(2,1/(ISNUMBER(AQ65:AQ70)),AQ65:AQ70)+(E71/(Resources!$E$56/7)),Today()+(E71/(Resources!$E$56/7))))</f>
        <v>45855.66467</v>
      </c>
      <c r="AR71" s="226">
        <f t="shared" si="14"/>
        <v>45888.39031</v>
      </c>
      <c r="AS71" s="82"/>
      <c r="AT71" s="82"/>
      <c r="AU71" s="83"/>
    </row>
    <row r="72" ht="15.0" customHeight="1">
      <c r="A72" s="229" t="s">
        <v>97</v>
      </c>
      <c r="B72" s="103" t="s">
        <v>901</v>
      </c>
      <c r="C72" s="93">
        <f>IF($A72="Feature",SUM(D72:E72)*'Roadmap setting'!$B$13,0)</f>
        <v>1.4</v>
      </c>
      <c r="D72" s="94">
        <v>3.0</v>
      </c>
      <c r="E72" s="94">
        <v>4.0</v>
      </c>
      <c r="F72" s="95">
        <f>IF($A72="Feature",IF('Roadmap setting'!$E$14,$E72*('Roadmap setting'!$B$14+'Roadmap setting'!$D$14),$E72*'Roadmap setting'!$B$14),0)</f>
        <v>0.6</v>
      </c>
      <c r="G72" s="93">
        <f>IF($A72="Feature",$D72*'Roadmap setting'!$B$15,0)</f>
        <v>0</v>
      </c>
      <c r="H72" s="95">
        <f>IF($A72="Feature",$E72*'Roadmap setting'!$B$16,0)</f>
        <v>0</v>
      </c>
      <c r="I72" s="93">
        <f>SUM($D72:$E72)*'Roadmap setting'!$B$17</f>
        <v>0.84</v>
      </c>
      <c r="J72" s="93">
        <f>SUM($D72:$E72)*'Roadmap setting'!$B$18</f>
        <v>0.07</v>
      </c>
      <c r="K72" s="93">
        <f>SUM($D72:$E72)*'Roadmap setting'!$B$19</f>
        <v>0</v>
      </c>
      <c r="L72" s="95">
        <f>SUM($D72:$E72)*'Roadmap setting'!$B$20</f>
        <v>0.14</v>
      </c>
      <c r="M72" s="79">
        <f t="shared" si="13"/>
        <v>10.05</v>
      </c>
      <c r="N72" s="96" t="b">
        <v>1</v>
      </c>
      <c r="O72" s="97">
        <v>0.3</v>
      </c>
      <c r="P72" s="97">
        <v>0.4</v>
      </c>
      <c r="Q72" s="97">
        <v>0.21</v>
      </c>
      <c r="R72" s="97">
        <v>0.14</v>
      </c>
      <c r="S72" s="97">
        <v>0.07</v>
      </c>
      <c r="T72" s="97">
        <v>0.28</v>
      </c>
      <c r="U72" s="99">
        <v>10.1</v>
      </c>
      <c r="V72" s="96" t="b">
        <v>0</v>
      </c>
      <c r="W72" s="97">
        <v>0.0</v>
      </c>
      <c r="X72" s="97">
        <v>1.2</v>
      </c>
      <c r="Y72" s="97">
        <v>0.32</v>
      </c>
      <c r="Z72" s="97">
        <v>0.24</v>
      </c>
      <c r="AA72" s="97">
        <v>0.16</v>
      </c>
      <c r="AB72" s="97">
        <v>0.48</v>
      </c>
      <c r="AC72" s="99">
        <v>11.2</v>
      </c>
      <c r="AD72" s="96" t="b">
        <v>0</v>
      </c>
      <c r="AE72" s="97">
        <v>0.0</v>
      </c>
      <c r="AF72" s="97">
        <v>1.6</v>
      </c>
      <c r="AG72" s="97">
        <v>0.4</v>
      </c>
      <c r="AH72" s="97">
        <v>0.32</v>
      </c>
      <c r="AI72" s="97">
        <v>0.24</v>
      </c>
      <c r="AJ72" s="97">
        <v>0.64</v>
      </c>
      <c r="AK72" s="99">
        <v>12.0</v>
      </c>
      <c r="AL72" s="96" t="b">
        <v>0</v>
      </c>
      <c r="AM72" s="80">
        <f t="array" ref="AM72">INDEX(A72:AL72, MATCH(RIGHT('Roadmap setting'!$B$9, 3), $A$2:$AL$2, 0) - 1)
</f>
        <v>10.05</v>
      </c>
      <c r="AN72" s="82">
        <f t="array" ref="AN72">IFNA(LOOKUP(2,1/(ISNUMBER(AN66:AN71)),AN66:AN71)+(D72/(Resources!$P$55/7)),Today()+(D72/(Resources!$P$55/7)))</f>
        <v>45831.70367</v>
      </c>
      <c r="AO72" s="82">
        <f t="array" ref="AO72">IFNA(LOOKUP(2,1/(ISNUMBER(AO66:AO71)),AO66:AO71)+(E72/(Resources!$P$56/7)),Today()+(E72/(Resources!$P$56/7)))</f>
        <v>45824.70344</v>
      </c>
      <c r="AP72" s="82">
        <f t="array" ref="AP72">IF(ISNUMBER($AT72),IFNA(LOOKUP(2,1/(ISNUMBER(AP66:AP71)),AP66:AP71),Today()),IFNA(LOOKUP(2,1/(ISNUMBER(AP66:AP71)),AP66:AP71)+(D72/(Resources!$E$55/7)),Today()+(D72/(Resources!$E$55/7))))</f>
        <v>45889.155</v>
      </c>
      <c r="AQ72" s="82">
        <f t="array" ref="AQ72">IF(ISNUMBER($AT72),IFNA(LOOKUP(2,1/(ISNUMBER(AQ66:AQ71)),AQ66:AQ71),Today()),IFNA(LOOKUP(2,1/(ISNUMBER(AQ66:AQ71)),AQ66:AQ71)+(E72/(Resources!$E$56/7)),Today()+(E72/(Resources!$E$56/7))))</f>
        <v>45857.04475</v>
      </c>
      <c r="AR72" s="226">
        <f t="shared" si="14"/>
        <v>45889.155</v>
      </c>
      <c r="AS72" s="82"/>
      <c r="AT72" s="82"/>
      <c r="AU72" s="83"/>
    </row>
    <row r="73" ht="15.0" customHeight="1">
      <c r="A73" s="71"/>
      <c r="B73" s="91" t="s">
        <v>902</v>
      </c>
      <c r="C73" s="72"/>
      <c r="D73" s="72"/>
      <c r="E73" s="72"/>
      <c r="F73" s="72"/>
      <c r="G73" s="72"/>
      <c r="H73" s="72"/>
      <c r="I73" s="72"/>
      <c r="J73" s="72"/>
      <c r="K73" s="72"/>
      <c r="L73" s="72"/>
      <c r="M73" s="72"/>
      <c r="N73" s="72"/>
      <c r="O73" s="72"/>
      <c r="P73" s="72"/>
      <c r="Q73" s="72"/>
      <c r="R73" s="72"/>
      <c r="S73" s="72"/>
      <c r="T73" s="72"/>
      <c r="U73" s="72"/>
      <c r="V73" s="72"/>
      <c r="W73" s="72"/>
      <c r="X73" s="72"/>
      <c r="Y73" s="72"/>
      <c r="Z73" s="72"/>
      <c r="AA73" s="72"/>
      <c r="AB73" s="72"/>
      <c r="AC73" s="72"/>
      <c r="AD73" s="72"/>
      <c r="AE73" s="72"/>
      <c r="AF73" s="72"/>
      <c r="AG73" s="72"/>
      <c r="AH73" s="72"/>
      <c r="AI73" s="72"/>
      <c r="AJ73" s="72"/>
      <c r="AK73" s="72"/>
      <c r="AL73" s="72"/>
      <c r="AM73" s="72"/>
      <c r="AN73" s="72"/>
      <c r="AO73" s="72"/>
      <c r="AP73" s="72"/>
      <c r="AQ73" s="72"/>
      <c r="AR73" s="72"/>
      <c r="AS73" s="72"/>
      <c r="AT73" s="72"/>
      <c r="AU73" s="72"/>
    </row>
    <row r="74" ht="15.0" customHeight="1">
      <c r="A74" s="229" t="s">
        <v>97</v>
      </c>
      <c r="B74" s="103" t="s">
        <v>903</v>
      </c>
      <c r="C74" s="93">
        <f>IF($A74="Feature",SUM(D74:E74)*'Roadmap setting'!$B$13,0)</f>
        <v>1.8</v>
      </c>
      <c r="D74" s="94">
        <v>3.0</v>
      </c>
      <c r="E74" s="94">
        <v>6.0</v>
      </c>
      <c r="F74" s="95">
        <f>IF($A74="Feature",IF('Roadmap setting'!$E$14,$E74*('Roadmap setting'!$B$14+'Roadmap setting'!$D$14),$E74*'Roadmap setting'!$B$14),0)</f>
        <v>0.9</v>
      </c>
      <c r="G74" s="93">
        <f>IF($A74="Feature",$D74*'Roadmap setting'!$B$15,0)</f>
        <v>0</v>
      </c>
      <c r="H74" s="95">
        <f>IF($A74="Feature",$E74*'Roadmap setting'!$B$16,0)</f>
        <v>0</v>
      </c>
      <c r="I74" s="93">
        <f>SUM($D74:$E74)*'Roadmap setting'!$B$17</f>
        <v>1.08</v>
      </c>
      <c r="J74" s="93">
        <f>SUM($D74:$E74)*'Roadmap setting'!$B$18</f>
        <v>0.09</v>
      </c>
      <c r="K74" s="93">
        <f>SUM($D74:$E74)*'Roadmap setting'!$B$19</f>
        <v>0</v>
      </c>
      <c r="L74" s="95">
        <f>SUM($D74:$E74)*'Roadmap setting'!$B$20</f>
        <v>0.18</v>
      </c>
      <c r="M74" s="79">
        <f t="shared" ref="M74:M80" si="15">SUM($C74:$F74)+SUM(G74:L74)</f>
        <v>13.05</v>
      </c>
      <c r="N74" s="96" t="b">
        <v>1</v>
      </c>
      <c r="O74" s="97">
        <v>0.3</v>
      </c>
      <c r="P74" s="97">
        <v>0.6</v>
      </c>
      <c r="Q74" s="97">
        <v>0.27</v>
      </c>
      <c r="R74" s="97">
        <v>0.18</v>
      </c>
      <c r="S74" s="97">
        <v>0.09</v>
      </c>
      <c r="T74" s="97">
        <v>0.36</v>
      </c>
      <c r="U74" s="99">
        <v>13.2</v>
      </c>
      <c r="V74" s="96" t="b">
        <v>0</v>
      </c>
      <c r="W74" s="97">
        <v>0.0</v>
      </c>
      <c r="X74" s="97">
        <v>1.2</v>
      </c>
      <c r="Y74" s="97">
        <v>0.32</v>
      </c>
      <c r="Z74" s="97">
        <v>0.24</v>
      </c>
      <c r="AA74" s="97">
        <v>0.16</v>
      </c>
      <c r="AB74" s="97">
        <v>0.48</v>
      </c>
      <c r="AC74" s="99">
        <v>11.2</v>
      </c>
      <c r="AD74" s="96" t="b">
        <v>0</v>
      </c>
      <c r="AE74" s="97">
        <v>0.0</v>
      </c>
      <c r="AF74" s="97">
        <v>1.6</v>
      </c>
      <c r="AG74" s="97">
        <v>0.4</v>
      </c>
      <c r="AH74" s="97">
        <v>0.32</v>
      </c>
      <c r="AI74" s="97">
        <v>0.24</v>
      </c>
      <c r="AJ74" s="97">
        <v>0.64</v>
      </c>
      <c r="AK74" s="99">
        <v>12.0</v>
      </c>
      <c r="AL74" s="96" t="b">
        <v>0</v>
      </c>
      <c r="AM74" s="80">
        <f t="array" ref="AM74">INDEX(A74:AL74, MATCH(RIGHT('Roadmap setting'!$B$9, 3), $A$2:$AL$2, 0) - 1)
</f>
        <v>13.05</v>
      </c>
      <c r="AN74" s="82">
        <f t="array" ref="AN74">IFNA(LOOKUP(2,1/(ISNUMBER(AN68:AN73)),AN68:AN73)+(D74/(Resources!$P$55/7)),Today()+(D74/(Resources!$P$55/7)))</f>
        <v>45832.07664</v>
      </c>
      <c r="AO74" s="82">
        <f t="array" ref="AO74">IFNA(LOOKUP(2,1/(ISNUMBER(AO68:AO73)),AO68:AO73)+(E74/(Resources!$P$56/7)),Today()+(E74/(Resources!$P$56/7)))</f>
        <v>45825.93715</v>
      </c>
      <c r="AP74" s="82">
        <f t="array" ref="AP74">IF(ISNUMBER($AT74),IFNA(LOOKUP(2,1/(ISNUMBER(AP68:AP73)),AP68:AP73),Today()),IFNA(LOOKUP(2,1/(ISNUMBER(AP68:AP73)),AP68:AP73)+(D74/(Resources!$E$55/7)),Today()+(D74/(Resources!$E$55/7))))</f>
        <v>45889.9197</v>
      </c>
      <c r="AQ74" s="82">
        <f t="array" ref="AQ74">IF(ISNUMBER($AT74),IFNA(LOOKUP(2,1/(ISNUMBER(AQ68:AQ73)),AQ68:AQ73),Today()),IFNA(LOOKUP(2,1/(ISNUMBER(AQ68:AQ73)),AQ68:AQ73)+(E74/(Resources!$E$56/7)),Today()+(E74/(Resources!$E$56/7))))</f>
        <v>45859.11487</v>
      </c>
      <c r="AR74" s="226">
        <f t="shared" ref="AR74:AR80" si="16">IFERROR(MAX(AP74,AQ74),"")</f>
        <v>45889.9197</v>
      </c>
      <c r="AS74" s="82"/>
      <c r="AT74" s="82"/>
      <c r="AU74" s="83"/>
    </row>
    <row r="75" ht="15.0" customHeight="1">
      <c r="A75" s="229" t="s">
        <v>97</v>
      </c>
      <c r="B75" s="110" t="s">
        <v>904</v>
      </c>
      <c r="C75" s="93">
        <f>IF($A75="Feature",SUM(D75:E75)*'Roadmap setting'!$B$13,0)</f>
        <v>1.6</v>
      </c>
      <c r="D75" s="94">
        <v>4.0</v>
      </c>
      <c r="E75" s="94">
        <v>4.0</v>
      </c>
      <c r="F75" s="95">
        <f>IF($A75="Feature",IF('Roadmap setting'!$E$14,$E75*('Roadmap setting'!$B$14+'Roadmap setting'!$D$14),$E75*'Roadmap setting'!$B$14),0)</f>
        <v>0.6</v>
      </c>
      <c r="G75" s="93">
        <f>IF($A75="Feature",$D75*'Roadmap setting'!$B$15,0)</f>
        <v>0</v>
      </c>
      <c r="H75" s="95">
        <f>IF($A75="Feature",$E75*'Roadmap setting'!$B$16,0)</f>
        <v>0</v>
      </c>
      <c r="I75" s="93">
        <f>SUM($D75:$E75)*'Roadmap setting'!$B$17</f>
        <v>0.96</v>
      </c>
      <c r="J75" s="93">
        <f>SUM($D75:$E75)*'Roadmap setting'!$B$18</f>
        <v>0.08</v>
      </c>
      <c r="K75" s="93">
        <f>SUM($D75:$E75)*'Roadmap setting'!$B$19</f>
        <v>0</v>
      </c>
      <c r="L75" s="95">
        <f>SUM($D75:$E75)*'Roadmap setting'!$B$20</f>
        <v>0.16</v>
      </c>
      <c r="M75" s="79">
        <f t="shared" si="15"/>
        <v>11.4</v>
      </c>
      <c r="N75" s="96" t="b">
        <v>1</v>
      </c>
      <c r="O75" s="97">
        <v>0.4</v>
      </c>
      <c r="P75" s="97">
        <v>0.4</v>
      </c>
      <c r="Q75" s="97">
        <v>0.24</v>
      </c>
      <c r="R75" s="97">
        <v>0.16</v>
      </c>
      <c r="S75" s="97">
        <v>0.08</v>
      </c>
      <c r="T75" s="97">
        <v>0.32</v>
      </c>
      <c r="U75" s="99">
        <v>11.4</v>
      </c>
      <c r="V75" s="96" t="b">
        <v>0</v>
      </c>
      <c r="W75" s="97">
        <v>0.0</v>
      </c>
      <c r="X75" s="97">
        <v>1.2</v>
      </c>
      <c r="Y75" s="97">
        <v>0.32</v>
      </c>
      <c r="Z75" s="97">
        <v>0.24</v>
      </c>
      <c r="AA75" s="97">
        <v>0.16</v>
      </c>
      <c r="AB75" s="97">
        <v>0.48</v>
      </c>
      <c r="AC75" s="99">
        <v>11.2</v>
      </c>
      <c r="AD75" s="96" t="b">
        <v>0</v>
      </c>
      <c r="AE75" s="97">
        <v>0.0</v>
      </c>
      <c r="AF75" s="97">
        <v>1.6</v>
      </c>
      <c r="AG75" s="97">
        <v>0.4</v>
      </c>
      <c r="AH75" s="97">
        <v>0.32</v>
      </c>
      <c r="AI75" s="97">
        <v>0.24</v>
      </c>
      <c r="AJ75" s="97">
        <v>0.64</v>
      </c>
      <c r="AK75" s="99">
        <v>12.0</v>
      </c>
      <c r="AL75" s="96" t="b">
        <v>0</v>
      </c>
      <c r="AM75" s="80">
        <f t="array" ref="AM75">INDEX(A75:AL75, MATCH(RIGHT('Roadmap setting'!$B$9, 3), $A$2:$AL$2, 0) - 1)
</f>
        <v>11.4</v>
      </c>
      <c r="AN75" s="82">
        <f t="array" ref="AN75">IFNA(LOOKUP(2,1/(ISNUMBER(AN69:AN74)),AN69:AN74)+(D75/(Resources!$P$55/7)),Today()+(D75/(Resources!$P$55/7)))</f>
        <v>45832.57395</v>
      </c>
      <c r="AO75" s="82">
        <f t="array" ref="AO75">IFNA(LOOKUP(2,1/(ISNUMBER(AO69:AO74)),AO69:AO74)+(E75/(Resources!$P$56/7)),Today()+(E75/(Resources!$P$56/7)))</f>
        <v>45826.75962</v>
      </c>
      <c r="AP75" s="82">
        <f t="array" ref="AP75">IF(ISNUMBER($AT75),IFNA(LOOKUP(2,1/(ISNUMBER(AP69:AP74)),AP69:AP74),Today()),IFNA(LOOKUP(2,1/(ISNUMBER(AP69:AP74)),AP69:AP74)+(D75/(Resources!$E$55/7)),Today()+(D75/(Resources!$E$55/7))))</f>
        <v>45890.93929</v>
      </c>
      <c r="AQ75" s="82">
        <f t="array" ref="AQ75">IF(ISNUMBER($AT75),IFNA(LOOKUP(2,1/(ISNUMBER(AQ69:AQ74)),AQ69:AQ74),Today()),IFNA(LOOKUP(2,1/(ISNUMBER(AQ69:AQ74)),AQ69:AQ74)+(E75/(Resources!$E$56/7)),Today()+(E75/(Resources!$E$56/7))))</f>
        <v>45860.49495</v>
      </c>
      <c r="AR75" s="226">
        <f t="shared" si="16"/>
        <v>45890.93929</v>
      </c>
      <c r="AS75" s="82"/>
      <c r="AT75" s="82"/>
      <c r="AU75" s="83"/>
    </row>
    <row r="76" ht="15.0" customHeight="1">
      <c r="A76" s="83" t="s">
        <v>97</v>
      </c>
      <c r="B76" s="110" t="s">
        <v>905</v>
      </c>
      <c r="C76" s="93">
        <f>IF($A76="Feature",SUM(D76:E76)*'Roadmap setting'!$B$13,0)</f>
        <v>3.2</v>
      </c>
      <c r="D76" s="94">
        <v>8.0</v>
      </c>
      <c r="E76" s="94">
        <v>8.0</v>
      </c>
      <c r="F76" s="95">
        <f>IF($A76="Feature",IF('Roadmap setting'!$E$14,$E76*('Roadmap setting'!$B$14+'Roadmap setting'!$D$14),$E76*'Roadmap setting'!$B$14),0)</f>
        <v>1.2</v>
      </c>
      <c r="G76" s="93">
        <f>IF($A76="Feature",$D76*'Roadmap setting'!$B$15,0)</f>
        <v>0</v>
      </c>
      <c r="H76" s="95">
        <f>IF($A76="Feature",$E76*'Roadmap setting'!$B$16,0)</f>
        <v>0</v>
      </c>
      <c r="I76" s="93">
        <f>SUM($D76:$E76)*'Roadmap setting'!$B$17</f>
        <v>1.92</v>
      </c>
      <c r="J76" s="93">
        <f>SUM($D76:$E76)*'Roadmap setting'!$B$18</f>
        <v>0.16</v>
      </c>
      <c r="K76" s="93">
        <f>SUM($D76:$E76)*'Roadmap setting'!$B$19</f>
        <v>0</v>
      </c>
      <c r="L76" s="95">
        <f>SUM($D76:$E76)*'Roadmap setting'!$B$20</f>
        <v>0.32</v>
      </c>
      <c r="M76" s="79">
        <f t="shared" si="15"/>
        <v>22.8</v>
      </c>
      <c r="N76" s="96" t="b">
        <v>1</v>
      </c>
      <c r="O76" s="97">
        <v>0.8</v>
      </c>
      <c r="P76" s="97">
        <v>0.8</v>
      </c>
      <c r="Q76" s="97">
        <v>0.48</v>
      </c>
      <c r="R76" s="97">
        <v>0.32</v>
      </c>
      <c r="S76" s="97">
        <v>0.16</v>
      </c>
      <c r="T76" s="97">
        <v>0.64</v>
      </c>
      <c r="U76" s="99">
        <v>22.8</v>
      </c>
      <c r="V76" s="96" t="b">
        <v>0</v>
      </c>
      <c r="W76" s="97">
        <v>0.0</v>
      </c>
      <c r="X76" s="97">
        <v>1.2</v>
      </c>
      <c r="Y76" s="97">
        <v>0.32</v>
      </c>
      <c r="Z76" s="97">
        <v>0.24</v>
      </c>
      <c r="AA76" s="97">
        <v>0.16</v>
      </c>
      <c r="AB76" s="97">
        <v>0.48</v>
      </c>
      <c r="AC76" s="99">
        <v>11.2</v>
      </c>
      <c r="AD76" s="96" t="b">
        <v>0</v>
      </c>
      <c r="AE76" s="97">
        <v>0.0</v>
      </c>
      <c r="AF76" s="97">
        <v>1.6</v>
      </c>
      <c r="AG76" s="97">
        <v>0.4</v>
      </c>
      <c r="AH76" s="97">
        <v>0.32</v>
      </c>
      <c r="AI76" s="97">
        <v>0.24</v>
      </c>
      <c r="AJ76" s="97">
        <v>0.64</v>
      </c>
      <c r="AK76" s="99">
        <v>12.0</v>
      </c>
      <c r="AL76" s="96" t="b">
        <v>0</v>
      </c>
      <c r="AM76" s="80">
        <f t="array" ref="AM76">INDEX(A76:AL76, MATCH(RIGHT('Roadmap setting'!$B$9, 3), $A$2:$AL$2, 0) - 1)
</f>
        <v>22.8</v>
      </c>
      <c r="AN76" s="82">
        <f t="array" ref="AN76">IFNA(LOOKUP(2,1/(ISNUMBER(AN70:AN75)),AN70:AN75)+(D76/(Resources!$P$55/7)),Today()+(D76/(Resources!$P$55/7)))</f>
        <v>45833.56856</v>
      </c>
      <c r="AO76" s="82">
        <f t="array" ref="AO76">IFNA(LOOKUP(2,1/(ISNUMBER(AO70:AO75)),AO70:AO75)+(E76/(Resources!$P$56/7)),Today()+(E76/(Resources!$P$56/7)))</f>
        <v>45828.40456</v>
      </c>
      <c r="AP76" s="82">
        <f t="array" ref="AP76">IF(ISNUMBER($AT76),IFNA(LOOKUP(2,1/(ISNUMBER(AP70:AP75)),AP70:AP75),Today()),IFNA(LOOKUP(2,1/(ISNUMBER(AP70:AP75)),AP70:AP75)+(D76/(Resources!$E$55/7)),Today()+(D76/(Resources!$E$55/7))))</f>
        <v>45892.97847</v>
      </c>
      <c r="AQ76" s="82">
        <f t="array" ref="AQ76">IF(ISNUMBER($AT76),IFNA(LOOKUP(2,1/(ISNUMBER(AQ70:AQ75)),AQ70:AQ75),Today()),IFNA(LOOKUP(2,1/(ISNUMBER(AQ70:AQ75)),AQ70:AQ75)+(E76/(Resources!$E$56/7)),Today()+(E76/(Resources!$E$56/7))))</f>
        <v>45863.25512</v>
      </c>
      <c r="AR76" s="226">
        <f t="shared" si="16"/>
        <v>45892.97847</v>
      </c>
      <c r="AS76" s="82"/>
      <c r="AT76" s="82"/>
      <c r="AU76" s="83"/>
    </row>
    <row r="77" ht="15.0" customHeight="1">
      <c r="A77" s="83" t="s">
        <v>97</v>
      </c>
      <c r="B77" s="110" t="s">
        <v>906</v>
      </c>
      <c r="C77" s="93">
        <f>IF($A77="Feature",SUM(D77:E77)*'Roadmap setting'!$B$13,0)</f>
        <v>1.4</v>
      </c>
      <c r="D77" s="94">
        <v>3.0</v>
      </c>
      <c r="E77" s="94">
        <v>4.0</v>
      </c>
      <c r="F77" s="95">
        <f>IF($A77="Feature",IF('Roadmap setting'!$E$14,$E77*('Roadmap setting'!$B$14+'Roadmap setting'!$D$14),$E77*'Roadmap setting'!$B$14),0)</f>
        <v>0.6</v>
      </c>
      <c r="G77" s="93">
        <f>IF($A77="Feature",$D77*'Roadmap setting'!$B$15,0)</f>
        <v>0</v>
      </c>
      <c r="H77" s="95">
        <f>IF($A77="Feature",$E77*'Roadmap setting'!$B$16,0)</f>
        <v>0</v>
      </c>
      <c r="I77" s="93">
        <f>SUM($D77:$E77)*'Roadmap setting'!$B$17</f>
        <v>0.84</v>
      </c>
      <c r="J77" s="93">
        <f>SUM($D77:$E77)*'Roadmap setting'!$B$18</f>
        <v>0.07</v>
      </c>
      <c r="K77" s="93">
        <f>SUM($D77:$E77)*'Roadmap setting'!$B$19</f>
        <v>0</v>
      </c>
      <c r="L77" s="95">
        <f>SUM($D77:$E77)*'Roadmap setting'!$B$20</f>
        <v>0.14</v>
      </c>
      <c r="M77" s="79">
        <f t="shared" si="15"/>
        <v>10.05</v>
      </c>
      <c r="N77" s="96" t="b">
        <v>1</v>
      </c>
      <c r="O77" s="97">
        <v>0.3</v>
      </c>
      <c r="P77" s="97">
        <v>0.4</v>
      </c>
      <c r="Q77" s="97">
        <v>0.21</v>
      </c>
      <c r="R77" s="97">
        <v>0.14</v>
      </c>
      <c r="S77" s="97">
        <v>0.07</v>
      </c>
      <c r="T77" s="97">
        <v>0.28</v>
      </c>
      <c r="U77" s="99">
        <v>10.1</v>
      </c>
      <c r="V77" s="96" t="b">
        <v>0</v>
      </c>
      <c r="W77" s="97">
        <v>0.0</v>
      </c>
      <c r="X77" s="97">
        <v>1.2</v>
      </c>
      <c r="Y77" s="97">
        <v>0.32</v>
      </c>
      <c r="Z77" s="97">
        <v>0.24</v>
      </c>
      <c r="AA77" s="97">
        <v>0.16</v>
      </c>
      <c r="AB77" s="97">
        <v>0.48</v>
      </c>
      <c r="AC77" s="99">
        <v>11.2</v>
      </c>
      <c r="AD77" s="96" t="b">
        <v>0</v>
      </c>
      <c r="AE77" s="97">
        <v>0.0</v>
      </c>
      <c r="AF77" s="97">
        <v>1.6</v>
      </c>
      <c r="AG77" s="97">
        <v>0.4</v>
      </c>
      <c r="AH77" s="97">
        <v>0.32</v>
      </c>
      <c r="AI77" s="97">
        <v>0.24</v>
      </c>
      <c r="AJ77" s="97">
        <v>0.64</v>
      </c>
      <c r="AK77" s="99">
        <v>12.0</v>
      </c>
      <c r="AL77" s="96" t="b">
        <v>0</v>
      </c>
      <c r="AM77" s="80">
        <f t="array" ref="AM77">INDEX(A77:AL77, MATCH(RIGHT('Roadmap setting'!$B$9, 3), $A$2:$AL$2, 0) - 1)
</f>
        <v>10.05</v>
      </c>
      <c r="AN77" s="82">
        <f t="array" ref="AN77">IFNA(LOOKUP(2,1/(ISNUMBER(AN71:AN76)),AN71:AN76)+(D77/(Resources!$P$55/7)),Today()+(D77/(Resources!$P$55/7)))</f>
        <v>45833.94154</v>
      </c>
      <c r="AO77" s="82">
        <f t="array" ref="AO77">IFNA(LOOKUP(2,1/(ISNUMBER(AO71:AO76)),AO71:AO76)+(E77/(Resources!$P$56/7)),Today()+(E77/(Resources!$P$56/7)))</f>
        <v>45829.22704</v>
      </c>
      <c r="AP77" s="82">
        <f t="array" ref="AP77">IF(ISNUMBER($AT77),IFNA(LOOKUP(2,1/(ISNUMBER(AP71:AP76)),AP71:AP76),Today()),IFNA(LOOKUP(2,1/(ISNUMBER(AP71:AP76)),AP71:AP76)+(D77/(Resources!$E$55/7)),Today()+(D77/(Resources!$E$55/7))))</f>
        <v>45893.74316</v>
      </c>
      <c r="AQ77" s="82">
        <f t="array" ref="AQ77">IF(ISNUMBER($AT77),IFNA(LOOKUP(2,1/(ISNUMBER(AQ71:AQ76)),AQ71:AQ76),Today()),IFNA(LOOKUP(2,1/(ISNUMBER(AQ71:AQ76)),AQ71:AQ76)+(E77/(Resources!$E$56/7)),Today()+(E77/(Resources!$E$56/7))))</f>
        <v>45864.6352</v>
      </c>
      <c r="AR77" s="226">
        <f t="shared" si="16"/>
        <v>45893.74316</v>
      </c>
      <c r="AS77" s="82"/>
      <c r="AT77" s="82"/>
      <c r="AU77" s="83"/>
    </row>
    <row r="78" ht="15.0" customHeight="1">
      <c r="A78" s="83" t="s">
        <v>97</v>
      </c>
      <c r="B78" s="110" t="s">
        <v>907</v>
      </c>
      <c r="C78" s="93">
        <f>IF($A78="Feature",SUM(D78:E78)*'Roadmap setting'!$B$13,0)</f>
        <v>2.6</v>
      </c>
      <c r="D78" s="94">
        <v>8.0</v>
      </c>
      <c r="E78" s="94">
        <v>5.0</v>
      </c>
      <c r="F78" s="95">
        <f>IF($A78="Feature",IF('Roadmap setting'!$E$14,$E78*('Roadmap setting'!$B$14+'Roadmap setting'!$D$14),$E78*'Roadmap setting'!$B$14),0)</f>
        <v>0.75</v>
      </c>
      <c r="G78" s="93">
        <f>IF($A78="Feature",$D78*'Roadmap setting'!$B$15,0)</f>
        <v>0</v>
      </c>
      <c r="H78" s="95">
        <f>IF($A78="Feature",$E78*'Roadmap setting'!$B$16,0)</f>
        <v>0</v>
      </c>
      <c r="I78" s="93">
        <f>SUM($D78:$E78)*'Roadmap setting'!$B$17</f>
        <v>1.56</v>
      </c>
      <c r="J78" s="93">
        <f>SUM($D78:$E78)*'Roadmap setting'!$B$18</f>
        <v>0.13</v>
      </c>
      <c r="K78" s="93">
        <f>SUM($D78:$E78)*'Roadmap setting'!$B$19</f>
        <v>0</v>
      </c>
      <c r="L78" s="95">
        <f>SUM($D78:$E78)*'Roadmap setting'!$B$20</f>
        <v>0.26</v>
      </c>
      <c r="M78" s="79">
        <f t="shared" si="15"/>
        <v>18.3</v>
      </c>
      <c r="N78" s="96" t="b">
        <v>1</v>
      </c>
      <c r="O78" s="97">
        <v>0.8</v>
      </c>
      <c r="P78" s="97">
        <v>0.5</v>
      </c>
      <c r="Q78" s="97">
        <v>0.39</v>
      </c>
      <c r="R78" s="97">
        <v>0.26</v>
      </c>
      <c r="S78" s="97">
        <v>0.13</v>
      </c>
      <c r="T78" s="97">
        <v>0.52</v>
      </c>
      <c r="U78" s="99">
        <v>18.15</v>
      </c>
      <c r="V78" s="96" t="b">
        <v>0</v>
      </c>
      <c r="W78" s="97">
        <v>0.0</v>
      </c>
      <c r="X78" s="97">
        <v>1.2</v>
      </c>
      <c r="Y78" s="97">
        <v>0.32</v>
      </c>
      <c r="Z78" s="97">
        <v>0.24</v>
      </c>
      <c r="AA78" s="97">
        <v>0.16</v>
      </c>
      <c r="AB78" s="97">
        <v>0.48</v>
      </c>
      <c r="AC78" s="99">
        <v>11.2</v>
      </c>
      <c r="AD78" s="96" t="b">
        <v>0</v>
      </c>
      <c r="AE78" s="97">
        <v>0.0</v>
      </c>
      <c r="AF78" s="97">
        <v>1.6</v>
      </c>
      <c r="AG78" s="97">
        <v>0.4</v>
      </c>
      <c r="AH78" s="97">
        <v>0.32</v>
      </c>
      <c r="AI78" s="97">
        <v>0.24</v>
      </c>
      <c r="AJ78" s="97">
        <v>0.64</v>
      </c>
      <c r="AK78" s="99">
        <v>12.0</v>
      </c>
      <c r="AL78" s="96" t="b">
        <v>0</v>
      </c>
      <c r="AM78" s="80">
        <f t="array" ref="AM78">INDEX(A78:AL78, MATCH(RIGHT('Roadmap setting'!$B$9, 3), $A$2:$AL$2, 0) - 1)
</f>
        <v>18.3</v>
      </c>
      <c r="AN78" s="82">
        <f t="array" ref="AN78">IFNA(LOOKUP(2,1/(ISNUMBER(AN72:AN77)),AN72:AN77)+(D78/(Resources!$P$55/7)),Today()+(D78/(Resources!$P$55/7)))</f>
        <v>45834.93615</v>
      </c>
      <c r="AO78" s="82">
        <f t="array" ref="AO78">IFNA(LOOKUP(2,1/(ISNUMBER(AO72:AO77)),AO72:AO77)+(E78/(Resources!$P$56/7)),Today()+(E78/(Resources!$P$56/7)))</f>
        <v>45830.25513</v>
      </c>
      <c r="AP78" s="82">
        <f t="array" ref="AP78">IF(ISNUMBER($AT78),IFNA(LOOKUP(2,1/(ISNUMBER(AP72:AP77)),AP72:AP77),Today()),IFNA(LOOKUP(2,1/(ISNUMBER(AP72:AP77)),AP72:AP77)+(D78/(Resources!$E$55/7)),Today()+(D78/(Resources!$E$55/7))))</f>
        <v>45895.78234</v>
      </c>
      <c r="AQ78" s="82">
        <f t="array" ref="AQ78">IF(ISNUMBER($AT78),IFNA(LOOKUP(2,1/(ISNUMBER(AQ72:AQ77)),AQ72:AQ77),Today()),IFNA(LOOKUP(2,1/(ISNUMBER(AQ72:AQ77)),AQ72:AQ77)+(E78/(Resources!$E$56/7)),Today()+(E78/(Resources!$E$56/7))))</f>
        <v>45866.3603</v>
      </c>
      <c r="AR78" s="226">
        <f t="shared" si="16"/>
        <v>45895.78234</v>
      </c>
      <c r="AS78" s="82"/>
      <c r="AT78" s="82"/>
      <c r="AU78" s="83"/>
    </row>
    <row r="79" ht="15.0" customHeight="1">
      <c r="A79" s="83" t="s">
        <v>97</v>
      </c>
      <c r="B79" s="103" t="s">
        <v>908</v>
      </c>
      <c r="C79" s="93">
        <f>IF($A79="Feature",SUM(D79:E79)*'Roadmap setting'!$B$13,0)</f>
        <v>1.2</v>
      </c>
      <c r="D79" s="94">
        <v>3.0</v>
      </c>
      <c r="E79" s="94">
        <v>3.0</v>
      </c>
      <c r="F79" s="95">
        <f>IF($A79="Feature",IF('Roadmap setting'!$E$14,$E79*('Roadmap setting'!$B$14+'Roadmap setting'!$D$14),$E79*'Roadmap setting'!$B$14),0)</f>
        <v>0.45</v>
      </c>
      <c r="G79" s="93">
        <f>IF($A79="Feature",$D79*'Roadmap setting'!$B$15,0)</f>
        <v>0</v>
      </c>
      <c r="H79" s="95">
        <f>IF($A79="Feature",$E79*'Roadmap setting'!$B$16,0)</f>
        <v>0</v>
      </c>
      <c r="I79" s="93">
        <f>SUM($D79:$E79)*'Roadmap setting'!$B$17</f>
        <v>0.72</v>
      </c>
      <c r="J79" s="93">
        <f>SUM($D79:$E79)*'Roadmap setting'!$B$18</f>
        <v>0.06</v>
      </c>
      <c r="K79" s="93">
        <f>SUM($D79:$E79)*'Roadmap setting'!$B$19</f>
        <v>0</v>
      </c>
      <c r="L79" s="95">
        <f>SUM($D79:$E79)*'Roadmap setting'!$B$20</f>
        <v>0.12</v>
      </c>
      <c r="M79" s="79">
        <f t="shared" si="15"/>
        <v>8.55</v>
      </c>
      <c r="N79" s="96" t="b">
        <v>1</v>
      </c>
      <c r="O79" s="97">
        <v>0.3</v>
      </c>
      <c r="P79" s="97">
        <v>0.3</v>
      </c>
      <c r="Q79" s="97">
        <v>0.18</v>
      </c>
      <c r="R79" s="97">
        <v>0.12</v>
      </c>
      <c r="S79" s="97">
        <v>0.06</v>
      </c>
      <c r="T79" s="97">
        <v>0.24</v>
      </c>
      <c r="U79" s="99">
        <v>8.55</v>
      </c>
      <c r="V79" s="96" t="b">
        <v>0</v>
      </c>
      <c r="W79" s="97">
        <v>0.0</v>
      </c>
      <c r="X79" s="97">
        <v>1.2</v>
      </c>
      <c r="Y79" s="97">
        <v>0.32</v>
      </c>
      <c r="Z79" s="97">
        <v>0.24</v>
      </c>
      <c r="AA79" s="97">
        <v>0.16</v>
      </c>
      <c r="AB79" s="97">
        <v>0.48</v>
      </c>
      <c r="AC79" s="99">
        <v>11.2</v>
      </c>
      <c r="AD79" s="96" t="b">
        <v>0</v>
      </c>
      <c r="AE79" s="97">
        <v>0.0</v>
      </c>
      <c r="AF79" s="97">
        <v>1.6</v>
      </c>
      <c r="AG79" s="97">
        <v>0.4</v>
      </c>
      <c r="AH79" s="97">
        <v>0.32</v>
      </c>
      <c r="AI79" s="97">
        <v>0.24</v>
      </c>
      <c r="AJ79" s="97">
        <v>0.64</v>
      </c>
      <c r="AK79" s="99">
        <v>12.0</v>
      </c>
      <c r="AL79" s="96" t="b">
        <v>0</v>
      </c>
      <c r="AM79" s="80">
        <f t="array" ref="AM79">INDEX(A79:AL79, MATCH(RIGHT('Roadmap setting'!$B$9, 3), $A$2:$AL$2, 0) - 1)
</f>
        <v>8.55</v>
      </c>
      <c r="AN79" s="82">
        <f t="array" ref="AN79">IFNA(LOOKUP(2,1/(ISNUMBER(AN73:AN78)),AN73:AN78)+(D79/(Resources!$P$55/7)),Today()+(D79/(Resources!$P$55/7)))</f>
        <v>45835.30913</v>
      </c>
      <c r="AO79" s="82">
        <f t="array" ref="AO79">IFNA(LOOKUP(2,1/(ISNUMBER(AO73:AO78)),AO73:AO78)+(E79/(Resources!$P$56/7)),Today()+(E79/(Resources!$P$56/7)))</f>
        <v>45830.87198</v>
      </c>
      <c r="AP79" s="82">
        <f t="array" ref="AP79">IF(ISNUMBER($AT79),IFNA(LOOKUP(2,1/(ISNUMBER(AP73:AP78)),AP73:AP78),Today()),IFNA(LOOKUP(2,1/(ISNUMBER(AP73:AP78)),AP73:AP78)+(D79/(Resources!$E$55/7)),Today()+(D79/(Resources!$E$55/7))))</f>
        <v>45896.54704</v>
      </c>
      <c r="AQ79" s="82">
        <f t="array" ref="AQ79">IF(ISNUMBER($AT79),IFNA(LOOKUP(2,1/(ISNUMBER(AQ73:AQ78)),AQ73:AQ78),Today()),IFNA(LOOKUP(2,1/(ISNUMBER(AQ73:AQ78)),AQ73:AQ78)+(E79/(Resources!$E$56/7)),Today()+(E79/(Resources!$E$56/7))))</f>
        <v>45867.39536</v>
      </c>
      <c r="AR79" s="226">
        <f t="shared" si="16"/>
        <v>45896.54704</v>
      </c>
      <c r="AS79" s="82"/>
      <c r="AT79" s="82"/>
      <c r="AU79" s="83"/>
    </row>
    <row r="80" ht="15.0" customHeight="1">
      <c r="A80" s="83" t="s">
        <v>97</v>
      </c>
      <c r="B80" s="103" t="s">
        <v>909</v>
      </c>
      <c r="C80" s="93">
        <f>IF($A80="Feature",SUM(D80:E80)*'Roadmap setting'!$B$13,0)</f>
        <v>1.4</v>
      </c>
      <c r="D80" s="94">
        <v>3.0</v>
      </c>
      <c r="E80" s="94">
        <v>4.0</v>
      </c>
      <c r="F80" s="95">
        <f>IF($A80="Feature",IF('Roadmap setting'!$E$14,$E80*('Roadmap setting'!$B$14+'Roadmap setting'!$D$14),$E80*'Roadmap setting'!$B$14),0)</f>
        <v>0.6</v>
      </c>
      <c r="G80" s="93">
        <f>IF($A80="Feature",$D80*'Roadmap setting'!$B$15,0)</f>
        <v>0</v>
      </c>
      <c r="H80" s="95">
        <f>IF($A80="Feature",$E80*'Roadmap setting'!$B$16,0)</f>
        <v>0</v>
      </c>
      <c r="I80" s="93">
        <f>SUM($D80:$E80)*'Roadmap setting'!$B$17</f>
        <v>0.84</v>
      </c>
      <c r="J80" s="93">
        <f>SUM($D80:$E80)*'Roadmap setting'!$B$18</f>
        <v>0.07</v>
      </c>
      <c r="K80" s="93">
        <f>SUM($D80:$E80)*'Roadmap setting'!$B$19</f>
        <v>0</v>
      </c>
      <c r="L80" s="95">
        <f>SUM($D80:$E80)*'Roadmap setting'!$B$20</f>
        <v>0.14</v>
      </c>
      <c r="M80" s="79">
        <f t="shared" si="15"/>
        <v>10.05</v>
      </c>
      <c r="N80" s="96" t="b">
        <v>1</v>
      </c>
      <c r="O80" s="97">
        <v>0.3</v>
      </c>
      <c r="P80" s="97">
        <v>0.4</v>
      </c>
      <c r="Q80" s="97">
        <v>0.21</v>
      </c>
      <c r="R80" s="97">
        <v>0.14</v>
      </c>
      <c r="S80" s="97">
        <v>0.07</v>
      </c>
      <c r="T80" s="97">
        <v>0.28</v>
      </c>
      <c r="U80" s="99">
        <v>10.1</v>
      </c>
      <c r="V80" s="96" t="b">
        <v>0</v>
      </c>
      <c r="W80" s="97">
        <v>0.0</v>
      </c>
      <c r="X80" s="97">
        <v>1.2</v>
      </c>
      <c r="Y80" s="97">
        <v>0.32</v>
      </c>
      <c r="Z80" s="97">
        <v>0.24</v>
      </c>
      <c r="AA80" s="97">
        <v>0.16</v>
      </c>
      <c r="AB80" s="97">
        <v>0.48</v>
      </c>
      <c r="AC80" s="99">
        <v>11.2</v>
      </c>
      <c r="AD80" s="96" t="b">
        <v>0</v>
      </c>
      <c r="AE80" s="97">
        <v>0.0</v>
      </c>
      <c r="AF80" s="97">
        <v>1.6</v>
      </c>
      <c r="AG80" s="97">
        <v>0.4</v>
      </c>
      <c r="AH80" s="97">
        <v>0.32</v>
      </c>
      <c r="AI80" s="97">
        <v>0.24</v>
      </c>
      <c r="AJ80" s="97">
        <v>0.64</v>
      </c>
      <c r="AK80" s="99">
        <v>12.0</v>
      </c>
      <c r="AL80" s="96" t="b">
        <v>0</v>
      </c>
      <c r="AM80" s="80">
        <f t="array" ref="AM80">INDEX(A80:AL80, MATCH(RIGHT('Roadmap setting'!$B$9, 3), $A$2:$AL$2, 0) - 1)
</f>
        <v>10.05</v>
      </c>
      <c r="AN80" s="82">
        <f t="array" ref="AN80">IFNA(LOOKUP(2,1/(ISNUMBER(AN74:AN79)),AN74:AN79)+(D80/(Resources!$P$55/7)),Today()+(D80/(Resources!$P$55/7)))</f>
        <v>45835.68211</v>
      </c>
      <c r="AO80" s="82">
        <f t="array" ref="AO80">IFNA(LOOKUP(2,1/(ISNUMBER(AO74:AO79)),AO74:AO79)+(E80/(Resources!$P$56/7)),Today()+(E80/(Resources!$P$56/7)))</f>
        <v>45831.69446</v>
      </c>
      <c r="AP80" s="82">
        <f t="array" ref="AP80">IF(ISNUMBER($AT80),IFNA(LOOKUP(2,1/(ISNUMBER(AP74:AP79)),AP74:AP79),Today()),IFNA(LOOKUP(2,1/(ISNUMBER(AP74:AP79)),AP74:AP79)+(D80/(Resources!$E$55/7)),Today()+(D80/(Resources!$E$55/7))))</f>
        <v>45897.31173</v>
      </c>
      <c r="AQ80" s="82">
        <f t="array" ref="AQ80">IF(ISNUMBER($AT80),IFNA(LOOKUP(2,1/(ISNUMBER(AQ74:AQ79)),AQ74:AQ79),Today()),IFNA(LOOKUP(2,1/(ISNUMBER(AQ74:AQ79)),AQ74:AQ79)+(E80/(Resources!$E$56/7)),Today()+(E80/(Resources!$E$56/7))))</f>
        <v>45868.77544</v>
      </c>
      <c r="AR80" s="226">
        <f t="shared" si="16"/>
        <v>45897.31173</v>
      </c>
      <c r="AS80" s="82"/>
      <c r="AT80" s="82"/>
      <c r="AU80" s="83"/>
    </row>
    <row r="81" ht="15.0" customHeight="1">
      <c r="A81" s="231"/>
      <c r="B81" s="232" t="s">
        <v>910</v>
      </c>
      <c r="C81" s="231"/>
      <c r="D81" s="231"/>
      <c r="E81" s="231"/>
      <c r="F81" s="231"/>
      <c r="G81" s="231"/>
      <c r="H81" s="231"/>
      <c r="I81" s="231"/>
      <c r="J81" s="231"/>
      <c r="K81" s="231"/>
      <c r="L81" s="231"/>
      <c r="M81" s="233"/>
      <c r="N81" s="234"/>
      <c r="O81" s="231"/>
      <c r="P81" s="231"/>
      <c r="Q81" s="231"/>
      <c r="R81" s="231"/>
      <c r="S81" s="231"/>
      <c r="T81" s="231"/>
      <c r="U81" s="233"/>
      <c r="V81" s="234"/>
      <c r="W81" s="231"/>
      <c r="X81" s="231"/>
      <c r="Y81" s="231"/>
      <c r="Z81" s="231"/>
      <c r="AA81" s="231"/>
      <c r="AB81" s="231"/>
      <c r="AC81" s="233"/>
      <c r="AD81" s="234"/>
      <c r="AE81" s="231"/>
      <c r="AF81" s="231"/>
      <c r="AG81" s="231"/>
      <c r="AH81" s="231"/>
      <c r="AI81" s="231"/>
      <c r="AJ81" s="231"/>
      <c r="AK81" s="233"/>
      <c r="AL81" s="234"/>
      <c r="AM81" s="235"/>
      <c r="AN81" s="235"/>
      <c r="AO81" s="235"/>
      <c r="AP81" s="235"/>
      <c r="AQ81" s="235"/>
      <c r="AR81" s="236"/>
      <c r="AS81" s="235"/>
      <c r="AT81" s="235"/>
      <c r="AU81" s="237"/>
    </row>
    <row r="82" ht="15.0" customHeight="1">
      <c r="A82" s="84"/>
      <c r="B82" s="85" t="s">
        <v>911</v>
      </c>
      <c r="C82" s="84"/>
      <c r="D82" s="84"/>
      <c r="E82" s="84"/>
      <c r="F82" s="84"/>
      <c r="G82" s="84"/>
      <c r="H82" s="84"/>
      <c r="I82" s="84"/>
      <c r="J82" s="84"/>
      <c r="K82" s="84"/>
      <c r="L82" s="84"/>
      <c r="M82" s="84"/>
      <c r="N82" s="84"/>
      <c r="O82" s="84"/>
      <c r="P82" s="84"/>
      <c r="Q82" s="84"/>
      <c r="R82" s="84"/>
      <c r="S82" s="84"/>
      <c r="T82" s="84"/>
      <c r="U82" s="84"/>
      <c r="V82" s="84"/>
      <c r="W82" s="84"/>
      <c r="X82" s="84"/>
      <c r="Y82" s="84"/>
      <c r="Z82" s="84"/>
      <c r="AA82" s="84"/>
      <c r="AB82" s="84"/>
      <c r="AC82" s="84"/>
      <c r="AD82" s="84"/>
      <c r="AE82" s="84"/>
      <c r="AF82" s="84"/>
      <c r="AG82" s="84"/>
      <c r="AH82" s="84"/>
      <c r="AI82" s="84"/>
      <c r="AJ82" s="84"/>
      <c r="AK82" s="84"/>
      <c r="AL82" s="84"/>
      <c r="AM82" s="84"/>
      <c r="AN82" s="84"/>
      <c r="AO82" s="84"/>
      <c r="AP82" s="84"/>
      <c r="AQ82" s="84"/>
      <c r="AR82" s="84"/>
      <c r="AS82" s="84"/>
      <c r="AT82" s="84"/>
      <c r="AU82" s="84"/>
    </row>
    <row r="83" ht="15.0" customHeight="1">
      <c r="A83" s="72"/>
      <c r="B83" s="91" t="s">
        <v>912</v>
      </c>
      <c r="C83" s="72"/>
      <c r="D83" s="72"/>
      <c r="E83" s="72"/>
      <c r="F83" s="72"/>
      <c r="G83" s="72"/>
      <c r="H83" s="72"/>
      <c r="I83" s="72"/>
      <c r="J83" s="72"/>
      <c r="K83" s="72"/>
      <c r="L83" s="72"/>
      <c r="M83" s="72"/>
      <c r="N83" s="72"/>
      <c r="O83" s="72"/>
      <c r="P83" s="72"/>
      <c r="Q83" s="72"/>
      <c r="R83" s="72"/>
      <c r="S83" s="72"/>
      <c r="T83" s="72"/>
      <c r="U83" s="72"/>
      <c r="V83" s="72"/>
      <c r="W83" s="72"/>
      <c r="X83" s="72"/>
      <c r="Y83" s="72"/>
      <c r="Z83" s="72"/>
      <c r="AA83" s="72"/>
      <c r="AB83" s="72"/>
      <c r="AC83" s="72"/>
      <c r="AD83" s="72"/>
      <c r="AE83" s="72"/>
      <c r="AF83" s="72"/>
      <c r="AG83" s="72"/>
      <c r="AH83" s="72"/>
      <c r="AI83" s="72"/>
      <c r="AJ83" s="72"/>
      <c r="AK83" s="72"/>
      <c r="AL83" s="72"/>
      <c r="AM83" s="72"/>
      <c r="AN83" s="72"/>
      <c r="AO83" s="72"/>
      <c r="AP83" s="72"/>
      <c r="AQ83" s="72"/>
      <c r="AR83" s="72"/>
      <c r="AS83" s="72"/>
      <c r="AT83" s="72"/>
      <c r="AU83" s="72"/>
    </row>
    <row r="84" ht="15.0" customHeight="1">
      <c r="A84" s="83" t="s">
        <v>77</v>
      </c>
      <c r="B84" s="107" t="s">
        <v>913</v>
      </c>
      <c r="C84" s="93">
        <f>IF($A84="Feature",SUM(D84:E84)*'Roadmap setting'!$B$13,0)</f>
        <v>0</v>
      </c>
      <c r="D84" s="94">
        <v>0.0</v>
      </c>
      <c r="E84" s="94">
        <v>8.0</v>
      </c>
      <c r="F84" s="95">
        <f>IF($A84="Feature",IF('Roadmap setting'!$E$14,$E84*('Roadmap setting'!$B$14+'Roadmap setting'!$D$14),$E84*'Roadmap setting'!$B$14),0)</f>
        <v>0</v>
      </c>
      <c r="G84" s="93">
        <f>IF($A84="Feature",$D84*'Roadmap setting'!$B$15,0)</f>
        <v>0</v>
      </c>
      <c r="H84" s="95">
        <f>IF($A84="Feature",$E84*'Roadmap setting'!$B$16,0)</f>
        <v>0</v>
      </c>
      <c r="I84" s="93">
        <f>SUM($D84:$E84)*'Roadmap setting'!$B$17</f>
        <v>0.96</v>
      </c>
      <c r="J84" s="93">
        <f>SUM($D84:$E84)*'Roadmap setting'!$B$18</f>
        <v>0.08</v>
      </c>
      <c r="K84" s="93">
        <f>SUM($D84:$E84)*'Roadmap setting'!$B$19</f>
        <v>0</v>
      </c>
      <c r="L84" s="95">
        <f>SUM($D84:$E84)*'Roadmap setting'!$B$20</f>
        <v>0.16</v>
      </c>
      <c r="M84" s="79">
        <f t="shared" ref="M84:M93" si="17">SUM($C84:$F84)+SUM(G84:L84)</f>
        <v>9.2</v>
      </c>
      <c r="N84" s="96" t="b">
        <v>0</v>
      </c>
      <c r="O84" s="97">
        <v>0.0</v>
      </c>
      <c r="P84" s="97">
        <v>0.8</v>
      </c>
      <c r="Q84" s="97">
        <v>0.24</v>
      </c>
      <c r="R84" s="97">
        <v>0.16</v>
      </c>
      <c r="S84" s="97">
        <v>0.08</v>
      </c>
      <c r="T84" s="97">
        <v>0.32</v>
      </c>
      <c r="U84" s="99">
        <v>10.4</v>
      </c>
      <c r="V84" s="96" t="b">
        <v>1</v>
      </c>
      <c r="W84" s="97">
        <v>0.0</v>
      </c>
      <c r="X84" s="97">
        <v>1.2</v>
      </c>
      <c r="Y84" s="97">
        <v>0.32</v>
      </c>
      <c r="Z84" s="97">
        <v>0.24</v>
      </c>
      <c r="AA84" s="97">
        <v>0.16</v>
      </c>
      <c r="AB84" s="97">
        <v>0.48</v>
      </c>
      <c r="AC84" s="99">
        <v>11.2</v>
      </c>
      <c r="AD84" s="96" t="b">
        <v>1</v>
      </c>
      <c r="AE84" s="97">
        <v>0.0</v>
      </c>
      <c r="AF84" s="97">
        <v>1.6</v>
      </c>
      <c r="AG84" s="97">
        <v>0.4</v>
      </c>
      <c r="AH84" s="97">
        <v>0.32</v>
      </c>
      <c r="AI84" s="97">
        <v>0.24</v>
      </c>
      <c r="AJ84" s="97">
        <v>0.64</v>
      </c>
      <c r="AK84" s="99">
        <v>12.0</v>
      </c>
      <c r="AL84" s="96" t="b">
        <v>1</v>
      </c>
      <c r="AM84" s="80">
        <f t="array" ref="AM84">INDEX(A84:AL84, MATCH(RIGHT('Roadmap setting'!$B$9, 3), $A$2:$AL$2, 0) - 1)
</f>
        <v>9.2</v>
      </c>
      <c r="AN84" s="82">
        <f t="array" ref="AN84">IFNA(LOOKUP(2,1/(ISNUMBER(AN81:AN83)),AN81:AN83)+(D84/(Resources!$P$55/7)),Today()+(D84/(Resources!$P$55/7)))</f>
        <v>45777</v>
      </c>
      <c r="AO84" s="82">
        <f t="array" ref="AO84">IFNA(LOOKUP(2,1/(ISNUMBER(AO81:AO83)),AO81:AO83)+(E84/(Resources!$P$56/7)),Today()+(E84/(Resources!$P$56/7)))</f>
        <v>45778.64495</v>
      </c>
      <c r="AP84" s="82">
        <f t="array" ref="AP84">IF(ISNUMBER($AT84),IFNA(LOOKUP(2,1/(ISNUMBER(AP81:AP83)),AP81:AP83),Today()),IFNA(LOOKUP(2,1/(ISNUMBER(AP81:AP83)),AP81:AP83)+(D84/(Resources!$E$55/7)),Today()+(D84/(Resources!$E$55/7))))</f>
        <v>45777</v>
      </c>
      <c r="AQ84" s="82">
        <f t="array" ref="AQ84">IF(ISNUMBER($AT84),IFNA(LOOKUP(2,1/(ISNUMBER(AQ81:AQ83)),AQ81:AQ83),Today()),IFNA(LOOKUP(2,1/(ISNUMBER(AQ81:AQ83)),AQ81:AQ83)+(E84/(Resources!$E$56/7)),Today()+(E84/(Resources!$E$56/7))))</f>
        <v>45779.76016</v>
      </c>
      <c r="AR84" s="226">
        <f t="shared" ref="AR84:AR93" si="18">IFERROR(MAX(AP84,AQ84),"")</f>
        <v>45779.76016</v>
      </c>
      <c r="AS84" s="82"/>
      <c r="AT84" s="82"/>
      <c r="AU84" s="83"/>
    </row>
    <row r="85" ht="15.0" customHeight="1">
      <c r="A85" s="83" t="s">
        <v>77</v>
      </c>
      <c r="B85" s="110" t="s">
        <v>914</v>
      </c>
      <c r="C85" s="93">
        <f>IF($A85="Feature",SUM(D85:E85)*'Roadmap setting'!$B$13,0)</f>
        <v>0</v>
      </c>
      <c r="D85" s="94">
        <v>0.0</v>
      </c>
      <c r="E85" s="94">
        <v>6.0</v>
      </c>
      <c r="F85" s="95">
        <f>IF($A85="Feature",IF('Roadmap setting'!$E$14,$E85*('Roadmap setting'!$B$14+'Roadmap setting'!$D$14),$E85*'Roadmap setting'!$B$14),0)</f>
        <v>0</v>
      </c>
      <c r="G85" s="93">
        <f>IF($A85="Feature",$D85*'Roadmap setting'!$B$15,0)</f>
        <v>0</v>
      </c>
      <c r="H85" s="95">
        <f>IF($A85="Feature",$E85*'Roadmap setting'!$B$16,0)</f>
        <v>0</v>
      </c>
      <c r="I85" s="93">
        <f>SUM($D85:$E85)*'Roadmap setting'!$B$17</f>
        <v>0.72</v>
      </c>
      <c r="J85" s="93">
        <f>SUM($D85:$E85)*'Roadmap setting'!$B$18</f>
        <v>0.06</v>
      </c>
      <c r="K85" s="93">
        <f>SUM($D85:$E85)*'Roadmap setting'!$B$19</f>
        <v>0</v>
      </c>
      <c r="L85" s="95">
        <f>SUM($D85:$E85)*'Roadmap setting'!$B$20</f>
        <v>0.12</v>
      </c>
      <c r="M85" s="79">
        <f t="shared" si="17"/>
        <v>6.9</v>
      </c>
      <c r="N85" s="96" t="b">
        <v>0</v>
      </c>
      <c r="O85" s="97">
        <v>0.0</v>
      </c>
      <c r="P85" s="97">
        <v>0.6</v>
      </c>
      <c r="Q85" s="97">
        <v>0.18</v>
      </c>
      <c r="R85" s="97">
        <v>0.12</v>
      </c>
      <c r="S85" s="97">
        <v>0.06</v>
      </c>
      <c r="T85" s="97">
        <v>0.24</v>
      </c>
      <c r="U85" s="99">
        <v>9.3</v>
      </c>
      <c r="V85" s="96" t="b">
        <v>1</v>
      </c>
      <c r="W85" s="97">
        <v>0.0</v>
      </c>
      <c r="X85" s="97">
        <v>0.9</v>
      </c>
      <c r="Y85" s="97">
        <v>0.24</v>
      </c>
      <c r="Z85" s="97">
        <v>0.18</v>
      </c>
      <c r="AA85" s="97">
        <v>0.12</v>
      </c>
      <c r="AB85" s="97">
        <v>0.36</v>
      </c>
      <c r="AC85" s="99">
        <v>9.9</v>
      </c>
      <c r="AD85" s="96" t="b">
        <v>1</v>
      </c>
      <c r="AE85" s="97">
        <v>0.0</v>
      </c>
      <c r="AF85" s="97">
        <v>1.2</v>
      </c>
      <c r="AG85" s="97">
        <v>0.3</v>
      </c>
      <c r="AH85" s="97">
        <v>0.24</v>
      </c>
      <c r="AI85" s="97">
        <v>0.18</v>
      </c>
      <c r="AJ85" s="97">
        <v>0.48</v>
      </c>
      <c r="AK85" s="99">
        <v>10.5</v>
      </c>
      <c r="AL85" s="96" t="b">
        <v>1</v>
      </c>
      <c r="AM85" s="80">
        <f t="array" ref="AM85">INDEX(A85:AL85, MATCH(RIGHT('Roadmap setting'!$B$9, 3), $A$2:$AL$2, 0) - 1)
</f>
        <v>6.9</v>
      </c>
      <c r="AN85" s="82">
        <f t="array" ref="AN85">IFNA(LOOKUP(2,1/(ISNUMBER(AN81:AN84)),AN81:AN84)+(D85/(Resources!$P$55/7)),Today()+(D85/(Resources!$P$55/7)))</f>
        <v>45777</v>
      </c>
      <c r="AO85" s="82">
        <f t="array" ref="AO85">IFNA(LOOKUP(2,1/(ISNUMBER(AO81:AO84)),AO81:AO84)+(E85/(Resources!$P$56/7)),Today()+(E85/(Resources!$P$56/7)))</f>
        <v>45779.87866</v>
      </c>
      <c r="AP85" s="82">
        <f t="array" ref="AP85">IF(ISNUMBER($AT85),IFNA(LOOKUP(2,1/(ISNUMBER(AP81:AP84)),AP81:AP84),Today()),IFNA(LOOKUP(2,1/(ISNUMBER(AP81:AP84)),AP81:AP84)+(D85/(Resources!$E$55/7)),Today()+(D85/(Resources!$E$55/7))))</f>
        <v>45777</v>
      </c>
      <c r="AQ85" s="82">
        <f t="array" ref="AQ85">IF(ISNUMBER($AT85),IFNA(LOOKUP(2,1/(ISNUMBER(AQ81:AQ84)),AQ81:AQ84),Today()),IFNA(LOOKUP(2,1/(ISNUMBER(AQ81:AQ84)),AQ81:AQ84)+(E85/(Resources!$E$56/7)),Today()+(E85/(Resources!$E$56/7))))</f>
        <v>45781.83029</v>
      </c>
      <c r="AR85" s="226">
        <f t="shared" si="18"/>
        <v>45781.83029</v>
      </c>
      <c r="AS85" s="82"/>
      <c r="AT85" s="82"/>
      <c r="AU85" s="83"/>
    </row>
    <row r="86" ht="15.0" customHeight="1">
      <c r="A86" s="83" t="s">
        <v>97</v>
      </c>
      <c r="B86" s="110" t="s">
        <v>915</v>
      </c>
      <c r="C86" s="93">
        <f>IF($A86="Feature",SUM(D86:E86)*'Roadmap setting'!$B$13,0)</f>
        <v>1.8</v>
      </c>
      <c r="D86" s="94">
        <v>3.0</v>
      </c>
      <c r="E86" s="94">
        <v>6.0</v>
      </c>
      <c r="F86" s="95">
        <f>IF($A86="Feature",IF('Roadmap setting'!$E$14,$E86*('Roadmap setting'!$B$14+'Roadmap setting'!$D$14),$E86*'Roadmap setting'!$B$14),0)</f>
        <v>0.9</v>
      </c>
      <c r="G86" s="93">
        <f>IF($A86="Feature",$D86*'Roadmap setting'!$B$15,0)</f>
        <v>0</v>
      </c>
      <c r="H86" s="95">
        <f>IF($A86="Feature",$E86*'Roadmap setting'!$B$16,0)</f>
        <v>0</v>
      </c>
      <c r="I86" s="93">
        <f>SUM($D86:$E86)*'Roadmap setting'!$B$17</f>
        <v>1.08</v>
      </c>
      <c r="J86" s="93">
        <f>SUM($D86:$E86)*'Roadmap setting'!$B$18</f>
        <v>0.09</v>
      </c>
      <c r="K86" s="93">
        <f>SUM($D86:$E86)*'Roadmap setting'!$B$19</f>
        <v>0</v>
      </c>
      <c r="L86" s="95">
        <f>SUM($D86:$E86)*'Roadmap setting'!$B$20</f>
        <v>0.18</v>
      </c>
      <c r="M86" s="79">
        <f t="shared" si="17"/>
        <v>13.05</v>
      </c>
      <c r="N86" s="96" t="b">
        <v>0</v>
      </c>
      <c r="O86" s="97">
        <v>0.3</v>
      </c>
      <c r="P86" s="97">
        <v>0.6</v>
      </c>
      <c r="Q86" s="97">
        <v>0.27</v>
      </c>
      <c r="R86" s="97">
        <v>0.18</v>
      </c>
      <c r="S86" s="97">
        <v>0.09</v>
      </c>
      <c r="T86" s="97">
        <v>0.36</v>
      </c>
      <c r="U86" s="99">
        <v>13.2</v>
      </c>
      <c r="V86" s="96" t="b">
        <v>1</v>
      </c>
      <c r="W86" s="97">
        <v>0.45</v>
      </c>
      <c r="X86" s="97">
        <v>0.9</v>
      </c>
      <c r="Y86" s="97">
        <v>0.36</v>
      </c>
      <c r="Z86" s="97">
        <v>0.27</v>
      </c>
      <c r="AA86" s="97">
        <v>0.18</v>
      </c>
      <c r="AB86" s="97">
        <v>0.54</v>
      </c>
      <c r="AC86" s="99">
        <v>14.1</v>
      </c>
      <c r="AD86" s="96" t="b">
        <v>1</v>
      </c>
      <c r="AE86" s="97">
        <v>0.6</v>
      </c>
      <c r="AF86" s="97">
        <v>1.2</v>
      </c>
      <c r="AG86" s="97">
        <v>0.45</v>
      </c>
      <c r="AH86" s="97">
        <v>0.36</v>
      </c>
      <c r="AI86" s="97">
        <v>0.27</v>
      </c>
      <c r="AJ86" s="97">
        <v>0.72</v>
      </c>
      <c r="AK86" s="99">
        <v>15.0</v>
      </c>
      <c r="AL86" s="96" t="b">
        <v>1</v>
      </c>
      <c r="AM86" s="80">
        <f t="array" ref="AM86">INDEX(A86:AL86, MATCH(RIGHT('Roadmap setting'!$B$9, 3), $A$2:$AL$2, 0) - 1)
</f>
        <v>13.05</v>
      </c>
      <c r="AN86" s="82">
        <f t="array" ref="AN86">IFNA(LOOKUP(2,1/(ISNUMBER(AN81:AN85)),AN81:AN85)+(D86/(Resources!$P$55/7)),Today()+(D86/(Resources!$P$55/7)))</f>
        <v>45777.37298</v>
      </c>
      <c r="AO86" s="82">
        <f t="array" ref="AO86">IFNA(LOOKUP(2,1/(ISNUMBER(AO81:AO85)),AO81:AO85)+(E86/(Resources!$P$56/7)),Today()+(E86/(Resources!$P$56/7)))</f>
        <v>45781.11237</v>
      </c>
      <c r="AP86" s="82">
        <f t="array" ref="AP86">IF(ISNUMBER($AT86),IFNA(LOOKUP(2,1/(ISNUMBER(AP81:AP85)),AP81:AP85),Today()),IFNA(LOOKUP(2,1/(ISNUMBER(AP81:AP85)),AP81:AP85)+(D86/(Resources!$E$55/7)),Today()+(D86/(Resources!$E$55/7))))</f>
        <v>45777.76469</v>
      </c>
      <c r="AQ86" s="82">
        <f t="array" ref="AQ86">IF(ISNUMBER($AT86),IFNA(LOOKUP(2,1/(ISNUMBER(AQ81:AQ85)),AQ81:AQ85),Today()),IFNA(LOOKUP(2,1/(ISNUMBER(AQ81:AQ85)),AQ81:AQ85)+(E86/(Resources!$E$56/7)),Today()+(E86/(Resources!$E$56/7))))</f>
        <v>45783.90041</v>
      </c>
      <c r="AR86" s="226">
        <f t="shared" si="18"/>
        <v>45783.90041</v>
      </c>
      <c r="AS86" s="82"/>
      <c r="AT86" s="82"/>
      <c r="AU86" s="83"/>
    </row>
    <row r="87" ht="15.0" customHeight="1">
      <c r="A87" s="83" t="s">
        <v>97</v>
      </c>
      <c r="B87" s="110" t="s">
        <v>916</v>
      </c>
      <c r="C87" s="93">
        <f>IF($A87="Feature",SUM(D87:E87)*'Roadmap setting'!$B$13,0)</f>
        <v>1.2</v>
      </c>
      <c r="D87" s="94">
        <v>2.0</v>
      </c>
      <c r="E87" s="94">
        <v>4.0</v>
      </c>
      <c r="F87" s="95">
        <f>IF($A87="Feature",IF('Roadmap setting'!$E$14,$E87*('Roadmap setting'!$B$14+'Roadmap setting'!$D$14),$E87*'Roadmap setting'!$B$14),0)</f>
        <v>0.6</v>
      </c>
      <c r="G87" s="93">
        <f>IF($A87="Feature",$D87*'Roadmap setting'!$B$15,0)</f>
        <v>0</v>
      </c>
      <c r="H87" s="95">
        <f>IF($A87="Feature",$E87*'Roadmap setting'!$B$16,0)</f>
        <v>0</v>
      </c>
      <c r="I87" s="93">
        <f>SUM($D87:$E87)*'Roadmap setting'!$B$17</f>
        <v>0.72</v>
      </c>
      <c r="J87" s="93">
        <f>SUM($D87:$E87)*'Roadmap setting'!$B$18</f>
        <v>0.06</v>
      </c>
      <c r="K87" s="93">
        <f>SUM($D87:$E87)*'Roadmap setting'!$B$19</f>
        <v>0</v>
      </c>
      <c r="L87" s="95">
        <f>SUM($D87:$E87)*'Roadmap setting'!$B$20</f>
        <v>0.12</v>
      </c>
      <c r="M87" s="79">
        <f t="shared" si="17"/>
        <v>8.7</v>
      </c>
      <c r="N87" s="96" t="b">
        <v>0</v>
      </c>
      <c r="O87" s="97">
        <v>0.2</v>
      </c>
      <c r="P87" s="97">
        <v>0.4</v>
      </c>
      <c r="Q87" s="97">
        <v>0.18</v>
      </c>
      <c r="R87" s="97">
        <v>0.12</v>
      </c>
      <c r="S87" s="97">
        <v>0.06</v>
      </c>
      <c r="T87" s="97">
        <v>0.24</v>
      </c>
      <c r="U87" s="99">
        <v>8.8</v>
      </c>
      <c r="V87" s="96" t="b">
        <v>1</v>
      </c>
      <c r="W87" s="97">
        <v>0.3</v>
      </c>
      <c r="X87" s="97">
        <v>0.6</v>
      </c>
      <c r="Y87" s="97">
        <v>0.24</v>
      </c>
      <c r="Z87" s="97">
        <v>0.18</v>
      </c>
      <c r="AA87" s="97">
        <v>0.12</v>
      </c>
      <c r="AB87" s="97">
        <v>0.36</v>
      </c>
      <c r="AC87" s="99">
        <v>9.4</v>
      </c>
      <c r="AD87" s="96" t="b">
        <v>1</v>
      </c>
      <c r="AE87" s="97">
        <v>0.4</v>
      </c>
      <c r="AF87" s="97">
        <v>0.8</v>
      </c>
      <c r="AG87" s="97">
        <v>0.3</v>
      </c>
      <c r="AH87" s="97">
        <v>0.24</v>
      </c>
      <c r="AI87" s="97">
        <v>0.18</v>
      </c>
      <c r="AJ87" s="97">
        <v>0.48</v>
      </c>
      <c r="AK87" s="99">
        <v>10.0</v>
      </c>
      <c r="AL87" s="96" t="b">
        <v>1</v>
      </c>
      <c r="AM87" s="80">
        <f t="array" ref="AM87">INDEX(A87:AL87, MATCH(RIGHT('Roadmap setting'!$B$9, 3), $A$2:$AL$2, 0) - 1)
</f>
        <v>8.7</v>
      </c>
      <c r="AN87" s="82">
        <f t="array" ref="AN87">IFNA(LOOKUP(2,1/(ISNUMBER(AN81:AN86)),AN81:AN86)+(D87/(Resources!$P$55/7)),Today()+(D87/(Resources!$P$55/7)))</f>
        <v>45777.62163</v>
      </c>
      <c r="AO87" s="82">
        <f t="array" ref="AO87">IFNA(LOOKUP(2,1/(ISNUMBER(AO81:AO86)),AO81:AO86)+(E87/(Resources!$P$56/7)),Today()+(E87/(Resources!$P$56/7)))</f>
        <v>45781.93484</v>
      </c>
      <c r="AP87" s="82">
        <f t="array" ref="AP87">IF(ISNUMBER($AT87),IFNA(LOOKUP(2,1/(ISNUMBER(AP81:AP86)),AP81:AP86),Today()),IFNA(LOOKUP(2,1/(ISNUMBER(AP81:AP86)),AP81:AP86)+(D87/(Resources!$E$55/7)),Today()+(D87/(Resources!$E$55/7))))</f>
        <v>45778.27449</v>
      </c>
      <c r="AQ87" s="82">
        <f t="array" ref="AQ87">IF(ISNUMBER($AT87),IFNA(LOOKUP(2,1/(ISNUMBER(AQ81:AQ86)),AQ81:AQ86),Today()),IFNA(LOOKUP(2,1/(ISNUMBER(AQ81:AQ86)),AQ81:AQ86)+(E87/(Resources!$E$56/7)),Today()+(E87/(Resources!$E$56/7))))</f>
        <v>45785.28049</v>
      </c>
      <c r="AR87" s="226">
        <f t="shared" si="18"/>
        <v>45785.28049</v>
      </c>
      <c r="AS87" s="82"/>
      <c r="AT87" s="82"/>
      <c r="AU87" s="83"/>
    </row>
    <row r="88" ht="15.0" customHeight="1">
      <c r="A88" s="83" t="s">
        <v>97</v>
      </c>
      <c r="B88" s="110" t="s">
        <v>917</v>
      </c>
      <c r="C88" s="93">
        <f>IF($A88="Feature",SUM(D88:E88)*'Roadmap setting'!$B$13,0)</f>
        <v>2.4</v>
      </c>
      <c r="D88" s="94">
        <v>6.0</v>
      </c>
      <c r="E88" s="94">
        <v>6.0</v>
      </c>
      <c r="F88" s="95">
        <f>IF($A88="Feature",IF('Roadmap setting'!$E$14,$E88*('Roadmap setting'!$B$14+'Roadmap setting'!$D$14),$E88*'Roadmap setting'!$B$14),0)</f>
        <v>0.9</v>
      </c>
      <c r="G88" s="93">
        <f>IF($A88="Feature",$D88*'Roadmap setting'!$B$15,0)</f>
        <v>0</v>
      </c>
      <c r="H88" s="95">
        <f>IF($A88="Feature",$E88*'Roadmap setting'!$B$16,0)</f>
        <v>0</v>
      </c>
      <c r="I88" s="93">
        <f>SUM($D88:$E88)*'Roadmap setting'!$B$17</f>
        <v>1.44</v>
      </c>
      <c r="J88" s="93">
        <f>SUM($D88:$E88)*'Roadmap setting'!$B$18</f>
        <v>0.12</v>
      </c>
      <c r="K88" s="93">
        <f>SUM($D88:$E88)*'Roadmap setting'!$B$19</f>
        <v>0</v>
      </c>
      <c r="L88" s="95">
        <f>SUM($D88:$E88)*'Roadmap setting'!$B$20</f>
        <v>0.24</v>
      </c>
      <c r="M88" s="79">
        <f t="shared" si="17"/>
        <v>17.1</v>
      </c>
      <c r="N88" s="96" t="b">
        <v>0</v>
      </c>
      <c r="O88" s="97">
        <v>0.6</v>
      </c>
      <c r="P88" s="97">
        <v>0.6</v>
      </c>
      <c r="Q88" s="97">
        <v>0.36</v>
      </c>
      <c r="R88" s="97">
        <v>0.24</v>
      </c>
      <c r="S88" s="97">
        <v>0.12</v>
      </c>
      <c r="T88" s="97">
        <v>0.48</v>
      </c>
      <c r="U88" s="99">
        <v>17.1</v>
      </c>
      <c r="V88" s="96" t="b">
        <v>1</v>
      </c>
      <c r="W88" s="97">
        <v>0.9</v>
      </c>
      <c r="X88" s="97">
        <v>0.9</v>
      </c>
      <c r="Y88" s="97">
        <v>0.48</v>
      </c>
      <c r="Z88" s="97">
        <v>0.36</v>
      </c>
      <c r="AA88" s="97">
        <v>0.24</v>
      </c>
      <c r="AB88" s="97">
        <v>0.72</v>
      </c>
      <c r="AC88" s="99">
        <v>18.3</v>
      </c>
      <c r="AD88" s="96" t="b">
        <v>1</v>
      </c>
      <c r="AE88" s="97">
        <v>1.2</v>
      </c>
      <c r="AF88" s="97">
        <v>1.2</v>
      </c>
      <c r="AG88" s="97">
        <v>0.6</v>
      </c>
      <c r="AH88" s="97">
        <v>0.48</v>
      </c>
      <c r="AI88" s="97">
        <v>0.36</v>
      </c>
      <c r="AJ88" s="97">
        <v>0.96</v>
      </c>
      <c r="AK88" s="99">
        <v>19.5</v>
      </c>
      <c r="AL88" s="96" t="b">
        <v>1</v>
      </c>
      <c r="AM88" s="80">
        <f t="array" ref="AM88">INDEX(A88:AL88, MATCH(RIGHT('Roadmap setting'!$B$9, 3), $A$2:$AL$2, 0) - 1)
</f>
        <v>17.1</v>
      </c>
      <c r="AN88" s="82">
        <f t="array" ref="AN88">IFNA(LOOKUP(2,1/(ISNUMBER(AN82:AN87)),AN82:AN87)+(D88/(Resources!$P$55/7)),Today()+(D88/(Resources!$P$55/7)))</f>
        <v>45778.36759</v>
      </c>
      <c r="AO88" s="82">
        <f t="array" ref="AO88">IFNA(LOOKUP(2,1/(ISNUMBER(AO82:AO87)),AO82:AO87)+(E88/(Resources!$P$56/7)),Today()+(E88/(Resources!$P$56/7)))</f>
        <v>45783.16855</v>
      </c>
      <c r="AP88" s="82">
        <f t="array" ref="AP88">IF(ISNUMBER($AT88),IFNA(LOOKUP(2,1/(ISNUMBER(AP82:AP87)),AP82:AP87),Today()),IFNA(LOOKUP(2,1/(ISNUMBER(AP82:AP87)),AP82:AP87)+(D88/(Resources!$E$55/7)),Today()+(D88/(Resources!$E$55/7))))</f>
        <v>45779.80388</v>
      </c>
      <c r="AQ88" s="82">
        <f t="array" ref="AQ88">IF(ISNUMBER($AT88),IFNA(LOOKUP(2,1/(ISNUMBER(AQ82:AQ87)),AQ82:AQ87),Today()),IFNA(LOOKUP(2,1/(ISNUMBER(AQ82:AQ87)),AQ82:AQ87)+(E88/(Resources!$E$56/7)),Today()+(E88/(Resources!$E$56/7))))</f>
        <v>45787.35061</v>
      </c>
      <c r="AR88" s="226">
        <f t="shared" si="18"/>
        <v>45787.35061</v>
      </c>
      <c r="AS88" s="82"/>
      <c r="AT88" s="82"/>
      <c r="AU88" s="83"/>
    </row>
    <row r="89" ht="15.0" customHeight="1">
      <c r="A89" s="83" t="s">
        <v>97</v>
      </c>
      <c r="B89" s="110" t="s">
        <v>918</v>
      </c>
      <c r="C89" s="93">
        <f>IF($A89="Feature",SUM(D89:E89)*'Roadmap setting'!$B$13,0)</f>
        <v>2.2</v>
      </c>
      <c r="D89" s="94">
        <v>5.0</v>
      </c>
      <c r="E89" s="94">
        <v>6.0</v>
      </c>
      <c r="F89" s="95">
        <f>IF($A89="Feature",IF('Roadmap setting'!$E$14,$E89*('Roadmap setting'!$B$14+'Roadmap setting'!$D$14),$E89*'Roadmap setting'!$B$14),0)</f>
        <v>0.9</v>
      </c>
      <c r="G89" s="93">
        <f>IF($A89="Feature",$D89*'Roadmap setting'!$B$15,0)</f>
        <v>0</v>
      </c>
      <c r="H89" s="95">
        <f>IF($A89="Feature",$E89*'Roadmap setting'!$B$16,0)</f>
        <v>0</v>
      </c>
      <c r="I89" s="93">
        <f>SUM($D89:$E89)*'Roadmap setting'!$B$17</f>
        <v>1.32</v>
      </c>
      <c r="J89" s="93">
        <f>SUM($D89:$E89)*'Roadmap setting'!$B$18</f>
        <v>0.11</v>
      </c>
      <c r="K89" s="93">
        <f>SUM($D89:$E89)*'Roadmap setting'!$B$19</f>
        <v>0</v>
      </c>
      <c r="L89" s="95">
        <f>SUM($D89:$E89)*'Roadmap setting'!$B$20</f>
        <v>0.22</v>
      </c>
      <c r="M89" s="79">
        <f t="shared" si="17"/>
        <v>15.75</v>
      </c>
      <c r="N89" s="96" t="b">
        <v>0</v>
      </c>
      <c r="O89" s="97">
        <v>0.5</v>
      </c>
      <c r="P89" s="97">
        <v>0.6</v>
      </c>
      <c r="Q89" s="97">
        <v>0.33</v>
      </c>
      <c r="R89" s="97">
        <v>0.22</v>
      </c>
      <c r="S89" s="97">
        <v>0.11</v>
      </c>
      <c r="T89" s="97">
        <v>0.44</v>
      </c>
      <c r="U89" s="99">
        <v>15.8</v>
      </c>
      <c r="V89" s="96" t="b">
        <v>1</v>
      </c>
      <c r="W89" s="97">
        <v>0.75</v>
      </c>
      <c r="X89" s="97">
        <v>0.9</v>
      </c>
      <c r="Y89" s="97">
        <v>0.44</v>
      </c>
      <c r="Z89" s="97">
        <v>0.33</v>
      </c>
      <c r="AA89" s="97">
        <v>0.22</v>
      </c>
      <c r="AB89" s="97">
        <v>0.66</v>
      </c>
      <c r="AC89" s="99">
        <v>16.9</v>
      </c>
      <c r="AD89" s="96" t="b">
        <v>1</v>
      </c>
      <c r="AE89" s="97">
        <v>1.0</v>
      </c>
      <c r="AF89" s="97">
        <v>1.2</v>
      </c>
      <c r="AG89" s="97">
        <v>0.55</v>
      </c>
      <c r="AH89" s="97">
        <v>0.44</v>
      </c>
      <c r="AI89" s="97">
        <v>0.33</v>
      </c>
      <c r="AJ89" s="97">
        <v>0.88</v>
      </c>
      <c r="AK89" s="99">
        <v>18.0</v>
      </c>
      <c r="AL89" s="96" t="b">
        <v>1</v>
      </c>
      <c r="AM89" s="80">
        <f t="array" ref="AM89">INDEX(A89:AL89, MATCH(RIGHT('Roadmap setting'!$B$9, 3), $A$2:$AL$2, 0) - 1)
</f>
        <v>15.75</v>
      </c>
      <c r="AN89" s="82">
        <f t="array" ref="AN89">IFNA(LOOKUP(2,1/(ISNUMBER(AN83:AN88)),AN83:AN88)+(D89/(Resources!$P$55/7)),Today()+(D89/(Resources!$P$55/7)))</f>
        <v>45778.98922</v>
      </c>
      <c r="AO89" s="82">
        <f t="array" ref="AO89">IFNA(LOOKUP(2,1/(ISNUMBER(AO83:AO88)),AO83:AO88)+(E89/(Resources!$P$56/7)),Today()+(E89/(Resources!$P$56/7)))</f>
        <v>45784.40226</v>
      </c>
      <c r="AP89" s="82">
        <f t="array" ref="AP89">IF(ISNUMBER($AT89),IFNA(LOOKUP(2,1/(ISNUMBER(AP83:AP88)),AP83:AP88),Today()),IFNA(LOOKUP(2,1/(ISNUMBER(AP83:AP88)),AP83:AP88)+(D89/(Resources!$E$55/7)),Today()+(D89/(Resources!$E$55/7))))</f>
        <v>45781.07836</v>
      </c>
      <c r="AQ89" s="82">
        <f t="array" ref="AQ89">IF(ISNUMBER($AT89),IFNA(LOOKUP(2,1/(ISNUMBER(AQ83:AQ88)),AQ83:AQ88),Today()),IFNA(LOOKUP(2,1/(ISNUMBER(AQ83:AQ88)),AQ83:AQ88)+(E89/(Resources!$E$56/7)),Today()+(E89/(Resources!$E$56/7))))</f>
        <v>45789.42074</v>
      </c>
      <c r="AR89" s="226">
        <f t="shared" si="18"/>
        <v>45789.42074</v>
      </c>
      <c r="AS89" s="82"/>
      <c r="AT89" s="82"/>
      <c r="AU89" s="83"/>
    </row>
    <row r="90" ht="15.0" customHeight="1">
      <c r="A90" s="83" t="s">
        <v>97</v>
      </c>
      <c r="B90" s="110" t="s">
        <v>919</v>
      </c>
      <c r="C90" s="93">
        <f>IF($A90="Feature",SUM(D90:E90)*'Roadmap setting'!$B$13,0)</f>
        <v>1.2</v>
      </c>
      <c r="D90" s="94">
        <v>2.0</v>
      </c>
      <c r="E90" s="94">
        <v>4.0</v>
      </c>
      <c r="F90" s="95">
        <f>IF($A90="Feature",IF('Roadmap setting'!$E$14,$E90*('Roadmap setting'!$B$14+'Roadmap setting'!$D$14),$E90*'Roadmap setting'!$B$14),0)</f>
        <v>0.6</v>
      </c>
      <c r="G90" s="93">
        <f>IF($A90="Feature",$D90*'Roadmap setting'!$B$15,0)</f>
        <v>0</v>
      </c>
      <c r="H90" s="95">
        <f>IF($A90="Feature",$E90*'Roadmap setting'!$B$16,0)</f>
        <v>0</v>
      </c>
      <c r="I90" s="93">
        <f>SUM($D90:$E90)*'Roadmap setting'!$B$17</f>
        <v>0.72</v>
      </c>
      <c r="J90" s="93">
        <f>SUM($D90:$E90)*'Roadmap setting'!$B$18</f>
        <v>0.06</v>
      </c>
      <c r="K90" s="93">
        <f>SUM($D90:$E90)*'Roadmap setting'!$B$19</f>
        <v>0</v>
      </c>
      <c r="L90" s="95">
        <f>SUM($D90:$E90)*'Roadmap setting'!$B$20</f>
        <v>0.12</v>
      </c>
      <c r="M90" s="79">
        <f t="shared" si="17"/>
        <v>8.7</v>
      </c>
      <c r="N90" s="96" t="b">
        <v>0</v>
      </c>
      <c r="O90" s="97">
        <v>0.2</v>
      </c>
      <c r="P90" s="97">
        <v>0.4</v>
      </c>
      <c r="Q90" s="97">
        <v>0.18</v>
      </c>
      <c r="R90" s="97">
        <v>0.12</v>
      </c>
      <c r="S90" s="97">
        <v>0.06</v>
      </c>
      <c r="T90" s="97">
        <v>0.24</v>
      </c>
      <c r="U90" s="99">
        <v>8.8</v>
      </c>
      <c r="V90" s="96" t="b">
        <v>1</v>
      </c>
      <c r="W90" s="97">
        <v>0.3</v>
      </c>
      <c r="X90" s="97">
        <v>0.6</v>
      </c>
      <c r="Y90" s="97">
        <v>0.24</v>
      </c>
      <c r="Z90" s="97">
        <v>0.18</v>
      </c>
      <c r="AA90" s="97">
        <v>0.12</v>
      </c>
      <c r="AB90" s="97">
        <v>0.36</v>
      </c>
      <c r="AC90" s="99">
        <v>9.4</v>
      </c>
      <c r="AD90" s="96" t="b">
        <v>1</v>
      </c>
      <c r="AE90" s="97">
        <v>0.4</v>
      </c>
      <c r="AF90" s="97">
        <v>0.8</v>
      </c>
      <c r="AG90" s="97">
        <v>0.3</v>
      </c>
      <c r="AH90" s="97">
        <v>0.24</v>
      </c>
      <c r="AI90" s="97">
        <v>0.18</v>
      </c>
      <c r="AJ90" s="97">
        <v>0.48</v>
      </c>
      <c r="AK90" s="99">
        <v>10.0</v>
      </c>
      <c r="AL90" s="96" t="b">
        <v>1</v>
      </c>
      <c r="AM90" s="80">
        <f t="array" ref="AM90">INDEX(A90:AL90, MATCH(RIGHT('Roadmap setting'!$B$9, 3), $A$2:$AL$2, 0) - 1)
</f>
        <v>8.7</v>
      </c>
      <c r="AN90" s="82">
        <f t="array" ref="AN90">IFNA(LOOKUP(2,1/(ISNUMBER(AN84:AN89)),AN84:AN89)+(D90/(Resources!$P$55/7)),Today()+(D90/(Resources!$P$55/7)))</f>
        <v>45779.23788</v>
      </c>
      <c r="AO90" s="82">
        <f t="array" ref="AO90">IFNA(LOOKUP(2,1/(ISNUMBER(AO84:AO89)),AO84:AO89)+(E90/(Resources!$P$56/7)),Today()+(E90/(Resources!$P$56/7)))</f>
        <v>45785.22473</v>
      </c>
      <c r="AP90" s="82">
        <f t="array" ref="AP90">IF(ISNUMBER($AT90),IFNA(LOOKUP(2,1/(ISNUMBER(AP84:AP89)),AP84:AP89),Today()),IFNA(LOOKUP(2,1/(ISNUMBER(AP84:AP89)),AP84:AP89)+(D90/(Resources!$E$55/7)),Today()+(D90/(Resources!$E$55/7))))</f>
        <v>45781.58816</v>
      </c>
      <c r="AQ90" s="82">
        <f t="array" ref="AQ90">IF(ISNUMBER($AT90),IFNA(LOOKUP(2,1/(ISNUMBER(AQ84:AQ89)),AQ84:AQ89),Today()),IFNA(LOOKUP(2,1/(ISNUMBER(AQ84:AQ89)),AQ84:AQ89)+(E90/(Resources!$E$56/7)),Today()+(E90/(Resources!$E$56/7))))</f>
        <v>45790.80082</v>
      </c>
      <c r="AR90" s="226">
        <f t="shared" si="18"/>
        <v>45790.80082</v>
      </c>
      <c r="AS90" s="82"/>
      <c r="AT90" s="82"/>
      <c r="AU90" s="83"/>
    </row>
    <row r="91" ht="15.0" customHeight="1">
      <c r="A91" s="83" t="s">
        <v>97</v>
      </c>
      <c r="B91" s="110" t="s">
        <v>920</v>
      </c>
      <c r="C91" s="93">
        <f>IF($A91="Feature",SUM(D91:E91)*'Roadmap setting'!$B$13,0)</f>
        <v>1.2</v>
      </c>
      <c r="D91" s="94">
        <v>2.0</v>
      </c>
      <c r="E91" s="94">
        <v>4.0</v>
      </c>
      <c r="F91" s="95">
        <f>IF($A91="Feature",IF('Roadmap setting'!$E$14,$E91*('Roadmap setting'!$B$14+'Roadmap setting'!$D$14),$E91*'Roadmap setting'!$B$14),0)</f>
        <v>0.6</v>
      </c>
      <c r="G91" s="93">
        <f>IF($A91="Feature",$D91*'Roadmap setting'!$B$15,0)</f>
        <v>0</v>
      </c>
      <c r="H91" s="95">
        <f>IF($A91="Feature",$E91*'Roadmap setting'!$B$16,0)</f>
        <v>0</v>
      </c>
      <c r="I91" s="93">
        <f>SUM($D91:$E91)*'Roadmap setting'!$B$17</f>
        <v>0.72</v>
      </c>
      <c r="J91" s="93">
        <f>SUM($D91:$E91)*'Roadmap setting'!$B$18</f>
        <v>0.06</v>
      </c>
      <c r="K91" s="93">
        <f>SUM($D91:$E91)*'Roadmap setting'!$B$19</f>
        <v>0</v>
      </c>
      <c r="L91" s="95">
        <f>SUM($D91:$E91)*'Roadmap setting'!$B$20</f>
        <v>0.12</v>
      </c>
      <c r="M91" s="79">
        <f t="shared" si="17"/>
        <v>8.7</v>
      </c>
      <c r="N91" s="96" t="b">
        <v>0</v>
      </c>
      <c r="O91" s="97">
        <v>0.2</v>
      </c>
      <c r="P91" s="97">
        <v>0.4</v>
      </c>
      <c r="Q91" s="97">
        <v>0.18</v>
      </c>
      <c r="R91" s="97">
        <v>0.12</v>
      </c>
      <c r="S91" s="97">
        <v>0.06</v>
      </c>
      <c r="T91" s="97">
        <v>0.24</v>
      </c>
      <c r="U91" s="99">
        <v>8.8</v>
      </c>
      <c r="V91" s="96" t="b">
        <v>1</v>
      </c>
      <c r="W91" s="97">
        <v>0.3</v>
      </c>
      <c r="X91" s="97">
        <v>0.6</v>
      </c>
      <c r="Y91" s="97">
        <v>0.24</v>
      </c>
      <c r="Z91" s="97">
        <v>0.18</v>
      </c>
      <c r="AA91" s="97">
        <v>0.12</v>
      </c>
      <c r="AB91" s="97">
        <v>0.36</v>
      </c>
      <c r="AC91" s="99">
        <v>9.4</v>
      </c>
      <c r="AD91" s="96" t="b">
        <v>1</v>
      </c>
      <c r="AE91" s="97">
        <v>0.4</v>
      </c>
      <c r="AF91" s="97">
        <v>0.8</v>
      </c>
      <c r="AG91" s="97">
        <v>0.3</v>
      </c>
      <c r="AH91" s="97">
        <v>0.24</v>
      </c>
      <c r="AI91" s="97">
        <v>0.18</v>
      </c>
      <c r="AJ91" s="97">
        <v>0.48</v>
      </c>
      <c r="AK91" s="99">
        <v>10.0</v>
      </c>
      <c r="AL91" s="96" t="b">
        <v>1</v>
      </c>
      <c r="AM91" s="80">
        <f t="array" ref="AM91">INDEX(A91:AL91, MATCH(RIGHT('Roadmap setting'!$B$9, 3), $A$2:$AL$2, 0) - 1)
</f>
        <v>8.7</v>
      </c>
      <c r="AN91" s="82">
        <f t="array" ref="AN91">IFNA(LOOKUP(2,1/(ISNUMBER(AN85:AN90)),AN85:AN90)+(D91/(Resources!$P$55/7)),Today()+(D91/(Resources!$P$55/7)))</f>
        <v>45779.48653</v>
      </c>
      <c r="AO91" s="82">
        <f t="array" ref="AO91">IFNA(LOOKUP(2,1/(ISNUMBER(AO85:AO90)),AO85:AO90)+(E91/(Resources!$P$56/7)),Today()+(E91/(Resources!$P$56/7)))</f>
        <v>45786.0472</v>
      </c>
      <c r="AP91" s="82">
        <f t="array" ref="AP91">IF(ISNUMBER($AT91),IFNA(LOOKUP(2,1/(ISNUMBER(AP85:AP90)),AP85:AP90),Today()),IFNA(LOOKUP(2,1/(ISNUMBER(AP85:AP90)),AP85:AP90)+(D91/(Resources!$E$55/7)),Today()+(D91/(Resources!$E$55/7))))</f>
        <v>45782.09795</v>
      </c>
      <c r="AQ91" s="82">
        <f t="array" ref="AQ91">IF(ISNUMBER($AT91),IFNA(LOOKUP(2,1/(ISNUMBER(AQ85:AQ90)),AQ85:AQ90),Today()),IFNA(LOOKUP(2,1/(ISNUMBER(AQ85:AQ90)),AQ85:AQ90)+(E91/(Resources!$E$56/7)),Today()+(E91/(Resources!$E$56/7))))</f>
        <v>45792.1809</v>
      </c>
      <c r="AR91" s="226">
        <f t="shared" si="18"/>
        <v>45792.1809</v>
      </c>
      <c r="AS91" s="82"/>
      <c r="AT91" s="82"/>
      <c r="AU91" s="83"/>
    </row>
    <row r="92" ht="15.0" customHeight="1">
      <c r="A92" s="83" t="s">
        <v>97</v>
      </c>
      <c r="B92" s="110" t="s">
        <v>921</v>
      </c>
      <c r="C92" s="93">
        <f>IF($A92="Feature",SUM(D92:E92)*'Roadmap setting'!$B$13,0)</f>
        <v>1.6</v>
      </c>
      <c r="D92" s="94">
        <v>4.0</v>
      </c>
      <c r="E92" s="94">
        <v>4.0</v>
      </c>
      <c r="F92" s="95">
        <f>IF($A92="Feature",IF('Roadmap setting'!$E$14,$E92*('Roadmap setting'!$B$14+'Roadmap setting'!$D$14),$E92*'Roadmap setting'!$B$14),0)</f>
        <v>0.6</v>
      </c>
      <c r="G92" s="93">
        <f>IF($A92="Feature",$D92*'Roadmap setting'!$B$15,0)</f>
        <v>0</v>
      </c>
      <c r="H92" s="95">
        <f>IF($A92="Feature",$E92*'Roadmap setting'!$B$16,0)</f>
        <v>0</v>
      </c>
      <c r="I92" s="93">
        <f>SUM($D92:$E92)*'Roadmap setting'!$B$17</f>
        <v>0.96</v>
      </c>
      <c r="J92" s="93">
        <f>SUM($D92:$E92)*'Roadmap setting'!$B$18</f>
        <v>0.08</v>
      </c>
      <c r="K92" s="93">
        <f>SUM($D92:$E92)*'Roadmap setting'!$B$19</f>
        <v>0</v>
      </c>
      <c r="L92" s="95">
        <f>SUM($D92:$E92)*'Roadmap setting'!$B$20</f>
        <v>0.16</v>
      </c>
      <c r="M92" s="79">
        <f t="shared" si="17"/>
        <v>11.4</v>
      </c>
      <c r="N92" s="96" t="b">
        <v>1</v>
      </c>
      <c r="O92" s="97">
        <v>0.4</v>
      </c>
      <c r="P92" s="97">
        <v>0.4</v>
      </c>
      <c r="Q92" s="97">
        <v>0.24</v>
      </c>
      <c r="R92" s="97">
        <v>0.16</v>
      </c>
      <c r="S92" s="97">
        <v>0.08</v>
      </c>
      <c r="T92" s="97">
        <v>0.32</v>
      </c>
      <c r="U92" s="99">
        <v>11.4</v>
      </c>
      <c r="V92" s="96" t="b">
        <v>1</v>
      </c>
      <c r="W92" s="97">
        <v>0.6</v>
      </c>
      <c r="X92" s="97">
        <v>0.6</v>
      </c>
      <c r="Y92" s="97">
        <v>0.32</v>
      </c>
      <c r="Z92" s="97">
        <v>0.24</v>
      </c>
      <c r="AA92" s="97">
        <v>0.16</v>
      </c>
      <c r="AB92" s="97">
        <v>0.48</v>
      </c>
      <c r="AC92" s="99">
        <v>12.2</v>
      </c>
      <c r="AD92" s="96" t="b">
        <v>1</v>
      </c>
      <c r="AE92" s="97">
        <v>0.8</v>
      </c>
      <c r="AF92" s="97">
        <v>0.8</v>
      </c>
      <c r="AG92" s="97">
        <v>0.4</v>
      </c>
      <c r="AH92" s="97">
        <v>0.32</v>
      </c>
      <c r="AI92" s="97">
        <v>0.24</v>
      </c>
      <c r="AJ92" s="97">
        <v>0.64</v>
      </c>
      <c r="AK92" s="99">
        <v>13.0</v>
      </c>
      <c r="AL92" s="96" t="b">
        <v>1</v>
      </c>
      <c r="AM92" s="80">
        <f t="array" ref="AM92">INDEX(A92:AL92, MATCH(RIGHT('Roadmap setting'!$B$9, 3), $A$2:$AL$2, 0) - 1)
</f>
        <v>11.4</v>
      </c>
      <c r="AN92" s="82">
        <f t="array" ref="AN92">IFNA(LOOKUP(2,1/(ISNUMBER(AN86:AN91)),AN86:AN91)+(D92/(Resources!$P$55/7)),Today()+(D92/(Resources!$P$55/7)))</f>
        <v>45779.98384</v>
      </c>
      <c r="AO92" s="82">
        <f t="array" ref="AO92">IFNA(LOOKUP(2,1/(ISNUMBER(AO86:AO91)),AO86:AO91)+(E92/(Resources!$P$56/7)),Today()+(E92/(Resources!$P$56/7)))</f>
        <v>45786.86968</v>
      </c>
      <c r="AP92" s="82">
        <f t="array" ref="AP92">IF(ISNUMBER($AT92),IFNA(LOOKUP(2,1/(ISNUMBER(AP86:AP91)),AP86:AP91),Today()),IFNA(LOOKUP(2,1/(ISNUMBER(AP86:AP91)),AP86:AP91)+(D92/(Resources!$E$55/7)),Today()+(D92/(Resources!$E$55/7))))</f>
        <v>45783.11755</v>
      </c>
      <c r="AQ92" s="82">
        <f t="array" ref="AQ92">IF(ISNUMBER($AT92),IFNA(LOOKUP(2,1/(ISNUMBER(AQ86:AQ91)),AQ86:AQ91),Today()),IFNA(LOOKUP(2,1/(ISNUMBER(AQ86:AQ91)),AQ86:AQ91)+(E92/(Resources!$E$56/7)),Today()+(E92/(Resources!$E$56/7))))</f>
        <v>45793.56098</v>
      </c>
      <c r="AR92" s="226">
        <f t="shared" si="18"/>
        <v>45793.56098</v>
      </c>
      <c r="AS92" s="82"/>
      <c r="AT92" s="82"/>
      <c r="AU92" s="83"/>
    </row>
    <row r="93" ht="15.0" customHeight="1">
      <c r="A93" s="83" t="s">
        <v>97</v>
      </c>
      <c r="B93" s="110" t="s">
        <v>922</v>
      </c>
      <c r="C93" s="93">
        <f>IF($A93="Feature",SUM(D93:E93)*'Roadmap setting'!$B$13,0)</f>
        <v>0.8</v>
      </c>
      <c r="D93" s="94">
        <v>0.0</v>
      </c>
      <c r="E93" s="94">
        <v>4.0</v>
      </c>
      <c r="F93" s="95">
        <f>IF($A93="Feature",IF('Roadmap setting'!$E$14,$E93*('Roadmap setting'!$B$14+'Roadmap setting'!$D$14),$E93*'Roadmap setting'!$B$14),0)</f>
        <v>0.6</v>
      </c>
      <c r="G93" s="93">
        <f>IF($A93="Feature",$D93*'Roadmap setting'!$B$15,0)</f>
        <v>0</v>
      </c>
      <c r="H93" s="95">
        <f>IF($A93="Feature",$E93*'Roadmap setting'!$B$16,0)</f>
        <v>0</v>
      </c>
      <c r="I93" s="93">
        <f>SUM($D93:$E93)*'Roadmap setting'!$B$17</f>
        <v>0.48</v>
      </c>
      <c r="J93" s="93">
        <f>SUM($D93:$E93)*'Roadmap setting'!$B$18</f>
        <v>0.04</v>
      </c>
      <c r="K93" s="93">
        <f>SUM($D93:$E93)*'Roadmap setting'!$B$19</f>
        <v>0</v>
      </c>
      <c r="L93" s="95">
        <f>SUM($D93:$E93)*'Roadmap setting'!$B$20</f>
        <v>0.08</v>
      </c>
      <c r="M93" s="79">
        <f t="shared" si="17"/>
        <v>6</v>
      </c>
      <c r="N93" s="96" t="b">
        <v>1</v>
      </c>
      <c r="O93" s="97">
        <v>0.0</v>
      </c>
      <c r="P93" s="97">
        <v>0.4</v>
      </c>
      <c r="Q93" s="97">
        <v>0.12</v>
      </c>
      <c r="R93" s="97">
        <v>0.08</v>
      </c>
      <c r="S93" s="97">
        <v>0.04</v>
      </c>
      <c r="T93" s="97">
        <v>0.16</v>
      </c>
      <c r="U93" s="99">
        <v>6.2</v>
      </c>
      <c r="V93" s="96" t="b">
        <v>1</v>
      </c>
      <c r="W93" s="97">
        <v>0.0</v>
      </c>
      <c r="X93" s="97">
        <v>0.6</v>
      </c>
      <c r="Y93" s="97">
        <v>0.16</v>
      </c>
      <c r="Z93" s="97">
        <v>0.12</v>
      </c>
      <c r="AA93" s="97">
        <v>0.08</v>
      </c>
      <c r="AB93" s="97">
        <v>0.24</v>
      </c>
      <c r="AC93" s="99">
        <v>6.6</v>
      </c>
      <c r="AD93" s="96" t="b">
        <v>1</v>
      </c>
      <c r="AE93" s="97">
        <v>0.0</v>
      </c>
      <c r="AF93" s="97">
        <v>0.8</v>
      </c>
      <c r="AG93" s="97">
        <v>0.2</v>
      </c>
      <c r="AH93" s="97">
        <v>0.16</v>
      </c>
      <c r="AI93" s="97">
        <v>0.12</v>
      </c>
      <c r="AJ93" s="97">
        <v>0.32</v>
      </c>
      <c r="AK93" s="99">
        <v>7.0</v>
      </c>
      <c r="AL93" s="96" t="b">
        <v>1</v>
      </c>
      <c r="AM93" s="80">
        <f t="array" ref="AM93">INDEX(A93:AL93, MATCH(RIGHT('Roadmap setting'!$B$9, 3), $A$2:$AL$2, 0) - 1)
</f>
        <v>6</v>
      </c>
      <c r="AN93" s="82">
        <f t="array" ref="AN93">IFNA(LOOKUP(2,1/(ISNUMBER(AN87:AN92)),AN87:AN92)+(D93/(Resources!$P$55/7)),Today()+(D93/(Resources!$P$55/7)))</f>
        <v>45779.98384</v>
      </c>
      <c r="AO93" s="82">
        <f t="array" ref="AO93">IFNA(LOOKUP(2,1/(ISNUMBER(AO87:AO92)),AO87:AO92)+(E93/(Resources!$P$56/7)),Today()+(E93/(Resources!$P$56/7)))</f>
        <v>45787.69215</v>
      </c>
      <c r="AP93" s="82">
        <f t="array" ref="AP93">IF(ISNUMBER($AT93),IFNA(LOOKUP(2,1/(ISNUMBER(AP87:AP92)),AP87:AP92),Today()),IFNA(LOOKUP(2,1/(ISNUMBER(AP87:AP92)),AP87:AP92)+(D93/(Resources!$E$55/7)),Today()+(D93/(Resources!$E$55/7))))</f>
        <v>45783.11755</v>
      </c>
      <c r="AQ93" s="82">
        <f t="array" ref="AQ93">IF(ISNUMBER($AT93),IFNA(LOOKUP(2,1/(ISNUMBER(AQ87:AQ92)),AQ87:AQ92),Today()),IFNA(LOOKUP(2,1/(ISNUMBER(AQ87:AQ92)),AQ87:AQ92)+(E93/(Resources!$E$56/7)),Today()+(E93/(Resources!$E$56/7))))</f>
        <v>45794.94106</v>
      </c>
      <c r="AR93" s="226">
        <f t="shared" si="18"/>
        <v>45794.94106</v>
      </c>
      <c r="AS93" s="82"/>
      <c r="AT93" s="82"/>
      <c r="AU93" s="83"/>
    </row>
    <row r="94" ht="15.0" customHeight="1">
      <c r="A94" s="72"/>
      <c r="B94" s="91" t="s">
        <v>923</v>
      </c>
      <c r="C94" s="72"/>
      <c r="D94" s="72"/>
      <c r="E94" s="72"/>
      <c r="F94" s="72"/>
      <c r="G94" s="72"/>
      <c r="H94" s="72"/>
      <c r="I94" s="72"/>
      <c r="J94" s="72"/>
      <c r="K94" s="72"/>
      <c r="L94" s="72"/>
      <c r="M94" s="72"/>
      <c r="N94" s="72"/>
      <c r="O94" s="72"/>
      <c r="P94" s="72"/>
      <c r="Q94" s="72"/>
      <c r="R94" s="72"/>
      <c r="S94" s="72"/>
      <c r="T94" s="72"/>
      <c r="U94" s="72"/>
      <c r="V94" s="72"/>
      <c r="W94" s="72"/>
      <c r="X94" s="72"/>
      <c r="Y94" s="72"/>
      <c r="Z94" s="72"/>
      <c r="AA94" s="72"/>
      <c r="AB94" s="72"/>
      <c r="AC94" s="72"/>
      <c r="AD94" s="72"/>
      <c r="AE94" s="72"/>
      <c r="AF94" s="72"/>
      <c r="AG94" s="72"/>
      <c r="AH94" s="72"/>
      <c r="AI94" s="72"/>
      <c r="AJ94" s="72"/>
      <c r="AK94" s="72"/>
      <c r="AL94" s="72"/>
      <c r="AM94" s="72"/>
      <c r="AN94" s="72"/>
      <c r="AO94" s="72"/>
      <c r="AP94" s="72"/>
      <c r="AQ94" s="72"/>
      <c r="AR94" s="72"/>
      <c r="AS94" s="72"/>
      <c r="AT94" s="72"/>
      <c r="AU94" s="72"/>
    </row>
    <row r="95" ht="15.0" customHeight="1">
      <c r="A95" s="83" t="s">
        <v>77</v>
      </c>
      <c r="B95" s="107" t="s">
        <v>924</v>
      </c>
      <c r="C95" s="93">
        <f>IF($A95="Feature",SUM(D95:E95)*'Roadmap setting'!$B$13,0)</f>
        <v>0</v>
      </c>
      <c r="D95" s="94">
        <v>20.0</v>
      </c>
      <c r="E95" s="94">
        <v>0.0</v>
      </c>
      <c r="F95" s="95">
        <f>IF($A95="Feature",IF('Roadmap setting'!$E$14,$E95*('Roadmap setting'!$B$14+'Roadmap setting'!$D$14),$E95*'Roadmap setting'!$B$14),0)</f>
        <v>0</v>
      </c>
      <c r="G95" s="93">
        <f>IF($A95="Feature",$D95*'Roadmap setting'!$B$15,0)</f>
        <v>0</v>
      </c>
      <c r="H95" s="95">
        <f>IF($A95="Feature",$E95*'Roadmap setting'!$B$16,0)</f>
        <v>0</v>
      </c>
      <c r="I95" s="93">
        <f>SUM($D95:$E95)*'Roadmap setting'!$B$17</f>
        <v>2.4</v>
      </c>
      <c r="J95" s="93">
        <f>SUM($D95:$E95)*'Roadmap setting'!$B$18</f>
        <v>0.2</v>
      </c>
      <c r="K95" s="93">
        <f>SUM($D95:$E95)*'Roadmap setting'!$B$19</f>
        <v>0</v>
      </c>
      <c r="L95" s="95">
        <f>SUM($D95:$E95)*'Roadmap setting'!$B$20</f>
        <v>0.4</v>
      </c>
      <c r="M95" s="79">
        <f t="shared" ref="M95:M106" si="19">SUM($C95:$F95)+SUM(G95:L95)</f>
        <v>23</v>
      </c>
      <c r="N95" s="96" t="b">
        <v>1</v>
      </c>
      <c r="O95" s="97">
        <v>2.0</v>
      </c>
      <c r="P95" s="97">
        <v>0.0</v>
      </c>
      <c r="Q95" s="97">
        <v>0.6</v>
      </c>
      <c r="R95" s="97">
        <v>0.4</v>
      </c>
      <c r="S95" s="97">
        <v>0.2</v>
      </c>
      <c r="T95" s="97">
        <v>0.8</v>
      </c>
      <c r="U95" s="99">
        <v>26.0</v>
      </c>
      <c r="V95" s="96" t="b">
        <v>1</v>
      </c>
      <c r="W95" s="97">
        <v>3.0</v>
      </c>
      <c r="X95" s="97">
        <v>0.0</v>
      </c>
      <c r="Y95" s="97">
        <v>0.8</v>
      </c>
      <c r="Z95" s="97">
        <v>0.6</v>
      </c>
      <c r="AA95" s="97">
        <v>0.4</v>
      </c>
      <c r="AB95" s="97">
        <v>1.2</v>
      </c>
      <c r="AC95" s="99">
        <v>28.0</v>
      </c>
      <c r="AD95" s="96" t="b">
        <v>1</v>
      </c>
      <c r="AE95" s="97">
        <v>4.0</v>
      </c>
      <c r="AF95" s="97">
        <v>0.0</v>
      </c>
      <c r="AG95" s="97">
        <v>1.0</v>
      </c>
      <c r="AH95" s="97">
        <v>0.8</v>
      </c>
      <c r="AI95" s="97">
        <v>0.6</v>
      </c>
      <c r="AJ95" s="97">
        <v>1.6</v>
      </c>
      <c r="AK95" s="99">
        <v>30.0</v>
      </c>
      <c r="AL95" s="96" t="b">
        <v>1</v>
      </c>
      <c r="AM95" s="80">
        <f t="array" ref="AM95">INDEX(A95:AL95, MATCH(RIGHT('Roadmap setting'!$B$9, 3), $A$2:$AL$2, 0) - 1)
</f>
        <v>23</v>
      </c>
      <c r="AN95" s="82">
        <f t="array" ref="AN95">IFNA(LOOKUP(2,1/(ISNUMBER(AN89:AN94)),AN89:AN94)+(D95/(Resources!$P$55/7)),Today()+(D95/(Resources!$P$55/7)))</f>
        <v>45782.47037</v>
      </c>
      <c r="AO95" s="82">
        <f t="array" ref="AO95">IFNA(LOOKUP(2,1/(ISNUMBER(AO89:AO94)),AO89:AO94)+(E95/(Resources!$P$56/7)),Today()+(E95/(Resources!$P$56/7)))</f>
        <v>45787.69215</v>
      </c>
      <c r="AP95" s="82">
        <f t="array" ref="AP95">IF(ISNUMBER($AT95),IFNA(LOOKUP(2,1/(ISNUMBER(AP89:AP94)),AP89:AP94),Today()),IFNA(LOOKUP(2,1/(ISNUMBER(AP89:AP94)),AP89:AP94)+(D95/(Resources!$E$55/7)),Today()+(D95/(Resources!$E$55/7))))</f>
        <v>45788.2155</v>
      </c>
      <c r="AQ95" s="82">
        <f t="array" ref="AQ95">IF(ISNUMBER($AT95),IFNA(LOOKUP(2,1/(ISNUMBER(AQ89:AQ94)),AQ89:AQ94),Today()),IFNA(LOOKUP(2,1/(ISNUMBER(AQ89:AQ94)),AQ89:AQ94)+(E95/(Resources!$E$56/7)),Today()+(E95/(Resources!$E$56/7))))</f>
        <v>45794.94106</v>
      </c>
      <c r="AR95" s="226">
        <f t="shared" ref="AR95:AR106" si="20">IFERROR(MAX(AP95,AQ95),"")</f>
        <v>45794.94106</v>
      </c>
      <c r="AS95" s="82"/>
      <c r="AT95" s="82"/>
      <c r="AU95" s="83"/>
    </row>
    <row r="96" ht="15.0" customHeight="1">
      <c r="A96" s="83" t="s">
        <v>97</v>
      </c>
      <c r="B96" s="107" t="s">
        <v>925</v>
      </c>
      <c r="C96" s="93">
        <f>IF($A96="Feature",SUM(D96:E96)*'Roadmap setting'!$B$13,0)</f>
        <v>1.6</v>
      </c>
      <c r="D96" s="94">
        <v>3.0</v>
      </c>
      <c r="E96" s="94">
        <v>5.0</v>
      </c>
      <c r="F96" s="95">
        <f>IF($A96="Feature",IF('Roadmap setting'!$E$14,$E96*('Roadmap setting'!$B$14+'Roadmap setting'!$D$14),$E96*'Roadmap setting'!$B$14),0)</f>
        <v>0.75</v>
      </c>
      <c r="G96" s="93">
        <f>IF($A96="Feature",$D96*'Roadmap setting'!$B$15,0)</f>
        <v>0</v>
      </c>
      <c r="H96" s="95">
        <f>IF($A96="Feature",$E96*'Roadmap setting'!$B$16,0)</f>
        <v>0</v>
      </c>
      <c r="I96" s="93">
        <f>SUM($D96:$E96)*'Roadmap setting'!$B$17</f>
        <v>0.96</v>
      </c>
      <c r="J96" s="93">
        <f>SUM($D96:$E96)*'Roadmap setting'!$B$18</f>
        <v>0.08</v>
      </c>
      <c r="K96" s="93">
        <f>SUM($D96:$E96)*'Roadmap setting'!$B$19</f>
        <v>0</v>
      </c>
      <c r="L96" s="95">
        <f>SUM($D96:$E96)*'Roadmap setting'!$B$20</f>
        <v>0.16</v>
      </c>
      <c r="M96" s="79">
        <f t="shared" si="19"/>
        <v>11.55</v>
      </c>
      <c r="N96" s="96" t="b">
        <v>1</v>
      </c>
      <c r="O96" s="97">
        <v>0.3</v>
      </c>
      <c r="P96" s="97">
        <v>0.5</v>
      </c>
      <c r="Q96" s="97">
        <v>0.24</v>
      </c>
      <c r="R96" s="97">
        <v>0.16</v>
      </c>
      <c r="S96" s="97">
        <v>0.08</v>
      </c>
      <c r="T96" s="97">
        <v>0.32</v>
      </c>
      <c r="U96" s="99">
        <v>11.65</v>
      </c>
      <c r="V96" s="96" t="b">
        <v>1</v>
      </c>
      <c r="W96" s="97">
        <v>0.45</v>
      </c>
      <c r="X96" s="97">
        <v>0.75</v>
      </c>
      <c r="Y96" s="97">
        <v>0.32</v>
      </c>
      <c r="Z96" s="97">
        <v>0.24</v>
      </c>
      <c r="AA96" s="97">
        <v>0.16</v>
      </c>
      <c r="AB96" s="97">
        <v>0.48</v>
      </c>
      <c r="AC96" s="99">
        <v>12.45</v>
      </c>
      <c r="AD96" s="96" t="b">
        <v>1</v>
      </c>
      <c r="AE96" s="97">
        <v>0.6</v>
      </c>
      <c r="AF96" s="97">
        <v>1.0</v>
      </c>
      <c r="AG96" s="97">
        <v>0.4</v>
      </c>
      <c r="AH96" s="97">
        <v>0.32</v>
      </c>
      <c r="AI96" s="97">
        <v>0.24</v>
      </c>
      <c r="AJ96" s="97">
        <v>0.64</v>
      </c>
      <c r="AK96" s="99">
        <v>13.25</v>
      </c>
      <c r="AL96" s="96" t="b">
        <v>1</v>
      </c>
      <c r="AM96" s="80">
        <f t="array" ref="AM96">INDEX(A96:AL96, MATCH(RIGHT('Roadmap setting'!$B$9, 3), $A$2:$AL$2, 0) - 1)
</f>
        <v>11.55</v>
      </c>
      <c r="AN96" s="82">
        <f t="array" ref="AN96">IFNA(LOOKUP(2,1/(ISNUMBER(AN90:AN95)),AN90:AN95)+(D96/(Resources!$P$55/7)),Today()+(D96/(Resources!$P$55/7)))</f>
        <v>45782.84335</v>
      </c>
      <c r="AO96" s="82">
        <f t="array" ref="AO96">IFNA(LOOKUP(2,1/(ISNUMBER(AO90:AO95)),AO90:AO95)+(E96/(Resources!$P$56/7)),Today()+(E96/(Resources!$P$56/7)))</f>
        <v>45788.72024</v>
      </c>
      <c r="AP96" s="82">
        <f t="array" ref="AP96">IF(ISNUMBER($AT96),IFNA(LOOKUP(2,1/(ISNUMBER(AP90:AP95)),AP90:AP95),Today()),IFNA(LOOKUP(2,1/(ISNUMBER(AP90:AP95)),AP90:AP95)+(D96/(Resources!$E$55/7)),Today()+(D96/(Resources!$E$55/7))))</f>
        <v>45788.98019</v>
      </c>
      <c r="AQ96" s="82">
        <f t="array" ref="AQ96">IF(ISNUMBER($AT96),IFNA(LOOKUP(2,1/(ISNUMBER(AQ90:AQ95)),AQ90:AQ95),Today()),IFNA(LOOKUP(2,1/(ISNUMBER(AQ90:AQ95)),AQ90:AQ95)+(E96/(Resources!$E$56/7)),Today()+(E96/(Resources!$E$56/7))))</f>
        <v>45796.66617</v>
      </c>
      <c r="AR96" s="226">
        <f t="shared" si="20"/>
        <v>45796.66617</v>
      </c>
      <c r="AS96" s="82"/>
      <c r="AT96" s="82"/>
      <c r="AU96" s="83"/>
    </row>
    <row r="97" ht="15.0" customHeight="1">
      <c r="A97" s="83" t="s">
        <v>97</v>
      </c>
      <c r="B97" s="107" t="s">
        <v>926</v>
      </c>
      <c r="C97" s="93">
        <f>IF($A97="Feature",SUM(D97:E97)*'Roadmap setting'!$B$13,0)</f>
        <v>1.6</v>
      </c>
      <c r="D97" s="94">
        <v>5.0</v>
      </c>
      <c r="E97" s="94">
        <v>3.0</v>
      </c>
      <c r="F97" s="95">
        <f>IF($A97="Feature",IF('Roadmap setting'!$E$14,$E97*('Roadmap setting'!$B$14+'Roadmap setting'!$D$14),$E97*'Roadmap setting'!$B$14),0)</f>
        <v>0.45</v>
      </c>
      <c r="G97" s="93">
        <f>IF($A97="Feature",$D97*'Roadmap setting'!$B$15,0)</f>
        <v>0</v>
      </c>
      <c r="H97" s="95">
        <f>IF($A97="Feature",$E97*'Roadmap setting'!$B$16,0)</f>
        <v>0</v>
      </c>
      <c r="I97" s="93">
        <f>SUM($D97:$E97)*'Roadmap setting'!$B$17</f>
        <v>0.96</v>
      </c>
      <c r="J97" s="93">
        <f>SUM($D97:$E97)*'Roadmap setting'!$B$18</f>
        <v>0.08</v>
      </c>
      <c r="K97" s="93">
        <f>SUM($D97:$E97)*'Roadmap setting'!$B$19</f>
        <v>0</v>
      </c>
      <c r="L97" s="95">
        <f>SUM($D97:$E97)*'Roadmap setting'!$B$20</f>
        <v>0.16</v>
      </c>
      <c r="M97" s="79">
        <f t="shared" si="19"/>
        <v>11.25</v>
      </c>
      <c r="N97" s="96" t="b">
        <v>1</v>
      </c>
      <c r="O97" s="97">
        <v>0.5</v>
      </c>
      <c r="P97" s="97">
        <v>0.3</v>
      </c>
      <c r="Q97" s="97">
        <v>0.24</v>
      </c>
      <c r="R97" s="97">
        <v>0.16</v>
      </c>
      <c r="S97" s="97">
        <v>0.08</v>
      </c>
      <c r="T97" s="97">
        <v>0.32</v>
      </c>
      <c r="U97" s="99">
        <v>11.15</v>
      </c>
      <c r="V97" s="96" t="b">
        <v>1</v>
      </c>
      <c r="W97" s="97">
        <v>0.75</v>
      </c>
      <c r="X97" s="97">
        <v>0.45</v>
      </c>
      <c r="Y97" s="97">
        <v>0.32</v>
      </c>
      <c r="Z97" s="97">
        <v>0.24</v>
      </c>
      <c r="AA97" s="97">
        <v>0.16</v>
      </c>
      <c r="AB97" s="97">
        <v>0.48</v>
      </c>
      <c r="AC97" s="99">
        <v>11.95</v>
      </c>
      <c r="AD97" s="96" t="b">
        <v>1</v>
      </c>
      <c r="AE97" s="97">
        <v>1.0</v>
      </c>
      <c r="AF97" s="97">
        <v>0.6</v>
      </c>
      <c r="AG97" s="97">
        <v>0.4</v>
      </c>
      <c r="AH97" s="97">
        <v>0.32</v>
      </c>
      <c r="AI97" s="97">
        <v>0.24</v>
      </c>
      <c r="AJ97" s="97">
        <v>0.64</v>
      </c>
      <c r="AK97" s="99">
        <v>12.75</v>
      </c>
      <c r="AL97" s="96" t="b">
        <v>1</v>
      </c>
      <c r="AM97" s="80">
        <f t="array" ref="AM97">INDEX(A97:AL97, MATCH(RIGHT('Roadmap setting'!$B$9, 3), $A$2:$AL$2, 0) - 1)
</f>
        <v>11.25</v>
      </c>
      <c r="AN97" s="82">
        <f t="array" ref="AN97">IFNA(LOOKUP(2,1/(ISNUMBER(AN91:AN96)),AN91:AN96)+(D97/(Resources!$P$55/7)),Today()+(D97/(Resources!$P$55/7)))</f>
        <v>45783.46498</v>
      </c>
      <c r="AO97" s="82">
        <f t="array" ref="AO97">IFNA(LOOKUP(2,1/(ISNUMBER(AO91:AO96)),AO91:AO96)+(E97/(Resources!$P$56/7)),Today()+(E97/(Resources!$P$56/7)))</f>
        <v>45789.3371</v>
      </c>
      <c r="AP97" s="82">
        <f t="array" ref="AP97">IF(ISNUMBER($AT97),IFNA(LOOKUP(2,1/(ISNUMBER(AP91:AP96)),AP91:AP96),Today()),IFNA(LOOKUP(2,1/(ISNUMBER(AP91:AP96)),AP91:AP96)+(D97/(Resources!$E$55/7)),Today()+(D97/(Resources!$E$55/7))))</f>
        <v>45790.25468</v>
      </c>
      <c r="AQ97" s="82">
        <f t="array" ref="AQ97">IF(ISNUMBER($AT97),IFNA(LOOKUP(2,1/(ISNUMBER(AQ91:AQ96)),AQ91:AQ96),Today()),IFNA(LOOKUP(2,1/(ISNUMBER(AQ91:AQ96)),AQ91:AQ96)+(E97/(Resources!$E$56/7)),Today()+(E97/(Resources!$E$56/7))))</f>
        <v>45797.70123</v>
      </c>
      <c r="AR97" s="226">
        <f t="shared" si="20"/>
        <v>45797.70123</v>
      </c>
      <c r="AS97" s="82"/>
      <c r="AT97" s="82"/>
      <c r="AU97" s="83"/>
    </row>
    <row r="98" ht="15.0" customHeight="1">
      <c r="A98" s="83" t="s">
        <v>97</v>
      </c>
      <c r="B98" s="107" t="s">
        <v>854</v>
      </c>
      <c r="C98" s="93">
        <f>IF($A98="Feature",SUM(D98:E98)*'Roadmap setting'!$B$13,0)</f>
        <v>1.2</v>
      </c>
      <c r="D98" s="94">
        <v>3.0</v>
      </c>
      <c r="E98" s="94">
        <v>3.0</v>
      </c>
      <c r="F98" s="95">
        <f>IF($A98="Feature",IF('Roadmap setting'!$E$14,$E98*('Roadmap setting'!$B$14+'Roadmap setting'!$D$14),$E98*'Roadmap setting'!$B$14),0)</f>
        <v>0.45</v>
      </c>
      <c r="G98" s="93">
        <f>IF($A98="Feature",$D98*'Roadmap setting'!$B$15,0)</f>
        <v>0</v>
      </c>
      <c r="H98" s="95">
        <f>IF($A98="Feature",$E98*'Roadmap setting'!$B$16,0)</f>
        <v>0</v>
      </c>
      <c r="I98" s="93">
        <f>SUM($D98:$E98)*'Roadmap setting'!$B$17</f>
        <v>0.72</v>
      </c>
      <c r="J98" s="93">
        <f>SUM($D98:$E98)*'Roadmap setting'!$B$18</f>
        <v>0.06</v>
      </c>
      <c r="K98" s="93">
        <f>SUM($D98:$E98)*'Roadmap setting'!$B$19</f>
        <v>0</v>
      </c>
      <c r="L98" s="95">
        <f>SUM($D98:$E98)*'Roadmap setting'!$B$20</f>
        <v>0.12</v>
      </c>
      <c r="M98" s="79">
        <f t="shared" si="19"/>
        <v>8.55</v>
      </c>
      <c r="N98" s="96" t="b">
        <v>1</v>
      </c>
      <c r="O98" s="97">
        <v>0.3</v>
      </c>
      <c r="P98" s="97">
        <v>0.3</v>
      </c>
      <c r="Q98" s="97">
        <v>0.18</v>
      </c>
      <c r="R98" s="97">
        <v>0.12</v>
      </c>
      <c r="S98" s="97">
        <v>0.06</v>
      </c>
      <c r="T98" s="97">
        <v>0.24</v>
      </c>
      <c r="U98" s="99">
        <v>8.55</v>
      </c>
      <c r="V98" s="96" t="b">
        <v>1</v>
      </c>
      <c r="W98" s="97">
        <v>0.45</v>
      </c>
      <c r="X98" s="97">
        <v>0.45</v>
      </c>
      <c r="Y98" s="97">
        <v>0.24</v>
      </c>
      <c r="Z98" s="97">
        <v>0.18</v>
      </c>
      <c r="AA98" s="97">
        <v>0.12</v>
      </c>
      <c r="AB98" s="97">
        <v>0.36</v>
      </c>
      <c r="AC98" s="99">
        <v>9.15</v>
      </c>
      <c r="AD98" s="96" t="b">
        <v>1</v>
      </c>
      <c r="AE98" s="97">
        <v>0.6</v>
      </c>
      <c r="AF98" s="97">
        <v>0.6</v>
      </c>
      <c r="AG98" s="97">
        <v>0.3</v>
      </c>
      <c r="AH98" s="97">
        <v>0.24</v>
      </c>
      <c r="AI98" s="97">
        <v>0.18</v>
      </c>
      <c r="AJ98" s="97">
        <v>0.48</v>
      </c>
      <c r="AK98" s="99">
        <v>9.75</v>
      </c>
      <c r="AL98" s="96" t="b">
        <v>1</v>
      </c>
      <c r="AM98" s="80">
        <f t="array" ref="AM98">INDEX(A98:AL98, MATCH(RIGHT('Roadmap setting'!$B$9, 3), $A$2:$AL$2, 0) - 1)
</f>
        <v>8.55</v>
      </c>
      <c r="AN98" s="82">
        <f t="array" ref="AN98">IFNA(LOOKUP(2,1/(ISNUMBER(AN92:AN97)),AN92:AN97)+(D98/(Resources!$P$55/7)),Today()+(D98/(Resources!$P$55/7)))</f>
        <v>45783.83796</v>
      </c>
      <c r="AO98" s="82">
        <f t="array" ref="AO98">IFNA(LOOKUP(2,1/(ISNUMBER(AO92:AO97)),AO92:AO97)+(E98/(Resources!$P$56/7)),Today()+(E98/(Resources!$P$56/7)))</f>
        <v>45789.95395</v>
      </c>
      <c r="AP98" s="82">
        <f t="array" ref="AP98">IF(ISNUMBER($AT98),IFNA(LOOKUP(2,1/(ISNUMBER(AP92:AP97)),AP92:AP97),Today()),IFNA(LOOKUP(2,1/(ISNUMBER(AP92:AP97)),AP92:AP97)+(D98/(Resources!$E$55/7)),Today()+(D98/(Resources!$E$55/7))))</f>
        <v>45791.01938</v>
      </c>
      <c r="AQ98" s="82">
        <f t="array" ref="AQ98">IF(ISNUMBER($AT98),IFNA(LOOKUP(2,1/(ISNUMBER(AQ92:AQ97)),AQ92:AQ97),Today()),IFNA(LOOKUP(2,1/(ISNUMBER(AQ92:AQ97)),AQ92:AQ97)+(E98/(Resources!$E$56/7)),Today()+(E98/(Resources!$E$56/7))))</f>
        <v>45798.73629</v>
      </c>
      <c r="AR98" s="226">
        <f t="shared" si="20"/>
        <v>45798.73629</v>
      </c>
      <c r="AS98" s="82"/>
      <c r="AT98" s="82"/>
      <c r="AU98" s="83"/>
    </row>
    <row r="99" ht="15.0" customHeight="1">
      <c r="A99" s="83" t="s">
        <v>97</v>
      </c>
      <c r="B99" s="107" t="s">
        <v>927</v>
      </c>
      <c r="C99" s="93">
        <f>IF($A99="Feature",SUM(D99:E99)*'Roadmap setting'!$B$13,0)</f>
        <v>1.6</v>
      </c>
      <c r="D99" s="94">
        <v>5.0</v>
      </c>
      <c r="E99" s="94">
        <v>3.0</v>
      </c>
      <c r="F99" s="95">
        <f>IF($A99="Feature",IF('Roadmap setting'!$E$14,$E99*('Roadmap setting'!$B$14+'Roadmap setting'!$D$14),$E99*'Roadmap setting'!$B$14),0)</f>
        <v>0.45</v>
      </c>
      <c r="G99" s="93">
        <f>IF($A99="Feature",$D99*'Roadmap setting'!$B$15,0)</f>
        <v>0</v>
      </c>
      <c r="H99" s="95">
        <f>IF($A99="Feature",$E99*'Roadmap setting'!$B$16,0)</f>
        <v>0</v>
      </c>
      <c r="I99" s="93">
        <f>SUM($D99:$E99)*'Roadmap setting'!$B$17</f>
        <v>0.96</v>
      </c>
      <c r="J99" s="93">
        <f>SUM($D99:$E99)*'Roadmap setting'!$B$18</f>
        <v>0.08</v>
      </c>
      <c r="K99" s="93">
        <f>SUM($D99:$E99)*'Roadmap setting'!$B$19</f>
        <v>0</v>
      </c>
      <c r="L99" s="95">
        <f>SUM($D99:$E99)*'Roadmap setting'!$B$20</f>
        <v>0.16</v>
      </c>
      <c r="M99" s="79">
        <f t="shared" si="19"/>
        <v>11.25</v>
      </c>
      <c r="N99" s="96" t="b">
        <v>1</v>
      </c>
      <c r="O99" s="97">
        <v>0.5</v>
      </c>
      <c r="P99" s="97">
        <v>0.3</v>
      </c>
      <c r="Q99" s="97">
        <v>0.24</v>
      </c>
      <c r="R99" s="97">
        <v>0.16</v>
      </c>
      <c r="S99" s="97">
        <v>0.08</v>
      </c>
      <c r="T99" s="97">
        <v>0.32</v>
      </c>
      <c r="U99" s="99">
        <v>11.15</v>
      </c>
      <c r="V99" s="96" t="b">
        <v>1</v>
      </c>
      <c r="W99" s="97">
        <v>0.75</v>
      </c>
      <c r="X99" s="97">
        <v>0.45</v>
      </c>
      <c r="Y99" s="97">
        <v>0.32</v>
      </c>
      <c r="Z99" s="97">
        <v>0.24</v>
      </c>
      <c r="AA99" s="97">
        <v>0.16</v>
      </c>
      <c r="AB99" s="97">
        <v>0.48</v>
      </c>
      <c r="AC99" s="99">
        <v>11.95</v>
      </c>
      <c r="AD99" s="96" t="b">
        <v>1</v>
      </c>
      <c r="AE99" s="97">
        <v>1.0</v>
      </c>
      <c r="AF99" s="97">
        <v>0.6</v>
      </c>
      <c r="AG99" s="97">
        <v>0.4</v>
      </c>
      <c r="AH99" s="97">
        <v>0.32</v>
      </c>
      <c r="AI99" s="97">
        <v>0.24</v>
      </c>
      <c r="AJ99" s="97">
        <v>0.64</v>
      </c>
      <c r="AK99" s="99">
        <v>12.75</v>
      </c>
      <c r="AL99" s="96" t="b">
        <v>1</v>
      </c>
      <c r="AM99" s="80">
        <f t="array" ref="AM99">INDEX(A99:AL99, MATCH(RIGHT('Roadmap setting'!$B$9, 3), $A$2:$AL$2, 0) - 1)
</f>
        <v>11.25</v>
      </c>
      <c r="AN99" s="82">
        <f t="array" ref="AN99">IFNA(LOOKUP(2,1/(ISNUMBER(AN93:AN98)),AN93:AN98)+(D99/(Resources!$P$55/7)),Today()+(D99/(Resources!$P$55/7)))</f>
        <v>45784.45959</v>
      </c>
      <c r="AO99" s="82">
        <f t="array" ref="AO99">IFNA(LOOKUP(2,1/(ISNUMBER(AO93:AO98)),AO93:AO98)+(E99/(Resources!$P$56/7)),Today()+(E99/(Resources!$P$56/7)))</f>
        <v>45790.57081</v>
      </c>
      <c r="AP99" s="82">
        <f t="array" ref="AP99">IF(ISNUMBER($AT99),IFNA(LOOKUP(2,1/(ISNUMBER(AP93:AP98)),AP93:AP98),Today()),IFNA(LOOKUP(2,1/(ISNUMBER(AP93:AP98)),AP93:AP98)+(D99/(Resources!$E$55/7)),Today()+(D99/(Resources!$E$55/7))))</f>
        <v>45792.29386</v>
      </c>
      <c r="AQ99" s="82">
        <f t="array" ref="AQ99">IF(ISNUMBER($AT99),IFNA(LOOKUP(2,1/(ISNUMBER(AQ93:AQ98)),AQ93:AQ98),Today()),IFNA(LOOKUP(2,1/(ISNUMBER(AQ93:AQ98)),AQ93:AQ98)+(E99/(Resources!$E$56/7)),Today()+(E99/(Resources!$E$56/7))))</f>
        <v>45799.77135</v>
      </c>
      <c r="AR99" s="226">
        <f t="shared" si="20"/>
        <v>45799.77135</v>
      </c>
      <c r="AS99" s="82"/>
      <c r="AT99" s="82"/>
      <c r="AU99" s="83"/>
    </row>
    <row r="100" ht="15.0" customHeight="1">
      <c r="A100" s="83" t="s">
        <v>97</v>
      </c>
      <c r="B100" s="107" t="s">
        <v>855</v>
      </c>
      <c r="C100" s="93">
        <f>IF($A100="Feature",SUM(D100:E100)*'Roadmap setting'!$B$13,0)</f>
        <v>1.2</v>
      </c>
      <c r="D100" s="94">
        <v>3.0</v>
      </c>
      <c r="E100" s="94">
        <v>3.0</v>
      </c>
      <c r="F100" s="95">
        <f>IF($A100="Feature",IF('Roadmap setting'!$E$14,$E100*('Roadmap setting'!$B$14+'Roadmap setting'!$D$14),$E100*'Roadmap setting'!$B$14),0)</f>
        <v>0.45</v>
      </c>
      <c r="G100" s="93">
        <f>IF($A100="Feature",$D100*'Roadmap setting'!$B$15,0)</f>
        <v>0</v>
      </c>
      <c r="H100" s="95">
        <f>IF($A100="Feature",$E100*'Roadmap setting'!$B$16,0)</f>
        <v>0</v>
      </c>
      <c r="I100" s="93">
        <f>SUM($D100:$E100)*'Roadmap setting'!$B$17</f>
        <v>0.72</v>
      </c>
      <c r="J100" s="93">
        <f>SUM($D100:$E100)*'Roadmap setting'!$B$18</f>
        <v>0.06</v>
      </c>
      <c r="K100" s="93">
        <f>SUM($D100:$E100)*'Roadmap setting'!$B$19</f>
        <v>0</v>
      </c>
      <c r="L100" s="95">
        <f>SUM($D100:$E100)*'Roadmap setting'!$B$20</f>
        <v>0.12</v>
      </c>
      <c r="M100" s="79">
        <f t="shared" si="19"/>
        <v>8.55</v>
      </c>
      <c r="N100" s="96" t="b">
        <v>1</v>
      </c>
      <c r="O100" s="97">
        <v>0.3</v>
      </c>
      <c r="P100" s="97">
        <v>0.3</v>
      </c>
      <c r="Q100" s="97">
        <v>0.18</v>
      </c>
      <c r="R100" s="97">
        <v>0.12</v>
      </c>
      <c r="S100" s="97">
        <v>0.06</v>
      </c>
      <c r="T100" s="97">
        <v>0.24</v>
      </c>
      <c r="U100" s="99">
        <v>8.55</v>
      </c>
      <c r="V100" s="96" t="b">
        <v>1</v>
      </c>
      <c r="W100" s="97">
        <v>0.45</v>
      </c>
      <c r="X100" s="97">
        <v>0.45</v>
      </c>
      <c r="Y100" s="97">
        <v>0.24</v>
      </c>
      <c r="Z100" s="97">
        <v>0.18</v>
      </c>
      <c r="AA100" s="97">
        <v>0.12</v>
      </c>
      <c r="AB100" s="97">
        <v>0.36</v>
      </c>
      <c r="AC100" s="99">
        <v>9.15</v>
      </c>
      <c r="AD100" s="96" t="b">
        <v>1</v>
      </c>
      <c r="AE100" s="97">
        <v>0.6</v>
      </c>
      <c r="AF100" s="97">
        <v>0.6</v>
      </c>
      <c r="AG100" s="97">
        <v>0.3</v>
      </c>
      <c r="AH100" s="97">
        <v>0.24</v>
      </c>
      <c r="AI100" s="97">
        <v>0.18</v>
      </c>
      <c r="AJ100" s="97">
        <v>0.48</v>
      </c>
      <c r="AK100" s="99">
        <v>9.75</v>
      </c>
      <c r="AL100" s="96" t="b">
        <v>1</v>
      </c>
      <c r="AM100" s="80">
        <f t="array" ref="AM100">INDEX(A100:AL100, MATCH(RIGHT('Roadmap setting'!$B$9, 3), $A$2:$AL$2, 0) - 1)
</f>
        <v>8.55</v>
      </c>
      <c r="AN100" s="82">
        <f t="array" ref="AN100">IFNA(LOOKUP(2,1/(ISNUMBER(AN94:AN99)),AN94:AN99)+(D100/(Resources!$P$55/7)),Today()+(D100/(Resources!$P$55/7)))</f>
        <v>45784.83257</v>
      </c>
      <c r="AO100" s="82">
        <f t="array" ref="AO100">IFNA(LOOKUP(2,1/(ISNUMBER(AO94:AO99)),AO94:AO99)+(E100/(Resources!$P$56/7)),Today()+(E100/(Resources!$P$56/7)))</f>
        <v>45791.18766</v>
      </c>
      <c r="AP100" s="82">
        <f t="array" ref="AP100">IF(ISNUMBER($AT100),IFNA(LOOKUP(2,1/(ISNUMBER(AP94:AP99)),AP94:AP99),Today()),IFNA(LOOKUP(2,1/(ISNUMBER(AP94:AP99)),AP94:AP99)+(D100/(Resources!$E$55/7)),Today()+(D100/(Resources!$E$55/7))))</f>
        <v>45793.05856</v>
      </c>
      <c r="AQ100" s="82">
        <f t="array" ref="AQ100">IF(ISNUMBER($AT100),IFNA(LOOKUP(2,1/(ISNUMBER(AQ94:AQ99)),AQ94:AQ99),Today()),IFNA(LOOKUP(2,1/(ISNUMBER(AQ94:AQ99)),AQ94:AQ99)+(E100/(Resources!$E$56/7)),Today()+(E100/(Resources!$E$56/7))))</f>
        <v>45800.80641</v>
      </c>
      <c r="AR100" s="226">
        <f t="shared" si="20"/>
        <v>45800.80641</v>
      </c>
      <c r="AS100" s="82"/>
      <c r="AT100" s="82"/>
      <c r="AU100" s="83"/>
    </row>
    <row r="101" ht="15.0" customHeight="1">
      <c r="A101" s="83" t="s">
        <v>97</v>
      </c>
      <c r="B101" s="107" t="s">
        <v>928</v>
      </c>
      <c r="C101" s="93">
        <f>IF($A101="Feature",SUM(D101:E101)*'Roadmap setting'!$B$13,0)</f>
        <v>1.2</v>
      </c>
      <c r="D101" s="94">
        <v>6.0</v>
      </c>
      <c r="E101" s="94">
        <v>0.0</v>
      </c>
      <c r="F101" s="95">
        <f>IF($A101="Feature",IF('Roadmap setting'!$E$14,$E101*('Roadmap setting'!$B$14+'Roadmap setting'!$D$14),$E101*'Roadmap setting'!$B$14),0)</f>
        <v>0</v>
      </c>
      <c r="G101" s="93">
        <f>IF($A101="Feature",$D101*'Roadmap setting'!$B$15,0)</f>
        <v>0</v>
      </c>
      <c r="H101" s="95">
        <f>IF($A101="Feature",$E101*'Roadmap setting'!$B$16,0)</f>
        <v>0</v>
      </c>
      <c r="I101" s="93">
        <f>SUM($D101:$E101)*'Roadmap setting'!$B$17</f>
        <v>0.72</v>
      </c>
      <c r="J101" s="93">
        <f>SUM($D101:$E101)*'Roadmap setting'!$B$18</f>
        <v>0.06</v>
      </c>
      <c r="K101" s="93">
        <f>SUM($D101:$E101)*'Roadmap setting'!$B$19</f>
        <v>0</v>
      </c>
      <c r="L101" s="95">
        <f>SUM($D101:$E101)*'Roadmap setting'!$B$20</f>
        <v>0.12</v>
      </c>
      <c r="M101" s="79">
        <f t="shared" si="19"/>
        <v>8.1</v>
      </c>
      <c r="N101" s="96" t="b">
        <v>1</v>
      </c>
      <c r="O101" s="97">
        <v>0.6</v>
      </c>
      <c r="P101" s="97">
        <v>0.0</v>
      </c>
      <c r="Q101" s="97">
        <v>0.18</v>
      </c>
      <c r="R101" s="97">
        <v>0.12</v>
      </c>
      <c r="S101" s="97">
        <v>0.06</v>
      </c>
      <c r="T101" s="97">
        <v>0.24</v>
      </c>
      <c r="U101" s="99">
        <v>7.8</v>
      </c>
      <c r="V101" s="96" t="b">
        <v>1</v>
      </c>
      <c r="W101" s="97">
        <v>0.9</v>
      </c>
      <c r="X101" s="97">
        <v>0.0</v>
      </c>
      <c r="Y101" s="97">
        <v>0.24</v>
      </c>
      <c r="Z101" s="97">
        <v>0.18</v>
      </c>
      <c r="AA101" s="97">
        <v>0.12</v>
      </c>
      <c r="AB101" s="97">
        <v>0.36</v>
      </c>
      <c r="AC101" s="99">
        <v>8.4</v>
      </c>
      <c r="AD101" s="96" t="b">
        <v>1</v>
      </c>
      <c r="AE101" s="97">
        <v>1.2</v>
      </c>
      <c r="AF101" s="97">
        <v>0.0</v>
      </c>
      <c r="AG101" s="97">
        <v>0.3</v>
      </c>
      <c r="AH101" s="97">
        <v>0.24</v>
      </c>
      <c r="AI101" s="97">
        <v>0.18</v>
      </c>
      <c r="AJ101" s="97">
        <v>0.48</v>
      </c>
      <c r="AK101" s="99">
        <v>9.0</v>
      </c>
      <c r="AL101" s="96" t="b">
        <v>1</v>
      </c>
      <c r="AM101" s="80">
        <f t="array" ref="AM101">INDEX(A101:AL101, MATCH(RIGHT('Roadmap setting'!$B$9, 3), $A$2:$AL$2, 0) - 1)
</f>
        <v>8.1</v>
      </c>
      <c r="AN101" s="82">
        <f t="array" ref="AN101">IFNA(LOOKUP(2,1/(ISNUMBER(AN95:AN100)),AN95:AN100)+(D101/(Resources!$P$55/7)),Today()+(D101/(Resources!$P$55/7)))</f>
        <v>45785.57853</v>
      </c>
      <c r="AO101" s="82">
        <f t="array" ref="AO101">IFNA(LOOKUP(2,1/(ISNUMBER(AO95:AO100)),AO95:AO100)+(E101/(Resources!$P$56/7)),Today()+(E101/(Resources!$P$56/7)))</f>
        <v>45791.18766</v>
      </c>
      <c r="AP101" s="82">
        <f t="array" ref="AP101">IF(ISNUMBER($AT101),IFNA(LOOKUP(2,1/(ISNUMBER(AP95:AP100)),AP95:AP100),Today()),IFNA(LOOKUP(2,1/(ISNUMBER(AP95:AP100)),AP95:AP100)+(D101/(Resources!$E$55/7)),Today()+(D101/(Resources!$E$55/7))))</f>
        <v>45794.58794</v>
      </c>
      <c r="AQ101" s="82">
        <f t="array" ref="AQ101">IF(ISNUMBER($AT101),IFNA(LOOKUP(2,1/(ISNUMBER(AQ95:AQ100)),AQ95:AQ100),Today()),IFNA(LOOKUP(2,1/(ISNUMBER(AQ95:AQ100)),AQ95:AQ100)+(E101/(Resources!$E$56/7)),Today()+(E101/(Resources!$E$56/7))))</f>
        <v>45800.80641</v>
      </c>
      <c r="AR101" s="226">
        <f t="shared" si="20"/>
        <v>45800.80641</v>
      </c>
      <c r="AS101" s="82"/>
      <c r="AT101" s="82"/>
      <c r="AU101" s="83"/>
    </row>
    <row r="102" ht="15.0" customHeight="1">
      <c r="A102" s="83" t="s">
        <v>97</v>
      </c>
      <c r="B102" s="107" t="s">
        <v>857</v>
      </c>
      <c r="C102" s="93">
        <f>IF($A102="Feature",SUM(D102:E102)*'Roadmap setting'!$B$13,0)</f>
        <v>0.8</v>
      </c>
      <c r="D102" s="94">
        <v>2.0</v>
      </c>
      <c r="E102" s="94">
        <v>2.0</v>
      </c>
      <c r="F102" s="95">
        <f>IF($A102="Feature",IF('Roadmap setting'!$E$14,$E102*('Roadmap setting'!$B$14+'Roadmap setting'!$D$14),$E102*'Roadmap setting'!$B$14),0)</f>
        <v>0.3</v>
      </c>
      <c r="G102" s="93">
        <f>IF($A102="Feature",$D102*'Roadmap setting'!$B$15,0)</f>
        <v>0</v>
      </c>
      <c r="H102" s="95">
        <f>IF($A102="Feature",$E102*'Roadmap setting'!$B$16,0)</f>
        <v>0</v>
      </c>
      <c r="I102" s="93">
        <f>SUM($D102:$E102)*'Roadmap setting'!$B$17</f>
        <v>0.48</v>
      </c>
      <c r="J102" s="93">
        <f>SUM($D102:$E102)*'Roadmap setting'!$B$18</f>
        <v>0.04</v>
      </c>
      <c r="K102" s="93">
        <f>SUM($D102:$E102)*'Roadmap setting'!$B$19</f>
        <v>0</v>
      </c>
      <c r="L102" s="95">
        <f>SUM($D102:$E102)*'Roadmap setting'!$B$20</f>
        <v>0.08</v>
      </c>
      <c r="M102" s="79">
        <f t="shared" si="19"/>
        <v>5.7</v>
      </c>
      <c r="N102" s="96" t="b">
        <v>1</v>
      </c>
      <c r="O102" s="97">
        <v>0.2</v>
      </c>
      <c r="P102" s="97">
        <v>0.2</v>
      </c>
      <c r="Q102" s="97">
        <v>0.12</v>
      </c>
      <c r="R102" s="97">
        <v>0.08</v>
      </c>
      <c r="S102" s="97">
        <v>0.04</v>
      </c>
      <c r="T102" s="97">
        <v>0.16</v>
      </c>
      <c r="U102" s="99">
        <v>5.7</v>
      </c>
      <c r="V102" s="96" t="b">
        <v>1</v>
      </c>
      <c r="W102" s="97">
        <v>0.3</v>
      </c>
      <c r="X102" s="97">
        <v>0.3</v>
      </c>
      <c r="Y102" s="97">
        <v>0.16</v>
      </c>
      <c r="Z102" s="97">
        <v>0.12</v>
      </c>
      <c r="AA102" s="97">
        <v>0.08</v>
      </c>
      <c r="AB102" s="97">
        <v>0.24</v>
      </c>
      <c r="AC102" s="99">
        <v>6.1</v>
      </c>
      <c r="AD102" s="96" t="b">
        <v>1</v>
      </c>
      <c r="AE102" s="97">
        <v>0.4</v>
      </c>
      <c r="AF102" s="97">
        <v>0.4</v>
      </c>
      <c r="AG102" s="97">
        <v>0.2</v>
      </c>
      <c r="AH102" s="97">
        <v>0.16</v>
      </c>
      <c r="AI102" s="97">
        <v>0.12</v>
      </c>
      <c r="AJ102" s="97">
        <v>0.32</v>
      </c>
      <c r="AK102" s="99">
        <v>6.5</v>
      </c>
      <c r="AL102" s="96" t="b">
        <v>1</v>
      </c>
      <c r="AM102" s="80">
        <f t="array" ref="AM102">INDEX(A102:AL102, MATCH(RIGHT('Roadmap setting'!$B$9, 3), $A$2:$AL$2, 0) - 1)
</f>
        <v>5.7</v>
      </c>
      <c r="AN102" s="82">
        <f t="array" ref="AN102">IFNA(LOOKUP(2,1/(ISNUMBER(AN96:AN101)),AN96:AN101)+(D102/(Resources!$P$55/7)),Today()+(D102/(Resources!$P$55/7)))</f>
        <v>45785.82718</v>
      </c>
      <c r="AO102" s="82">
        <f t="array" ref="AO102">IFNA(LOOKUP(2,1/(ISNUMBER(AO96:AO101)),AO96:AO101)+(E102/(Resources!$P$56/7)),Today()+(E102/(Resources!$P$56/7)))</f>
        <v>45791.5989</v>
      </c>
      <c r="AP102" s="82">
        <f t="array" ref="AP102">IF(ISNUMBER($AT102),IFNA(LOOKUP(2,1/(ISNUMBER(AP96:AP101)),AP96:AP101),Today()),IFNA(LOOKUP(2,1/(ISNUMBER(AP96:AP101)),AP96:AP101)+(D102/(Resources!$E$55/7)),Today()+(D102/(Resources!$E$55/7))))</f>
        <v>45795.09774</v>
      </c>
      <c r="AQ102" s="82">
        <f t="array" ref="AQ102">IF(ISNUMBER($AT102),IFNA(LOOKUP(2,1/(ISNUMBER(AQ96:AQ101)),AQ96:AQ101),Today()),IFNA(LOOKUP(2,1/(ISNUMBER(AQ96:AQ101)),AQ96:AQ101)+(E102/(Resources!$E$56/7)),Today()+(E102/(Resources!$E$56/7))))</f>
        <v>45801.49645</v>
      </c>
      <c r="AR102" s="226">
        <f t="shared" si="20"/>
        <v>45801.49645</v>
      </c>
      <c r="AS102" s="82"/>
      <c r="AT102" s="82"/>
      <c r="AU102" s="83"/>
    </row>
    <row r="103" ht="15.0" customHeight="1">
      <c r="A103" s="83" t="s">
        <v>97</v>
      </c>
      <c r="B103" s="107" t="s">
        <v>858</v>
      </c>
      <c r="C103" s="93">
        <f>IF($A103="Feature",SUM(D103:E103)*'Roadmap setting'!$B$13,0)</f>
        <v>2.6</v>
      </c>
      <c r="D103" s="94">
        <v>5.0</v>
      </c>
      <c r="E103" s="94">
        <v>8.0</v>
      </c>
      <c r="F103" s="95">
        <f>IF($A103="Feature",IF('Roadmap setting'!$E$14,$E103*('Roadmap setting'!$B$14+'Roadmap setting'!$D$14),$E103*'Roadmap setting'!$B$14),0)</f>
        <v>1.2</v>
      </c>
      <c r="G103" s="93">
        <f>IF($A103="Feature",$D103*'Roadmap setting'!$B$15,0)</f>
        <v>0</v>
      </c>
      <c r="H103" s="95">
        <f>IF($A103="Feature",$E103*'Roadmap setting'!$B$16,0)</f>
        <v>0</v>
      </c>
      <c r="I103" s="93">
        <f>SUM($D103:$E103)*'Roadmap setting'!$B$17</f>
        <v>1.56</v>
      </c>
      <c r="J103" s="93">
        <f>SUM($D103:$E103)*'Roadmap setting'!$B$18</f>
        <v>0.13</v>
      </c>
      <c r="K103" s="93">
        <f>SUM($D103:$E103)*'Roadmap setting'!$B$19</f>
        <v>0</v>
      </c>
      <c r="L103" s="95">
        <f>SUM($D103:$E103)*'Roadmap setting'!$B$20</f>
        <v>0.26</v>
      </c>
      <c r="M103" s="79">
        <f t="shared" si="19"/>
        <v>18.75</v>
      </c>
      <c r="N103" s="96" t="b">
        <v>1</v>
      </c>
      <c r="O103" s="97">
        <v>0.5</v>
      </c>
      <c r="P103" s="97">
        <v>0.8</v>
      </c>
      <c r="Q103" s="97">
        <v>0.39</v>
      </c>
      <c r="R103" s="97">
        <v>0.26</v>
      </c>
      <c r="S103" s="97">
        <v>0.13</v>
      </c>
      <c r="T103" s="97">
        <v>0.52</v>
      </c>
      <c r="U103" s="99">
        <v>18.9</v>
      </c>
      <c r="V103" s="96" t="b">
        <v>1</v>
      </c>
      <c r="W103" s="97">
        <v>0.75</v>
      </c>
      <c r="X103" s="97">
        <v>1.2</v>
      </c>
      <c r="Y103" s="97">
        <v>0.52</v>
      </c>
      <c r="Z103" s="97">
        <v>0.39</v>
      </c>
      <c r="AA103" s="97">
        <v>0.26</v>
      </c>
      <c r="AB103" s="97">
        <v>0.78</v>
      </c>
      <c r="AC103" s="99">
        <v>20.2</v>
      </c>
      <c r="AD103" s="96" t="b">
        <v>1</v>
      </c>
      <c r="AE103" s="97">
        <v>1.0</v>
      </c>
      <c r="AF103" s="97">
        <v>1.6</v>
      </c>
      <c r="AG103" s="97">
        <v>0.65</v>
      </c>
      <c r="AH103" s="97">
        <v>0.52</v>
      </c>
      <c r="AI103" s="97">
        <v>0.39</v>
      </c>
      <c r="AJ103" s="97">
        <v>1.04</v>
      </c>
      <c r="AK103" s="99">
        <v>21.5</v>
      </c>
      <c r="AL103" s="96" t="b">
        <v>1</v>
      </c>
      <c r="AM103" s="80">
        <f t="array" ref="AM103">INDEX(A103:AL103, MATCH(RIGHT('Roadmap setting'!$B$9, 3), $A$2:$AL$2, 0) - 1)
</f>
        <v>18.75</v>
      </c>
      <c r="AN103" s="82">
        <f t="array" ref="AN103">IFNA(LOOKUP(2,1/(ISNUMBER(AN97:AN102)),AN97:AN102)+(D103/(Resources!$P$55/7)),Today()+(D103/(Resources!$P$55/7)))</f>
        <v>45786.44881</v>
      </c>
      <c r="AO103" s="82">
        <f t="array" ref="AO103">IFNA(LOOKUP(2,1/(ISNUMBER(AO97:AO102)),AO97:AO102)+(E103/(Resources!$P$56/7)),Today()+(E103/(Resources!$P$56/7)))</f>
        <v>45793.24384</v>
      </c>
      <c r="AP103" s="82">
        <f t="array" ref="AP103">IF(ISNUMBER($AT103),IFNA(LOOKUP(2,1/(ISNUMBER(AP97:AP102)),AP97:AP102),Today()),IFNA(LOOKUP(2,1/(ISNUMBER(AP97:AP102)),AP97:AP102)+(D103/(Resources!$E$55/7)),Today()+(D103/(Resources!$E$55/7))))</f>
        <v>45796.37223</v>
      </c>
      <c r="AQ103" s="82">
        <f t="array" ref="AQ103">IF(ISNUMBER($AT103),IFNA(LOOKUP(2,1/(ISNUMBER(AQ97:AQ102)),AQ97:AQ102),Today()),IFNA(LOOKUP(2,1/(ISNUMBER(AQ97:AQ102)),AQ97:AQ102)+(E103/(Resources!$E$56/7)),Today()+(E103/(Resources!$E$56/7))))</f>
        <v>45804.25662</v>
      </c>
      <c r="AR103" s="226">
        <f t="shared" si="20"/>
        <v>45804.25662</v>
      </c>
      <c r="AS103" s="82"/>
      <c r="AT103" s="82"/>
      <c r="AU103" s="83"/>
    </row>
    <row r="104" ht="15.0" customHeight="1">
      <c r="A104" s="83" t="s">
        <v>97</v>
      </c>
      <c r="B104" s="110" t="s">
        <v>859</v>
      </c>
      <c r="C104" s="93">
        <f>IF($A104="Feature",SUM(D104:E104)*'Roadmap setting'!$B$13,0)</f>
        <v>1.2</v>
      </c>
      <c r="D104" s="94">
        <v>3.0</v>
      </c>
      <c r="E104" s="94">
        <v>3.0</v>
      </c>
      <c r="F104" s="95">
        <f>IF($A104="Feature",IF('Roadmap setting'!$E$14,$E104*('Roadmap setting'!$B$14+'Roadmap setting'!$D$14),$E104*'Roadmap setting'!$B$14),0)</f>
        <v>0.45</v>
      </c>
      <c r="G104" s="93">
        <f>IF($A104="Feature",$D104*'Roadmap setting'!$B$15,0)</f>
        <v>0</v>
      </c>
      <c r="H104" s="95">
        <f>IF($A104="Feature",$E104*'Roadmap setting'!$B$16,0)</f>
        <v>0</v>
      </c>
      <c r="I104" s="93">
        <f>SUM($D104:$E104)*'Roadmap setting'!$B$17</f>
        <v>0.72</v>
      </c>
      <c r="J104" s="93">
        <f>SUM($D104:$E104)*'Roadmap setting'!$B$18</f>
        <v>0.06</v>
      </c>
      <c r="K104" s="93">
        <f>SUM($D104:$E104)*'Roadmap setting'!$B$19</f>
        <v>0</v>
      </c>
      <c r="L104" s="95">
        <f>SUM($D104:$E104)*'Roadmap setting'!$B$20</f>
        <v>0.12</v>
      </c>
      <c r="M104" s="79">
        <f t="shared" si="19"/>
        <v>8.55</v>
      </c>
      <c r="N104" s="96" t="b">
        <v>1</v>
      </c>
      <c r="O104" s="97">
        <v>0.3</v>
      </c>
      <c r="P104" s="97">
        <v>0.3</v>
      </c>
      <c r="Q104" s="97">
        <v>0.18</v>
      </c>
      <c r="R104" s="97">
        <v>0.12</v>
      </c>
      <c r="S104" s="97">
        <v>0.06</v>
      </c>
      <c r="T104" s="97">
        <v>0.24</v>
      </c>
      <c r="U104" s="99">
        <v>8.55</v>
      </c>
      <c r="V104" s="96" t="b">
        <v>1</v>
      </c>
      <c r="W104" s="97">
        <v>0.45</v>
      </c>
      <c r="X104" s="97">
        <v>0.45</v>
      </c>
      <c r="Y104" s="97">
        <v>0.24</v>
      </c>
      <c r="Z104" s="97">
        <v>0.18</v>
      </c>
      <c r="AA104" s="97">
        <v>0.12</v>
      </c>
      <c r="AB104" s="97">
        <v>0.36</v>
      </c>
      <c r="AC104" s="99">
        <v>9.15</v>
      </c>
      <c r="AD104" s="96" t="b">
        <v>1</v>
      </c>
      <c r="AE104" s="97">
        <v>0.6</v>
      </c>
      <c r="AF104" s="97">
        <v>0.6</v>
      </c>
      <c r="AG104" s="97">
        <v>0.3</v>
      </c>
      <c r="AH104" s="97">
        <v>0.24</v>
      </c>
      <c r="AI104" s="97">
        <v>0.18</v>
      </c>
      <c r="AJ104" s="97">
        <v>0.48</v>
      </c>
      <c r="AK104" s="99">
        <v>9.75</v>
      </c>
      <c r="AL104" s="96" t="b">
        <v>1</v>
      </c>
      <c r="AM104" s="80">
        <f t="array" ref="AM104">INDEX(A104:AL104, MATCH(RIGHT('Roadmap setting'!$B$9, 3), $A$2:$AL$2, 0) - 1)
</f>
        <v>8.55</v>
      </c>
      <c r="AN104" s="82">
        <f t="array" ref="AN104">IFNA(LOOKUP(2,1/(ISNUMBER(AN98:AN103)),AN98:AN103)+(D104/(Resources!$P$55/7)),Today()+(D104/(Resources!$P$55/7)))</f>
        <v>45786.82179</v>
      </c>
      <c r="AO104" s="82">
        <f t="array" ref="AO104">IFNA(LOOKUP(2,1/(ISNUMBER(AO98:AO103)),AO98:AO103)+(E104/(Resources!$P$56/7)),Today()+(E104/(Resources!$P$56/7)))</f>
        <v>45793.8607</v>
      </c>
      <c r="AP104" s="82">
        <f t="array" ref="AP104">IF(ISNUMBER($AT104),IFNA(LOOKUP(2,1/(ISNUMBER(AP98:AP103)),AP98:AP103),Today()),IFNA(LOOKUP(2,1/(ISNUMBER(AP98:AP103)),AP98:AP103)+(D104/(Resources!$E$55/7)),Today()+(D104/(Resources!$E$55/7))))</f>
        <v>45797.13692</v>
      </c>
      <c r="AQ104" s="82">
        <f t="array" ref="AQ104">IF(ISNUMBER($AT104),IFNA(LOOKUP(2,1/(ISNUMBER(AQ98:AQ103)),AQ98:AQ103),Today()),IFNA(LOOKUP(2,1/(ISNUMBER(AQ98:AQ103)),AQ98:AQ103)+(E104/(Resources!$E$56/7)),Today()+(E104/(Resources!$E$56/7))))</f>
        <v>45805.29168</v>
      </c>
      <c r="AR104" s="226">
        <f t="shared" si="20"/>
        <v>45805.29168</v>
      </c>
      <c r="AS104" s="82"/>
      <c r="AT104" s="82"/>
      <c r="AU104" s="83"/>
    </row>
    <row r="105" ht="15.0" customHeight="1">
      <c r="A105" s="83" t="s">
        <v>97</v>
      </c>
      <c r="B105" s="110" t="s">
        <v>929</v>
      </c>
      <c r="C105" s="93">
        <f>IF($A105="Feature",SUM(D105:E105)*'Roadmap setting'!$B$13,0)</f>
        <v>3.4</v>
      </c>
      <c r="D105" s="94">
        <v>12.0</v>
      </c>
      <c r="E105" s="94">
        <v>5.0</v>
      </c>
      <c r="F105" s="95">
        <f>IF($A105="Feature",IF('Roadmap setting'!$E$14,$E105*('Roadmap setting'!$B$14+'Roadmap setting'!$D$14),$E105*'Roadmap setting'!$B$14),0)</f>
        <v>0.75</v>
      </c>
      <c r="G105" s="93">
        <f>IF($A105="Feature",$D105*'Roadmap setting'!$B$15,0)</f>
        <v>0</v>
      </c>
      <c r="H105" s="95">
        <f>IF($A105="Feature",$E105*'Roadmap setting'!$B$16,0)</f>
        <v>0</v>
      </c>
      <c r="I105" s="93">
        <f>SUM($D105:$E105)*'Roadmap setting'!$B$17</f>
        <v>2.04</v>
      </c>
      <c r="J105" s="93">
        <f>SUM($D105:$E105)*'Roadmap setting'!$B$18</f>
        <v>0.17</v>
      </c>
      <c r="K105" s="93">
        <f>SUM($D105:$E105)*'Roadmap setting'!$B$19</f>
        <v>0</v>
      </c>
      <c r="L105" s="95">
        <f>SUM($D105:$E105)*'Roadmap setting'!$B$20</f>
        <v>0.34</v>
      </c>
      <c r="M105" s="79">
        <f t="shared" si="19"/>
        <v>23.7</v>
      </c>
      <c r="N105" s="96" t="b">
        <v>1</v>
      </c>
      <c r="O105" s="97">
        <v>1.2</v>
      </c>
      <c r="P105" s="97">
        <v>0.5</v>
      </c>
      <c r="Q105" s="97">
        <v>0.51</v>
      </c>
      <c r="R105" s="97">
        <v>0.34</v>
      </c>
      <c r="S105" s="97">
        <v>0.17</v>
      </c>
      <c r="T105" s="97">
        <v>0.68</v>
      </c>
      <c r="U105" s="99">
        <v>23.35</v>
      </c>
      <c r="V105" s="96" t="b">
        <v>1</v>
      </c>
      <c r="W105" s="97">
        <v>1.8</v>
      </c>
      <c r="X105" s="97">
        <v>0.75</v>
      </c>
      <c r="Y105" s="97">
        <v>0.68</v>
      </c>
      <c r="Z105" s="97">
        <v>0.51</v>
      </c>
      <c r="AA105" s="97">
        <v>0.34</v>
      </c>
      <c r="AB105" s="97">
        <v>1.02</v>
      </c>
      <c r="AC105" s="99">
        <v>25.05</v>
      </c>
      <c r="AD105" s="96" t="b">
        <v>1</v>
      </c>
      <c r="AE105" s="97">
        <v>2.4</v>
      </c>
      <c r="AF105" s="97">
        <v>1.0</v>
      </c>
      <c r="AG105" s="97">
        <v>0.85</v>
      </c>
      <c r="AH105" s="97">
        <v>0.68</v>
      </c>
      <c r="AI105" s="97">
        <v>0.51</v>
      </c>
      <c r="AJ105" s="97">
        <v>1.36</v>
      </c>
      <c r="AK105" s="99">
        <v>26.75</v>
      </c>
      <c r="AL105" s="96" t="b">
        <v>1</v>
      </c>
      <c r="AM105" s="80">
        <f t="array" ref="AM105">INDEX(A105:AL105, MATCH(RIGHT('Roadmap setting'!$B$9, 3), $A$2:$AL$2, 0) - 1)
</f>
        <v>23.7</v>
      </c>
      <c r="AN105" s="82">
        <f t="array" ref="AN105">IFNA(LOOKUP(2,1/(ISNUMBER(AN99:AN104)),AN99:AN104)+(D105/(Resources!$P$55/7)),Today()+(D105/(Resources!$P$55/7)))</f>
        <v>45788.31371</v>
      </c>
      <c r="AO105" s="82">
        <f t="array" ref="AO105">IFNA(LOOKUP(2,1/(ISNUMBER(AO99:AO104)),AO99:AO104)+(E105/(Resources!$P$56/7)),Today()+(E105/(Resources!$P$56/7)))</f>
        <v>45794.88879</v>
      </c>
      <c r="AP105" s="82">
        <f t="array" ref="AP105">IF(ISNUMBER($AT105),IFNA(LOOKUP(2,1/(ISNUMBER(AP99:AP104)),AP99:AP104),Today()),IFNA(LOOKUP(2,1/(ISNUMBER(AP99:AP104)),AP99:AP104)+(D105/(Resources!$E$55/7)),Today()+(D105/(Resources!$E$55/7))))</f>
        <v>45800.19569</v>
      </c>
      <c r="AQ105" s="82">
        <f t="array" ref="AQ105">IF(ISNUMBER($AT105),IFNA(LOOKUP(2,1/(ISNUMBER(AQ99:AQ104)),AQ99:AQ104),Today()),IFNA(LOOKUP(2,1/(ISNUMBER(AQ99:AQ104)),AQ99:AQ104)+(E105/(Resources!$E$56/7)),Today()+(E105/(Resources!$E$56/7))))</f>
        <v>45807.01678</v>
      </c>
      <c r="AR105" s="226">
        <f t="shared" si="20"/>
        <v>45807.01678</v>
      </c>
      <c r="AS105" s="82"/>
      <c r="AT105" s="82"/>
      <c r="AU105" s="83"/>
    </row>
    <row r="106" ht="15.0" customHeight="1">
      <c r="A106" s="83" t="s">
        <v>97</v>
      </c>
      <c r="B106" s="230" t="s">
        <v>872</v>
      </c>
      <c r="C106" s="93">
        <f>IF($A106="Feature",SUM(D106:E106)*'Roadmap setting'!$B$13,0)</f>
        <v>6.4</v>
      </c>
      <c r="D106" s="94">
        <v>16.0</v>
      </c>
      <c r="E106" s="94">
        <v>16.0</v>
      </c>
      <c r="F106" s="95">
        <f>IF($A106="Feature",IF('Roadmap setting'!$E$14,$E106*('Roadmap setting'!$B$14+'Roadmap setting'!$D$14),$E106*'Roadmap setting'!$B$14),0)</f>
        <v>2.4</v>
      </c>
      <c r="G106" s="93">
        <f>IF($A106="Feature",$D106*'Roadmap setting'!$B$15,0)</f>
        <v>0</v>
      </c>
      <c r="H106" s="95">
        <f>IF($A106="Feature",$E106*'Roadmap setting'!$B$16,0)</f>
        <v>0</v>
      </c>
      <c r="I106" s="93">
        <f>SUM($D106:$E106)*'Roadmap setting'!$B$17</f>
        <v>3.84</v>
      </c>
      <c r="J106" s="93">
        <f>SUM($D106:$E106)*'Roadmap setting'!$B$18</f>
        <v>0.32</v>
      </c>
      <c r="K106" s="93">
        <f>SUM($D106:$E106)*'Roadmap setting'!$B$19</f>
        <v>0</v>
      </c>
      <c r="L106" s="95">
        <f>SUM($D106:$E106)*'Roadmap setting'!$B$20</f>
        <v>0.64</v>
      </c>
      <c r="M106" s="79">
        <f t="shared" si="19"/>
        <v>45.6</v>
      </c>
      <c r="N106" s="96" t="b">
        <v>1</v>
      </c>
      <c r="O106" s="97">
        <v>1.6</v>
      </c>
      <c r="P106" s="97">
        <v>1.6</v>
      </c>
      <c r="Q106" s="97">
        <v>0.96</v>
      </c>
      <c r="R106" s="97">
        <v>0.64</v>
      </c>
      <c r="S106" s="97">
        <v>0.32</v>
      </c>
      <c r="T106" s="97">
        <v>1.28</v>
      </c>
      <c r="U106" s="99">
        <v>45.6</v>
      </c>
      <c r="V106" s="96" t="b">
        <v>1</v>
      </c>
      <c r="W106" s="97">
        <v>2.4</v>
      </c>
      <c r="X106" s="97">
        <v>2.4</v>
      </c>
      <c r="Y106" s="97">
        <v>1.28</v>
      </c>
      <c r="Z106" s="97">
        <v>0.96</v>
      </c>
      <c r="AA106" s="97">
        <v>0.64</v>
      </c>
      <c r="AB106" s="97">
        <v>1.92</v>
      </c>
      <c r="AC106" s="99">
        <v>48.8</v>
      </c>
      <c r="AD106" s="96" t="b">
        <v>1</v>
      </c>
      <c r="AE106" s="97">
        <v>3.2</v>
      </c>
      <c r="AF106" s="97">
        <v>3.2</v>
      </c>
      <c r="AG106" s="97">
        <v>1.6</v>
      </c>
      <c r="AH106" s="97">
        <v>1.28</v>
      </c>
      <c r="AI106" s="97">
        <v>0.96</v>
      </c>
      <c r="AJ106" s="97">
        <v>2.56</v>
      </c>
      <c r="AK106" s="99">
        <v>52.0</v>
      </c>
      <c r="AL106" s="96" t="b">
        <v>1</v>
      </c>
      <c r="AM106" s="80">
        <f t="array" ref="AM106">INDEX(A106:AL106, MATCH(RIGHT('Roadmap setting'!$B$9, 3), $A$2:$AL$2, 0) - 1)
</f>
        <v>45.6</v>
      </c>
      <c r="AN106" s="82">
        <f t="array" ref="AN106">IFNA(LOOKUP(2,1/(ISNUMBER(AN100:AN105)),AN100:AN105)+(D106/(Resources!$P$55/7)),Today()+(D106/(Resources!$P$55/7)))</f>
        <v>45790.30294</v>
      </c>
      <c r="AO106" s="82">
        <f t="array" ref="AO106">IFNA(LOOKUP(2,1/(ISNUMBER(AO100:AO105)),AO100:AO105)+(E106/(Resources!$P$56/7)),Today()+(E106/(Resources!$P$56/7)))</f>
        <v>45798.17868</v>
      </c>
      <c r="AP106" s="82">
        <f t="array" ref="AP106">IF(ISNUMBER($AT106),IFNA(LOOKUP(2,1/(ISNUMBER(AP100:AP105)),AP100:AP105),Today()),IFNA(LOOKUP(2,1/(ISNUMBER(AP100:AP105)),AP100:AP105)+(D106/(Resources!$E$55/7)),Today()+(D106/(Resources!$E$55/7))))</f>
        <v>45804.27406</v>
      </c>
      <c r="AQ106" s="82">
        <f t="array" ref="AQ106">IF(ISNUMBER($AT106),IFNA(LOOKUP(2,1/(ISNUMBER(AQ100:AQ105)),AQ100:AQ105),Today()),IFNA(LOOKUP(2,1/(ISNUMBER(AQ100:AQ105)),AQ100:AQ105)+(E106/(Resources!$E$56/7)),Today()+(E106/(Resources!$E$56/7))))</f>
        <v>45812.53711</v>
      </c>
      <c r="AR106" s="226">
        <f t="shared" si="20"/>
        <v>45812.53711</v>
      </c>
      <c r="AS106" s="82"/>
      <c r="AT106" s="82"/>
      <c r="AU106" s="83"/>
    </row>
    <row r="107" ht="15.0" customHeight="1">
      <c r="A107" s="84"/>
      <c r="B107" s="85" t="s">
        <v>930</v>
      </c>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c r="AA107" s="84"/>
      <c r="AB107" s="84"/>
      <c r="AC107" s="84"/>
      <c r="AD107" s="84"/>
      <c r="AE107" s="84"/>
      <c r="AF107" s="84"/>
      <c r="AG107" s="84"/>
      <c r="AH107" s="84"/>
      <c r="AI107" s="84"/>
      <c r="AJ107" s="84"/>
      <c r="AK107" s="84"/>
      <c r="AL107" s="84"/>
      <c r="AM107" s="84"/>
      <c r="AN107" s="84"/>
      <c r="AO107" s="84"/>
      <c r="AP107" s="84"/>
      <c r="AQ107" s="84"/>
      <c r="AR107" s="84"/>
      <c r="AS107" s="84"/>
      <c r="AT107" s="84"/>
      <c r="AU107" s="84"/>
    </row>
    <row r="108" ht="15.0" customHeight="1">
      <c r="A108" s="72"/>
      <c r="B108" s="91" t="s">
        <v>931</v>
      </c>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c r="AL108" s="72"/>
      <c r="AM108" s="72"/>
      <c r="AN108" s="72"/>
      <c r="AO108" s="72"/>
      <c r="AP108" s="72"/>
      <c r="AQ108" s="72"/>
      <c r="AR108" s="72"/>
      <c r="AS108" s="72"/>
      <c r="AT108" s="72"/>
      <c r="AU108" s="72"/>
    </row>
    <row r="109" ht="15.0" customHeight="1">
      <c r="A109" s="83" t="s">
        <v>97</v>
      </c>
      <c r="B109" s="110" t="s">
        <v>932</v>
      </c>
      <c r="C109" s="93">
        <f>IF($A109="Feature",SUM(D109:E109)*'Roadmap setting'!$B$13,0)</f>
        <v>4.8</v>
      </c>
      <c r="D109" s="94">
        <v>12.0</v>
      </c>
      <c r="E109" s="94">
        <v>12.0</v>
      </c>
      <c r="F109" s="95">
        <f>IF($A109="Feature",IF('Roadmap setting'!$E$14,$E109*('Roadmap setting'!$B$14+'Roadmap setting'!$D$14),$E109*'Roadmap setting'!$B$14),0)</f>
        <v>1.8</v>
      </c>
      <c r="G109" s="93">
        <f>IF($A109="Feature",$D109*'Roadmap setting'!$B$15,0)</f>
        <v>0</v>
      </c>
      <c r="H109" s="95">
        <f>IF($A109="Feature",$E109*'Roadmap setting'!$B$16,0)</f>
        <v>0</v>
      </c>
      <c r="I109" s="93">
        <f>SUM($D109:$E109)*'Roadmap setting'!$B$17</f>
        <v>2.88</v>
      </c>
      <c r="J109" s="93">
        <f>SUM($D109:$E109)*'Roadmap setting'!$B$18</f>
        <v>0.24</v>
      </c>
      <c r="K109" s="93">
        <f>SUM($D109:$E109)*'Roadmap setting'!$B$19</f>
        <v>0</v>
      </c>
      <c r="L109" s="95">
        <f>SUM($D109:$E109)*'Roadmap setting'!$B$20</f>
        <v>0.48</v>
      </c>
      <c r="M109" s="79">
        <f t="shared" ref="M109:M114" si="21">SUM($C109:$F109)+SUM(G109:L109)</f>
        <v>34.2</v>
      </c>
      <c r="N109" s="96" t="b">
        <v>1</v>
      </c>
      <c r="O109" s="97">
        <v>1.2</v>
      </c>
      <c r="P109" s="97">
        <v>1.2</v>
      </c>
      <c r="Q109" s="97">
        <v>0.72</v>
      </c>
      <c r="R109" s="97">
        <v>0.48</v>
      </c>
      <c r="S109" s="97">
        <v>0.24</v>
      </c>
      <c r="T109" s="97">
        <v>0.96</v>
      </c>
      <c r="U109" s="99">
        <v>34.2</v>
      </c>
      <c r="V109" s="96" t="b">
        <v>1</v>
      </c>
      <c r="W109" s="97">
        <v>1.8</v>
      </c>
      <c r="X109" s="97">
        <v>1.8</v>
      </c>
      <c r="Y109" s="97">
        <v>0.96</v>
      </c>
      <c r="Z109" s="97">
        <v>0.72</v>
      </c>
      <c r="AA109" s="97">
        <v>0.48</v>
      </c>
      <c r="AB109" s="97">
        <v>1.44</v>
      </c>
      <c r="AC109" s="99">
        <v>36.6</v>
      </c>
      <c r="AD109" s="96" t="b">
        <v>1</v>
      </c>
      <c r="AE109" s="97">
        <v>2.4</v>
      </c>
      <c r="AF109" s="97">
        <v>2.4</v>
      </c>
      <c r="AG109" s="97">
        <v>1.2</v>
      </c>
      <c r="AH109" s="97">
        <v>0.96</v>
      </c>
      <c r="AI109" s="97">
        <v>0.72</v>
      </c>
      <c r="AJ109" s="97">
        <v>1.92</v>
      </c>
      <c r="AK109" s="99">
        <v>39.0</v>
      </c>
      <c r="AL109" s="96" t="b">
        <v>1</v>
      </c>
      <c r="AM109" s="80">
        <f t="array" ref="AM109">INDEX(A109:AL109, MATCH(RIGHT('Roadmap setting'!$B$9, 3), $A$2:$AL$2, 0) - 1)
</f>
        <v>34.2</v>
      </c>
      <c r="AN109" s="82">
        <f t="array" ref="AN109">IFNA(LOOKUP(2,1/(ISNUMBER(AN103:AN108)),AN103:AN108)+(D109/(Resources!$P$55/7)),Today()+(D109/(Resources!$P$55/7)))</f>
        <v>45791.79485</v>
      </c>
      <c r="AO109" s="82">
        <f t="array" ref="AO109">IFNA(LOOKUP(2,1/(ISNUMBER(AO103:AO108)),AO103:AO108)+(E109/(Resources!$P$56/7)),Today()+(E109/(Resources!$P$56/7)))</f>
        <v>45800.6461</v>
      </c>
      <c r="AP109" s="82">
        <f t="array" ref="AP109">IF(ISNUMBER($AT109),IFNA(LOOKUP(2,1/(ISNUMBER(AP103:AP108)),AP103:AP108),Today()),IFNA(LOOKUP(2,1/(ISNUMBER(AP103:AP108)),AP103:AP108)+(D109/(Resources!$E$55/7)),Today()+(D109/(Resources!$E$55/7))))</f>
        <v>45807.33283</v>
      </c>
      <c r="AQ109" s="82">
        <f t="array" ref="AQ109">IF(ISNUMBER($AT109),IFNA(LOOKUP(2,1/(ISNUMBER(AQ103:AQ108)),AQ103:AQ108),Today()),IFNA(LOOKUP(2,1/(ISNUMBER(AQ103:AQ108)),AQ103:AQ108)+(E109/(Resources!$E$56/7)),Today()+(E109/(Resources!$E$56/7))))</f>
        <v>45816.67735</v>
      </c>
      <c r="AR109" s="226">
        <f t="shared" ref="AR109:AR114" si="22">IFERROR(MAX(AP109,AQ109),"")</f>
        <v>45816.67735</v>
      </c>
      <c r="AS109" s="82"/>
      <c r="AT109" s="82"/>
      <c r="AU109" s="83"/>
    </row>
    <row r="110" ht="15.0" customHeight="1">
      <c r="A110" s="83" t="s">
        <v>97</v>
      </c>
      <c r="B110" s="110" t="s">
        <v>933</v>
      </c>
      <c r="C110" s="93">
        <f>IF($A110="Feature",SUM(D110:E110)*'Roadmap setting'!$B$13,0)</f>
        <v>3.2</v>
      </c>
      <c r="D110" s="94">
        <v>4.0</v>
      </c>
      <c r="E110" s="94">
        <v>12.0</v>
      </c>
      <c r="F110" s="95">
        <f>IF($A110="Feature",IF('Roadmap setting'!$E$14,$E110*('Roadmap setting'!$B$14+'Roadmap setting'!$D$14),$E110*'Roadmap setting'!$B$14),0)</f>
        <v>1.8</v>
      </c>
      <c r="G110" s="93">
        <f>IF($A110="Feature",$D110*'Roadmap setting'!$B$15,0)</f>
        <v>0</v>
      </c>
      <c r="H110" s="95">
        <f>IF($A110="Feature",$E110*'Roadmap setting'!$B$16,0)</f>
        <v>0</v>
      </c>
      <c r="I110" s="93">
        <f>SUM($D110:$E110)*'Roadmap setting'!$B$17</f>
        <v>1.92</v>
      </c>
      <c r="J110" s="93">
        <f>SUM($D110:$E110)*'Roadmap setting'!$B$18</f>
        <v>0.16</v>
      </c>
      <c r="K110" s="93">
        <f>SUM($D110:$E110)*'Roadmap setting'!$B$19</f>
        <v>0</v>
      </c>
      <c r="L110" s="95">
        <f>SUM($D110:$E110)*'Roadmap setting'!$B$20</f>
        <v>0.32</v>
      </c>
      <c r="M110" s="79">
        <f t="shared" si="21"/>
        <v>23.4</v>
      </c>
      <c r="N110" s="96" t="b">
        <v>1</v>
      </c>
      <c r="O110" s="97">
        <v>0.4</v>
      </c>
      <c r="P110" s="97">
        <v>1.2</v>
      </c>
      <c r="Q110" s="97">
        <v>0.48</v>
      </c>
      <c r="R110" s="97">
        <v>0.32</v>
      </c>
      <c r="S110" s="97">
        <v>0.16</v>
      </c>
      <c r="T110" s="97">
        <v>0.64</v>
      </c>
      <c r="U110" s="99">
        <v>23.8</v>
      </c>
      <c r="V110" s="96" t="b">
        <v>1</v>
      </c>
      <c r="W110" s="97">
        <v>0.6</v>
      </c>
      <c r="X110" s="97">
        <v>1.8</v>
      </c>
      <c r="Y110" s="97">
        <v>0.64</v>
      </c>
      <c r="Z110" s="97">
        <v>0.48</v>
      </c>
      <c r="AA110" s="97">
        <v>0.32</v>
      </c>
      <c r="AB110" s="97">
        <v>0.96</v>
      </c>
      <c r="AC110" s="99">
        <v>25.4</v>
      </c>
      <c r="AD110" s="96" t="b">
        <v>1</v>
      </c>
      <c r="AE110" s="97">
        <v>0.8</v>
      </c>
      <c r="AF110" s="97">
        <v>2.4</v>
      </c>
      <c r="AG110" s="97">
        <v>0.8</v>
      </c>
      <c r="AH110" s="97">
        <v>0.64</v>
      </c>
      <c r="AI110" s="97">
        <v>0.48</v>
      </c>
      <c r="AJ110" s="97">
        <v>1.28</v>
      </c>
      <c r="AK110" s="99">
        <v>27.0</v>
      </c>
      <c r="AL110" s="96" t="b">
        <v>1</v>
      </c>
      <c r="AM110" s="80">
        <f t="array" ref="AM110">INDEX(A110:AL110, MATCH(RIGHT('Roadmap setting'!$B$9, 3), $A$2:$AL$2, 0) - 1)
</f>
        <v>23.4</v>
      </c>
      <c r="AN110" s="82">
        <f t="array" ref="AN110">IFNA(LOOKUP(2,1/(ISNUMBER(AN104:AN109)),AN104:AN109)+(D110/(Resources!$P$55/7)),Today()+(D110/(Resources!$P$55/7)))</f>
        <v>45792.29216</v>
      </c>
      <c r="AO110" s="82">
        <f t="array" ref="AO110">IFNA(LOOKUP(2,1/(ISNUMBER(AO104:AO109)),AO104:AO109)+(E110/(Resources!$P$56/7)),Today()+(E110/(Resources!$P$56/7)))</f>
        <v>45803.11352</v>
      </c>
      <c r="AP110" s="82">
        <f t="array" ref="AP110">IF(ISNUMBER($AT110),IFNA(LOOKUP(2,1/(ISNUMBER(AP104:AP109)),AP104:AP109),Today()),IFNA(LOOKUP(2,1/(ISNUMBER(AP104:AP109)),AP104:AP109)+(D110/(Resources!$E$55/7)),Today()+(D110/(Resources!$E$55/7))))</f>
        <v>45808.35242</v>
      </c>
      <c r="AQ110" s="82">
        <f t="array" ref="AQ110">IF(ISNUMBER($AT110),IFNA(LOOKUP(2,1/(ISNUMBER(AQ104:AQ109)),AQ104:AQ109),Today()),IFNA(LOOKUP(2,1/(ISNUMBER(AQ104:AQ109)),AQ104:AQ109)+(E110/(Resources!$E$56/7)),Today()+(E110/(Resources!$E$56/7))))</f>
        <v>45820.8176</v>
      </c>
      <c r="AR110" s="226">
        <f t="shared" si="22"/>
        <v>45820.8176</v>
      </c>
      <c r="AS110" s="82"/>
      <c r="AT110" s="82"/>
      <c r="AU110" s="83"/>
    </row>
    <row r="111" ht="15.0" customHeight="1">
      <c r="A111" s="83" t="s">
        <v>97</v>
      </c>
      <c r="B111" s="110" t="s">
        <v>934</v>
      </c>
      <c r="C111" s="93">
        <f>IF($A111="Feature",SUM(D111:E111)*'Roadmap setting'!$B$13,0)</f>
        <v>3.2</v>
      </c>
      <c r="D111" s="94">
        <v>4.0</v>
      </c>
      <c r="E111" s="94">
        <v>12.0</v>
      </c>
      <c r="F111" s="95">
        <f>IF($A111="Feature",IF('Roadmap setting'!$E$14,$E111*('Roadmap setting'!$B$14+'Roadmap setting'!$D$14),$E111*'Roadmap setting'!$B$14),0)</f>
        <v>1.8</v>
      </c>
      <c r="G111" s="93">
        <f>IF($A111="Feature",$D111*'Roadmap setting'!$B$15,0)</f>
        <v>0</v>
      </c>
      <c r="H111" s="95">
        <f>IF($A111="Feature",$E111*'Roadmap setting'!$B$16,0)</f>
        <v>0</v>
      </c>
      <c r="I111" s="93">
        <f>SUM($D111:$E111)*'Roadmap setting'!$B$17</f>
        <v>1.92</v>
      </c>
      <c r="J111" s="93">
        <f>SUM($D111:$E111)*'Roadmap setting'!$B$18</f>
        <v>0.16</v>
      </c>
      <c r="K111" s="93">
        <f>SUM($D111:$E111)*'Roadmap setting'!$B$19</f>
        <v>0</v>
      </c>
      <c r="L111" s="95">
        <f>SUM($D111:$E111)*'Roadmap setting'!$B$20</f>
        <v>0.32</v>
      </c>
      <c r="M111" s="79">
        <f t="shared" si="21"/>
        <v>23.4</v>
      </c>
      <c r="N111" s="96" t="b">
        <v>1</v>
      </c>
      <c r="O111" s="97">
        <v>0.4</v>
      </c>
      <c r="P111" s="97">
        <v>1.2</v>
      </c>
      <c r="Q111" s="97">
        <v>0.48</v>
      </c>
      <c r="R111" s="97">
        <v>0.32</v>
      </c>
      <c r="S111" s="97">
        <v>0.16</v>
      </c>
      <c r="T111" s="97">
        <v>0.64</v>
      </c>
      <c r="U111" s="99">
        <v>23.8</v>
      </c>
      <c r="V111" s="96" t="b">
        <v>1</v>
      </c>
      <c r="W111" s="97">
        <v>0.6</v>
      </c>
      <c r="X111" s="97">
        <v>1.8</v>
      </c>
      <c r="Y111" s="97">
        <v>0.64</v>
      </c>
      <c r="Z111" s="97">
        <v>0.48</v>
      </c>
      <c r="AA111" s="97">
        <v>0.32</v>
      </c>
      <c r="AB111" s="97">
        <v>0.96</v>
      </c>
      <c r="AC111" s="99">
        <v>25.4</v>
      </c>
      <c r="AD111" s="96" t="b">
        <v>1</v>
      </c>
      <c r="AE111" s="97">
        <v>0.8</v>
      </c>
      <c r="AF111" s="97">
        <v>2.4</v>
      </c>
      <c r="AG111" s="97">
        <v>0.8</v>
      </c>
      <c r="AH111" s="97">
        <v>0.64</v>
      </c>
      <c r="AI111" s="97">
        <v>0.48</v>
      </c>
      <c r="AJ111" s="97">
        <v>1.28</v>
      </c>
      <c r="AK111" s="99">
        <v>27.0</v>
      </c>
      <c r="AL111" s="96" t="b">
        <v>1</v>
      </c>
      <c r="AM111" s="80">
        <f t="array" ref="AM111">INDEX(A111:AL111, MATCH(RIGHT('Roadmap setting'!$B$9, 3), $A$2:$AL$2, 0) - 1)
</f>
        <v>23.4</v>
      </c>
      <c r="AN111" s="82">
        <f t="array" ref="AN111">IFNA(LOOKUP(2,1/(ISNUMBER(AN105:AN110)),AN105:AN110)+(D111/(Resources!$P$55/7)),Today()+(D111/(Resources!$P$55/7)))</f>
        <v>45792.78947</v>
      </c>
      <c r="AO111" s="82">
        <f t="array" ref="AO111">IFNA(LOOKUP(2,1/(ISNUMBER(AO105:AO110)),AO105:AO110)+(E111/(Resources!$P$56/7)),Today()+(E111/(Resources!$P$56/7)))</f>
        <v>45805.58094</v>
      </c>
      <c r="AP111" s="82">
        <f t="array" ref="AP111">IF(ISNUMBER($AT111),IFNA(LOOKUP(2,1/(ISNUMBER(AP105:AP110)),AP105:AP110),Today()),IFNA(LOOKUP(2,1/(ISNUMBER(AP105:AP110)),AP105:AP110)+(D111/(Resources!$E$55/7)),Today()+(D111/(Resources!$E$55/7))))</f>
        <v>45809.37201</v>
      </c>
      <c r="AQ111" s="82">
        <f t="array" ref="AQ111">IF(ISNUMBER($AT111),IFNA(LOOKUP(2,1/(ISNUMBER(AQ105:AQ110)),AQ105:AQ110),Today()),IFNA(LOOKUP(2,1/(ISNUMBER(AQ105:AQ110)),AQ105:AQ110)+(E111/(Resources!$E$56/7)),Today()+(E111/(Resources!$E$56/7))))</f>
        <v>45824.95785</v>
      </c>
      <c r="AR111" s="226">
        <f t="shared" si="22"/>
        <v>45824.95785</v>
      </c>
      <c r="AS111" s="82"/>
      <c r="AT111" s="82"/>
      <c r="AU111" s="83"/>
    </row>
    <row r="112" ht="15.0" customHeight="1">
      <c r="A112" s="83" t="s">
        <v>97</v>
      </c>
      <c r="B112" s="110" t="s">
        <v>935</v>
      </c>
      <c r="C112" s="93">
        <f>IF($A112="Feature",SUM(D112:E112)*'Roadmap setting'!$B$13,0)</f>
        <v>3.2</v>
      </c>
      <c r="D112" s="94">
        <v>4.0</v>
      </c>
      <c r="E112" s="94">
        <v>12.0</v>
      </c>
      <c r="F112" s="95">
        <f>IF($A112="Feature",IF('Roadmap setting'!$E$14,$E112*('Roadmap setting'!$B$14+'Roadmap setting'!$D$14),$E112*'Roadmap setting'!$B$14),0)</f>
        <v>1.8</v>
      </c>
      <c r="G112" s="93">
        <f>IF($A112="Feature",$D112*'Roadmap setting'!$B$15,0)</f>
        <v>0</v>
      </c>
      <c r="H112" s="95">
        <f>IF($A112="Feature",$E112*'Roadmap setting'!$B$16,0)</f>
        <v>0</v>
      </c>
      <c r="I112" s="93">
        <f>SUM($D112:$E112)*'Roadmap setting'!$B$17</f>
        <v>1.92</v>
      </c>
      <c r="J112" s="93">
        <f>SUM($D112:$E112)*'Roadmap setting'!$B$18</f>
        <v>0.16</v>
      </c>
      <c r="K112" s="93">
        <f>SUM($D112:$E112)*'Roadmap setting'!$B$19</f>
        <v>0</v>
      </c>
      <c r="L112" s="95">
        <f>SUM($D112:$E112)*'Roadmap setting'!$B$20</f>
        <v>0.32</v>
      </c>
      <c r="M112" s="79">
        <f t="shared" si="21"/>
        <v>23.4</v>
      </c>
      <c r="N112" s="96" t="b">
        <v>1</v>
      </c>
      <c r="O112" s="97">
        <v>0.4</v>
      </c>
      <c r="P112" s="97">
        <v>1.2</v>
      </c>
      <c r="Q112" s="97">
        <v>0.48</v>
      </c>
      <c r="R112" s="97">
        <v>0.32</v>
      </c>
      <c r="S112" s="97">
        <v>0.16</v>
      </c>
      <c r="T112" s="97">
        <v>0.64</v>
      </c>
      <c r="U112" s="99">
        <v>23.8</v>
      </c>
      <c r="V112" s="96" t="b">
        <v>1</v>
      </c>
      <c r="W112" s="97">
        <v>0.6</v>
      </c>
      <c r="X112" s="97">
        <v>1.8</v>
      </c>
      <c r="Y112" s="97">
        <v>0.64</v>
      </c>
      <c r="Z112" s="97">
        <v>0.48</v>
      </c>
      <c r="AA112" s="97">
        <v>0.32</v>
      </c>
      <c r="AB112" s="97">
        <v>0.96</v>
      </c>
      <c r="AC112" s="99">
        <v>25.4</v>
      </c>
      <c r="AD112" s="96" t="b">
        <v>1</v>
      </c>
      <c r="AE112" s="97">
        <v>0.8</v>
      </c>
      <c r="AF112" s="97">
        <v>2.4</v>
      </c>
      <c r="AG112" s="97">
        <v>0.8</v>
      </c>
      <c r="AH112" s="97">
        <v>0.64</v>
      </c>
      <c r="AI112" s="97">
        <v>0.48</v>
      </c>
      <c r="AJ112" s="97">
        <v>1.28</v>
      </c>
      <c r="AK112" s="99">
        <v>27.0</v>
      </c>
      <c r="AL112" s="96" t="b">
        <v>1</v>
      </c>
      <c r="AM112" s="80">
        <f t="array" ref="AM112">INDEX(A112:AL112, MATCH(RIGHT('Roadmap setting'!$B$9, 3), $A$2:$AL$2, 0) - 1)
</f>
        <v>23.4</v>
      </c>
      <c r="AN112" s="82">
        <f t="array" ref="AN112">IFNA(LOOKUP(2,1/(ISNUMBER(AN106:AN111)),AN106:AN111)+(D112/(Resources!$P$55/7)),Today()+(D112/(Resources!$P$55/7)))</f>
        <v>45793.28677</v>
      </c>
      <c r="AO112" s="82">
        <f t="array" ref="AO112">IFNA(LOOKUP(2,1/(ISNUMBER(AO106:AO111)),AO106:AO111)+(E112/(Resources!$P$56/7)),Today()+(E112/(Resources!$P$56/7)))</f>
        <v>45808.04836</v>
      </c>
      <c r="AP112" s="82">
        <f t="array" ref="AP112">IF(ISNUMBER($AT112),IFNA(LOOKUP(2,1/(ISNUMBER(AP106:AP111)),AP106:AP111),Today()),IFNA(LOOKUP(2,1/(ISNUMBER(AP106:AP111)),AP106:AP111)+(D112/(Resources!$E$55/7)),Today()+(D112/(Resources!$E$55/7))))</f>
        <v>45810.3916</v>
      </c>
      <c r="AQ112" s="82">
        <f t="array" ref="AQ112">IF(ISNUMBER($AT112),IFNA(LOOKUP(2,1/(ISNUMBER(AQ106:AQ111)),AQ106:AQ111),Today()),IFNA(LOOKUP(2,1/(ISNUMBER(AQ106:AQ111)),AQ106:AQ111)+(E112/(Resources!$E$56/7)),Today()+(E112/(Resources!$E$56/7))))</f>
        <v>45829.09809</v>
      </c>
      <c r="AR112" s="226">
        <f t="shared" si="22"/>
        <v>45829.09809</v>
      </c>
      <c r="AS112" s="82"/>
      <c r="AT112" s="82"/>
      <c r="AU112" s="83"/>
    </row>
    <row r="113" ht="15.0" customHeight="1">
      <c r="A113" s="83" t="s">
        <v>97</v>
      </c>
      <c r="B113" s="110" t="s">
        <v>936</v>
      </c>
      <c r="C113" s="93">
        <f>IF($A113="Feature",SUM(D113:E113)*'Roadmap setting'!$B$13,0)</f>
        <v>3.2</v>
      </c>
      <c r="D113" s="94">
        <v>4.0</v>
      </c>
      <c r="E113" s="94">
        <v>12.0</v>
      </c>
      <c r="F113" s="95">
        <f>IF($A113="Feature",IF('Roadmap setting'!$E$14,$E113*('Roadmap setting'!$B$14+'Roadmap setting'!$D$14),$E113*'Roadmap setting'!$B$14),0)</f>
        <v>1.8</v>
      </c>
      <c r="G113" s="93">
        <f>IF($A113="Feature",$D113*'Roadmap setting'!$B$15,0)</f>
        <v>0</v>
      </c>
      <c r="H113" s="95">
        <f>IF($A113="Feature",$E113*'Roadmap setting'!$B$16,0)</f>
        <v>0</v>
      </c>
      <c r="I113" s="93">
        <f>SUM($D113:$E113)*'Roadmap setting'!$B$17</f>
        <v>1.92</v>
      </c>
      <c r="J113" s="93">
        <f>SUM($D113:$E113)*'Roadmap setting'!$B$18</f>
        <v>0.16</v>
      </c>
      <c r="K113" s="93">
        <f>SUM($D113:$E113)*'Roadmap setting'!$B$19</f>
        <v>0</v>
      </c>
      <c r="L113" s="95">
        <f>SUM($D113:$E113)*'Roadmap setting'!$B$20</f>
        <v>0.32</v>
      </c>
      <c r="M113" s="79">
        <f t="shared" si="21"/>
        <v>23.4</v>
      </c>
      <c r="N113" s="96" t="b">
        <v>1</v>
      </c>
      <c r="O113" s="97">
        <v>0.4</v>
      </c>
      <c r="P113" s="97">
        <v>1.2</v>
      </c>
      <c r="Q113" s="97">
        <v>0.48</v>
      </c>
      <c r="R113" s="97">
        <v>0.32</v>
      </c>
      <c r="S113" s="97">
        <v>0.16</v>
      </c>
      <c r="T113" s="97">
        <v>0.64</v>
      </c>
      <c r="U113" s="99">
        <v>23.8</v>
      </c>
      <c r="V113" s="96" t="b">
        <v>1</v>
      </c>
      <c r="W113" s="97">
        <v>0.6</v>
      </c>
      <c r="X113" s="97">
        <v>1.8</v>
      </c>
      <c r="Y113" s="97">
        <v>0.64</v>
      </c>
      <c r="Z113" s="97">
        <v>0.48</v>
      </c>
      <c r="AA113" s="97">
        <v>0.32</v>
      </c>
      <c r="AB113" s="97">
        <v>0.96</v>
      </c>
      <c r="AC113" s="99">
        <v>25.4</v>
      </c>
      <c r="AD113" s="96" t="b">
        <v>1</v>
      </c>
      <c r="AE113" s="97">
        <v>0.8</v>
      </c>
      <c r="AF113" s="97">
        <v>2.4</v>
      </c>
      <c r="AG113" s="97">
        <v>0.8</v>
      </c>
      <c r="AH113" s="97">
        <v>0.64</v>
      </c>
      <c r="AI113" s="97">
        <v>0.48</v>
      </c>
      <c r="AJ113" s="97">
        <v>1.28</v>
      </c>
      <c r="AK113" s="99">
        <v>27.0</v>
      </c>
      <c r="AL113" s="96" t="b">
        <v>1</v>
      </c>
      <c r="AM113" s="80">
        <f t="array" ref="AM113">INDEX(A113:AL113, MATCH(RIGHT('Roadmap setting'!$B$9, 3), $A$2:$AL$2, 0) - 1)
</f>
        <v>23.4</v>
      </c>
      <c r="AN113" s="82">
        <f t="array" ref="AN113">IFNA(LOOKUP(2,1/(ISNUMBER(AN107:AN112)),AN107:AN112)+(D113/(Resources!$P$55/7)),Today()+(D113/(Resources!$P$55/7)))</f>
        <v>45793.78408</v>
      </c>
      <c r="AO113" s="82">
        <f t="array" ref="AO113">IFNA(LOOKUP(2,1/(ISNUMBER(AO107:AO112)),AO107:AO112)+(E113/(Resources!$P$56/7)),Today()+(E113/(Resources!$P$56/7)))</f>
        <v>45810.51578</v>
      </c>
      <c r="AP113" s="82">
        <f t="array" ref="AP113">IF(ISNUMBER($AT113),IFNA(LOOKUP(2,1/(ISNUMBER(AP107:AP112)),AP107:AP112),Today()),IFNA(LOOKUP(2,1/(ISNUMBER(AP107:AP112)),AP107:AP112)+(D113/(Resources!$E$55/7)),Today()+(D113/(Resources!$E$55/7))))</f>
        <v>45811.41119</v>
      </c>
      <c r="AQ113" s="82">
        <f t="array" ref="AQ113">IF(ISNUMBER($AT113),IFNA(LOOKUP(2,1/(ISNUMBER(AQ107:AQ112)),AQ107:AQ112),Today()),IFNA(LOOKUP(2,1/(ISNUMBER(AQ107:AQ112)),AQ107:AQ112)+(E113/(Resources!$E$56/7)),Today()+(E113/(Resources!$E$56/7))))</f>
        <v>45833.23834</v>
      </c>
      <c r="AR113" s="226">
        <f t="shared" si="22"/>
        <v>45833.23834</v>
      </c>
      <c r="AS113" s="82"/>
      <c r="AT113" s="82"/>
      <c r="AU113" s="83"/>
    </row>
    <row r="114" ht="15.0" customHeight="1">
      <c r="A114" s="83" t="s">
        <v>97</v>
      </c>
      <c r="B114" s="110" t="s">
        <v>937</v>
      </c>
      <c r="C114" s="93">
        <f>IF($A114="Feature",SUM(D114:E114)*'Roadmap setting'!$B$13,0)</f>
        <v>2.2</v>
      </c>
      <c r="D114" s="94">
        <v>3.0</v>
      </c>
      <c r="E114" s="94">
        <v>8.0</v>
      </c>
      <c r="F114" s="95">
        <f>IF($A114="Feature",IF('Roadmap setting'!$E$14,$E114*('Roadmap setting'!$B$14+'Roadmap setting'!$D$14),$E114*'Roadmap setting'!$B$14),0)</f>
        <v>1.2</v>
      </c>
      <c r="G114" s="93">
        <f>IF($A114="Feature",$D114*'Roadmap setting'!$B$15,0)</f>
        <v>0</v>
      </c>
      <c r="H114" s="95">
        <f>IF($A114="Feature",$E114*'Roadmap setting'!$B$16,0)</f>
        <v>0</v>
      </c>
      <c r="I114" s="93">
        <f>SUM($D114:$E114)*'Roadmap setting'!$B$17</f>
        <v>1.32</v>
      </c>
      <c r="J114" s="93">
        <f>SUM($D114:$E114)*'Roadmap setting'!$B$18</f>
        <v>0.11</v>
      </c>
      <c r="K114" s="93">
        <f>SUM($D114:$E114)*'Roadmap setting'!$B$19</f>
        <v>0</v>
      </c>
      <c r="L114" s="95">
        <f>SUM($D114:$E114)*'Roadmap setting'!$B$20</f>
        <v>0.22</v>
      </c>
      <c r="M114" s="79">
        <f t="shared" si="21"/>
        <v>16.05</v>
      </c>
      <c r="N114" s="96" t="b">
        <v>0</v>
      </c>
      <c r="O114" s="97">
        <v>0.3</v>
      </c>
      <c r="P114" s="97">
        <v>0.8</v>
      </c>
      <c r="Q114" s="97">
        <v>0.33</v>
      </c>
      <c r="R114" s="97">
        <v>0.22</v>
      </c>
      <c r="S114" s="97">
        <v>0.11</v>
      </c>
      <c r="T114" s="97">
        <v>0.44</v>
      </c>
      <c r="U114" s="99">
        <v>16.3</v>
      </c>
      <c r="V114" s="96" t="b">
        <v>1</v>
      </c>
      <c r="W114" s="97">
        <v>0.45</v>
      </c>
      <c r="X114" s="97">
        <v>1.2</v>
      </c>
      <c r="Y114" s="97">
        <v>0.44</v>
      </c>
      <c r="Z114" s="97">
        <v>0.33</v>
      </c>
      <c r="AA114" s="97">
        <v>0.22</v>
      </c>
      <c r="AB114" s="97">
        <v>0.66</v>
      </c>
      <c r="AC114" s="99">
        <v>17.4</v>
      </c>
      <c r="AD114" s="96" t="b">
        <v>1</v>
      </c>
      <c r="AE114" s="97">
        <v>0.6</v>
      </c>
      <c r="AF114" s="97">
        <v>1.6</v>
      </c>
      <c r="AG114" s="97">
        <v>0.55</v>
      </c>
      <c r="AH114" s="97">
        <v>0.44</v>
      </c>
      <c r="AI114" s="97">
        <v>0.33</v>
      </c>
      <c r="AJ114" s="97">
        <v>0.88</v>
      </c>
      <c r="AK114" s="99">
        <v>18.5</v>
      </c>
      <c r="AL114" s="96" t="b">
        <v>1</v>
      </c>
      <c r="AM114" s="80">
        <f t="array" ref="AM114">INDEX(A114:AL114, MATCH(RIGHT('Roadmap setting'!$B$9, 3), $A$2:$AL$2, 0) - 1)
</f>
        <v>16.05</v>
      </c>
      <c r="AN114" s="82">
        <f t="array" ref="AN114">IFNA(LOOKUP(2,1/(ISNUMBER(AN108:AN113)),AN108:AN113)+(D114/(Resources!$P$55/7)),Today()+(D114/(Resources!$P$55/7)))</f>
        <v>45794.15706</v>
      </c>
      <c r="AO114" s="82">
        <f t="array" ref="AO114">IFNA(LOOKUP(2,1/(ISNUMBER(AO108:AO113)),AO108:AO113)+(E114/(Resources!$P$56/7)),Today()+(E114/(Resources!$P$56/7)))</f>
        <v>45812.16072</v>
      </c>
      <c r="AP114" s="82">
        <f t="array" ref="AP114">IF(ISNUMBER($AT114),IFNA(LOOKUP(2,1/(ISNUMBER(AP108:AP113)),AP108:AP113),Today()),IFNA(LOOKUP(2,1/(ISNUMBER(AP108:AP113)),AP108:AP113)+(D114/(Resources!$E$55/7)),Today()+(D114/(Resources!$E$55/7))))</f>
        <v>45812.17589</v>
      </c>
      <c r="AQ114" s="82">
        <f t="array" ref="AQ114">IF(ISNUMBER($AT114),IFNA(LOOKUP(2,1/(ISNUMBER(AQ108:AQ113)),AQ108:AQ113),Today()),IFNA(LOOKUP(2,1/(ISNUMBER(AQ108:AQ113)),AQ108:AQ113)+(E114/(Resources!$E$56/7)),Today()+(E114/(Resources!$E$56/7))))</f>
        <v>45835.9985</v>
      </c>
      <c r="AR114" s="226">
        <f t="shared" si="22"/>
        <v>45835.9985</v>
      </c>
      <c r="AS114" s="82"/>
      <c r="AT114" s="82"/>
      <c r="AU114" s="83"/>
    </row>
    <row r="115" ht="15.0" customHeight="1">
      <c r="A115" s="72"/>
      <c r="B115" s="91" t="s">
        <v>938</v>
      </c>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c r="AB115" s="72"/>
      <c r="AC115" s="72"/>
      <c r="AD115" s="72"/>
      <c r="AE115" s="72"/>
      <c r="AF115" s="72"/>
      <c r="AG115" s="72"/>
      <c r="AH115" s="72"/>
      <c r="AI115" s="72"/>
      <c r="AJ115" s="72"/>
      <c r="AK115" s="72"/>
      <c r="AL115" s="72"/>
      <c r="AM115" s="72"/>
      <c r="AN115" s="72"/>
      <c r="AO115" s="72"/>
      <c r="AP115" s="72"/>
      <c r="AQ115" s="72"/>
      <c r="AR115" s="72"/>
      <c r="AS115" s="72"/>
      <c r="AT115" s="72"/>
      <c r="AU115" s="72"/>
    </row>
    <row r="116" ht="15.0" customHeight="1">
      <c r="A116" s="83" t="s">
        <v>97</v>
      </c>
      <c r="B116" s="110" t="s">
        <v>939</v>
      </c>
      <c r="C116" s="93">
        <f>IF($A116="Feature",SUM(D116:E116)*'Roadmap setting'!$B$13,0)</f>
        <v>1.4</v>
      </c>
      <c r="D116" s="94">
        <v>2.0</v>
      </c>
      <c r="E116" s="94">
        <v>5.0</v>
      </c>
      <c r="F116" s="95">
        <f>IF($A116="Feature",IF('Roadmap setting'!$E$14,$E116*('Roadmap setting'!$B$14+'Roadmap setting'!$D$14),$E116*'Roadmap setting'!$B$14),0)</f>
        <v>0.75</v>
      </c>
      <c r="G116" s="93">
        <f>IF($A116="Feature",$D116*'Roadmap setting'!$B$15,0)</f>
        <v>0</v>
      </c>
      <c r="H116" s="95">
        <f>IF($A116="Feature",$E116*'Roadmap setting'!$B$16,0)</f>
        <v>0</v>
      </c>
      <c r="I116" s="93">
        <f>SUM($D116:$E116)*'Roadmap setting'!$B$17</f>
        <v>0.84</v>
      </c>
      <c r="J116" s="93">
        <f>SUM($D116:$E116)*'Roadmap setting'!$B$18</f>
        <v>0.07</v>
      </c>
      <c r="K116" s="93">
        <f>SUM($D116:$E116)*'Roadmap setting'!$B$19</f>
        <v>0</v>
      </c>
      <c r="L116" s="95">
        <f>SUM($D116:$E116)*'Roadmap setting'!$B$20</f>
        <v>0.14</v>
      </c>
      <c r="M116" s="79">
        <f t="shared" ref="M116:M120" si="23">SUM($C116:$F116)+SUM(G116:L116)</f>
        <v>10.2</v>
      </c>
      <c r="N116" s="96" t="b">
        <v>1</v>
      </c>
      <c r="O116" s="97">
        <v>0.2</v>
      </c>
      <c r="P116" s="97">
        <v>0.5</v>
      </c>
      <c r="Q116" s="97">
        <v>0.21</v>
      </c>
      <c r="R116" s="97">
        <v>0.14</v>
      </c>
      <c r="S116" s="97">
        <v>0.07</v>
      </c>
      <c r="T116" s="97">
        <v>0.28</v>
      </c>
      <c r="U116" s="99">
        <v>10.35</v>
      </c>
      <c r="V116" s="96" t="b">
        <v>1</v>
      </c>
      <c r="W116" s="97">
        <v>0.3</v>
      </c>
      <c r="X116" s="97">
        <v>0.75</v>
      </c>
      <c r="Y116" s="97">
        <v>0.28</v>
      </c>
      <c r="Z116" s="97">
        <v>0.21</v>
      </c>
      <c r="AA116" s="97">
        <v>0.14</v>
      </c>
      <c r="AB116" s="97">
        <v>0.42</v>
      </c>
      <c r="AC116" s="99">
        <v>11.05</v>
      </c>
      <c r="AD116" s="96" t="b">
        <v>1</v>
      </c>
      <c r="AE116" s="97">
        <v>0.4</v>
      </c>
      <c r="AF116" s="97">
        <v>1.0</v>
      </c>
      <c r="AG116" s="97">
        <v>0.35</v>
      </c>
      <c r="AH116" s="97">
        <v>0.28</v>
      </c>
      <c r="AI116" s="97">
        <v>0.21</v>
      </c>
      <c r="AJ116" s="97">
        <v>0.56</v>
      </c>
      <c r="AK116" s="99">
        <v>11.75</v>
      </c>
      <c r="AL116" s="96" t="b">
        <v>1</v>
      </c>
      <c r="AM116" s="80">
        <f t="array" ref="AM116">INDEX(A116:AL116, MATCH(RIGHT('Roadmap setting'!$B$9, 3), $A$2:$AL$2, 0) - 1)
</f>
        <v>10.2</v>
      </c>
      <c r="AN116" s="82">
        <f t="array" ref="AN116">IFNA(LOOKUP(2,1/(ISNUMBER(AN110:AN115)),AN110:AN115)+(D116/(Resources!$P$55/7)),Today()+(D116/(Resources!$P$55/7)))</f>
        <v>45794.40571</v>
      </c>
      <c r="AO116" s="82">
        <f t="array" ref="AO116">IFNA(LOOKUP(2,1/(ISNUMBER(AO110:AO115)),AO110:AO115)+(E116/(Resources!$P$56/7)),Today()+(E116/(Resources!$P$56/7)))</f>
        <v>45813.18881</v>
      </c>
      <c r="AP116" s="82">
        <f t="array" ref="AP116">IF(ISNUMBER($AT116),IFNA(LOOKUP(2,1/(ISNUMBER(AP110:AP115)),AP110:AP115),Today()),IFNA(LOOKUP(2,1/(ISNUMBER(AP110:AP115)),AP110:AP115)+(D116/(Resources!$E$55/7)),Today()+(D116/(Resources!$E$55/7))))</f>
        <v>45812.68568</v>
      </c>
      <c r="AQ116" s="82">
        <f t="array" ref="AQ116">IF(ISNUMBER($AT116),IFNA(LOOKUP(2,1/(ISNUMBER(AQ110:AQ115)),AQ110:AQ115),Today()),IFNA(LOOKUP(2,1/(ISNUMBER(AQ110:AQ115)),AQ110:AQ115)+(E116/(Resources!$E$56/7)),Today()+(E116/(Resources!$E$56/7))))</f>
        <v>45837.7236</v>
      </c>
      <c r="AR116" s="226">
        <f t="shared" ref="AR116:AR120" si="24">IFERROR(MAX(AP116,AQ116),"")</f>
        <v>45837.7236</v>
      </c>
      <c r="AS116" s="82"/>
      <c r="AT116" s="82"/>
      <c r="AU116" s="83"/>
    </row>
    <row r="117" ht="15.0" customHeight="1">
      <c r="A117" s="83" t="s">
        <v>97</v>
      </c>
      <c r="B117" s="110" t="s">
        <v>940</v>
      </c>
      <c r="C117" s="93">
        <f>IF($A117="Feature",SUM(D117:E117)*'Roadmap setting'!$B$13,0)</f>
        <v>1.4</v>
      </c>
      <c r="D117" s="94">
        <v>2.0</v>
      </c>
      <c r="E117" s="94">
        <v>5.0</v>
      </c>
      <c r="F117" s="95">
        <f>IF($A117="Feature",IF('Roadmap setting'!$E$14,$E117*('Roadmap setting'!$B$14+'Roadmap setting'!$D$14),$E117*'Roadmap setting'!$B$14),0)</f>
        <v>0.75</v>
      </c>
      <c r="G117" s="93">
        <f>IF($A117="Feature",$D117*'Roadmap setting'!$B$15,0)</f>
        <v>0</v>
      </c>
      <c r="H117" s="95">
        <f>IF($A117="Feature",$E117*'Roadmap setting'!$B$16,0)</f>
        <v>0</v>
      </c>
      <c r="I117" s="93">
        <f>SUM($D117:$E117)*'Roadmap setting'!$B$17</f>
        <v>0.84</v>
      </c>
      <c r="J117" s="93">
        <f>SUM($D117:$E117)*'Roadmap setting'!$B$18</f>
        <v>0.07</v>
      </c>
      <c r="K117" s="93">
        <f>SUM($D117:$E117)*'Roadmap setting'!$B$19</f>
        <v>0</v>
      </c>
      <c r="L117" s="95">
        <f>SUM($D117:$E117)*'Roadmap setting'!$B$20</f>
        <v>0.14</v>
      </c>
      <c r="M117" s="79">
        <f t="shared" si="23"/>
        <v>10.2</v>
      </c>
      <c r="N117" s="96" t="b">
        <v>1</v>
      </c>
      <c r="O117" s="97">
        <v>0.2</v>
      </c>
      <c r="P117" s="97">
        <v>0.5</v>
      </c>
      <c r="Q117" s="97">
        <v>0.21</v>
      </c>
      <c r="R117" s="97">
        <v>0.14</v>
      </c>
      <c r="S117" s="97">
        <v>0.07</v>
      </c>
      <c r="T117" s="97">
        <v>0.28</v>
      </c>
      <c r="U117" s="99">
        <v>10.35</v>
      </c>
      <c r="V117" s="96" t="b">
        <v>1</v>
      </c>
      <c r="W117" s="97">
        <v>0.3</v>
      </c>
      <c r="X117" s="97">
        <v>0.75</v>
      </c>
      <c r="Y117" s="97">
        <v>0.28</v>
      </c>
      <c r="Z117" s="97">
        <v>0.21</v>
      </c>
      <c r="AA117" s="97">
        <v>0.14</v>
      </c>
      <c r="AB117" s="97">
        <v>0.42</v>
      </c>
      <c r="AC117" s="99">
        <v>11.05</v>
      </c>
      <c r="AD117" s="96" t="b">
        <v>1</v>
      </c>
      <c r="AE117" s="97">
        <v>0.4</v>
      </c>
      <c r="AF117" s="97">
        <v>1.0</v>
      </c>
      <c r="AG117" s="97">
        <v>0.35</v>
      </c>
      <c r="AH117" s="97">
        <v>0.28</v>
      </c>
      <c r="AI117" s="97">
        <v>0.21</v>
      </c>
      <c r="AJ117" s="97">
        <v>0.56</v>
      </c>
      <c r="AK117" s="99">
        <v>11.75</v>
      </c>
      <c r="AL117" s="96" t="b">
        <v>1</v>
      </c>
      <c r="AM117" s="80">
        <f t="array" ref="AM117">INDEX(A117:AL117, MATCH(RIGHT('Roadmap setting'!$B$9, 3), $A$2:$AL$2, 0) - 1)
</f>
        <v>10.2</v>
      </c>
      <c r="AN117" s="82">
        <f t="array" ref="AN117">IFNA(LOOKUP(2,1/(ISNUMBER(AN111:AN116)),AN111:AN116)+(D117/(Resources!$P$55/7)),Today()+(D117/(Resources!$P$55/7)))</f>
        <v>45794.65436</v>
      </c>
      <c r="AO117" s="82">
        <f t="array" ref="AO117">IFNA(LOOKUP(2,1/(ISNUMBER(AO111:AO116)),AO111:AO116)+(E117/(Resources!$P$56/7)),Today()+(E117/(Resources!$P$56/7)))</f>
        <v>45814.2169</v>
      </c>
      <c r="AP117" s="82">
        <f t="array" ref="AP117">IF(ISNUMBER($AT117),IFNA(LOOKUP(2,1/(ISNUMBER(AP111:AP116)),AP111:AP116),Today()),IFNA(LOOKUP(2,1/(ISNUMBER(AP111:AP116)),AP111:AP116)+(D117/(Resources!$E$55/7)),Today()+(D117/(Resources!$E$55/7))))</f>
        <v>45813.19548</v>
      </c>
      <c r="AQ117" s="82">
        <f t="array" ref="AQ117">IF(ISNUMBER($AT117),IFNA(LOOKUP(2,1/(ISNUMBER(AQ111:AQ116)),AQ111:AQ116),Today()),IFNA(LOOKUP(2,1/(ISNUMBER(AQ111:AQ116)),AQ111:AQ116)+(E117/(Resources!$E$56/7)),Today()+(E117/(Resources!$E$56/7))))</f>
        <v>45839.4487</v>
      </c>
      <c r="AR117" s="226">
        <f t="shared" si="24"/>
        <v>45839.4487</v>
      </c>
      <c r="AS117" s="82"/>
      <c r="AT117" s="82"/>
      <c r="AU117" s="83"/>
    </row>
    <row r="118" ht="15.0" customHeight="1">
      <c r="A118" s="83" t="s">
        <v>97</v>
      </c>
      <c r="B118" s="110" t="s">
        <v>941</v>
      </c>
      <c r="C118" s="93">
        <f>IF($A118="Feature",SUM(D118:E118)*'Roadmap setting'!$B$13,0)</f>
        <v>1.6</v>
      </c>
      <c r="D118" s="94">
        <v>3.0</v>
      </c>
      <c r="E118" s="94">
        <v>5.0</v>
      </c>
      <c r="F118" s="95">
        <f>IF($A118="Feature",IF('Roadmap setting'!$E$14,$E118*('Roadmap setting'!$B$14+'Roadmap setting'!$D$14),$E118*'Roadmap setting'!$B$14),0)</f>
        <v>0.75</v>
      </c>
      <c r="G118" s="93">
        <f>IF($A118="Feature",$D118*'Roadmap setting'!$B$15,0)</f>
        <v>0</v>
      </c>
      <c r="H118" s="95">
        <f>IF($A118="Feature",$E118*'Roadmap setting'!$B$16,0)</f>
        <v>0</v>
      </c>
      <c r="I118" s="93">
        <f>SUM($D118:$E118)*'Roadmap setting'!$B$17</f>
        <v>0.96</v>
      </c>
      <c r="J118" s="93">
        <f>SUM($D118:$E118)*'Roadmap setting'!$B$18</f>
        <v>0.08</v>
      </c>
      <c r="K118" s="93">
        <f>SUM($D118:$E118)*'Roadmap setting'!$B$19</f>
        <v>0</v>
      </c>
      <c r="L118" s="95">
        <f>SUM($D118:$E118)*'Roadmap setting'!$B$20</f>
        <v>0.16</v>
      </c>
      <c r="M118" s="79">
        <f t="shared" si="23"/>
        <v>11.55</v>
      </c>
      <c r="N118" s="96" t="b">
        <v>0</v>
      </c>
      <c r="O118" s="97">
        <v>0.3</v>
      </c>
      <c r="P118" s="97">
        <v>0.5</v>
      </c>
      <c r="Q118" s="97">
        <v>0.24</v>
      </c>
      <c r="R118" s="97">
        <v>0.16</v>
      </c>
      <c r="S118" s="97">
        <v>0.08</v>
      </c>
      <c r="T118" s="97">
        <v>0.32</v>
      </c>
      <c r="U118" s="99">
        <v>11.65</v>
      </c>
      <c r="V118" s="96" t="b">
        <v>1</v>
      </c>
      <c r="W118" s="97">
        <v>0.45</v>
      </c>
      <c r="X118" s="97">
        <v>0.75</v>
      </c>
      <c r="Y118" s="97">
        <v>0.32</v>
      </c>
      <c r="Z118" s="97">
        <v>0.24</v>
      </c>
      <c r="AA118" s="97">
        <v>0.16</v>
      </c>
      <c r="AB118" s="97">
        <v>0.48</v>
      </c>
      <c r="AC118" s="99">
        <v>12.45</v>
      </c>
      <c r="AD118" s="96" t="b">
        <v>1</v>
      </c>
      <c r="AE118" s="97">
        <v>0.6</v>
      </c>
      <c r="AF118" s="97">
        <v>1.0</v>
      </c>
      <c r="AG118" s="97">
        <v>0.4</v>
      </c>
      <c r="AH118" s="97">
        <v>0.32</v>
      </c>
      <c r="AI118" s="97">
        <v>0.24</v>
      </c>
      <c r="AJ118" s="97">
        <v>0.64</v>
      </c>
      <c r="AK118" s="99">
        <v>13.25</v>
      </c>
      <c r="AL118" s="96" t="b">
        <v>1</v>
      </c>
      <c r="AM118" s="80">
        <f t="array" ref="AM118">INDEX(A118:AL118, MATCH(RIGHT('Roadmap setting'!$B$9, 3), $A$2:$AL$2, 0) - 1)
</f>
        <v>11.55</v>
      </c>
      <c r="AN118" s="82">
        <f t="array" ref="AN118">IFNA(LOOKUP(2,1/(ISNUMBER(AN112:AN117)),AN112:AN117)+(D118/(Resources!$P$55/7)),Today()+(D118/(Resources!$P$55/7)))</f>
        <v>45795.02734</v>
      </c>
      <c r="AO118" s="82">
        <f t="array" ref="AO118">IFNA(LOOKUP(2,1/(ISNUMBER(AO112:AO117)),AO112:AO117)+(E118/(Resources!$P$56/7)),Today()+(E118/(Resources!$P$56/7)))</f>
        <v>45815.245</v>
      </c>
      <c r="AP118" s="82">
        <f t="array" ref="AP118">IF(ISNUMBER($AT118),IFNA(LOOKUP(2,1/(ISNUMBER(AP112:AP117)),AP112:AP117),Today()),IFNA(LOOKUP(2,1/(ISNUMBER(AP112:AP117)),AP112:AP117)+(D118/(Resources!$E$55/7)),Today()+(D118/(Resources!$E$55/7))))</f>
        <v>45813.96017</v>
      </c>
      <c r="AQ118" s="82">
        <f t="array" ref="AQ118">IF(ISNUMBER($AT118),IFNA(LOOKUP(2,1/(ISNUMBER(AQ112:AQ117)),AQ112:AQ117),Today()),IFNA(LOOKUP(2,1/(ISNUMBER(AQ112:AQ117)),AQ112:AQ117)+(E118/(Resources!$E$56/7)),Today()+(E118/(Resources!$E$56/7))))</f>
        <v>45841.17381</v>
      </c>
      <c r="AR118" s="226">
        <f t="shared" si="24"/>
        <v>45841.17381</v>
      </c>
      <c r="AS118" s="82"/>
      <c r="AT118" s="82"/>
      <c r="AU118" s="83"/>
    </row>
    <row r="119" ht="15.0" customHeight="1">
      <c r="A119" s="83" t="s">
        <v>97</v>
      </c>
      <c r="B119" s="110" t="s">
        <v>942</v>
      </c>
      <c r="C119" s="93">
        <f>IF($A119="Feature",SUM(D119:E119)*'Roadmap setting'!$B$13,0)</f>
        <v>2.6</v>
      </c>
      <c r="D119" s="94">
        <v>5.0</v>
      </c>
      <c r="E119" s="94">
        <v>8.0</v>
      </c>
      <c r="F119" s="95">
        <f>IF($A119="Feature",IF('Roadmap setting'!$E$14,$E119*('Roadmap setting'!$B$14+'Roadmap setting'!$D$14),$E119*'Roadmap setting'!$B$14),0)</f>
        <v>1.2</v>
      </c>
      <c r="G119" s="93">
        <f>IF($A119="Feature",$D119*'Roadmap setting'!$B$15,0)</f>
        <v>0</v>
      </c>
      <c r="H119" s="95">
        <f>IF($A119="Feature",$E119*'Roadmap setting'!$B$16,0)</f>
        <v>0</v>
      </c>
      <c r="I119" s="93">
        <f>SUM($D119:$E119)*'Roadmap setting'!$B$17</f>
        <v>1.56</v>
      </c>
      <c r="J119" s="93">
        <f>SUM($D119:$E119)*'Roadmap setting'!$B$18</f>
        <v>0.13</v>
      </c>
      <c r="K119" s="93">
        <f>SUM($D119:$E119)*'Roadmap setting'!$B$19</f>
        <v>0</v>
      </c>
      <c r="L119" s="95">
        <f>SUM($D119:$E119)*'Roadmap setting'!$B$20</f>
        <v>0.26</v>
      </c>
      <c r="M119" s="79">
        <f t="shared" si="23"/>
        <v>18.75</v>
      </c>
      <c r="N119" s="96" t="b">
        <v>1</v>
      </c>
      <c r="O119" s="97">
        <v>0.5</v>
      </c>
      <c r="P119" s="97">
        <v>0.8</v>
      </c>
      <c r="Q119" s="97">
        <v>0.39</v>
      </c>
      <c r="R119" s="97">
        <v>0.26</v>
      </c>
      <c r="S119" s="97">
        <v>0.13</v>
      </c>
      <c r="T119" s="97">
        <v>0.52</v>
      </c>
      <c r="U119" s="99">
        <v>18.9</v>
      </c>
      <c r="V119" s="96" t="b">
        <v>1</v>
      </c>
      <c r="W119" s="97">
        <v>0.75</v>
      </c>
      <c r="X119" s="97">
        <v>1.2</v>
      </c>
      <c r="Y119" s="97">
        <v>0.52</v>
      </c>
      <c r="Z119" s="97">
        <v>0.39</v>
      </c>
      <c r="AA119" s="97">
        <v>0.26</v>
      </c>
      <c r="AB119" s="97">
        <v>0.78</v>
      </c>
      <c r="AC119" s="99">
        <v>20.2</v>
      </c>
      <c r="AD119" s="96" t="b">
        <v>1</v>
      </c>
      <c r="AE119" s="97">
        <v>1.0</v>
      </c>
      <c r="AF119" s="97">
        <v>1.6</v>
      </c>
      <c r="AG119" s="97">
        <v>0.65</v>
      </c>
      <c r="AH119" s="97">
        <v>0.52</v>
      </c>
      <c r="AI119" s="97">
        <v>0.39</v>
      </c>
      <c r="AJ119" s="97">
        <v>1.04</v>
      </c>
      <c r="AK119" s="99">
        <v>21.5</v>
      </c>
      <c r="AL119" s="96" t="b">
        <v>1</v>
      </c>
      <c r="AM119" s="80">
        <f t="array" ref="AM119">INDEX(A119:AL119, MATCH(RIGHT('Roadmap setting'!$B$9, 3), $A$2:$AL$2, 0) - 1)
</f>
        <v>18.75</v>
      </c>
      <c r="AN119" s="82">
        <f t="array" ref="AN119">IFNA(LOOKUP(2,1/(ISNUMBER(AN113:AN118)),AN113:AN118)+(D119/(Resources!$P$55/7)),Today()+(D119/(Resources!$P$55/7)))</f>
        <v>45795.64898</v>
      </c>
      <c r="AO119" s="82">
        <f t="array" ref="AO119">IFNA(LOOKUP(2,1/(ISNUMBER(AO113:AO118)),AO113:AO118)+(E119/(Resources!$P$56/7)),Today()+(E119/(Resources!$P$56/7)))</f>
        <v>45816.88994</v>
      </c>
      <c r="AP119" s="82">
        <f t="array" ref="AP119">IF(ISNUMBER($AT119),IFNA(LOOKUP(2,1/(ISNUMBER(AP113:AP118)),AP113:AP118),Today()),IFNA(LOOKUP(2,1/(ISNUMBER(AP113:AP118)),AP113:AP118)+(D119/(Resources!$E$55/7)),Today()+(D119/(Resources!$E$55/7))))</f>
        <v>45815.23466</v>
      </c>
      <c r="AQ119" s="82">
        <f t="array" ref="AQ119">IF(ISNUMBER($AT119),IFNA(LOOKUP(2,1/(ISNUMBER(AQ113:AQ118)),AQ113:AQ118),Today()),IFNA(LOOKUP(2,1/(ISNUMBER(AQ113:AQ118)),AQ113:AQ118)+(E119/(Resources!$E$56/7)),Today()+(E119/(Resources!$E$56/7))))</f>
        <v>45843.93397</v>
      </c>
      <c r="AR119" s="226">
        <f t="shared" si="24"/>
        <v>45843.93397</v>
      </c>
      <c r="AS119" s="82"/>
      <c r="AT119" s="82"/>
      <c r="AU119" s="83"/>
    </row>
    <row r="120" ht="15.0" customHeight="1">
      <c r="A120" s="83" t="s">
        <v>97</v>
      </c>
      <c r="B120" s="110" t="s">
        <v>943</v>
      </c>
      <c r="C120" s="93">
        <f>IF($A120="Feature",SUM(D120:E120)*'Roadmap setting'!$B$13,0)</f>
        <v>2.6</v>
      </c>
      <c r="D120" s="94">
        <v>5.0</v>
      </c>
      <c r="E120" s="94">
        <v>8.0</v>
      </c>
      <c r="F120" s="95">
        <f>IF($A120="Feature",IF('Roadmap setting'!$E$14,$E120*('Roadmap setting'!$B$14+'Roadmap setting'!$D$14),$E120*'Roadmap setting'!$B$14),0)</f>
        <v>1.2</v>
      </c>
      <c r="G120" s="93">
        <f>IF($A120="Feature",$D120*'Roadmap setting'!$B$15,0)</f>
        <v>0</v>
      </c>
      <c r="H120" s="95">
        <f>IF($A120="Feature",$E120*'Roadmap setting'!$B$16,0)</f>
        <v>0</v>
      </c>
      <c r="I120" s="93">
        <f>SUM($D120:$E120)*'Roadmap setting'!$B$17</f>
        <v>1.56</v>
      </c>
      <c r="J120" s="93">
        <f>SUM($D120:$E120)*'Roadmap setting'!$B$18</f>
        <v>0.13</v>
      </c>
      <c r="K120" s="93">
        <f>SUM($D120:$E120)*'Roadmap setting'!$B$19</f>
        <v>0</v>
      </c>
      <c r="L120" s="95">
        <f>SUM($D120:$E120)*'Roadmap setting'!$B$20</f>
        <v>0.26</v>
      </c>
      <c r="M120" s="79">
        <f t="shared" si="23"/>
        <v>18.75</v>
      </c>
      <c r="N120" s="96" t="b">
        <v>1</v>
      </c>
      <c r="O120" s="97">
        <v>0.5</v>
      </c>
      <c r="P120" s="97">
        <v>0.8</v>
      </c>
      <c r="Q120" s="97">
        <v>0.39</v>
      </c>
      <c r="R120" s="97">
        <v>0.26</v>
      </c>
      <c r="S120" s="97">
        <v>0.13</v>
      </c>
      <c r="T120" s="97">
        <v>0.52</v>
      </c>
      <c r="U120" s="99">
        <v>18.9</v>
      </c>
      <c r="V120" s="96" t="b">
        <v>1</v>
      </c>
      <c r="W120" s="97">
        <v>0.75</v>
      </c>
      <c r="X120" s="97">
        <v>1.2</v>
      </c>
      <c r="Y120" s="97">
        <v>0.52</v>
      </c>
      <c r="Z120" s="97">
        <v>0.39</v>
      </c>
      <c r="AA120" s="97">
        <v>0.26</v>
      </c>
      <c r="AB120" s="97">
        <v>0.78</v>
      </c>
      <c r="AC120" s="99">
        <v>20.2</v>
      </c>
      <c r="AD120" s="96" t="b">
        <v>1</v>
      </c>
      <c r="AE120" s="97">
        <v>1.0</v>
      </c>
      <c r="AF120" s="97">
        <v>1.6</v>
      </c>
      <c r="AG120" s="97">
        <v>0.65</v>
      </c>
      <c r="AH120" s="97">
        <v>0.52</v>
      </c>
      <c r="AI120" s="97">
        <v>0.39</v>
      </c>
      <c r="AJ120" s="97">
        <v>1.04</v>
      </c>
      <c r="AK120" s="99">
        <v>21.5</v>
      </c>
      <c r="AL120" s="96" t="b">
        <v>1</v>
      </c>
      <c r="AM120" s="80">
        <f t="array" ref="AM120">INDEX(A120:AL120, MATCH(RIGHT('Roadmap setting'!$B$9, 3), $A$2:$AL$2, 0) - 1)
</f>
        <v>18.75</v>
      </c>
      <c r="AN120" s="82">
        <f t="array" ref="AN120">IFNA(LOOKUP(2,1/(ISNUMBER(AN114:AN119)),AN114:AN119)+(D120/(Resources!$P$55/7)),Today()+(D120/(Resources!$P$55/7)))</f>
        <v>45796.27061</v>
      </c>
      <c r="AO120" s="82">
        <f t="array" ref="AO120">IFNA(LOOKUP(2,1/(ISNUMBER(AO114:AO119)),AO114:AO119)+(E120/(Resources!$P$56/7)),Today()+(E120/(Resources!$P$56/7)))</f>
        <v>45818.53489</v>
      </c>
      <c r="AP120" s="82">
        <f t="array" ref="AP120">IF(ISNUMBER($AT120),IFNA(LOOKUP(2,1/(ISNUMBER(AP114:AP119)),AP114:AP119),Today()),IFNA(LOOKUP(2,1/(ISNUMBER(AP114:AP119)),AP114:AP119)+(D120/(Resources!$E$55/7)),Today()+(D120/(Resources!$E$55/7))))</f>
        <v>45816.50915</v>
      </c>
      <c r="AQ120" s="82">
        <f t="array" ref="AQ120">IF(ISNUMBER($AT120),IFNA(LOOKUP(2,1/(ISNUMBER(AQ114:AQ119)),AQ114:AQ119),Today()),IFNA(LOOKUP(2,1/(ISNUMBER(AQ114:AQ119)),AQ114:AQ119)+(E120/(Resources!$E$56/7)),Today()+(E120/(Resources!$E$56/7))))</f>
        <v>45846.69413</v>
      </c>
      <c r="AR120" s="226">
        <f t="shared" si="24"/>
        <v>45846.69413</v>
      </c>
      <c r="AS120" s="82"/>
      <c r="AT120" s="82"/>
      <c r="AU120" s="83"/>
    </row>
    <row r="121" ht="15.0" customHeight="1">
      <c r="A121" s="72"/>
      <c r="B121" s="91" t="s">
        <v>944</v>
      </c>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c r="AA121" s="72"/>
      <c r="AB121" s="72"/>
      <c r="AC121" s="72"/>
      <c r="AD121" s="72"/>
      <c r="AE121" s="72"/>
      <c r="AF121" s="72"/>
      <c r="AG121" s="72"/>
      <c r="AH121" s="72"/>
      <c r="AI121" s="72"/>
      <c r="AJ121" s="72"/>
      <c r="AK121" s="72"/>
      <c r="AL121" s="72"/>
      <c r="AM121" s="72"/>
      <c r="AN121" s="72"/>
      <c r="AO121" s="72"/>
      <c r="AP121" s="72"/>
      <c r="AQ121" s="72"/>
      <c r="AR121" s="72"/>
      <c r="AS121" s="72"/>
      <c r="AT121" s="72"/>
      <c r="AU121" s="72"/>
    </row>
    <row r="122" ht="15.0" customHeight="1">
      <c r="A122" s="83" t="s">
        <v>97</v>
      </c>
      <c r="B122" s="110" t="s">
        <v>945</v>
      </c>
      <c r="C122" s="93">
        <f>IF($A122="Feature",SUM(D122:E122)*'Roadmap setting'!$B$13,0)</f>
        <v>1.4</v>
      </c>
      <c r="D122" s="94">
        <v>2.0</v>
      </c>
      <c r="E122" s="94">
        <v>5.0</v>
      </c>
      <c r="F122" s="95">
        <f>IF($A122="Feature",IF('Roadmap setting'!$E$14,$E122*('Roadmap setting'!$B$14+'Roadmap setting'!$D$14),$E122*'Roadmap setting'!$B$14),0)</f>
        <v>0.75</v>
      </c>
      <c r="G122" s="93">
        <f>IF($A122="Feature",$D122*'Roadmap setting'!$B$15,0)</f>
        <v>0</v>
      </c>
      <c r="H122" s="95">
        <f>IF($A122="Feature",$E122*'Roadmap setting'!$B$16,0)</f>
        <v>0</v>
      </c>
      <c r="I122" s="93">
        <f>SUM($D122:$E122)*'Roadmap setting'!$B$17</f>
        <v>0.84</v>
      </c>
      <c r="J122" s="93">
        <f>SUM($D122:$E122)*'Roadmap setting'!$B$18</f>
        <v>0.07</v>
      </c>
      <c r="K122" s="93">
        <f>SUM($D122:$E122)*'Roadmap setting'!$B$19</f>
        <v>0</v>
      </c>
      <c r="L122" s="95">
        <f>SUM($D122:$E122)*'Roadmap setting'!$B$20</f>
        <v>0.14</v>
      </c>
      <c r="M122" s="79">
        <f t="shared" ref="M122:M124" si="25">SUM($C122:$F122)+SUM(G122:L122)</f>
        <v>10.2</v>
      </c>
      <c r="N122" s="96" t="b">
        <v>1</v>
      </c>
      <c r="O122" s="97">
        <v>0.2</v>
      </c>
      <c r="P122" s="97">
        <v>0.5</v>
      </c>
      <c r="Q122" s="97">
        <v>0.21</v>
      </c>
      <c r="R122" s="97">
        <v>0.14</v>
      </c>
      <c r="S122" s="97">
        <v>0.07</v>
      </c>
      <c r="T122" s="97">
        <v>0.28</v>
      </c>
      <c r="U122" s="99">
        <v>10.35</v>
      </c>
      <c r="V122" s="96" t="b">
        <v>1</v>
      </c>
      <c r="W122" s="97">
        <v>0.3</v>
      </c>
      <c r="X122" s="97">
        <v>0.75</v>
      </c>
      <c r="Y122" s="97">
        <v>0.28</v>
      </c>
      <c r="Z122" s="97">
        <v>0.21</v>
      </c>
      <c r="AA122" s="97">
        <v>0.14</v>
      </c>
      <c r="AB122" s="97">
        <v>0.42</v>
      </c>
      <c r="AC122" s="99">
        <v>11.05</v>
      </c>
      <c r="AD122" s="96" t="b">
        <v>1</v>
      </c>
      <c r="AE122" s="97">
        <v>0.4</v>
      </c>
      <c r="AF122" s="97">
        <v>1.0</v>
      </c>
      <c r="AG122" s="97">
        <v>0.35</v>
      </c>
      <c r="AH122" s="97">
        <v>0.28</v>
      </c>
      <c r="AI122" s="97">
        <v>0.21</v>
      </c>
      <c r="AJ122" s="97">
        <v>0.56</v>
      </c>
      <c r="AK122" s="99">
        <v>11.75</v>
      </c>
      <c r="AL122" s="96" t="b">
        <v>1</v>
      </c>
      <c r="AM122" s="80">
        <f t="array" ref="AM122">INDEX(A122:AL122, MATCH(RIGHT('Roadmap setting'!$B$9, 3), $A$2:$AL$2, 0) - 1)
</f>
        <v>10.2</v>
      </c>
      <c r="AN122" s="82">
        <f t="array" ref="AN122">IFNA(LOOKUP(2,1/(ISNUMBER(AN116:AN121)),AN116:AN121)+(D122/(Resources!$P$55/7)),Today()+(D122/(Resources!$P$55/7)))</f>
        <v>45796.51926</v>
      </c>
      <c r="AO122" s="82">
        <f t="array" ref="AO122">IFNA(LOOKUP(2,1/(ISNUMBER(AO116:AO121)),AO116:AO121)+(E122/(Resources!$P$56/7)),Today()+(E122/(Resources!$P$56/7)))</f>
        <v>45819.56298</v>
      </c>
      <c r="AP122" s="82">
        <f t="array" ref="AP122">IF(ISNUMBER($AT122),IFNA(LOOKUP(2,1/(ISNUMBER(AP116:AP121)),AP116:AP121),Today()),IFNA(LOOKUP(2,1/(ISNUMBER(AP116:AP121)),AP116:AP121)+(D122/(Resources!$E$55/7)),Today()+(D122/(Resources!$E$55/7))))</f>
        <v>45817.01894</v>
      </c>
      <c r="AQ122" s="82">
        <f t="array" ref="AQ122">IF(ISNUMBER($AT122),IFNA(LOOKUP(2,1/(ISNUMBER(AQ116:AQ121)),AQ116:AQ121),Today()),IFNA(LOOKUP(2,1/(ISNUMBER(AQ116:AQ121)),AQ116:AQ121)+(E122/(Resources!$E$56/7)),Today()+(E122/(Resources!$E$56/7))))</f>
        <v>45848.41924</v>
      </c>
      <c r="AR122" s="226">
        <f t="shared" ref="AR122:AR124" si="26">IFERROR(MAX(AP122,AQ122),"")</f>
        <v>45848.41924</v>
      </c>
      <c r="AS122" s="82"/>
      <c r="AT122" s="82"/>
      <c r="AU122" s="83"/>
    </row>
    <row r="123" ht="15.0" customHeight="1">
      <c r="A123" s="83" t="s">
        <v>97</v>
      </c>
      <c r="B123" s="110" t="s">
        <v>946</v>
      </c>
      <c r="C123" s="93">
        <f>IF($A123="Feature",SUM(D123:E123)*'Roadmap setting'!$B$13,0)</f>
        <v>1.4</v>
      </c>
      <c r="D123" s="94">
        <v>2.0</v>
      </c>
      <c r="E123" s="94">
        <v>5.0</v>
      </c>
      <c r="F123" s="95">
        <f>IF($A123="Feature",IF('Roadmap setting'!$E$14,$E123*('Roadmap setting'!$B$14+'Roadmap setting'!$D$14),$E123*'Roadmap setting'!$B$14),0)</f>
        <v>0.75</v>
      </c>
      <c r="G123" s="93">
        <f>IF($A123="Feature",$D123*'Roadmap setting'!$B$15,0)</f>
        <v>0</v>
      </c>
      <c r="H123" s="95">
        <f>IF($A123="Feature",$E123*'Roadmap setting'!$B$16,0)</f>
        <v>0</v>
      </c>
      <c r="I123" s="93">
        <f>SUM($D123:$E123)*'Roadmap setting'!$B$17</f>
        <v>0.84</v>
      </c>
      <c r="J123" s="93">
        <f>SUM($D123:$E123)*'Roadmap setting'!$B$18</f>
        <v>0.07</v>
      </c>
      <c r="K123" s="93">
        <f>SUM($D123:$E123)*'Roadmap setting'!$B$19</f>
        <v>0</v>
      </c>
      <c r="L123" s="95">
        <f>SUM($D123:$E123)*'Roadmap setting'!$B$20</f>
        <v>0.14</v>
      </c>
      <c r="M123" s="79">
        <f t="shared" si="25"/>
        <v>10.2</v>
      </c>
      <c r="N123" s="96" t="b">
        <v>1</v>
      </c>
      <c r="O123" s="97">
        <v>0.2</v>
      </c>
      <c r="P123" s="97">
        <v>0.5</v>
      </c>
      <c r="Q123" s="97">
        <v>0.21</v>
      </c>
      <c r="R123" s="97">
        <v>0.14</v>
      </c>
      <c r="S123" s="97">
        <v>0.07</v>
      </c>
      <c r="T123" s="97">
        <v>0.28</v>
      </c>
      <c r="U123" s="99">
        <v>10.35</v>
      </c>
      <c r="V123" s="96" t="b">
        <v>1</v>
      </c>
      <c r="W123" s="97">
        <v>0.3</v>
      </c>
      <c r="X123" s="97">
        <v>0.75</v>
      </c>
      <c r="Y123" s="97">
        <v>0.28</v>
      </c>
      <c r="Z123" s="97">
        <v>0.21</v>
      </c>
      <c r="AA123" s="97">
        <v>0.14</v>
      </c>
      <c r="AB123" s="97">
        <v>0.42</v>
      </c>
      <c r="AC123" s="99">
        <v>11.05</v>
      </c>
      <c r="AD123" s="96" t="b">
        <v>1</v>
      </c>
      <c r="AE123" s="97">
        <v>0.4</v>
      </c>
      <c r="AF123" s="97">
        <v>1.0</v>
      </c>
      <c r="AG123" s="97">
        <v>0.35</v>
      </c>
      <c r="AH123" s="97">
        <v>0.28</v>
      </c>
      <c r="AI123" s="97">
        <v>0.21</v>
      </c>
      <c r="AJ123" s="97">
        <v>0.56</v>
      </c>
      <c r="AK123" s="99">
        <v>11.75</v>
      </c>
      <c r="AL123" s="96" t="b">
        <v>1</v>
      </c>
      <c r="AM123" s="80">
        <f t="array" ref="AM123">INDEX(A123:AL123, MATCH(RIGHT('Roadmap setting'!$B$9, 3), $A$2:$AL$2, 0) - 1)
</f>
        <v>10.2</v>
      </c>
      <c r="AN123" s="82">
        <f t="array" ref="AN123">IFNA(LOOKUP(2,1/(ISNUMBER(AN117:AN122)),AN117:AN122)+(D123/(Resources!$P$55/7)),Today()+(D123/(Resources!$P$55/7)))</f>
        <v>45796.76792</v>
      </c>
      <c r="AO123" s="82">
        <f t="array" ref="AO123">IFNA(LOOKUP(2,1/(ISNUMBER(AO117:AO122)),AO117:AO122)+(E123/(Resources!$P$56/7)),Today()+(E123/(Resources!$P$56/7)))</f>
        <v>45820.59107</v>
      </c>
      <c r="AP123" s="82">
        <f t="array" ref="AP123">IF(ISNUMBER($AT123),IFNA(LOOKUP(2,1/(ISNUMBER(AP117:AP122)),AP117:AP122),Today()),IFNA(LOOKUP(2,1/(ISNUMBER(AP117:AP122)),AP117:AP122)+(D123/(Resources!$E$55/7)),Today()+(D123/(Resources!$E$55/7))))</f>
        <v>45817.52874</v>
      </c>
      <c r="AQ123" s="82">
        <f t="array" ref="AQ123">IF(ISNUMBER($AT123),IFNA(LOOKUP(2,1/(ISNUMBER(AQ117:AQ122)),AQ117:AQ122),Today()),IFNA(LOOKUP(2,1/(ISNUMBER(AQ117:AQ122)),AQ117:AQ122)+(E123/(Resources!$E$56/7)),Today()+(E123/(Resources!$E$56/7))))</f>
        <v>45850.14434</v>
      </c>
      <c r="AR123" s="226">
        <f t="shared" si="26"/>
        <v>45850.14434</v>
      </c>
      <c r="AS123" s="82"/>
      <c r="AT123" s="82"/>
      <c r="AU123" s="83"/>
    </row>
    <row r="124" ht="15.0" customHeight="1">
      <c r="A124" s="83" t="s">
        <v>97</v>
      </c>
      <c r="B124" s="110" t="s">
        <v>947</v>
      </c>
      <c r="C124" s="93">
        <f>IF($A124="Feature",SUM(D124:E124)*'Roadmap setting'!$B$13,0)</f>
        <v>1.6</v>
      </c>
      <c r="D124" s="94">
        <v>3.0</v>
      </c>
      <c r="E124" s="94">
        <v>5.0</v>
      </c>
      <c r="F124" s="95">
        <f>IF($A124="Feature",IF('Roadmap setting'!$E$14,$E124*('Roadmap setting'!$B$14+'Roadmap setting'!$D$14),$E124*'Roadmap setting'!$B$14),0)</f>
        <v>0.75</v>
      </c>
      <c r="G124" s="93">
        <f>IF($A124="Feature",$D124*'Roadmap setting'!$B$15,0)</f>
        <v>0</v>
      </c>
      <c r="H124" s="95">
        <f>IF($A124="Feature",$E124*'Roadmap setting'!$B$16,0)</f>
        <v>0</v>
      </c>
      <c r="I124" s="93">
        <f>SUM($D124:$E124)*'Roadmap setting'!$B$17</f>
        <v>0.96</v>
      </c>
      <c r="J124" s="93">
        <f>SUM($D124:$E124)*'Roadmap setting'!$B$18</f>
        <v>0.08</v>
      </c>
      <c r="K124" s="93">
        <f>SUM($D124:$E124)*'Roadmap setting'!$B$19</f>
        <v>0</v>
      </c>
      <c r="L124" s="95">
        <f>SUM($D124:$E124)*'Roadmap setting'!$B$20</f>
        <v>0.16</v>
      </c>
      <c r="M124" s="79">
        <f t="shared" si="25"/>
        <v>11.55</v>
      </c>
      <c r="N124" s="96" t="b">
        <v>0</v>
      </c>
      <c r="O124" s="97">
        <v>0.3</v>
      </c>
      <c r="P124" s="97">
        <v>0.5</v>
      </c>
      <c r="Q124" s="97">
        <v>0.24</v>
      </c>
      <c r="R124" s="97">
        <v>0.16</v>
      </c>
      <c r="S124" s="97">
        <v>0.08</v>
      </c>
      <c r="T124" s="97">
        <v>0.32</v>
      </c>
      <c r="U124" s="99">
        <v>11.65</v>
      </c>
      <c r="V124" s="96" t="b">
        <v>1</v>
      </c>
      <c r="W124" s="97">
        <v>0.45</v>
      </c>
      <c r="X124" s="97">
        <v>0.75</v>
      </c>
      <c r="Y124" s="97">
        <v>0.32</v>
      </c>
      <c r="Z124" s="97">
        <v>0.24</v>
      </c>
      <c r="AA124" s="97">
        <v>0.16</v>
      </c>
      <c r="AB124" s="97">
        <v>0.48</v>
      </c>
      <c r="AC124" s="99">
        <v>12.45</v>
      </c>
      <c r="AD124" s="96" t="b">
        <v>1</v>
      </c>
      <c r="AE124" s="97">
        <v>0.6</v>
      </c>
      <c r="AF124" s="97">
        <v>1.0</v>
      </c>
      <c r="AG124" s="97">
        <v>0.4</v>
      </c>
      <c r="AH124" s="97">
        <v>0.32</v>
      </c>
      <c r="AI124" s="97">
        <v>0.24</v>
      </c>
      <c r="AJ124" s="97">
        <v>0.64</v>
      </c>
      <c r="AK124" s="99">
        <v>13.25</v>
      </c>
      <c r="AL124" s="96" t="b">
        <v>1</v>
      </c>
      <c r="AM124" s="80">
        <f t="array" ref="AM124">INDEX(A124:AL124, MATCH(RIGHT('Roadmap setting'!$B$9, 3), $A$2:$AL$2, 0) - 1)
</f>
        <v>11.55</v>
      </c>
      <c r="AN124" s="82">
        <f t="array" ref="AN124">IFNA(LOOKUP(2,1/(ISNUMBER(AN118:AN123)),AN118:AN123)+(D124/(Resources!$P$55/7)),Today()+(D124/(Resources!$P$55/7)))</f>
        <v>45797.14089</v>
      </c>
      <c r="AO124" s="82">
        <f t="array" ref="AO124">IFNA(LOOKUP(2,1/(ISNUMBER(AO118:AO123)),AO118:AO123)+(E124/(Resources!$P$56/7)),Today()+(E124/(Resources!$P$56/7)))</f>
        <v>45821.61916</v>
      </c>
      <c r="AP124" s="82">
        <f t="array" ref="AP124">IF(ISNUMBER($AT124),IFNA(LOOKUP(2,1/(ISNUMBER(AP118:AP123)),AP118:AP123),Today()),IFNA(LOOKUP(2,1/(ISNUMBER(AP118:AP123)),AP118:AP123)+(D124/(Resources!$E$55/7)),Today()+(D124/(Resources!$E$55/7))))</f>
        <v>45818.29343</v>
      </c>
      <c r="AQ124" s="82">
        <f t="array" ref="AQ124">IF(ISNUMBER($AT124),IFNA(LOOKUP(2,1/(ISNUMBER(AQ118:AQ123)),AQ118:AQ123),Today()),IFNA(LOOKUP(2,1/(ISNUMBER(AQ118:AQ123)),AQ118:AQ123)+(E124/(Resources!$E$56/7)),Today()+(E124/(Resources!$E$56/7))))</f>
        <v>45851.86944</v>
      </c>
      <c r="AR124" s="226">
        <f t="shared" si="26"/>
        <v>45851.86944</v>
      </c>
      <c r="AS124" s="82"/>
      <c r="AT124" s="82"/>
      <c r="AU124" s="83"/>
    </row>
    <row r="125" ht="15.0" customHeight="1">
      <c r="A125" s="72"/>
      <c r="B125" s="91" t="s">
        <v>948</v>
      </c>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c r="AD125" s="72"/>
      <c r="AE125" s="72"/>
      <c r="AF125" s="72"/>
      <c r="AG125" s="72"/>
      <c r="AH125" s="72"/>
      <c r="AI125" s="72"/>
      <c r="AJ125" s="72"/>
      <c r="AK125" s="72"/>
      <c r="AL125" s="72"/>
      <c r="AM125" s="72"/>
      <c r="AN125" s="72"/>
      <c r="AO125" s="72"/>
      <c r="AP125" s="72"/>
      <c r="AQ125" s="72"/>
      <c r="AR125" s="72"/>
      <c r="AS125" s="72"/>
      <c r="AT125" s="72"/>
      <c r="AU125" s="72"/>
    </row>
    <row r="126" ht="15.0" customHeight="1">
      <c r="A126" s="83" t="s">
        <v>97</v>
      </c>
      <c r="B126" s="110" t="s">
        <v>949</v>
      </c>
      <c r="C126" s="93">
        <f>IF($A126="Feature",SUM(D126:E126)*'Roadmap setting'!$B$13,0)</f>
        <v>1.4</v>
      </c>
      <c r="D126" s="94">
        <v>2.0</v>
      </c>
      <c r="E126" s="94">
        <v>5.0</v>
      </c>
      <c r="F126" s="95">
        <f>IF($A126="Feature",IF('Roadmap setting'!$E$14,$E126*('Roadmap setting'!$B$14+'Roadmap setting'!$D$14),$E126*'Roadmap setting'!$B$14),0)</f>
        <v>0.75</v>
      </c>
      <c r="G126" s="93">
        <f>IF($A126="Feature",$D126*'Roadmap setting'!$B$15,0)</f>
        <v>0</v>
      </c>
      <c r="H126" s="95">
        <f>IF($A126="Feature",$E126*'Roadmap setting'!$B$16,0)</f>
        <v>0</v>
      </c>
      <c r="I126" s="93">
        <f>SUM($D126:$E126)*'Roadmap setting'!$B$17</f>
        <v>0.84</v>
      </c>
      <c r="J126" s="93">
        <f>SUM($D126:$E126)*'Roadmap setting'!$B$18</f>
        <v>0.07</v>
      </c>
      <c r="K126" s="93">
        <f>SUM($D126:$E126)*'Roadmap setting'!$B$19</f>
        <v>0</v>
      </c>
      <c r="L126" s="95">
        <f>SUM($D126:$E126)*'Roadmap setting'!$B$20</f>
        <v>0.14</v>
      </c>
      <c r="M126" s="79">
        <f t="shared" ref="M126:M128" si="27">SUM($C126:$F126)+SUM(G126:L126)</f>
        <v>10.2</v>
      </c>
      <c r="N126" s="96" t="b">
        <v>1</v>
      </c>
      <c r="O126" s="97">
        <v>0.2</v>
      </c>
      <c r="P126" s="97">
        <v>0.5</v>
      </c>
      <c r="Q126" s="97">
        <v>0.21</v>
      </c>
      <c r="R126" s="97">
        <v>0.14</v>
      </c>
      <c r="S126" s="97">
        <v>0.07</v>
      </c>
      <c r="T126" s="97">
        <v>0.28</v>
      </c>
      <c r="U126" s="99">
        <v>10.35</v>
      </c>
      <c r="V126" s="96" t="b">
        <v>1</v>
      </c>
      <c r="W126" s="97">
        <v>0.3</v>
      </c>
      <c r="X126" s="97">
        <v>0.75</v>
      </c>
      <c r="Y126" s="97">
        <v>0.28</v>
      </c>
      <c r="Z126" s="97">
        <v>0.21</v>
      </c>
      <c r="AA126" s="97">
        <v>0.14</v>
      </c>
      <c r="AB126" s="97">
        <v>0.42</v>
      </c>
      <c r="AC126" s="99">
        <v>11.05</v>
      </c>
      <c r="AD126" s="96" t="b">
        <v>1</v>
      </c>
      <c r="AE126" s="97">
        <v>0.4</v>
      </c>
      <c r="AF126" s="97">
        <v>1.0</v>
      </c>
      <c r="AG126" s="97">
        <v>0.35</v>
      </c>
      <c r="AH126" s="97">
        <v>0.28</v>
      </c>
      <c r="AI126" s="97">
        <v>0.21</v>
      </c>
      <c r="AJ126" s="97">
        <v>0.56</v>
      </c>
      <c r="AK126" s="99">
        <v>11.75</v>
      </c>
      <c r="AL126" s="96" t="b">
        <v>1</v>
      </c>
      <c r="AM126" s="80">
        <f t="array" ref="AM126">INDEX(A126:AL126, MATCH(RIGHT('Roadmap setting'!$B$9, 3), $A$2:$AL$2, 0) - 1)
</f>
        <v>10.2</v>
      </c>
      <c r="AN126" s="82">
        <f t="array" ref="AN126">IFNA(LOOKUP(2,1/(ISNUMBER(AN120:AN125)),AN120:AN125)+(D126/(Resources!$P$55/7)),Today()+(D126/(Resources!$P$55/7)))</f>
        <v>45797.38955</v>
      </c>
      <c r="AO126" s="82">
        <f t="array" ref="AO126">IFNA(LOOKUP(2,1/(ISNUMBER(AO120:AO125)),AO120:AO125)+(E126/(Resources!$P$56/7)),Today()+(E126/(Resources!$P$56/7)))</f>
        <v>45822.64725</v>
      </c>
      <c r="AP126" s="82">
        <f t="array" ref="AP126">IF(ISNUMBER($AT126),IFNA(LOOKUP(2,1/(ISNUMBER(AP120:AP125)),AP120:AP125),Today()),IFNA(LOOKUP(2,1/(ISNUMBER(AP120:AP125)),AP120:AP125)+(D126/(Resources!$E$55/7)),Today()+(D126/(Resources!$E$55/7))))</f>
        <v>45818.80323</v>
      </c>
      <c r="AQ126" s="82">
        <f t="array" ref="AQ126">IF(ISNUMBER($AT126),IFNA(LOOKUP(2,1/(ISNUMBER(AQ120:AQ125)),AQ120:AQ125),Today()),IFNA(LOOKUP(2,1/(ISNUMBER(AQ120:AQ125)),AQ120:AQ125)+(E126/(Resources!$E$56/7)),Today()+(E126/(Resources!$E$56/7))))</f>
        <v>45853.59454</v>
      </c>
      <c r="AR126" s="226">
        <f t="shared" ref="AR126:AR128" si="28">IFERROR(MAX(AP126,AQ126),"")</f>
        <v>45853.59454</v>
      </c>
      <c r="AS126" s="82"/>
      <c r="AT126" s="82"/>
      <c r="AU126" s="83"/>
    </row>
    <row r="127" ht="15.0" customHeight="1">
      <c r="A127" s="83" t="s">
        <v>97</v>
      </c>
      <c r="B127" s="110" t="s">
        <v>950</v>
      </c>
      <c r="C127" s="93">
        <f>IF($A127="Feature",SUM(D127:E127)*'Roadmap setting'!$B$13,0)</f>
        <v>2</v>
      </c>
      <c r="D127" s="94">
        <v>2.0</v>
      </c>
      <c r="E127" s="94">
        <v>8.0</v>
      </c>
      <c r="F127" s="95">
        <f>IF($A127="Feature",IF('Roadmap setting'!$E$14,$E127*('Roadmap setting'!$B$14+'Roadmap setting'!$D$14),$E127*'Roadmap setting'!$B$14),0)</f>
        <v>1.2</v>
      </c>
      <c r="G127" s="93">
        <f>IF($A127="Feature",$D127*'Roadmap setting'!$B$15,0)</f>
        <v>0</v>
      </c>
      <c r="H127" s="95">
        <f>IF($A127="Feature",$E127*'Roadmap setting'!$B$16,0)</f>
        <v>0</v>
      </c>
      <c r="I127" s="93">
        <f>SUM($D127:$E127)*'Roadmap setting'!$B$17</f>
        <v>1.2</v>
      </c>
      <c r="J127" s="93">
        <f>SUM($D127:$E127)*'Roadmap setting'!$B$18</f>
        <v>0.1</v>
      </c>
      <c r="K127" s="93">
        <f>SUM($D127:$E127)*'Roadmap setting'!$B$19</f>
        <v>0</v>
      </c>
      <c r="L127" s="95">
        <f>SUM($D127:$E127)*'Roadmap setting'!$B$20</f>
        <v>0.2</v>
      </c>
      <c r="M127" s="79">
        <f t="shared" si="27"/>
        <v>14.7</v>
      </c>
      <c r="N127" s="96" t="b">
        <v>1</v>
      </c>
      <c r="O127" s="97">
        <v>0.2</v>
      </c>
      <c r="P127" s="97">
        <v>0.8</v>
      </c>
      <c r="Q127" s="97">
        <v>0.3</v>
      </c>
      <c r="R127" s="97">
        <v>0.2</v>
      </c>
      <c r="S127" s="97">
        <v>0.1</v>
      </c>
      <c r="T127" s="97">
        <v>0.4</v>
      </c>
      <c r="U127" s="99">
        <v>15.0</v>
      </c>
      <c r="V127" s="96" t="b">
        <v>1</v>
      </c>
      <c r="W127" s="97">
        <v>0.3</v>
      </c>
      <c r="X127" s="97">
        <v>1.2</v>
      </c>
      <c r="Y127" s="97">
        <v>0.4</v>
      </c>
      <c r="Z127" s="97">
        <v>0.3</v>
      </c>
      <c r="AA127" s="97">
        <v>0.2</v>
      </c>
      <c r="AB127" s="97">
        <v>0.6</v>
      </c>
      <c r="AC127" s="99">
        <v>16.0</v>
      </c>
      <c r="AD127" s="96" t="b">
        <v>1</v>
      </c>
      <c r="AE127" s="97">
        <v>0.4</v>
      </c>
      <c r="AF127" s="97">
        <v>1.6</v>
      </c>
      <c r="AG127" s="97">
        <v>0.5</v>
      </c>
      <c r="AH127" s="97">
        <v>0.4</v>
      </c>
      <c r="AI127" s="97">
        <v>0.3</v>
      </c>
      <c r="AJ127" s="97">
        <v>0.8</v>
      </c>
      <c r="AK127" s="99">
        <v>17.0</v>
      </c>
      <c r="AL127" s="96" t="b">
        <v>1</v>
      </c>
      <c r="AM127" s="80">
        <f t="array" ref="AM127">INDEX(A127:AL127, MATCH(RIGHT('Roadmap setting'!$B$9, 3), $A$2:$AL$2, 0) - 1)
</f>
        <v>14.7</v>
      </c>
      <c r="AN127" s="82">
        <f t="array" ref="AN127">IFNA(LOOKUP(2,1/(ISNUMBER(AN121:AN126)),AN121:AN126)+(D127/(Resources!$P$55/7)),Today()+(D127/(Resources!$P$55/7)))</f>
        <v>45797.6382</v>
      </c>
      <c r="AO127" s="82">
        <f t="array" ref="AO127">IFNA(LOOKUP(2,1/(ISNUMBER(AO121:AO126)),AO121:AO126)+(E127/(Resources!$P$56/7)),Today()+(E127/(Resources!$P$56/7)))</f>
        <v>45824.2922</v>
      </c>
      <c r="AP127" s="82">
        <f t="array" ref="AP127">IF(ISNUMBER($AT127),IFNA(LOOKUP(2,1/(ISNUMBER(AP121:AP126)),AP121:AP126),Today()),IFNA(LOOKUP(2,1/(ISNUMBER(AP121:AP126)),AP121:AP126)+(D127/(Resources!$E$55/7)),Today()+(D127/(Resources!$E$55/7))))</f>
        <v>45819.31302</v>
      </c>
      <c r="AQ127" s="82">
        <f t="array" ref="AQ127">IF(ISNUMBER($AT127),IFNA(LOOKUP(2,1/(ISNUMBER(AQ121:AQ126)),AQ121:AQ126),Today()),IFNA(LOOKUP(2,1/(ISNUMBER(AQ121:AQ126)),AQ121:AQ126)+(E127/(Resources!$E$56/7)),Today()+(E127/(Resources!$E$56/7))))</f>
        <v>45856.35471</v>
      </c>
      <c r="AR127" s="226">
        <f t="shared" si="28"/>
        <v>45856.35471</v>
      </c>
      <c r="AS127" s="82"/>
      <c r="AT127" s="82"/>
      <c r="AU127" s="83"/>
    </row>
    <row r="128" ht="15.0" customHeight="1">
      <c r="A128" s="83" t="s">
        <v>97</v>
      </c>
      <c r="B128" s="230" t="s">
        <v>872</v>
      </c>
      <c r="C128" s="93">
        <f>IF($A128="Feature",SUM(D128:E128)*'Roadmap setting'!$B$13,0)</f>
        <v>6.4</v>
      </c>
      <c r="D128" s="94">
        <v>16.0</v>
      </c>
      <c r="E128" s="94">
        <v>16.0</v>
      </c>
      <c r="F128" s="95">
        <f>IF($A128="Feature",IF('Roadmap setting'!$E$14,$E128*('Roadmap setting'!$B$14+'Roadmap setting'!$D$14),$E128*'Roadmap setting'!$B$14),0)</f>
        <v>2.4</v>
      </c>
      <c r="G128" s="93">
        <f>IF($A128="Feature",$D128*'Roadmap setting'!$B$15,0)</f>
        <v>0</v>
      </c>
      <c r="H128" s="95">
        <f>IF($A128="Feature",$E128*'Roadmap setting'!$B$16,0)</f>
        <v>0</v>
      </c>
      <c r="I128" s="93">
        <f>SUM($D128:$E128)*'Roadmap setting'!$B$17</f>
        <v>3.84</v>
      </c>
      <c r="J128" s="93">
        <f>SUM($D128:$E128)*'Roadmap setting'!$B$18</f>
        <v>0.32</v>
      </c>
      <c r="K128" s="93">
        <f>SUM($D128:$E128)*'Roadmap setting'!$B$19</f>
        <v>0</v>
      </c>
      <c r="L128" s="95">
        <f>SUM($D128:$E128)*'Roadmap setting'!$B$20</f>
        <v>0.64</v>
      </c>
      <c r="M128" s="79">
        <f t="shared" si="27"/>
        <v>45.6</v>
      </c>
      <c r="N128" s="96" t="b">
        <v>1</v>
      </c>
      <c r="O128" s="97">
        <v>1.6</v>
      </c>
      <c r="P128" s="97">
        <v>1.6</v>
      </c>
      <c r="Q128" s="97">
        <v>0.96</v>
      </c>
      <c r="R128" s="97">
        <v>0.64</v>
      </c>
      <c r="S128" s="97">
        <v>0.32</v>
      </c>
      <c r="T128" s="97">
        <v>1.28</v>
      </c>
      <c r="U128" s="99">
        <v>45.6</v>
      </c>
      <c r="V128" s="96" t="b">
        <v>1</v>
      </c>
      <c r="W128" s="97">
        <v>2.4</v>
      </c>
      <c r="X128" s="97">
        <v>2.4</v>
      </c>
      <c r="Y128" s="97">
        <v>1.28</v>
      </c>
      <c r="Z128" s="97">
        <v>0.96</v>
      </c>
      <c r="AA128" s="97">
        <v>0.64</v>
      </c>
      <c r="AB128" s="97">
        <v>1.92</v>
      </c>
      <c r="AC128" s="99">
        <v>48.8</v>
      </c>
      <c r="AD128" s="96" t="b">
        <v>1</v>
      </c>
      <c r="AE128" s="97">
        <v>3.2</v>
      </c>
      <c r="AF128" s="97">
        <v>3.2</v>
      </c>
      <c r="AG128" s="97">
        <v>1.6</v>
      </c>
      <c r="AH128" s="97">
        <v>1.28</v>
      </c>
      <c r="AI128" s="97">
        <v>0.96</v>
      </c>
      <c r="AJ128" s="97">
        <v>2.56</v>
      </c>
      <c r="AK128" s="99">
        <v>52.0</v>
      </c>
      <c r="AL128" s="96" t="b">
        <v>1</v>
      </c>
      <c r="AM128" s="80">
        <f t="array" ref="AM128">INDEX(A128:AL128, MATCH(RIGHT('Roadmap setting'!$B$9, 3), $A$2:$AL$2, 0) - 1)
</f>
        <v>45.6</v>
      </c>
      <c r="AN128" s="82">
        <f t="array" ref="AN128">IFNA(LOOKUP(2,1/(ISNUMBER(AN122:AN127)),AN122:AN127)+(D128/(Resources!$P$55/7)),Today()+(D128/(Resources!$P$55/7)))</f>
        <v>45799.62743</v>
      </c>
      <c r="AO128" s="82">
        <f t="array" ref="AO128">IFNA(LOOKUP(2,1/(ISNUMBER(AO122:AO127)),AO122:AO127)+(E128/(Resources!$P$56/7)),Today()+(E128/(Resources!$P$56/7)))</f>
        <v>45827.58209</v>
      </c>
      <c r="AP128" s="82">
        <f t="array" ref="AP128">IF(ISNUMBER($AT128),IFNA(LOOKUP(2,1/(ISNUMBER(AP122:AP127)),AP122:AP127),Today()),IFNA(LOOKUP(2,1/(ISNUMBER(AP122:AP127)),AP122:AP127)+(D128/(Resources!$E$55/7)),Today()+(D128/(Resources!$E$55/7))))</f>
        <v>45823.39139</v>
      </c>
      <c r="AQ128" s="82">
        <f t="array" ref="AQ128">IF(ISNUMBER($AT128),IFNA(LOOKUP(2,1/(ISNUMBER(AQ122:AQ127)),AQ122:AQ127),Today()),IFNA(LOOKUP(2,1/(ISNUMBER(AQ122:AQ127)),AQ122:AQ127)+(E128/(Resources!$E$56/7)),Today()+(E128/(Resources!$E$56/7))))</f>
        <v>45861.87504</v>
      </c>
      <c r="AR128" s="226">
        <f t="shared" si="28"/>
        <v>45861.87504</v>
      </c>
      <c r="AS128" s="82"/>
      <c r="AT128" s="82"/>
      <c r="AU128" s="83"/>
    </row>
    <row r="129" ht="15.0" customHeight="1">
      <c r="A129" s="84"/>
      <c r="B129" s="85" t="s">
        <v>951</v>
      </c>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c r="AA129" s="84"/>
      <c r="AB129" s="84"/>
      <c r="AC129" s="84"/>
      <c r="AD129" s="84"/>
      <c r="AE129" s="84"/>
      <c r="AF129" s="84"/>
      <c r="AG129" s="84"/>
      <c r="AH129" s="84"/>
      <c r="AI129" s="84"/>
      <c r="AJ129" s="84"/>
      <c r="AK129" s="84"/>
      <c r="AL129" s="84"/>
      <c r="AM129" s="84"/>
      <c r="AN129" s="84"/>
      <c r="AO129" s="84"/>
      <c r="AP129" s="84"/>
      <c r="AQ129" s="84"/>
      <c r="AR129" s="84"/>
      <c r="AS129" s="84"/>
      <c r="AT129" s="84"/>
      <c r="AU129" s="84"/>
    </row>
    <row r="130" ht="15.0" customHeight="1">
      <c r="A130" s="72"/>
      <c r="B130" s="91" t="s">
        <v>952</v>
      </c>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c r="AA130" s="72"/>
      <c r="AB130" s="72"/>
      <c r="AC130" s="72"/>
      <c r="AD130" s="72"/>
      <c r="AE130" s="72"/>
      <c r="AF130" s="72"/>
      <c r="AG130" s="72"/>
      <c r="AH130" s="72"/>
      <c r="AI130" s="72"/>
      <c r="AJ130" s="72"/>
      <c r="AK130" s="72"/>
      <c r="AL130" s="72"/>
      <c r="AM130" s="72"/>
      <c r="AN130" s="72"/>
      <c r="AO130" s="72"/>
      <c r="AP130" s="72"/>
      <c r="AQ130" s="72"/>
      <c r="AR130" s="72"/>
      <c r="AS130" s="72"/>
      <c r="AT130" s="72"/>
      <c r="AU130" s="72"/>
    </row>
    <row r="131" ht="15.0" customHeight="1">
      <c r="A131" s="83" t="s">
        <v>97</v>
      </c>
      <c r="B131" s="110" t="s">
        <v>953</v>
      </c>
      <c r="C131" s="93">
        <f>IF($A131="Feature",SUM(D131:E131)*'Roadmap setting'!$B$13,0)</f>
        <v>0.8</v>
      </c>
      <c r="D131" s="94">
        <v>1.0</v>
      </c>
      <c r="E131" s="94">
        <v>3.0</v>
      </c>
      <c r="F131" s="95">
        <f>IF($A131="Feature",IF('Roadmap setting'!$E$14,$E131*('Roadmap setting'!$B$14+'Roadmap setting'!$D$14),$E131*'Roadmap setting'!$B$14),0)</f>
        <v>0.45</v>
      </c>
      <c r="G131" s="93">
        <f>IF($A131="Feature",$D131*'Roadmap setting'!$B$15,0)</f>
        <v>0</v>
      </c>
      <c r="H131" s="95">
        <f>IF($A131="Feature",$E131*'Roadmap setting'!$B$16,0)</f>
        <v>0</v>
      </c>
      <c r="I131" s="93">
        <f>SUM($D131:$E131)*'Roadmap setting'!$B$17</f>
        <v>0.48</v>
      </c>
      <c r="J131" s="93">
        <f>SUM($D131:$E131)*'Roadmap setting'!$B$18</f>
        <v>0.04</v>
      </c>
      <c r="K131" s="93">
        <f>SUM($D131:$E131)*'Roadmap setting'!$B$19</f>
        <v>0</v>
      </c>
      <c r="L131" s="95">
        <f>SUM($D131:$E131)*'Roadmap setting'!$B$20</f>
        <v>0.08</v>
      </c>
      <c r="M131" s="79">
        <f t="shared" ref="M131:M137" si="29">SUM($C131:$F131)+SUM(G131:L131)</f>
        <v>5.85</v>
      </c>
      <c r="N131" s="96" t="b">
        <v>1</v>
      </c>
      <c r="O131" s="97">
        <v>0.1</v>
      </c>
      <c r="P131" s="97">
        <v>0.3</v>
      </c>
      <c r="Q131" s="97">
        <v>0.12</v>
      </c>
      <c r="R131" s="97">
        <v>0.08</v>
      </c>
      <c r="S131" s="97">
        <v>0.04</v>
      </c>
      <c r="T131" s="97">
        <v>0.16</v>
      </c>
      <c r="U131" s="99">
        <v>5.95</v>
      </c>
      <c r="V131" s="96" t="b">
        <v>1</v>
      </c>
      <c r="W131" s="97">
        <v>0.15</v>
      </c>
      <c r="X131" s="97">
        <v>0.45</v>
      </c>
      <c r="Y131" s="97">
        <v>0.16</v>
      </c>
      <c r="Z131" s="97">
        <v>0.12</v>
      </c>
      <c r="AA131" s="97">
        <v>0.08</v>
      </c>
      <c r="AB131" s="97">
        <v>0.24</v>
      </c>
      <c r="AC131" s="99">
        <v>6.35</v>
      </c>
      <c r="AD131" s="96" t="b">
        <v>1</v>
      </c>
      <c r="AE131" s="97">
        <v>0.2</v>
      </c>
      <c r="AF131" s="97">
        <v>0.6</v>
      </c>
      <c r="AG131" s="97">
        <v>0.2</v>
      </c>
      <c r="AH131" s="97">
        <v>0.16</v>
      </c>
      <c r="AI131" s="97">
        <v>0.12</v>
      </c>
      <c r="AJ131" s="97">
        <v>0.32</v>
      </c>
      <c r="AK131" s="99">
        <v>6.75</v>
      </c>
      <c r="AL131" s="96" t="b">
        <v>1</v>
      </c>
      <c r="AM131" s="80">
        <f t="array" ref="AM131">INDEX(A131:AL131, MATCH(RIGHT('Roadmap setting'!$B$9, 3), $A$2:$AL$2, 0) - 1)
</f>
        <v>5.85</v>
      </c>
      <c r="AN131" s="82">
        <f t="array" ref="AN131">IFNA(LOOKUP(2,1/(ISNUMBER(AN125:AN130)),AN125:AN130)+(D131/(Resources!$P$55/7)),Today()+(D131/(Resources!$P$55/7)))</f>
        <v>45799.75175</v>
      </c>
      <c r="AO131" s="82">
        <f t="array" ref="AO131">IFNA(LOOKUP(2,1/(ISNUMBER(AO125:AO130)),AO125:AO130)+(E131/(Resources!$P$56/7)),Today()+(E131/(Resources!$P$56/7)))</f>
        <v>45828.19895</v>
      </c>
      <c r="AP131" s="82">
        <f t="array" ref="AP131">IF(ISNUMBER($AT131),IFNA(LOOKUP(2,1/(ISNUMBER(AP125:AP130)),AP125:AP130),Today()),IFNA(LOOKUP(2,1/(ISNUMBER(AP125:AP130)),AP125:AP130)+(D131/(Resources!$E$55/7)),Today()+(D131/(Resources!$E$55/7))))</f>
        <v>45823.64629</v>
      </c>
      <c r="AQ131" s="82">
        <f t="array" ref="AQ131">IF(ISNUMBER($AT131),IFNA(LOOKUP(2,1/(ISNUMBER(AQ125:AQ130)),AQ125:AQ130),Today()),IFNA(LOOKUP(2,1/(ISNUMBER(AQ125:AQ130)),AQ125:AQ130)+(E131/(Resources!$E$56/7)),Today()+(E131/(Resources!$E$56/7))))</f>
        <v>45862.9101</v>
      </c>
      <c r="AR131" s="226">
        <f t="shared" ref="AR131:AR137" si="30">IFERROR(MAX(AP131,AQ131),"")</f>
        <v>45862.9101</v>
      </c>
      <c r="AS131" s="82"/>
      <c r="AT131" s="82"/>
      <c r="AU131" s="83"/>
    </row>
    <row r="132" ht="15.0" customHeight="1">
      <c r="A132" s="83" t="s">
        <v>97</v>
      </c>
      <c r="B132" s="110" t="s">
        <v>954</v>
      </c>
      <c r="C132" s="93">
        <f>IF($A132="Feature",SUM(D132:E132)*'Roadmap setting'!$B$13,0)</f>
        <v>1</v>
      </c>
      <c r="D132" s="94">
        <v>1.0</v>
      </c>
      <c r="E132" s="94">
        <v>4.0</v>
      </c>
      <c r="F132" s="95">
        <f>IF($A132="Feature",IF('Roadmap setting'!$E$14,$E132*('Roadmap setting'!$B$14+'Roadmap setting'!$D$14),$E132*'Roadmap setting'!$B$14),0)</f>
        <v>0.6</v>
      </c>
      <c r="G132" s="93">
        <f>IF($A132="Feature",$D132*'Roadmap setting'!$B$15,0)</f>
        <v>0</v>
      </c>
      <c r="H132" s="95">
        <f>IF($A132="Feature",$E132*'Roadmap setting'!$B$16,0)</f>
        <v>0</v>
      </c>
      <c r="I132" s="93">
        <f>SUM($D132:$E132)*'Roadmap setting'!$B$17</f>
        <v>0.6</v>
      </c>
      <c r="J132" s="93">
        <f>SUM($D132:$E132)*'Roadmap setting'!$B$18</f>
        <v>0.05</v>
      </c>
      <c r="K132" s="93">
        <f>SUM($D132:$E132)*'Roadmap setting'!$B$19</f>
        <v>0</v>
      </c>
      <c r="L132" s="95">
        <f>SUM($D132:$E132)*'Roadmap setting'!$B$20</f>
        <v>0.1</v>
      </c>
      <c r="M132" s="79">
        <f t="shared" si="29"/>
        <v>7.35</v>
      </c>
      <c r="N132" s="96" t="b">
        <v>1</v>
      </c>
      <c r="O132" s="97">
        <v>0.1</v>
      </c>
      <c r="P132" s="97">
        <v>0.4</v>
      </c>
      <c r="Q132" s="97">
        <v>0.15</v>
      </c>
      <c r="R132" s="97">
        <v>0.1</v>
      </c>
      <c r="S132" s="97">
        <v>0.05</v>
      </c>
      <c r="T132" s="97">
        <v>0.2</v>
      </c>
      <c r="U132" s="99">
        <v>7.5</v>
      </c>
      <c r="V132" s="96" t="b">
        <v>1</v>
      </c>
      <c r="W132" s="97">
        <v>0.15</v>
      </c>
      <c r="X132" s="97">
        <v>0.6</v>
      </c>
      <c r="Y132" s="97">
        <v>0.2</v>
      </c>
      <c r="Z132" s="97">
        <v>0.15</v>
      </c>
      <c r="AA132" s="97">
        <v>0.1</v>
      </c>
      <c r="AB132" s="97">
        <v>0.3</v>
      </c>
      <c r="AC132" s="99">
        <v>8.0</v>
      </c>
      <c r="AD132" s="96" t="b">
        <v>1</v>
      </c>
      <c r="AE132" s="97">
        <v>0.2</v>
      </c>
      <c r="AF132" s="97">
        <v>0.8</v>
      </c>
      <c r="AG132" s="97">
        <v>0.25</v>
      </c>
      <c r="AH132" s="97">
        <v>0.2</v>
      </c>
      <c r="AI132" s="97">
        <v>0.15</v>
      </c>
      <c r="AJ132" s="97">
        <v>0.4</v>
      </c>
      <c r="AK132" s="99">
        <v>8.5</v>
      </c>
      <c r="AL132" s="96" t="b">
        <v>1</v>
      </c>
      <c r="AM132" s="80">
        <f t="array" ref="AM132">INDEX(A132:AL132, MATCH(RIGHT('Roadmap setting'!$B$9, 3), $A$2:$AL$2, 0) - 1)
</f>
        <v>7.35</v>
      </c>
      <c r="AN132" s="82">
        <f t="array" ref="AN132">IFNA(LOOKUP(2,1/(ISNUMBER(AN126:AN131)),AN126:AN131)+(D132/(Resources!$P$55/7)),Today()+(D132/(Resources!$P$55/7)))</f>
        <v>45799.87608</v>
      </c>
      <c r="AO132" s="82">
        <f t="array" ref="AO132">IFNA(LOOKUP(2,1/(ISNUMBER(AO126:AO131)),AO126:AO131)+(E132/(Resources!$P$56/7)),Today()+(E132/(Resources!$P$56/7)))</f>
        <v>45829.02142</v>
      </c>
      <c r="AP132" s="82">
        <f t="array" ref="AP132">IF(ISNUMBER($AT132),IFNA(LOOKUP(2,1/(ISNUMBER(AP126:AP131)),AP126:AP131),Today()),IFNA(LOOKUP(2,1/(ISNUMBER(AP126:AP131)),AP126:AP131)+(D132/(Resources!$E$55/7)),Today()+(D132/(Resources!$E$55/7))))</f>
        <v>45823.90118</v>
      </c>
      <c r="AQ132" s="82">
        <f t="array" ref="AQ132">IF(ISNUMBER($AT132),IFNA(LOOKUP(2,1/(ISNUMBER(AQ126:AQ131)),AQ126:AQ131),Today()),IFNA(LOOKUP(2,1/(ISNUMBER(AQ126:AQ131)),AQ126:AQ131)+(E132/(Resources!$E$56/7)),Today()+(E132/(Resources!$E$56/7))))</f>
        <v>45864.29018</v>
      </c>
      <c r="AR132" s="226">
        <f t="shared" si="30"/>
        <v>45864.29018</v>
      </c>
      <c r="AS132" s="82"/>
      <c r="AT132" s="82"/>
      <c r="AU132" s="83"/>
    </row>
    <row r="133" ht="15.0" customHeight="1">
      <c r="A133" s="83" t="s">
        <v>97</v>
      </c>
      <c r="B133" s="110" t="s">
        <v>955</v>
      </c>
      <c r="C133" s="93">
        <f>IF($A133="Feature",SUM(D133:E133)*'Roadmap setting'!$B$13,0)</f>
        <v>1.4</v>
      </c>
      <c r="D133" s="94">
        <v>1.0</v>
      </c>
      <c r="E133" s="94">
        <v>6.0</v>
      </c>
      <c r="F133" s="95">
        <f>IF($A133="Feature",IF('Roadmap setting'!$E$14,$E133*('Roadmap setting'!$B$14+'Roadmap setting'!$D$14),$E133*'Roadmap setting'!$B$14),0)</f>
        <v>0.9</v>
      </c>
      <c r="G133" s="93">
        <f>IF($A133="Feature",$D133*'Roadmap setting'!$B$15,0)</f>
        <v>0</v>
      </c>
      <c r="H133" s="95">
        <f>IF($A133="Feature",$E133*'Roadmap setting'!$B$16,0)</f>
        <v>0</v>
      </c>
      <c r="I133" s="93">
        <f>SUM($D133:$E133)*'Roadmap setting'!$B$17</f>
        <v>0.84</v>
      </c>
      <c r="J133" s="93">
        <f>SUM($D133:$E133)*'Roadmap setting'!$B$18</f>
        <v>0.07</v>
      </c>
      <c r="K133" s="93">
        <f>SUM($D133:$E133)*'Roadmap setting'!$B$19</f>
        <v>0</v>
      </c>
      <c r="L133" s="95">
        <f>SUM($D133:$E133)*'Roadmap setting'!$B$20</f>
        <v>0.14</v>
      </c>
      <c r="M133" s="79">
        <f t="shared" si="29"/>
        <v>10.35</v>
      </c>
      <c r="N133" s="96" t="b">
        <v>1</v>
      </c>
      <c r="O133" s="97">
        <v>0.1</v>
      </c>
      <c r="P133" s="97">
        <v>0.6</v>
      </c>
      <c r="Q133" s="97">
        <v>0.21</v>
      </c>
      <c r="R133" s="97">
        <v>0.14</v>
      </c>
      <c r="S133" s="97">
        <v>0.07</v>
      </c>
      <c r="T133" s="97">
        <v>0.28</v>
      </c>
      <c r="U133" s="99">
        <v>10.6</v>
      </c>
      <c r="V133" s="96" t="b">
        <v>1</v>
      </c>
      <c r="W133" s="97">
        <v>0.15</v>
      </c>
      <c r="X133" s="97">
        <v>0.9</v>
      </c>
      <c r="Y133" s="97">
        <v>0.28</v>
      </c>
      <c r="Z133" s="97">
        <v>0.21</v>
      </c>
      <c r="AA133" s="97">
        <v>0.14</v>
      </c>
      <c r="AB133" s="97">
        <v>0.42</v>
      </c>
      <c r="AC133" s="99">
        <v>11.3</v>
      </c>
      <c r="AD133" s="96" t="b">
        <v>1</v>
      </c>
      <c r="AE133" s="97">
        <v>0.2</v>
      </c>
      <c r="AF133" s="97">
        <v>1.2</v>
      </c>
      <c r="AG133" s="97">
        <v>0.35</v>
      </c>
      <c r="AH133" s="97">
        <v>0.28</v>
      </c>
      <c r="AI133" s="97">
        <v>0.21</v>
      </c>
      <c r="AJ133" s="97">
        <v>0.56</v>
      </c>
      <c r="AK133" s="99">
        <v>12.0</v>
      </c>
      <c r="AL133" s="96" t="b">
        <v>1</v>
      </c>
      <c r="AM133" s="80">
        <f t="array" ref="AM133">INDEX(A133:AL133, MATCH(RIGHT('Roadmap setting'!$B$9, 3), $A$2:$AL$2, 0) - 1)
</f>
        <v>10.35</v>
      </c>
      <c r="AN133" s="82">
        <f t="array" ref="AN133">IFNA(LOOKUP(2,1/(ISNUMBER(AN127:AN132)),AN127:AN132)+(D133/(Resources!$P$55/7)),Today()+(D133/(Resources!$P$55/7)))</f>
        <v>45800.0004</v>
      </c>
      <c r="AO133" s="82">
        <f t="array" ref="AO133">IFNA(LOOKUP(2,1/(ISNUMBER(AO127:AO132)),AO127:AO132)+(E133/(Resources!$P$56/7)),Today()+(E133/(Resources!$P$56/7)))</f>
        <v>45830.25513</v>
      </c>
      <c r="AP133" s="82">
        <f t="array" ref="AP133">IF(ISNUMBER($AT133),IFNA(LOOKUP(2,1/(ISNUMBER(AP127:AP132)),AP127:AP132),Today()),IFNA(LOOKUP(2,1/(ISNUMBER(AP127:AP132)),AP127:AP132)+(D133/(Resources!$E$55/7)),Today()+(D133/(Resources!$E$55/7))))</f>
        <v>45824.15608</v>
      </c>
      <c r="AQ133" s="82">
        <f t="array" ref="AQ133">IF(ISNUMBER($AT133),IFNA(LOOKUP(2,1/(ISNUMBER(AQ127:AQ132)),AQ127:AQ132),Today()),IFNA(LOOKUP(2,1/(ISNUMBER(AQ127:AQ132)),AQ127:AQ132)+(E133/(Resources!$E$56/7)),Today()+(E133/(Resources!$E$56/7))))</f>
        <v>45866.3603</v>
      </c>
      <c r="AR133" s="226">
        <f t="shared" si="30"/>
        <v>45866.3603</v>
      </c>
      <c r="AS133" s="82"/>
      <c r="AT133" s="82"/>
      <c r="AU133" s="83"/>
    </row>
    <row r="134" ht="15.0" customHeight="1">
      <c r="A134" s="83" t="s">
        <v>97</v>
      </c>
      <c r="B134" s="110" t="s">
        <v>956</v>
      </c>
      <c r="C134" s="93">
        <f>IF($A134="Feature",SUM(D134:E134)*'Roadmap setting'!$B$13,0)</f>
        <v>2.6</v>
      </c>
      <c r="D134" s="94">
        <v>5.0</v>
      </c>
      <c r="E134" s="94">
        <v>8.0</v>
      </c>
      <c r="F134" s="95">
        <f>IF($A134="Feature",IF('Roadmap setting'!$E$14,$E134*('Roadmap setting'!$B$14+'Roadmap setting'!$D$14),$E134*'Roadmap setting'!$B$14),0)</f>
        <v>1.2</v>
      </c>
      <c r="G134" s="93">
        <f>IF($A134="Feature",$D134*'Roadmap setting'!$B$15,0)</f>
        <v>0</v>
      </c>
      <c r="H134" s="95">
        <f>IF($A134="Feature",$E134*'Roadmap setting'!$B$16,0)</f>
        <v>0</v>
      </c>
      <c r="I134" s="93">
        <f>SUM($D134:$E134)*'Roadmap setting'!$B$17</f>
        <v>1.56</v>
      </c>
      <c r="J134" s="93">
        <f>SUM($D134:$E134)*'Roadmap setting'!$B$18</f>
        <v>0.13</v>
      </c>
      <c r="K134" s="93">
        <f>SUM($D134:$E134)*'Roadmap setting'!$B$19</f>
        <v>0</v>
      </c>
      <c r="L134" s="95">
        <f>SUM($D134:$E134)*'Roadmap setting'!$B$20</f>
        <v>0.26</v>
      </c>
      <c r="M134" s="79">
        <f t="shared" si="29"/>
        <v>18.75</v>
      </c>
      <c r="N134" s="96" t="b">
        <v>1</v>
      </c>
      <c r="O134" s="97">
        <v>0.5</v>
      </c>
      <c r="P134" s="97">
        <v>0.8</v>
      </c>
      <c r="Q134" s="97">
        <v>0.39</v>
      </c>
      <c r="R134" s="97">
        <v>0.26</v>
      </c>
      <c r="S134" s="97">
        <v>0.13</v>
      </c>
      <c r="T134" s="97">
        <v>0.52</v>
      </c>
      <c r="U134" s="99">
        <v>18.9</v>
      </c>
      <c r="V134" s="96" t="b">
        <v>1</v>
      </c>
      <c r="W134" s="97">
        <v>0.75</v>
      </c>
      <c r="X134" s="97">
        <v>1.2</v>
      </c>
      <c r="Y134" s="97">
        <v>0.52</v>
      </c>
      <c r="Z134" s="97">
        <v>0.39</v>
      </c>
      <c r="AA134" s="97">
        <v>0.26</v>
      </c>
      <c r="AB134" s="97">
        <v>0.78</v>
      </c>
      <c r="AC134" s="99">
        <v>20.2</v>
      </c>
      <c r="AD134" s="96" t="b">
        <v>1</v>
      </c>
      <c r="AE134" s="97">
        <v>1.0</v>
      </c>
      <c r="AF134" s="97">
        <v>1.6</v>
      </c>
      <c r="AG134" s="97">
        <v>0.65</v>
      </c>
      <c r="AH134" s="97">
        <v>0.52</v>
      </c>
      <c r="AI134" s="97">
        <v>0.39</v>
      </c>
      <c r="AJ134" s="97">
        <v>1.04</v>
      </c>
      <c r="AK134" s="99">
        <v>21.5</v>
      </c>
      <c r="AL134" s="96" t="b">
        <v>1</v>
      </c>
      <c r="AM134" s="80">
        <f t="array" ref="AM134">INDEX(A134:AL134, MATCH(RIGHT('Roadmap setting'!$B$9, 3), $A$2:$AL$2, 0) - 1)
</f>
        <v>18.75</v>
      </c>
      <c r="AN134" s="82">
        <f t="array" ref="AN134">IFNA(LOOKUP(2,1/(ISNUMBER(AN128:AN133)),AN128:AN133)+(D134/(Resources!$P$55/7)),Today()+(D134/(Resources!$P$55/7)))</f>
        <v>45800.62204</v>
      </c>
      <c r="AO134" s="82">
        <f t="array" ref="AO134">IFNA(LOOKUP(2,1/(ISNUMBER(AO128:AO133)),AO128:AO133)+(E134/(Resources!$P$56/7)),Today()+(E134/(Resources!$P$56/7)))</f>
        <v>45831.90008</v>
      </c>
      <c r="AP134" s="82">
        <f t="array" ref="AP134">IF(ISNUMBER($AT134),IFNA(LOOKUP(2,1/(ISNUMBER(AP128:AP133)),AP128:AP133),Today()),IFNA(LOOKUP(2,1/(ISNUMBER(AP128:AP133)),AP128:AP133)+(D134/(Resources!$E$55/7)),Today()+(D134/(Resources!$E$55/7))))</f>
        <v>45825.43057</v>
      </c>
      <c r="AQ134" s="82">
        <f t="array" ref="AQ134">IF(ISNUMBER($AT134),IFNA(LOOKUP(2,1/(ISNUMBER(AQ128:AQ133)),AQ128:AQ133),Today()),IFNA(LOOKUP(2,1/(ISNUMBER(AQ128:AQ133)),AQ128:AQ133)+(E134/(Resources!$E$56/7)),Today()+(E134/(Resources!$E$56/7))))</f>
        <v>45869.12047</v>
      </c>
      <c r="AR134" s="226">
        <f t="shared" si="30"/>
        <v>45869.12047</v>
      </c>
      <c r="AS134" s="82"/>
      <c r="AT134" s="82"/>
      <c r="AU134" s="83"/>
    </row>
    <row r="135" ht="15.0" customHeight="1">
      <c r="A135" s="83" t="s">
        <v>97</v>
      </c>
      <c r="B135" s="110" t="s">
        <v>957</v>
      </c>
      <c r="C135" s="93">
        <f>IF($A135="Feature",SUM(D135:E135)*'Roadmap setting'!$B$13,0)</f>
        <v>2.4</v>
      </c>
      <c r="D135" s="94">
        <v>4.0</v>
      </c>
      <c r="E135" s="94">
        <v>8.0</v>
      </c>
      <c r="F135" s="95">
        <f>IF($A135="Feature",IF('Roadmap setting'!$E$14,$E135*('Roadmap setting'!$B$14+'Roadmap setting'!$D$14),$E135*'Roadmap setting'!$B$14),0)</f>
        <v>1.2</v>
      </c>
      <c r="G135" s="93">
        <f>IF($A135="Feature",$D135*'Roadmap setting'!$B$15,0)</f>
        <v>0</v>
      </c>
      <c r="H135" s="95">
        <f>IF($A135="Feature",$E135*'Roadmap setting'!$B$16,0)</f>
        <v>0</v>
      </c>
      <c r="I135" s="93">
        <f>SUM($D135:$E135)*'Roadmap setting'!$B$17</f>
        <v>1.44</v>
      </c>
      <c r="J135" s="93">
        <f>SUM($D135:$E135)*'Roadmap setting'!$B$18</f>
        <v>0.12</v>
      </c>
      <c r="K135" s="93">
        <f>SUM($D135:$E135)*'Roadmap setting'!$B$19</f>
        <v>0</v>
      </c>
      <c r="L135" s="95">
        <f>SUM($D135:$E135)*'Roadmap setting'!$B$20</f>
        <v>0.24</v>
      </c>
      <c r="M135" s="79">
        <f t="shared" si="29"/>
        <v>17.4</v>
      </c>
      <c r="N135" s="96" t="b">
        <v>1</v>
      </c>
      <c r="O135" s="97">
        <v>0.4</v>
      </c>
      <c r="P135" s="97">
        <v>0.8</v>
      </c>
      <c r="Q135" s="97">
        <v>0.36</v>
      </c>
      <c r="R135" s="97">
        <v>0.24</v>
      </c>
      <c r="S135" s="97">
        <v>0.12</v>
      </c>
      <c r="T135" s="97">
        <v>0.48</v>
      </c>
      <c r="U135" s="99">
        <v>17.6</v>
      </c>
      <c r="V135" s="96" t="b">
        <v>1</v>
      </c>
      <c r="W135" s="97">
        <v>0.6</v>
      </c>
      <c r="X135" s="97">
        <v>1.2</v>
      </c>
      <c r="Y135" s="97">
        <v>0.48</v>
      </c>
      <c r="Z135" s="97">
        <v>0.36</v>
      </c>
      <c r="AA135" s="97">
        <v>0.24</v>
      </c>
      <c r="AB135" s="97">
        <v>0.72</v>
      </c>
      <c r="AC135" s="99">
        <v>18.8</v>
      </c>
      <c r="AD135" s="96" t="b">
        <v>1</v>
      </c>
      <c r="AE135" s="97">
        <v>0.8</v>
      </c>
      <c r="AF135" s="97">
        <v>1.6</v>
      </c>
      <c r="AG135" s="97">
        <v>0.6</v>
      </c>
      <c r="AH135" s="97">
        <v>0.48</v>
      </c>
      <c r="AI135" s="97">
        <v>0.36</v>
      </c>
      <c r="AJ135" s="97">
        <v>0.96</v>
      </c>
      <c r="AK135" s="99">
        <v>20.0</v>
      </c>
      <c r="AL135" s="96" t="b">
        <v>1</v>
      </c>
      <c r="AM135" s="80">
        <f t="array" ref="AM135">INDEX(A135:AL135, MATCH(RIGHT('Roadmap setting'!$B$9, 3), $A$2:$AL$2, 0) - 1)
</f>
        <v>17.4</v>
      </c>
      <c r="AN135" s="82">
        <f t="array" ref="AN135">IFNA(LOOKUP(2,1/(ISNUMBER(AN129:AN134)),AN129:AN134)+(D135/(Resources!$P$55/7)),Today()+(D135/(Resources!$P$55/7)))</f>
        <v>45801.11934</v>
      </c>
      <c r="AO135" s="82">
        <f t="array" ref="AO135">IFNA(LOOKUP(2,1/(ISNUMBER(AO129:AO134)),AO129:AO134)+(E135/(Resources!$P$56/7)),Today()+(E135/(Resources!$P$56/7)))</f>
        <v>45833.54502</v>
      </c>
      <c r="AP135" s="82">
        <f t="array" ref="AP135">IF(ISNUMBER($AT135),IFNA(LOOKUP(2,1/(ISNUMBER(AP129:AP134)),AP129:AP134),Today()),IFNA(LOOKUP(2,1/(ISNUMBER(AP129:AP134)),AP129:AP134)+(D135/(Resources!$E$55/7)),Today()+(D135/(Resources!$E$55/7))))</f>
        <v>45826.45016</v>
      </c>
      <c r="AQ135" s="82">
        <f t="array" ref="AQ135">IF(ISNUMBER($AT135),IFNA(LOOKUP(2,1/(ISNUMBER(AQ129:AQ134)),AQ129:AQ134),Today()),IFNA(LOOKUP(2,1/(ISNUMBER(AQ129:AQ134)),AQ129:AQ134)+(E135/(Resources!$E$56/7)),Today()+(E135/(Resources!$E$56/7))))</f>
        <v>45871.88063</v>
      </c>
      <c r="AR135" s="226">
        <f t="shared" si="30"/>
        <v>45871.88063</v>
      </c>
      <c r="AS135" s="82"/>
      <c r="AT135" s="82"/>
      <c r="AU135" s="83"/>
    </row>
    <row r="136" ht="15.0" customHeight="1">
      <c r="A136" s="83" t="s">
        <v>97</v>
      </c>
      <c r="B136" s="110" t="s">
        <v>958</v>
      </c>
      <c r="C136" s="93">
        <f>IF($A136="Feature",SUM(D136:E136)*'Roadmap setting'!$B$13,0)</f>
        <v>2.4</v>
      </c>
      <c r="D136" s="94">
        <v>4.0</v>
      </c>
      <c r="E136" s="94">
        <v>8.0</v>
      </c>
      <c r="F136" s="95">
        <f>IF($A136="Feature",IF('Roadmap setting'!$E$14,$E136*('Roadmap setting'!$B$14+'Roadmap setting'!$D$14),$E136*'Roadmap setting'!$B$14),0)</f>
        <v>1.2</v>
      </c>
      <c r="G136" s="93">
        <f>IF($A136="Feature",$D136*'Roadmap setting'!$B$15,0)</f>
        <v>0</v>
      </c>
      <c r="H136" s="95">
        <f>IF($A136="Feature",$E136*'Roadmap setting'!$B$16,0)</f>
        <v>0</v>
      </c>
      <c r="I136" s="93">
        <f>SUM($D136:$E136)*'Roadmap setting'!$B$17</f>
        <v>1.44</v>
      </c>
      <c r="J136" s="93">
        <f>SUM($D136:$E136)*'Roadmap setting'!$B$18</f>
        <v>0.12</v>
      </c>
      <c r="K136" s="93">
        <f>SUM($D136:$E136)*'Roadmap setting'!$B$19</f>
        <v>0</v>
      </c>
      <c r="L136" s="95">
        <f>SUM($D136:$E136)*'Roadmap setting'!$B$20</f>
        <v>0.24</v>
      </c>
      <c r="M136" s="79">
        <f t="shared" si="29"/>
        <v>17.4</v>
      </c>
      <c r="N136" s="96" t="b">
        <v>1</v>
      </c>
      <c r="O136" s="97">
        <v>0.4</v>
      </c>
      <c r="P136" s="97">
        <v>0.8</v>
      </c>
      <c r="Q136" s="97">
        <v>0.36</v>
      </c>
      <c r="R136" s="97">
        <v>0.24</v>
      </c>
      <c r="S136" s="97">
        <v>0.12</v>
      </c>
      <c r="T136" s="97">
        <v>0.48</v>
      </c>
      <c r="U136" s="99">
        <v>17.6</v>
      </c>
      <c r="V136" s="96" t="b">
        <v>1</v>
      </c>
      <c r="W136" s="97">
        <v>0.6</v>
      </c>
      <c r="X136" s="97">
        <v>1.2</v>
      </c>
      <c r="Y136" s="97">
        <v>0.48</v>
      </c>
      <c r="Z136" s="97">
        <v>0.36</v>
      </c>
      <c r="AA136" s="97">
        <v>0.24</v>
      </c>
      <c r="AB136" s="97">
        <v>0.72</v>
      </c>
      <c r="AC136" s="99">
        <v>18.8</v>
      </c>
      <c r="AD136" s="96" t="b">
        <v>1</v>
      </c>
      <c r="AE136" s="97">
        <v>0.8</v>
      </c>
      <c r="AF136" s="97">
        <v>1.6</v>
      </c>
      <c r="AG136" s="97">
        <v>0.6</v>
      </c>
      <c r="AH136" s="97">
        <v>0.48</v>
      </c>
      <c r="AI136" s="97">
        <v>0.36</v>
      </c>
      <c r="AJ136" s="97">
        <v>0.96</v>
      </c>
      <c r="AK136" s="99">
        <v>20.0</v>
      </c>
      <c r="AL136" s="96" t="b">
        <v>1</v>
      </c>
      <c r="AM136" s="80">
        <f t="array" ref="AM136">INDEX(A136:AL136, MATCH(RIGHT('Roadmap setting'!$B$9, 3), $A$2:$AL$2, 0) - 1)
</f>
        <v>17.4</v>
      </c>
      <c r="AN136" s="82">
        <f t="array" ref="AN136">IFNA(LOOKUP(2,1/(ISNUMBER(AN130:AN135)),AN130:AN135)+(D136/(Resources!$P$55/7)),Today()+(D136/(Resources!$P$55/7)))</f>
        <v>45801.61665</v>
      </c>
      <c r="AO136" s="82">
        <f t="array" ref="AO136">IFNA(LOOKUP(2,1/(ISNUMBER(AO130:AO135)),AO130:AO135)+(E136/(Resources!$P$56/7)),Today()+(E136/(Resources!$P$56/7)))</f>
        <v>45835.18997</v>
      </c>
      <c r="AP136" s="82">
        <f t="array" ref="AP136">IF(ISNUMBER($AT136),IFNA(LOOKUP(2,1/(ISNUMBER(AP130:AP135)),AP130:AP135),Today()),IFNA(LOOKUP(2,1/(ISNUMBER(AP130:AP135)),AP130:AP135)+(D136/(Resources!$E$55/7)),Today()+(D136/(Resources!$E$55/7))))</f>
        <v>45827.46975</v>
      </c>
      <c r="AQ136" s="82">
        <f t="array" ref="AQ136">IF(ISNUMBER($AT136),IFNA(LOOKUP(2,1/(ISNUMBER(AQ130:AQ135)),AQ130:AQ135),Today()),IFNA(LOOKUP(2,1/(ISNUMBER(AQ130:AQ135)),AQ130:AQ135)+(E136/(Resources!$E$56/7)),Today()+(E136/(Resources!$E$56/7))))</f>
        <v>45874.64079</v>
      </c>
      <c r="AR136" s="226">
        <f t="shared" si="30"/>
        <v>45874.64079</v>
      </c>
      <c r="AS136" s="82"/>
      <c r="AT136" s="82"/>
      <c r="AU136" s="83"/>
    </row>
    <row r="137" ht="15.0" customHeight="1">
      <c r="A137" s="83" t="s">
        <v>97</v>
      </c>
      <c r="B137" s="110" t="s">
        <v>959</v>
      </c>
      <c r="C137" s="93">
        <f>IF($A137="Feature",SUM(D137:E137)*'Roadmap setting'!$B$13,0)</f>
        <v>2.4</v>
      </c>
      <c r="D137" s="94">
        <v>4.0</v>
      </c>
      <c r="E137" s="94">
        <v>8.0</v>
      </c>
      <c r="F137" s="95">
        <f>IF($A137="Feature",IF('Roadmap setting'!$E$14,$E137*('Roadmap setting'!$B$14+'Roadmap setting'!$D$14),$E137*'Roadmap setting'!$B$14),0)</f>
        <v>1.2</v>
      </c>
      <c r="G137" s="93">
        <f>IF($A137="Feature",$D137*'Roadmap setting'!$B$15,0)</f>
        <v>0</v>
      </c>
      <c r="H137" s="95">
        <f>IF($A137="Feature",$E137*'Roadmap setting'!$B$16,0)</f>
        <v>0</v>
      </c>
      <c r="I137" s="93">
        <f>SUM($D137:$E137)*'Roadmap setting'!$B$17</f>
        <v>1.44</v>
      </c>
      <c r="J137" s="93">
        <f>SUM($D137:$E137)*'Roadmap setting'!$B$18</f>
        <v>0.12</v>
      </c>
      <c r="K137" s="93">
        <f>SUM($D137:$E137)*'Roadmap setting'!$B$19</f>
        <v>0</v>
      </c>
      <c r="L137" s="95">
        <f>SUM($D137:$E137)*'Roadmap setting'!$B$20</f>
        <v>0.24</v>
      </c>
      <c r="M137" s="79">
        <f t="shared" si="29"/>
        <v>17.4</v>
      </c>
      <c r="N137" s="96" t="b">
        <v>1</v>
      </c>
      <c r="O137" s="97">
        <v>0.4</v>
      </c>
      <c r="P137" s="97">
        <v>0.8</v>
      </c>
      <c r="Q137" s="97">
        <v>0.36</v>
      </c>
      <c r="R137" s="97">
        <v>0.24</v>
      </c>
      <c r="S137" s="97">
        <v>0.12</v>
      </c>
      <c r="T137" s="97">
        <v>0.48</v>
      </c>
      <c r="U137" s="99">
        <v>17.6</v>
      </c>
      <c r="V137" s="96" t="b">
        <v>1</v>
      </c>
      <c r="W137" s="97">
        <v>0.6</v>
      </c>
      <c r="X137" s="97">
        <v>1.2</v>
      </c>
      <c r="Y137" s="97">
        <v>0.48</v>
      </c>
      <c r="Z137" s="97">
        <v>0.36</v>
      </c>
      <c r="AA137" s="97">
        <v>0.24</v>
      </c>
      <c r="AB137" s="97">
        <v>0.72</v>
      </c>
      <c r="AC137" s="99">
        <v>18.8</v>
      </c>
      <c r="AD137" s="96" t="b">
        <v>1</v>
      </c>
      <c r="AE137" s="97">
        <v>0.8</v>
      </c>
      <c r="AF137" s="97">
        <v>1.6</v>
      </c>
      <c r="AG137" s="97">
        <v>0.6</v>
      </c>
      <c r="AH137" s="97">
        <v>0.48</v>
      </c>
      <c r="AI137" s="97">
        <v>0.36</v>
      </c>
      <c r="AJ137" s="97">
        <v>0.96</v>
      </c>
      <c r="AK137" s="99">
        <v>20.0</v>
      </c>
      <c r="AL137" s="96" t="b">
        <v>1</v>
      </c>
      <c r="AM137" s="80">
        <f t="array" ref="AM137">INDEX(A137:AL137, MATCH(RIGHT('Roadmap setting'!$B$9, 3), $A$2:$AL$2, 0) - 1)
</f>
        <v>17.4</v>
      </c>
      <c r="AN137" s="82">
        <f t="array" ref="AN137">IFNA(LOOKUP(2,1/(ISNUMBER(AN131:AN136)),AN131:AN136)+(D137/(Resources!$P$55/7)),Today()+(D137/(Resources!$P$55/7)))</f>
        <v>45802.11396</v>
      </c>
      <c r="AO137" s="82">
        <f t="array" ref="AO137">IFNA(LOOKUP(2,1/(ISNUMBER(AO131:AO136)),AO131:AO136)+(E137/(Resources!$P$56/7)),Today()+(E137/(Resources!$P$56/7)))</f>
        <v>45836.83491</v>
      </c>
      <c r="AP137" s="82">
        <f t="array" ref="AP137">IF(ISNUMBER($AT137),IFNA(LOOKUP(2,1/(ISNUMBER(AP131:AP136)),AP131:AP136),Today()),IFNA(LOOKUP(2,1/(ISNUMBER(AP131:AP136)),AP131:AP136)+(D137/(Resources!$E$55/7)),Today()+(D137/(Resources!$E$55/7))))</f>
        <v>45828.48934</v>
      </c>
      <c r="AQ137" s="82">
        <f t="array" ref="AQ137">IF(ISNUMBER($AT137),IFNA(LOOKUP(2,1/(ISNUMBER(AQ131:AQ136)),AQ131:AQ136),Today()),IFNA(LOOKUP(2,1/(ISNUMBER(AQ131:AQ136)),AQ131:AQ136)+(E137/(Resources!$E$56/7)),Today()+(E137/(Resources!$E$56/7))))</f>
        <v>45877.40096</v>
      </c>
      <c r="AR137" s="226">
        <f t="shared" si="30"/>
        <v>45877.40096</v>
      </c>
      <c r="AS137" s="82"/>
      <c r="AT137" s="82"/>
      <c r="AU137" s="83"/>
    </row>
    <row r="138" ht="15.0" customHeight="1">
      <c r="A138" s="72"/>
      <c r="B138" s="91" t="s">
        <v>960</v>
      </c>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c r="AA138" s="72"/>
      <c r="AB138" s="72"/>
      <c r="AC138" s="72"/>
      <c r="AD138" s="72"/>
      <c r="AE138" s="72"/>
      <c r="AF138" s="72"/>
      <c r="AG138" s="72"/>
      <c r="AH138" s="72"/>
      <c r="AI138" s="72"/>
      <c r="AJ138" s="72"/>
      <c r="AK138" s="72"/>
      <c r="AL138" s="72"/>
      <c r="AM138" s="72"/>
      <c r="AN138" s="72"/>
      <c r="AO138" s="72"/>
      <c r="AP138" s="72"/>
      <c r="AQ138" s="72"/>
      <c r="AR138" s="72"/>
      <c r="AS138" s="72"/>
      <c r="AT138" s="72"/>
      <c r="AU138" s="72"/>
    </row>
    <row r="139" ht="15.0" customHeight="1">
      <c r="A139" s="83" t="s">
        <v>97</v>
      </c>
      <c r="B139" s="110" t="s">
        <v>961</v>
      </c>
      <c r="C139" s="93">
        <f>IF($A139="Feature",SUM(D139:E139)*'Roadmap setting'!$B$13,0)</f>
        <v>0.6</v>
      </c>
      <c r="D139" s="94">
        <v>0.0</v>
      </c>
      <c r="E139" s="94">
        <v>3.0</v>
      </c>
      <c r="F139" s="95">
        <f>IF($A139="Feature",IF('Roadmap setting'!$E$14,$E139*('Roadmap setting'!$B$14+'Roadmap setting'!$D$14),$E139*'Roadmap setting'!$B$14),0)</f>
        <v>0.45</v>
      </c>
      <c r="G139" s="93">
        <f>IF($A139="Feature",$D139*'Roadmap setting'!$B$15,0)</f>
        <v>0</v>
      </c>
      <c r="H139" s="95">
        <f>IF($A139="Feature",$E139*'Roadmap setting'!$B$16,0)</f>
        <v>0</v>
      </c>
      <c r="I139" s="93">
        <f>SUM($D139:$E139)*'Roadmap setting'!$B$17</f>
        <v>0.36</v>
      </c>
      <c r="J139" s="93">
        <f>SUM($D139:$E139)*'Roadmap setting'!$B$18</f>
        <v>0.03</v>
      </c>
      <c r="K139" s="93">
        <f>SUM($D139:$E139)*'Roadmap setting'!$B$19</f>
        <v>0</v>
      </c>
      <c r="L139" s="95">
        <f>SUM($D139:$E139)*'Roadmap setting'!$B$20</f>
        <v>0.06</v>
      </c>
      <c r="M139" s="79">
        <f t="shared" ref="M139:M144" si="31">SUM($C139:$F139)+SUM(G139:L139)</f>
        <v>4.5</v>
      </c>
      <c r="N139" s="96" t="b">
        <v>1</v>
      </c>
      <c r="O139" s="97">
        <v>0.0</v>
      </c>
      <c r="P139" s="97">
        <v>0.3</v>
      </c>
      <c r="Q139" s="97">
        <v>0.09</v>
      </c>
      <c r="R139" s="97">
        <v>0.06</v>
      </c>
      <c r="S139" s="97">
        <v>0.03</v>
      </c>
      <c r="T139" s="97">
        <v>0.12</v>
      </c>
      <c r="U139" s="99">
        <v>4.65</v>
      </c>
      <c r="V139" s="96" t="b">
        <v>1</v>
      </c>
      <c r="W139" s="97">
        <v>0.0</v>
      </c>
      <c r="X139" s="97">
        <v>0.45</v>
      </c>
      <c r="Y139" s="97">
        <v>0.12</v>
      </c>
      <c r="Z139" s="97">
        <v>0.09</v>
      </c>
      <c r="AA139" s="97">
        <v>0.06</v>
      </c>
      <c r="AB139" s="97">
        <v>0.18</v>
      </c>
      <c r="AC139" s="99">
        <v>4.95</v>
      </c>
      <c r="AD139" s="96" t="b">
        <v>1</v>
      </c>
      <c r="AE139" s="97">
        <v>0.0</v>
      </c>
      <c r="AF139" s="97">
        <v>0.6</v>
      </c>
      <c r="AG139" s="97">
        <v>0.15</v>
      </c>
      <c r="AH139" s="97">
        <v>0.12</v>
      </c>
      <c r="AI139" s="97">
        <v>0.09</v>
      </c>
      <c r="AJ139" s="97">
        <v>0.24</v>
      </c>
      <c r="AK139" s="99">
        <v>5.25</v>
      </c>
      <c r="AL139" s="96" t="b">
        <v>1</v>
      </c>
      <c r="AM139" s="80">
        <f t="array" ref="AM139">INDEX(A139:AL139, MATCH(RIGHT('Roadmap setting'!$B$9, 3), $A$2:$AL$2, 0) - 1)
</f>
        <v>4.5</v>
      </c>
      <c r="AN139" s="82">
        <f t="array" ref="AN139">IFNA(LOOKUP(2,1/(ISNUMBER(AN133:AN138)),AN133:AN138)+(D139/(Resources!$P$55/7)),Today()+(D139/(Resources!$P$55/7)))</f>
        <v>45802.11396</v>
      </c>
      <c r="AO139" s="82">
        <f t="array" ref="AO139">IFNA(LOOKUP(2,1/(ISNUMBER(AO133:AO138)),AO133:AO138)+(E139/(Resources!$P$56/7)),Today()+(E139/(Resources!$P$56/7)))</f>
        <v>45837.45177</v>
      </c>
      <c r="AP139" s="82">
        <f t="array" ref="AP139">IF(ISNUMBER($AT139),IFNA(LOOKUP(2,1/(ISNUMBER(AP133:AP138)),AP133:AP138),Today()),IFNA(LOOKUP(2,1/(ISNUMBER(AP133:AP138)),AP133:AP138)+(D139/(Resources!$E$55/7)),Today()+(D139/(Resources!$E$55/7))))</f>
        <v>45828.48934</v>
      </c>
      <c r="AQ139" s="82">
        <f t="array" ref="AQ139">IF(ISNUMBER($AT139),IFNA(LOOKUP(2,1/(ISNUMBER(AQ133:AQ138)),AQ133:AQ138),Today()),IFNA(LOOKUP(2,1/(ISNUMBER(AQ133:AQ138)),AQ133:AQ138)+(E139/(Resources!$E$56/7)),Today()+(E139/(Resources!$E$56/7))))</f>
        <v>45878.43602</v>
      </c>
      <c r="AR139" s="226">
        <f t="shared" ref="AR139:AR144" si="32">IFERROR(MAX(AP139,AQ139),"")</f>
        <v>45878.43602</v>
      </c>
      <c r="AS139" s="82"/>
      <c r="AT139" s="82"/>
      <c r="AU139" s="83"/>
    </row>
    <row r="140" ht="15.0" customHeight="1">
      <c r="A140" s="83" t="s">
        <v>97</v>
      </c>
      <c r="B140" s="110" t="s">
        <v>962</v>
      </c>
      <c r="C140" s="93">
        <f>IF($A140="Feature",SUM(D140:E140)*'Roadmap setting'!$B$13,0)</f>
        <v>1.6</v>
      </c>
      <c r="D140" s="94">
        <v>2.0</v>
      </c>
      <c r="E140" s="94">
        <v>6.0</v>
      </c>
      <c r="F140" s="95">
        <f>IF($A140="Feature",IF('Roadmap setting'!$E$14,$E140*('Roadmap setting'!$B$14+'Roadmap setting'!$D$14),$E140*'Roadmap setting'!$B$14),0)</f>
        <v>0.9</v>
      </c>
      <c r="G140" s="93">
        <f>IF($A140="Feature",$D140*'Roadmap setting'!$B$15,0)</f>
        <v>0</v>
      </c>
      <c r="H140" s="95">
        <f>IF($A140="Feature",$E140*'Roadmap setting'!$B$16,0)</f>
        <v>0</v>
      </c>
      <c r="I140" s="93">
        <f>SUM($D140:$E140)*'Roadmap setting'!$B$17</f>
        <v>0.96</v>
      </c>
      <c r="J140" s="93">
        <f>SUM($D140:$E140)*'Roadmap setting'!$B$18</f>
        <v>0.08</v>
      </c>
      <c r="K140" s="93">
        <f>SUM($D140:$E140)*'Roadmap setting'!$B$19</f>
        <v>0</v>
      </c>
      <c r="L140" s="95">
        <f>SUM($D140:$E140)*'Roadmap setting'!$B$20</f>
        <v>0.16</v>
      </c>
      <c r="M140" s="79">
        <f t="shared" si="31"/>
        <v>11.7</v>
      </c>
      <c r="N140" s="96" t="b">
        <v>1</v>
      </c>
      <c r="O140" s="97">
        <v>0.2</v>
      </c>
      <c r="P140" s="97">
        <v>0.6</v>
      </c>
      <c r="Q140" s="97">
        <v>0.24</v>
      </c>
      <c r="R140" s="97">
        <v>0.16</v>
      </c>
      <c r="S140" s="97">
        <v>0.08</v>
      </c>
      <c r="T140" s="97">
        <v>0.32</v>
      </c>
      <c r="U140" s="99">
        <v>11.9</v>
      </c>
      <c r="V140" s="96" t="b">
        <v>1</v>
      </c>
      <c r="W140" s="97">
        <v>0.3</v>
      </c>
      <c r="X140" s="97">
        <v>0.9</v>
      </c>
      <c r="Y140" s="97">
        <v>0.32</v>
      </c>
      <c r="Z140" s="97">
        <v>0.24</v>
      </c>
      <c r="AA140" s="97">
        <v>0.16</v>
      </c>
      <c r="AB140" s="97">
        <v>0.48</v>
      </c>
      <c r="AC140" s="99">
        <v>12.7</v>
      </c>
      <c r="AD140" s="96" t="b">
        <v>1</v>
      </c>
      <c r="AE140" s="97">
        <v>0.4</v>
      </c>
      <c r="AF140" s="97">
        <v>1.2</v>
      </c>
      <c r="AG140" s="97">
        <v>0.4</v>
      </c>
      <c r="AH140" s="97">
        <v>0.32</v>
      </c>
      <c r="AI140" s="97">
        <v>0.24</v>
      </c>
      <c r="AJ140" s="97">
        <v>0.64</v>
      </c>
      <c r="AK140" s="99">
        <v>13.5</v>
      </c>
      <c r="AL140" s="96" t="b">
        <v>1</v>
      </c>
      <c r="AM140" s="80">
        <f t="array" ref="AM140">INDEX(A140:AL140, MATCH(RIGHT('Roadmap setting'!$B$9, 3), $A$2:$AL$2, 0) - 1)
</f>
        <v>11.7</v>
      </c>
      <c r="AN140" s="82">
        <f t="array" ref="AN140">IFNA(LOOKUP(2,1/(ISNUMBER(AN134:AN139)),AN134:AN139)+(D140/(Resources!$P$55/7)),Today()+(D140/(Resources!$P$55/7)))</f>
        <v>45802.36261</v>
      </c>
      <c r="AO140" s="82">
        <f t="array" ref="AO140">IFNA(LOOKUP(2,1/(ISNUMBER(AO134:AO139)),AO134:AO139)+(E140/(Resources!$P$56/7)),Today()+(E140/(Resources!$P$56/7)))</f>
        <v>45838.68548</v>
      </c>
      <c r="AP140" s="82">
        <f t="array" ref="AP140">IF(ISNUMBER($AT140),IFNA(LOOKUP(2,1/(ISNUMBER(AP134:AP139)),AP134:AP139),Today()),IFNA(LOOKUP(2,1/(ISNUMBER(AP134:AP139)),AP134:AP139)+(D140/(Resources!$E$55/7)),Today()+(D140/(Resources!$E$55/7))))</f>
        <v>45828.99914</v>
      </c>
      <c r="AQ140" s="82">
        <f t="array" ref="AQ140">IF(ISNUMBER($AT140),IFNA(LOOKUP(2,1/(ISNUMBER(AQ134:AQ139)),AQ134:AQ139),Today()),IFNA(LOOKUP(2,1/(ISNUMBER(AQ134:AQ139)),AQ134:AQ139)+(E140/(Resources!$E$56/7)),Today()+(E140/(Resources!$E$56/7))))</f>
        <v>45880.50614</v>
      </c>
      <c r="AR140" s="226">
        <f t="shared" si="32"/>
        <v>45880.50614</v>
      </c>
      <c r="AS140" s="82"/>
      <c r="AT140" s="82"/>
      <c r="AU140" s="83"/>
    </row>
    <row r="141" ht="15.0" customHeight="1">
      <c r="A141" s="83" t="s">
        <v>97</v>
      </c>
      <c r="B141" s="110" t="s">
        <v>963</v>
      </c>
      <c r="C141" s="93">
        <f>IF($A141="Feature",SUM(D141:E141)*'Roadmap setting'!$B$13,0)</f>
        <v>1.4</v>
      </c>
      <c r="D141" s="94">
        <v>2.0</v>
      </c>
      <c r="E141" s="94">
        <v>5.0</v>
      </c>
      <c r="F141" s="95">
        <f>IF($A141="Feature",IF('Roadmap setting'!$E$14,$E141*('Roadmap setting'!$B$14+'Roadmap setting'!$D$14),$E141*'Roadmap setting'!$B$14),0)</f>
        <v>0.75</v>
      </c>
      <c r="G141" s="93">
        <f>IF($A141="Feature",$D141*'Roadmap setting'!$B$15,0)</f>
        <v>0</v>
      </c>
      <c r="H141" s="95">
        <f>IF($A141="Feature",$E141*'Roadmap setting'!$B$16,0)</f>
        <v>0</v>
      </c>
      <c r="I141" s="93">
        <f>SUM($D141:$E141)*'Roadmap setting'!$B$17</f>
        <v>0.84</v>
      </c>
      <c r="J141" s="93">
        <f>SUM($D141:$E141)*'Roadmap setting'!$B$18</f>
        <v>0.07</v>
      </c>
      <c r="K141" s="93">
        <f>SUM($D141:$E141)*'Roadmap setting'!$B$19</f>
        <v>0</v>
      </c>
      <c r="L141" s="95">
        <f>SUM($D141:$E141)*'Roadmap setting'!$B$20</f>
        <v>0.14</v>
      </c>
      <c r="M141" s="79">
        <f t="shared" si="31"/>
        <v>10.2</v>
      </c>
      <c r="N141" s="96" t="b">
        <v>1</v>
      </c>
      <c r="O141" s="97">
        <v>0.2</v>
      </c>
      <c r="P141" s="97">
        <v>0.5</v>
      </c>
      <c r="Q141" s="97">
        <v>0.21</v>
      </c>
      <c r="R141" s="97">
        <v>0.14</v>
      </c>
      <c r="S141" s="97">
        <v>0.07</v>
      </c>
      <c r="T141" s="97">
        <v>0.28</v>
      </c>
      <c r="U141" s="99">
        <v>10.35</v>
      </c>
      <c r="V141" s="96" t="b">
        <v>1</v>
      </c>
      <c r="W141" s="97">
        <v>0.3</v>
      </c>
      <c r="X141" s="97">
        <v>0.75</v>
      </c>
      <c r="Y141" s="97">
        <v>0.28</v>
      </c>
      <c r="Z141" s="97">
        <v>0.21</v>
      </c>
      <c r="AA141" s="97">
        <v>0.14</v>
      </c>
      <c r="AB141" s="97">
        <v>0.42</v>
      </c>
      <c r="AC141" s="99">
        <v>11.05</v>
      </c>
      <c r="AD141" s="96" t="b">
        <v>1</v>
      </c>
      <c r="AE141" s="97">
        <v>0.4</v>
      </c>
      <c r="AF141" s="97">
        <v>1.0</v>
      </c>
      <c r="AG141" s="97">
        <v>0.35</v>
      </c>
      <c r="AH141" s="97">
        <v>0.28</v>
      </c>
      <c r="AI141" s="97">
        <v>0.21</v>
      </c>
      <c r="AJ141" s="97">
        <v>0.56</v>
      </c>
      <c r="AK141" s="99">
        <v>11.75</v>
      </c>
      <c r="AL141" s="96" t="b">
        <v>1</v>
      </c>
      <c r="AM141" s="80">
        <f t="array" ref="AM141">INDEX(A141:AL141, MATCH(RIGHT('Roadmap setting'!$B$9, 3), $A$2:$AL$2, 0) - 1)
</f>
        <v>10.2</v>
      </c>
      <c r="AN141" s="82">
        <f t="array" ref="AN141">IFNA(LOOKUP(2,1/(ISNUMBER(AN135:AN140)),AN135:AN140)+(D141/(Resources!$P$55/7)),Today()+(D141/(Resources!$P$55/7)))</f>
        <v>45802.61126</v>
      </c>
      <c r="AO141" s="82">
        <f t="array" ref="AO141">IFNA(LOOKUP(2,1/(ISNUMBER(AO135:AO140)),AO135:AO140)+(E141/(Resources!$P$56/7)),Today()+(E141/(Resources!$P$56/7)))</f>
        <v>45839.71357</v>
      </c>
      <c r="AP141" s="82">
        <f t="array" ref="AP141">IF(ISNUMBER($AT141),IFNA(LOOKUP(2,1/(ISNUMBER(AP135:AP140)),AP135:AP140),Today()),IFNA(LOOKUP(2,1/(ISNUMBER(AP135:AP140)),AP135:AP140)+(D141/(Resources!$E$55/7)),Today()+(D141/(Resources!$E$55/7))))</f>
        <v>45829.50893</v>
      </c>
      <c r="AQ141" s="82">
        <f t="array" ref="AQ141">IF(ISNUMBER($AT141),IFNA(LOOKUP(2,1/(ISNUMBER(AQ135:AQ140)),AQ135:AQ140),Today()),IFNA(LOOKUP(2,1/(ISNUMBER(AQ135:AQ140)),AQ135:AQ140)+(E141/(Resources!$E$56/7)),Today()+(E141/(Resources!$E$56/7))))</f>
        <v>45882.23124</v>
      </c>
      <c r="AR141" s="226">
        <f t="shared" si="32"/>
        <v>45882.23124</v>
      </c>
      <c r="AS141" s="82"/>
      <c r="AT141" s="82"/>
      <c r="AU141" s="83"/>
    </row>
    <row r="142" ht="15.0" customHeight="1">
      <c r="A142" s="83" t="s">
        <v>97</v>
      </c>
      <c r="B142" s="110" t="s">
        <v>964</v>
      </c>
      <c r="C142" s="93">
        <f>IF($A142="Feature",SUM(D142:E142)*'Roadmap setting'!$B$13,0)</f>
        <v>2.8</v>
      </c>
      <c r="D142" s="94">
        <v>8.0</v>
      </c>
      <c r="E142" s="94">
        <v>6.0</v>
      </c>
      <c r="F142" s="95">
        <f>IF($A142="Feature",IF('Roadmap setting'!$E$14,$E142*('Roadmap setting'!$B$14+'Roadmap setting'!$D$14),$E142*'Roadmap setting'!$B$14),0)</f>
        <v>0.9</v>
      </c>
      <c r="G142" s="93">
        <f>IF($A142="Feature",$D142*'Roadmap setting'!$B$15,0)</f>
        <v>0</v>
      </c>
      <c r="H142" s="95">
        <f>IF($A142="Feature",$E142*'Roadmap setting'!$B$16,0)</f>
        <v>0</v>
      </c>
      <c r="I142" s="93">
        <f>SUM($D142:$E142)*'Roadmap setting'!$B$17</f>
        <v>1.68</v>
      </c>
      <c r="J142" s="93">
        <f>SUM($D142:$E142)*'Roadmap setting'!$B$18</f>
        <v>0.14</v>
      </c>
      <c r="K142" s="93">
        <f>SUM($D142:$E142)*'Roadmap setting'!$B$19</f>
        <v>0</v>
      </c>
      <c r="L142" s="95">
        <f>SUM($D142:$E142)*'Roadmap setting'!$B$20</f>
        <v>0.28</v>
      </c>
      <c r="M142" s="79">
        <f t="shared" si="31"/>
        <v>19.8</v>
      </c>
      <c r="N142" s="96" t="b">
        <v>1</v>
      </c>
      <c r="O142" s="97">
        <v>0.8</v>
      </c>
      <c r="P142" s="97">
        <v>0.6</v>
      </c>
      <c r="Q142" s="97">
        <v>0.42</v>
      </c>
      <c r="R142" s="97">
        <v>0.28</v>
      </c>
      <c r="S142" s="97">
        <v>0.14</v>
      </c>
      <c r="T142" s="97">
        <v>0.56</v>
      </c>
      <c r="U142" s="99">
        <v>19.7</v>
      </c>
      <c r="V142" s="96" t="b">
        <v>1</v>
      </c>
      <c r="W142" s="97">
        <v>1.2</v>
      </c>
      <c r="X142" s="97">
        <v>0.9</v>
      </c>
      <c r="Y142" s="97">
        <v>0.56</v>
      </c>
      <c r="Z142" s="97">
        <v>0.42</v>
      </c>
      <c r="AA142" s="97">
        <v>0.28</v>
      </c>
      <c r="AB142" s="97">
        <v>0.84</v>
      </c>
      <c r="AC142" s="99">
        <v>21.1</v>
      </c>
      <c r="AD142" s="96" t="b">
        <v>1</v>
      </c>
      <c r="AE142" s="97">
        <v>1.6</v>
      </c>
      <c r="AF142" s="97">
        <v>1.2</v>
      </c>
      <c r="AG142" s="97">
        <v>0.7</v>
      </c>
      <c r="AH142" s="97">
        <v>0.56</v>
      </c>
      <c r="AI142" s="97">
        <v>0.42</v>
      </c>
      <c r="AJ142" s="97">
        <v>1.12</v>
      </c>
      <c r="AK142" s="99">
        <v>22.5</v>
      </c>
      <c r="AL142" s="96" t="b">
        <v>1</v>
      </c>
      <c r="AM142" s="80">
        <f t="array" ref="AM142">INDEX(A142:AL142, MATCH(RIGHT('Roadmap setting'!$B$9, 3), $A$2:$AL$2, 0) - 1)
</f>
        <v>19.8</v>
      </c>
      <c r="AN142" s="82">
        <f t="array" ref="AN142">IFNA(LOOKUP(2,1/(ISNUMBER(AN136:AN141)),AN136:AN141)+(D142/(Resources!$P$55/7)),Today()+(D142/(Resources!$P$55/7)))</f>
        <v>45803.60587</v>
      </c>
      <c r="AO142" s="82">
        <f t="array" ref="AO142">IFNA(LOOKUP(2,1/(ISNUMBER(AO136:AO141)),AO136:AO141)+(E142/(Resources!$P$56/7)),Today()+(E142/(Resources!$P$56/7)))</f>
        <v>45840.94728</v>
      </c>
      <c r="AP142" s="82">
        <f t="array" ref="AP142">IF(ISNUMBER($AT142),IFNA(LOOKUP(2,1/(ISNUMBER(AP136:AP141)),AP136:AP141),Today()),IFNA(LOOKUP(2,1/(ISNUMBER(AP136:AP141)),AP136:AP141)+(D142/(Resources!$E$55/7)),Today()+(D142/(Resources!$E$55/7))))</f>
        <v>45831.54812</v>
      </c>
      <c r="AQ142" s="82">
        <f t="array" ref="AQ142">IF(ISNUMBER($AT142),IFNA(LOOKUP(2,1/(ISNUMBER(AQ136:AQ141)),AQ136:AQ141),Today()),IFNA(LOOKUP(2,1/(ISNUMBER(AQ136:AQ141)),AQ136:AQ141)+(E142/(Resources!$E$56/7)),Today()+(E142/(Resources!$E$56/7))))</f>
        <v>45884.30137</v>
      </c>
      <c r="AR142" s="226">
        <f t="shared" si="32"/>
        <v>45884.30137</v>
      </c>
      <c r="AS142" s="82"/>
      <c r="AT142" s="82"/>
      <c r="AU142" s="83"/>
    </row>
    <row r="143" ht="15.0" customHeight="1">
      <c r="A143" s="83" t="s">
        <v>97</v>
      </c>
      <c r="B143" s="110" t="s">
        <v>965</v>
      </c>
      <c r="C143" s="93">
        <f>IF($A143="Feature",SUM(D143:E143)*'Roadmap setting'!$B$13,0)</f>
        <v>1.8</v>
      </c>
      <c r="D143" s="94">
        <v>5.0</v>
      </c>
      <c r="E143" s="94">
        <v>4.0</v>
      </c>
      <c r="F143" s="95">
        <f>IF($A143="Feature",IF('Roadmap setting'!$E$14,$E143*('Roadmap setting'!$B$14+'Roadmap setting'!$D$14),$E143*'Roadmap setting'!$B$14),0)</f>
        <v>0.6</v>
      </c>
      <c r="G143" s="93">
        <f>IF($A143="Feature",$D143*'Roadmap setting'!$B$15,0)</f>
        <v>0</v>
      </c>
      <c r="H143" s="95">
        <f>IF($A143="Feature",$E143*'Roadmap setting'!$B$16,0)</f>
        <v>0</v>
      </c>
      <c r="I143" s="93">
        <f>SUM($D143:$E143)*'Roadmap setting'!$B$17</f>
        <v>1.08</v>
      </c>
      <c r="J143" s="93">
        <f>SUM($D143:$E143)*'Roadmap setting'!$B$18</f>
        <v>0.09</v>
      </c>
      <c r="K143" s="93">
        <f>SUM($D143:$E143)*'Roadmap setting'!$B$19</f>
        <v>0</v>
      </c>
      <c r="L143" s="95">
        <f>SUM($D143:$E143)*'Roadmap setting'!$B$20</f>
        <v>0.18</v>
      </c>
      <c r="M143" s="79">
        <f t="shared" si="31"/>
        <v>12.75</v>
      </c>
      <c r="N143" s="96" t="b">
        <v>1</v>
      </c>
      <c r="O143" s="97">
        <v>0.5</v>
      </c>
      <c r="P143" s="97">
        <v>0.4</v>
      </c>
      <c r="Q143" s="97">
        <v>0.27</v>
      </c>
      <c r="R143" s="97">
        <v>0.18</v>
      </c>
      <c r="S143" s="97">
        <v>0.09</v>
      </c>
      <c r="T143" s="97">
        <v>0.36</v>
      </c>
      <c r="U143" s="99">
        <v>12.7</v>
      </c>
      <c r="V143" s="96" t="b">
        <v>1</v>
      </c>
      <c r="W143" s="97">
        <v>0.75</v>
      </c>
      <c r="X143" s="97">
        <v>0.6</v>
      </c>
      <c r="Y143" s="97">
        <v>0.36</v>
      </c>
      <c r="Z143" s="97">
        <v>0.27</v>
      </c>
      <c r="AA143" s="97">
        <v>0.18</v>
      </c>
      <c r="AB143" s="97">
        <v>0.54</v>
      </c>
      <c r="AC143" s="99">
        <v>13.6</v>
      </c>
      <c r="AD143" s="96" t="b">
        <v>1</v>
      </c>
      <c r="AE143" s="97">
        <v>1.0</v>
      </c>
      <c r="AF143" s="97">
        <v>0.8</v>
      </c>
      <c r="AG143" s="97">
        <v>0.45</v>
      </c>
      <c r="AH143" s="97">
        <v>0.36</v>
      </c>
      <c r="AI143" s="97">
        <v>0.27</v>
      </c>
      <c r="AJ143" s="97">
        <v>0.72</v>
      </c>
      <c r="AK143" s="99">
        <v>14.5</v>
      </c>
      <c r="AL143" s="96" t="b">
        <v>1</v>
      </c>
      <c r="AM143" s="80">
        <f t="array" ref="AM143">INDEX(A143:AL143, MATCH(RIGHT('Roadmap setting'!$B$9, 3), $A$2:$AL$2, 0) - 1)
</f>
        <v>12.75</v>
      </c>
      <c r="AN143" s="82">
        <f t="array" ref="AN143">IFNA(LOOKUP(2,1/(ISNUMBER(AN137:AN142)),AN137:AN142)+(D143/(Resources!$P$55/7)),Today()+(D143/(Resources!$P$55/7)))</f>
        <v>45804.22751</v>
      </c>
      <c r="AO143" s="82">
        <f t="array" ref="AO143">IFNA(LOOKUP(2,1/(ISNUMBER(AO137:AO142)),AO137:AO142)+(E143/(Resources!$P$56/7)),Today()+(E143/(Resources!$P$56/7)))</f>
        <v>45841.76975</v>
      </c>
      <c r="AP143" s="82">
        <f t="array" ref="AP143">IF(ISNUMBER($AT143),IFNA(LOOKUP(2,1/(ISNUMBER(AP137:AP142)),AP137:AP142),Today()),IFNA(LOOKUP(2,1/(ISNUMBER(AP137:AP142)),AP137:AP142)+(D143/(Resources!$E$55/7)),Today()+(D143/(Resources!$E$55/7))))</f>
        <v>45832.8226</v>
      </c>
      <c r="AQ143" s="82">
        <f t="array" ref="AQ143">IF(ISNUMBER($AT143),IFNA(LOOKUP(2,1/(ISNUMBER(AQ137:AQ142)),AQ137:AQ142),Today()),IFNA(LOOKUP(2,1/(ISNUMBER(AQ137:AQ142)),AQ137:AQ142)+(E143/(Resources!$E$56/7)),Today()+(E143/(Resources!$E$56/7))))</f>
        <v>45885.68145</v>
      </c>
      <c r="AR143" s="226">
        <f t="shared" si="32"/>
        <v>45885.68145</v>
      </c>
      <c r="AS143" s="82"/>
      <c r="AT143" s="82"/>
      <c r="AU143" s="83"/>
    </row>
    <row r="144" ht="15.0" customHeight="1">
      <c r="A144" s="83" t="s">
        <v>97</v>
      </c>
      <c r="B144" s="110" t="s">
        <v>966</v>
      </c>
      <c r="C144" s="93">
        <f>IF($A144="Feature",SUM(D144:E144)*'Roadmap setting'!$B$13,0)</f>
        <v>2</v>
      </c>
      <c r="D144" s="94">
        <v>4.0</v>
      </c>
      <c r="E144" s="94">
        <v>6.0</v>
      </c>
      <c r="F144" s="95">
        <f>IF($A144="Feature",IF('Roadmap setting'!$E$14,$E144*('Roadmap setting'!$B$14+'Roadmap setting'!$D$14),$E144*'Roadmap setting'!$B$14),0)</f>
        <v>0.9</v>
      </c>
      <c r="G144" s="93">
        <f>IF($A144="Feature",$D144*'Roadmap setting'!$B$15,0)</f>
        <v>0</v>
      </c>
      <c r="H144" s="95">
        <f>IF($A144="Feature",$E144*'Roadmap setting'!$B$16,0)</f>
        <v>0</v>
      </c>
      <c r="I144" s="93">
        <f>SUM($D144:$E144)*'Roadmap setting'!$B$17</f>
        <v>1.2</v>
      </c>
      <c r="J144" s="93">
        <f>SUM($D144:$E144)*'Roadmap setting'!$B$18</f>
        <v>0.1</v>
      </c>
      <c r="K144" s="93">
        <f>SUM($D144:$E144)*'Roadmap setting'!$B$19</f>
        <v>0</v>
      </c>
      <c r="L144" s="95">
        <f>SUM($D144:$E144)*'Roadmap setting'!$B$20</f>
        <v>0.2</v>
      </c>
      <c r="M144" s="79">
        <f t="shared" si="31"/>
        <v>14.4</v>
      </c>
      <c r="N144" s="96" t="b">
        <v>1</v>
      </c>
      <c r="O144" s="97">
        <v>0.4</v>
      </c>
      <c r="P144" s="97">
        <v>0.6</v>
      </c>
      <c r="Q144" s="97">
        <v>0.3</v>
      </c>
      <c r="R144" s="97">
        <v>0.2</v>
      </c>
      <c r="S144" s="97">
        <v>0.1</v>
      </c>
      <c r="T144" s="97">
        <v>0.4</v>
      </c>
      <c r="U144" s="99">
        <v>14.5</v>
      </c>
      <c r="V144" s="96" t="b">
        <v>1</v>
      </c>
      <c r="W144" s="97">
        <v>0.6</v>
      </c>
      <c r="X144" s="97">
        <v>0.9</v>
      </c>
      <c r="Y144" s="97">
        <v>0.4</v>
      </c>
      <c r="Z144" s="97">
        <v>0.3</v>
      </c>
      <c r="AA144" s="97">
        <v>0.2</v>
      </c>
      <c r="AB144" s="97">
        <v>0.6</v>
      </c>
      <c r="AC144" s="99">
        <v>15.5</v>
      </c>
      <c r="AD144" s="96" t="b">
        <v>1</v>
      </c>
      <c r="AE144" s="97">
        <v>0.8</v>
      </c>
      <c r="AF144" s="97">
        <v>1.2</v>
      </c>
      <c r="AG144" s="97">
        <v>0.5</v>
      </c>
      <c r="AH144" s="97">
        <v>0.4</v>
      </c>
      <c r="AI144" s="97">
        <v>0.3</v>
      </c>
      <c r="AJ144" s="97">
        <v>0.8</v>
      </c>
      <c r="AK144" s="99">
        <v>16.5</v>
      </c>
      <c r="AL144" s="96" t="b">
        <v>1</v>
      </c>
      <c r="AM144" s="80">
        <f t="array" ref="AM144">INDEX(A144:AL144, MATCH(RIGHT('Roadmap setting'!$B$9, 3), $A$2:$AL$2, 0) - 1)
</f>
        <v>14.4</v>
      </c>
      <c r="AN144" s="82">
        <f t="array" ref="AN144">IFNA(LOOKUP(2,1/(ISNUMBER(AN138:AN143)),AN138:AN143)+(D144/(Resources!$P$55/7)),Today()+(D144/(Resources!$P$55/7)))</f>
        <v>45804.72481</v>
      </c>
      <c r="AO144" s="82">
        <f t="array" ref="AO144">IFNA(LOOKUP(2,1/(ISNUMBER(AO138:AO143)),AO138:AO143)+(E144/(Resources!$P$56/7)),Today()+(E144/(Resources!$P$56/7)))</f>
        <v>45843.00346</v>
      </c>
      <c r="AP144" s="82">
        <f t="array" ref="AP144">IF(ISNUMBER($AT144),IFNA(LOOKUP(2,1/(ISNUMBER(AP138:AP143)),AP138:AP143),Today()),IFNA(LOOKUP(2,1/(ISNUMBER(AP138:AP143)),AP138:AP143)+(D144/(Resources!$E$55/7)),Today()+(D144/(Resources!$E$55/7))))</f>
        <v>45833.84219</v>
      </c>
      <c r="AQ144" s="82">
        <f t="array" ref="AQ144">IF(ISNUMBER($AT144),IFNA(LOOKUP(2,1/(ISNUMBER(AQ138:AQ143)),AQ138:AQ143),Today()),IFNA(LOOKUP(2,1/(ISNUMBER(AQ138:AQ143)),AQ138:AQ143)+(E144/(Resources!$E$56/7)),Today()+(E144/(Resources!$E$56/7))))</f>
        <v>45887.75157</v>
      </c>
      <c r="AR144" s="226">
        <f t="shared" si="32"/>
        <v>45887.75157</v>
      </c>
      <c r="AS144" s="82"/>
      <c r="AT144" s="82"/>
      <c r="AU144" s="83"/>
    </row>
    <row r="145" ht="15.0" customHeight="1">
      <c r="A145" s="72"/>
      <c r="B145" s="91" t="s">
        <v>967</v>
      </c>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c r="AB145" s="72"/>
      <c r="AC145" s="72"/>
      <c r="AD145" s="72"/>
      <c r="AE145" s="72"/>
      <c r="AF145" s="72"/>
      <c r="AG145" s="72"/>
      <c r="AH145" s="72"/>
      <c r="AI145" s="72"/>
      <c r="AJ145" s="72"/>
      <c r="AK145" s="72"/>
      <c r="AL145" s="72"/>
      <c r="AM145" s="72"/>
      <c r="AN145" s="72"/>
      <c r="AO145" s="72"/>
      <c r="AP145" s="72"/>
      <c r="AQ145" s="72"/>
      <c r="AR145" s="72"/>
      <c r="AS145" s="72"/>
      <c r="AT145" s="72"/>
      <c r="AU145" s="72"/>
    </row>
    <row r="146" ht="15.0" customHeight="1">
      <c r="A146" s="83" t="s">
        <v>97</v>
      </c>
      <c r="B146" s="110" t="s">
        <v>968</v>
      </c>
      <c r="C146" s="93">
        <f>IF($A146="Feature",SUM(D146:E146)*'Roadmap setting'!$B$13,0)</f>
        <v>0.6</v>
      </c>
      <c r="D146" s="94">
        <v>0.0</v>
      </c>
      <c r="E146" s="94">
        <v>3.0</v>
      </c>
      <c r="F146" s="95">
        <f>IF($A146="Feature",IF('Roadmap setting'!$E$14,$E146*('Roadmap setting'!$B$14+'Roadmap setting'!$D$14),$E146*'Roadmap setting'!$B$14),0)</f>
        <v>0.45</v>
      </c>
      <c r="G146" s="93">
        <f>IF($A146="Feature",$D146*'Roadmap setting'!$B$15,0)</f>
        <v>0</v>
      </c>
      <c r="H146" s="95">
        <f>IF($A146="Feature",$E146*'Roadmap setting'!$B$16,0)</f>
        <v>0</v>
      </c>
      <c r="I146" s="93">
        <f>SUM($D146:$E146)*'Roadmap setting'!$B$17</f>
        <v>0.36</v>
      </c>
      <c r="J146" s="93">
        <f>SUM($D146:$E146)*'Roadmap setting'!$B$18</f>
        <v>0.03</v>
      </c>
      <c r="K146" s="93">
        <f>SUM($D146:$E146)*'Roadmap setting'!$B$19</f>
        <v>0</v>
      </c>
      <c r="L146" s="95">
        <f>SUM($D146:$E146)*'Roadmap setting'!$B$20</f>
        <v>0.06</v>
      </c>
      <c r="M146" s="79">
        <f t="shared" ref="M146:M153" si="33">SUM($C146:$F146)+SUM(G146:L146)</f>
        <v>4.5</v>
      </c>
      <c r="N146" s="96" t="b">
        <v>1</v>
      </c>
      <c r="O146" s="97">
        <v>0.0</v>
      </c>
      <c r="P146" s="97">
        <v>0.3</v>
      </c>
      <c r="Q146" s="97">
        <v>0.09</v>
      </c>
      <c r="R146" s="97">
        <v>0.06</v>
      </c>
      <c r="S146" s="97">
        <v>0.03</v>
      </c>
      <c r="T146" s="97">
        <v>0.12</v>
      </c>
      <c r="U146" s="99">
        <v>4.65</v>
      </c>
      <c r="V146" s="96" t="b">
        <v>1</v>
      </c>
      <c r="W146" s="97">
        <v>0.0</v>
      </c>
      <c r="X146" s="97">
        <v>0.45</v>
      </c>
      <c r="Y146" s="97">
        <v>0.12</v>
      </c>
      <c r="Z146" s="97">
        <v>0.09</v>
      </c>
      <c r="AA146" s="97">
        <v>0.06</v>
      </c>
      <c r="AB146" s="97">
        <v>0.18</v>
      </c>
      <c r="AC146" s="99">
        <v>4.95</v>
      </c>
      <c r="AD146" s="96" t="b">
        <v>1</v>
      </c>
      <c r="AE146" s="97">
        <v>0.0</v>
      </c>
      <c r="AF146" s="97">
        <v>0.6</v>
      </c>
      <c r="AG146" s="97">
        <v>0.15</v>
      </c>
      <c r="AH146" s="97">
        <v>0.12</v>
      </c>
      <c r="AI146" s="97">
        <v>0.09</v>
      </c>
      <c r="AJ146" s="97">
        <v>0.24</v>
      </c>
      <c r="AK146" s="99">
        <v>5.25</v>
      </c>
      <c r="AL146" s="96" t="b">
        <v>1</v>
      </c>
      <c r="AM146" s="80">
        <f t="array" ref="AM146">INDEX(A146:AL146, MATCH(RIGHT('Roadmap setting'!$B$9, 3), $A$2:$AL$2, 0) - 1)
</f>
        <v>4.5</v>
      </c>
      <c r="AN146" s="82">
        <f t="array" ref="AN146">IFNA(LOOKUP(2,1/(ISNUMBER(AN140:AN145)),AN140:AN145)+(D146/(Resources!$P$55/7)),Today()+(D146/(Resources!$P$55/7)))</f>
        <v>45804.72481</v>
      </c>
      <c r="AO146" s="82">
        <f t="array" ref="AO146">IFNA(LOOKUP(2,1/(ISNUMBER(AO140:AO145)),AO140:AO145)+(E146/(Resources!$P$56/7)),Today()+(E146/(Resources!$P$56/7)))</f>
        <v>45843.62032</v>
      </c>
      <c r="AP146" s="82">
        <f t="array" ref="AP146">IF(ISNUMBER($AT146),IFNA(LOOKUP(2,1/(ISNUMBER(AP140:AP145)),AP140:AP145),Today()),IFNA(LOOKUP(2,1/(ISNUMBER(AP140:AP145)),AP140:AP145)+(D146/(Resources!$E$55/7)),Today()+(D146/(Resources!$E$55/7))))</f>
        <v>45833.84219</v>
      </c>
      <c r="AQ146" s="82">
        <f t="array" ref="AQ146">IF(ISNUMBER($AT146),IFNA(LOOKUP(2,1/(ISNUMBER(AQ140:AQ145)),AQ140:AQ145),Today()),IFNA(LOOKUP(2,1/(ISNUMBER(AQ140:AQ145)),AQ140:AQ145)+(E146/(Resources!$E$56/7)),Today()+(E146/(Resources!$E$56/7))))</f>
        <v>45888.78663</v>
      </c>
      <c r="AR146" s="226">
        <f t="shared" ref="AR146:AR153" si="34">IFERROR(MAX(AP146,AQ146),"")</f>
        <v>45888.78663</v>
      </c>
      <c r="AS146" s="82"/>
      <c r="AT146" s="82"/>
      <c r="AU146" s="83"/>
    </row>
    <row r="147" ht="15.0" customHeight="1">
      <c r="A147" s="83" t="s">
        <v>97</v>
      </c>
      <c r="B147" s="110" t="s">
        <v>969</v>
      </c>
      <c r="C147" s="93">
        <f>IF($A147="Feature",SUM(D147:E147)*'Roadmap setting'!$B$13,0)</f>
        <v>1.6</v>
      </c>
      <c r="D147" s="94">
        <v>2.0</v>
      </c>
      <c r="E147" s="94">
        <v>6.0</v>
      </c>
      <c r="F147" s="95">
        <f>IF($A147="Feature",IF('Roadmap setting'!$E$14,$E147*('Roadmap setting'!$B$14+'Roadmap setting'!$D$14),$E147*'Roadmap setting'!$B$14),0)</f>
        <v>0.9</v>
      </c>
      <c r="G147" s="93">
        <f>IF($A147="Feature",$D147*'Roadmap setting'!$B$15,0)</f>
        <v>0</v>
      </c>
      <c r="H147" s="95">
        <f>IF($A147="Feature",$E147*'Roadmap setting'!$B$16,0)</f>
        <v>0</v>
      </c>
      <c r="I147" s="93">
        <f>SUM($D147:$E147)*'Roadmap setting'!$B$17</f>
        <v>0.96</v>
      </c>
      <c r="J147" s="93">
        <f>SUM($D147:$E147)*'Roadmap setting'!$B$18</f>
        <v>0.08</v>
      </c>
      <c r="K147" s="93">
        <f>SUM($D147:$E147)*'Roadmap setting'!$B$19</f>
        <v>0</v>
      </c>
      <c r="L147" s="95">
        <f>SUM($D147:$E147)*'Roadmap setting'!$B$20</f>
        <v>0.16</v>
      </c>
      <c r="M147" s="79">
        <f t="shared" si="33"/>
        <v>11.7</v>
      </c>
      <c r="N147" s="96" t="b">
        <v>1</v>
      </c>
      <c r="O147" s="97">
        <v>0.2</v>
      </c>
      <c r="P147" s="97">
        <v>0.6</v>
      </c>
      <c r="Q147" s="97">
        <v>0.24</v>
      </c>
      <c r="R147" s="97">
        <v>0.16</v>
      </c>
      <c r="S147" s="97">
        <v>0.08</v>
      </c>
      <c r="T147" s="97">
        <v>0.32</v>
      </c>
      <c r="U147" s="99">
        <v>11.9</v>
      </c>
      <c r="V147" s="96" t="b">
        <v>1</v>
      </c>
      <c r="W147" s="97">
        <v>0.3</v>
      </c>
      <c r="X147" s="97">
        <v>0.9</v>
      </c>
      <c r="Y147" s="97">
        <v>0.32</v>
      </c>
      <c r="Z147" s="97">
        <v>0.24</v>
      </c>
      <c r="AA147" s="97">
        <v>0.16</v>
      </c>
      <c r="AB147" s="97">
        <v>0.48</v>
      </c>
      <c r="AC147" s="99">
        <v>12.7</v>
      </c>
      <c r="AD147" s="96" t="b">
        <v>1</v>
      </c>
      <c r="AE147" s="97">
        <v>0.4</v>
      </c>
      <c r="AF147" s="97">
        <v>1.2</v>
      </c>
      <c r="AG147" s="97">
        <v>0.4</v>
      </c>
      <c r="AH147" s="97">
        <v>0.32</v>
      </c>
      <c r="AI147" s="97">
        <v>0.24</v>
      </c>
      <c r="AJ147" s="97">
        <v>0.64</v>
      </c>
      <c r="AK147" s="99">
        <v>13.5</v>
      </c>
      <c r="AL147" s="96" t="b">
        <v>1</v>
      </c>
      <c r="AM147" s="80">
        <f t="array" ref="AM147">INDEX(A147:AL147, MATCH(RIGHT('Roadmap setting'!$B$9, 3), $A$2:$AL$2, 0) - 1)
</f>
        <v>11.7</v>
      </c>
      <c r="AN147" s="82">
        <f t="array" ref="AN147">IFNA(LOOKUP(2,1/(ISNUMBER(AN141:AN146)),AN141:AN146)+(D147/(Resources!$P$55/7)),Today()+(D147/(Resources!$P$55/7)))</f>
        <v>45804.97347</v>
      </c>
      <c r="AO147" s="82">
        <f t="array" ref="AO147">IFNA(LOOKUP(2,1/(ISNUMBER(AO141:AO146)),AO141:AO146)+(E147/(Resources!$P$56/7)),Today()+(E147/(Resources!$P$56/7)))</f>
        <v>45844.85403</v>
      </c>
      <c r="AP147" s="82">
        <f t="array" ref="AP147">IF(ISNUMBER($AT147),IFNA(LOOKUP(2,1/(ISNUMBER(AP141:AP146)),AP141:AP146),Today()),IFNA(LOOKUP(2,1/(ISNUMBER(AP141:AP146)),AP141:AP146)+(D147/(Resources!$E$55/7)),Today()+(D147/(Resources!$E$55/7))))</f>
        <v>45834.35199</v>
      </c>
      <c r="AQ147" s="82">
        <f t="array" ref="AQ147">IF(ISNUMBER($AT147),IFNA(LOOKUP(2,1/(ISNUMBER(AQ141:AQ146)),AQ141:AQ146),Today()),IFNA(LOOKUP(2,1/(ISNUMBER(AQ141:AQ146)),AQ141:AQ146)+(E147/(Resources!$E$56/7)),Today()+(E147/(Resources!$E$56/7))))</f>
        <v>45890.85675</v>
      </c>
      <c r="AR147" s="226">
        <f t="shared" si="34"/>
        <v>45890.85675</v>
      </c>
      <c r="AS147" s="82"/>
      <c r="AT147" s="82"/>
      <c r="AU147" s="83"/>
    </row>
    <row r="148" ht="15.0" customHeight="1">
      <c r="A148" s="83" t="s">
        <v>97</v>
      </c>
      <c r="B148" s="110" t="s">
        <v>970</v>
      </c>
      <c r="C148" s="93">
        <f>IF($A148="Feature",SUM(D148:E148)*'Roadmap setting'!$B$13,0)</f>
        <v>1.4</v>
      </c>
      <c r="D148" s="94">
        <v>2.0</v>
      </c>
      <c r="E148" s="94">
        <v>5.0</v>
      </c>
      <c r="F148" s="95">
        <f>IF($A148="Feature",IF('Roadmap setting'!$E$14,$E148*('Roadmap setting'!$B$14+'Roadmap setting'!$D$14),$E148*'Roadmap setting'!$B$14),0)</f>
        <v>0.75</v>
      </c>
      <c r="G148" s="93">
        <f>IF($A148="Feature",$D148*'Roadmap setting'!$B$15,0)</f>
        <v>0</v>
      </c>
      <c r="H148" s="95">
        <f>IF($A148="Feature",$E148*'Roadmap setting'!$B$16,0)</f>
        <v>0</v>
      </c>
      <c r="I148" s="93">
        <f>SUM($D148:$E148)*'Roadmap setting'!$B$17</f>
        <v>0.84</v>
      </c>
      <c r="J148" s="93">
        <f>SUM($D148:$E148)*'Roadmap setting'!$B$18</f>
        <v>0.07</v>
      </c>
      <c r="K148" s="93">
        <f>SUM($D148:$E148)*'Roadmap setting'!$B$19</f>
        <v>0</v>
      </c>
      <c r="L148" s="95">
        <f>SUM($D148:$E148)*'Roadmap setting'!$B$20</f>
        <v>0.14</v>
      </c>
      <c r="M148" s="79">
        <f t="shared" si="33"/>
        <v>10.2</v>
      </c>
      <c r="N148" s="96" t="b">
        <v>1</v>
      </c>
      <c r="O148" s="97">
        <v>0.2</v>
      </c>
      <c r="P148" s="97">
        <v>0.5</v>
      </c>
      <c r="Q148" s="97">
        <v>0.21</v>
      </c>
      <c r="R148" s="97">
        <v>0.14</v>
      </c>
      <c r="S148" s="97">
        <v>0.07</v>
      </c>
      <c r="T148" s="97">
        <v>0.28</v>
      </c>
      <c r="U148" s="99">
        <v>10.35</v>
      </c>
      <c r="V148" s="96" t="b">
        <v>1</v>
      </c>
      <c r="W148" s="97">
        <v>0.3</v>
      </c>
      <c r="X148" s="97">
        <v>0.75</v>
      </c>
      <c r="Y148" s="97">
        <v>0.28</v>
      </c>
      <c r="Z148" s="97">
        <v>0.21</v>
      </c>
      <c r="AA148" s="97">
        <v>0.14</v>
      </c>
      <c r="AB148" s="97">
        <v>0.42</v>
      </c>
      <c r="AC148" s="99">
        <v>11.05</v>
      </c>
      <c r="AD148" s="96" t="b">
        <v>1</v>
      </c>
      <c r="AE148" s="97">
        <v>0.4</v>
      </c>
      <c r="AF148" s="97">
        <v>1.0</v>
      </c>
      <c r="AG148" s="97">
        <v>0.35</v>
      </c>
      <c r="AH148" s="97">
        <v>0.28</v>
      </c>
      <c r="AI148" s="97">
        <v>0.21</v>
      </c>
      <c r="AJ148" s="97">
        <v>0.56</v>
      </c>
      <c r="AK148" s="99">
        <v>11.75</v>
      </c>
      <c r="AL148" s="96" t="b">
        <v>1</v>
      </c>
      <c r="AM148" s="80">
        <f t="array" ref="AM148">INDEX(A148:AL148, MATCH(RIGHT('Roadmap setting'!$B$9, 3), $A$2:$AL$2, 0) - 1)
</f>
        <v>10.2</v>
      </c>
      <c r="AN148" s="82">
        <f t="array" ref="AN148">IFNA(LOOKUP(2,1/(ISNUMBER(AN142:AN147)),AN142:AN147)+(D148/(Resources!$P$55/7)),Today()+(D148/(Resources!$P$55/7)))</f>
        <v>45805.22212</v>
      </c>
      <c r="AO148" s="82">
        <f t="array" ref="AO148">IFNA(LOOKUP(2,1/(ISNUMBER(AO142:AO147)),AO142:AO147)+(E148/(Resources!$P$56/7)),Today()+(E148/(Resources!$P$56/7)))</f>
        <v>45845.88212</v>
      </c>
      <c r="AP148" s="82">
        <f t="array" ref="AP148">IF(ISNUMBER($AT148),IFNA(LOOKUP(2,1/(ISNUMBER(AP142:AP147)),AP142:AP147),Today()),IFNA(LOOKUP(2,1/(ISNUMBER(AP142:AP147)),AP142:AP147)+(D148/(Resources!$E$55/7)),Today()+(D148/(Resources!$E$55/7))))</f>
        <v>45834.86179</v>
      </c>
      <c r="AQ148" s="82">
        <f t="array" ref="AQ148">IF(ISNUMBER($AT148),IFNA(LOOKUP(2,1/(ISNUMBER(AQ142:AQ147)),AQ142:AQ147),Today()),IFNA(LOOKUP(2,1/(ISNUMBER(AQ142:AQ147)),AQ142:AQ147)+(E148/(Resources!$E$56/7)),Today()+(E148/(Resources!$E$56/7))))</f>
        <v>45892.58186</v>
      </c>
      <c r="AR148" s="226">
        <f t="shared" si="34"/>
        <v>45892.58186</v>
      </c>
      <c r="AS148" s="82"/>
      <c r="AT148" s="82"/>
      <c r="AU148" s="83"/>
    </row>
    <row r="149" ht="15.0" customHeight="1">
      <c r="A149" s="83" t="s">
        <v>97</v>
      </c>
      <c r="B149" s="110" t="s">
        <v>965</v>
      </c>
      <c r="C149" s="93">
        <f>IF($A149="Feature",SUM(D149:E149)*'Roadmap setting'!$B$13,0)</f>
        <v>1.8</v>
      </c>
      <c r="D149" s="94">
        <v>5.0</v>
      </c>
      <c r="E149" s="94">
        <v>4.0</v>
      </c>
      <c r="F149" s="95">
        <f>IF($A149="Feature",IF('Roadmap setting'!$E$14,$E149*('Roadmap setting'!$B$14+'Roadmap setting'!$D$14),$E149*'Roadmap setting'!$B$14),0)</f>
        <v>0.6</v>
      </c>
      <c r="G149" s="93">
        <f>IF($A149="Feature",$D149*'Roadmap setting'!$B$15,0)</f>
        <v>0</v>
      </c>
      <c r="H149" s="95">
        <f>IF($A149="Feature",$E149*'Roadmap setting'!$B$16,0)</f>
        <v>0</v>
      </c>
      <c r="I149" s="93">
        <f>SUM($D149:$E149)*'Roadmap setting'!$B$17</f>
        <v>1.08</v>
      </c>
      <c r="J149" s="93">
        <f>SUM($D149:$E149)*'Roadmap setting'!$B$18</f>
        <v>0.09</v>
      </c>
      <c r="K149" s="93">
        <f>SUM($D149:$E149)*'Roadmap setting'!$B$19</f>
        <v>0</v>
      </c>
      <c r="L149" s="95">
        <f>SUM($D149:$E149)*'Roadmap setting'!$B$20</f>
        <v>0.18</v>
      </c>
      <c r="M149" s="79">
        <f t="shared" si="33"/>
        <v>12.75</v>
      </c>
      <c r="N149" s="96" t="b">
        <v>1</v>
      </c>
      <c r="O149" s="97">
        <v>0.5</v>
      </c>
      <c r="P149" s="97">
        <v>0.4</v>
      </c>
      <c r="Q149" s="97">
        <v>0.27</v>
      </c>
      <c r="R149" s="97">
        <v>0.18</v>
      </c>
      <c r="S149" s="97">
        <v>0.09</v>
      </c>
      <c r="T149" s="97">
        <v>0.36</v>
      </c>
      <c r="U149" s="99">
        <v>12.7</v>
      </c>
      <c r="V149" s="96" t="b">
        <v>1</v>
      </c>
      <c r="W149" s="97">
        <v>0.75</v>
      </c>
      <c r="X149" s="97">
        <v>0.6</v>
      </c>
      <c r="Y149" s="97">
        <v>0.36</v>
      </c>
      <c r="Z149" s="97">
        <v>0.27</v>
      </c>
      <c r="AA149" s="97">
        <v>0.18</v>
      </c>
      <c r="AB149" s="97">
        <v>0.54</v>
      </c>
      <c r="AC149" s="99">
        <v>13.6</v>
      </c>
      <c r="AD149" s="96" t="b">
        <v>1</v>
      </c>
      <c r="AE149" s="97">
        <v>1.0</v>
      </c>
      <c r="AF149" s="97">
        <v>0.8</v>
      </c>
      <c r="AG149" s="97">
        <v>0.45</v>
      </c>
      <c r="AH149" s="97">
        <v>0.36</v>
      </c>
      <c r="AI149" s="97">
        <v>0.27</v>
      </c>
      <c r="AJ149" s="97">
        <v>0.72</v>
      </c>
      <c r="AK149" s="99">
        <v>14.5</v>
      </c>
      <c r="AL149" s="96" t="b">
        <v>1</v>
      </c>
      <c r="AM149" s="80">
        <f t="array" ref="AM149">INDEX(A149:AL149, MATCH(RIGHT('Roadmap setting'!$B$9, 3), $A$2:$AL$2, 0) - 1)
</f>
        <v>12.75</v>
      </c>
      <c r="AN149" s="82">
        <f t="array" ref="AN149">IFNA(LOOKUP(2,1/(ISNUMBER(AN143:AN148)),AN143:AN148)+(D149/(Resources!$P$55/7)),Today()+(D149/(Resources!$P$55/7)))</f>
        <v>45805.84375</v>
      </c>
      <c r="AO149" s="82">
        <f t="array" ref="AO149">IFNA(LOOKUP(2,1/(ISNUMBER(AO143:AO148)),AO143:AO148)+(E149/(Resources!$P$56/7)),Today()+(E149/(Resources!$P$56/7)))</f>
        <v>45846.70459</v>
      </c>
      <c r="AP149" s="82">
        <f t="array" ref="AP149">IF(ISNUMBER($AT149),IFNA(LOOKUP(2,1/(ISNUMBER(AP143:AP148)),AP143:AP148),Today()),IFNA(LOOKUP(2,1/(ISNUMBER(AP143:AP148)),AP143:AP148)+(D149/(Resources!$E$55/7)),Today()+(D149/(Resources!$E$55/7))))</f>
        <v>45836.13627</v>
      </c>
      <c r="AQ149" s="82">
        <f t="array" ref="AQ149">IF(ISNUMBER($AT149),IFNA(LOOKUP(2,1/(ISNUMBER(AQ143:AQ148)),AQ143:AQ148),Today()),IFNA(LOOKUP(2,1/(ISNUMBER(AQ143:AQ148)),AQ143:AQ148)+(E149/(Resources!$E$56/7)),Today()+(E149/(Resources!$E$56/7))))</f>
        <v>45893.96194</v>
      </c>
      <c r="AR149" s="226">
        <f t="shared" si="34"/>
        <v>45893.96194</v>
      </c>
      <c r="AS149" s="82"/>
      <c r="AT149" s="82"/>
      <c r="AU149" s="83"/>
    </row>
    <row r="150" ht="15.0" customHeight="1">
      <c r="A150" s="83" t="s">
        <v>97</v>
      </c>
      <c r="B150" s="110" t="s">
        <v>971</v>
      </c>
      <c r="C150" s="93">
        <f>IF($A150="Feature",SUM(D150:E150)*'Roadmap setting'!$B$13,0)</f>
        <v>2.8</v>
      </c>
      <c r="D150" s="94">
        <v>8.0</v>
      </c>
      <c r="E150" s="94">
        <v>6.0</v>
      </c>
      <c r="F150" s="95">
        <f>IF($A150="Feature",IF('Roadmap setting'!$E$14,$E150*('Roadmap setting'!$B$14+'Roadmap setting'!$D$14),$E150*'Roadmap setting'!$B$14),0)</f>
        <v>0.9</v>
      </c>
      <c r="G150" s="93">
        <f>IF($A150="Feature",$D150*'Roadmap setting'!$B$15,0)</f>
        <v>0</v>
      </c>
      <c r="H150" s="95">
        <f>IF($A150="Feature",$E150*'Roadmap setting'!$B$16,0)</f>
        <v>0</v>
      </c>
      <c r="I150" s="93">
        <f>SUM($D150:$E150)*'Roadmap setting'!$B$17</f>
        <v>1.68</v>
      </c>
      <c r="J150" s="93">
        <f>SUM($D150:$E150)*'Roadmap setting'!$B$18</f>
        <v>0.14</v>
      </c>
      <c r="K150" s="93">
        <f>SUM($D150:$E150)*'Roadmap setting'!$B$19</f>
        <v>0</v>
      </c>
      <c r="L150" s="95">
        <f>SUM($D150:$E150)*'Roadmap setting'!$B$20</f>
        <v>0.28</v>
      </c>
      <c r="M150" s="79">
        <f t="shared" si="33"/>
        <v>19.8</v>
      </c>
      <c r="N150" s="96" t="b">
        <v>1</v>
      </c>
      <c r="O150" s="97">
        <v>0.8</v>
      </c>
      <c r="P150" s="97">
        <v>0.6</v>
      </c>
      <c r="Q150" s="97">
        <v>0.42</v>
      </c>
      <c r="R150" s="97">
        <v>0.28</v>
      </c>
      <c r="S150" s="97">
        <v>0.14</v>
      </c>
      <c r="T150" s="97">
        <v>0.56</v>
      </c>
      <c r="U150" s="99">
        <v>19.7</v>
      </c>
      <c r="V150" s="96" t="b">
        <v>1</v>
      </c>
      <c r="W150" s="97">
        <v>1.2</v>
      </c>
      <c r="X150" s="97">
        <v>0.9</v>
      </c>
      <c r="Y150" s="97">
        <v>0.56</v>
      </c>
      <c r="Z150" s="97">
        <v>0.42</v>
      </c>
      <c r="AA150" s="97">
        <v>0.28</v>
      </c>
      <c r="AB150" s="97">
        <v>0.84</v>
      </c>
      <c r="AC150" s="99">
        <v>21.1</v>
      </c>
      <c r="AD150" s="96" t="b">
        <v>1</v>
      </c>
      <c r="AE150" s="97">
        <v>1.6</v>
      </c>
      <c r="AF150" s="97">
        <v>1.2</v>
      </c>
      <c r="AG150" s="97">
        <v>0.7</v>
      </c>
      <c r="AH150" s="97">
        <v>0.56</v>
      </c>
      <c r="AI150" s="97">
        <v>0.42</v>
      </c>
      <c r="AJ150" s="97">
        <v>1.12</v>
      </c>
      <c r="AK150" s="99">
        <v>22.5</v>
      </c>
      <c r="AL150" s="96" t="b">
        <v>1</v>
      </c>
      <c r="AM150" s="80">
        <f t="array" ref="AM150">INDEX(A150:AL150, MATCH(RIGHT('Roadmap setting'!$B$9, 3), $A$2:$AL$2, 0) - 1)
</f>
        <v>19.8</v>
      </c>
      <c r="AN150" s="82">
        <f t="array" ref="AN150">IFNA(LOOKUP(2,1/(ISNUMBER(AN144:AN149)),AN144:AN149)+(D150/(Resources!$P$55/7)),Today()+(D150/(Resources!$P$55/7)))</f>
        <v>45806.83836</v>
      </c>
      <c r="AO150" s="82">
        <f t="array" ref="AO150">IFNA(LOOKUP(2,1/(ISNUMBER(AO144:AO149)),AO144:AO149)+(E150/(Resources!$P$56/7)),Today()+(E150/(Resources!$P$56/7)))</f>
        <v>45847.9383</v>
      </c>
      <c r="AP150" s="82">
        <f t="array" ref="AP150">IF(ISNUMBER($AT150),IFNA(LOOKUP(2,1/(ISNUMBER(AP144:AP149)),AP144:AP149),Today()),IFNA(LOOKUP(2,1/(ISNUMBER(AP144:AP149)),AP144:AP149)+(D150/(Resources!$E$55/7)),Today()+(D150/(Resources!$E$55/7))))</f>
        <v>45838.17546</v>
      </c>
      <c r="AQ150" s="82">
        <f t="array" ref="AQ150">IF(ISNUMBER($AT150),IFNA(LOOKUP(2,1/(ISNUMBER(AQ144:AQ149)),AQ144:AQ149),Today()),IFNA(LOOKUP(2,1/(ISNUMBER(AQ144:AQ149)),AQ144:AQ149)+(E150/(Resources!$E$56/7)),Today()+(E150/(Resources!$E$56/7))))</f>
        <v>45896.03206</v>
      </c>
      <c r="AR150" s="226">
        <f t="shared" si="34"/>
        <v>45896.03206</v>
      </c>
      <c r="AS150" s="82"/>
      <c r="AT150" s="82"/>
      <c r="AU150" s="83"/>
    </row>
    <row r="151" ht="15.0" customHeight="1">
      <c r="A151" s="83" t="s">
        <v>97</v>
      </c>
      <c r="B151" s="110" t="s">
        <v>972</v>
      </c>
      <c r="C151" s="93">
        <f>IF($A151="Feature",SUM(D151:E151)*'Roadmap setting'!$B$13,0)</f>
        <v>3.2</v>
      </c>
      <c r="D151" s="94">
        <v>8.0</v>
      </c>
      <c r="E151" s="94">
        <v>8.0</v>
      </c>
      <c r="F151" s="95">
        <f>IF($A151="Feature",IF('Roadmap setting'!$E$14,$E151*('Roadmap setting'!$B$14+'Roadmap setting'!$D$14),$E151*'Roadmap setting'!$B$14),0)</f>
        <v>1.2</v>
      </c>
      <c r="G151" s="93">
        <f>IF($A151="Feature",$D151*'Roadmap setting'!$B$15,0)</f>
        <v>0</v>
      </c>
      <c r="H151" s="95">
        <f>IF($A151="Feature",$E151*'Roadmap setting'!$B$16,0)</f>
        <v>0</v>
      </c>
      <c r="I151" s="93">
        <f>SUM($D151:$E151)*'Roadmap setting'!$B$17</f>
        <v>1.92</v>
      </c>
      <c r="J151" s="93">
        <f>SUM($D151:$E151)*'Roadmap setting'!$B$18</f>
        <v>0.16</v>
      </c>
      <c r="K151" s="93">
        <f>SUM($D151:$E151)*'Roadmap setting'!$B$19</f>
        <v>0</v>
      </c>
      <c r="L151" s="95">
        <f>SUM($D151:$E151)*'Roadmap setting'!$B$20</f>
        <v>0.32</v>
      </c>
      <c r="M151" s="79">
        <f t="shared" si="33"/>
        <v>22.8</v>
      </c>
      <c r="N151" s="96" t="b">
        <v>1</v>
      </c>
      <c r="O151" s="97">
        <v>0.8</v>
      </c>
      <c r="P151" s="97">
        <v>0.8</v>
      </c>
      <c r="Q151" s="97">
        <v>0.48</v>
      </c>
      <c r="R151" s="97">
        <v>0.32</v>
      </c>
      <c r="S151" s="97">
        <v>0.16</v>
      </c>
      <c r="T151" s="97">
        <v>0.64</v>
      </c>
      <c r="U151" s="99">
        <v>22.8</v>
      </c>
      <c r="V151" s="96" t="b">
        <v>1</v>
      </c>
      <c r="W151" s="97">
        <v>1.2</v>
      </c>
      <c r="X151" s="97">
        <v>1.2</v>
      </c>
      <c r="Y151" s="97">
        <v>0.64</v>
      </c>
      <c r="Z151" s="97">
        <v>0.48</v>
      </c>
      <c r="AA151" s="97">
        <v>0.32</v>
      </c>
      <c r="AB151" s="97">
        <v>0.96</v>
      </c>
      <c r="AC151" s="99">
        <v>24.4</v>
      </c>
      <c r="AD151" s="96" t="b">
        <v>1</v>
      </c>
      <c r="AE151" s="97">
        <v>1.6</v>
      </c>
      <c r="AF151" s="97">
        <v>1.6</v>
      </c>
      <c r="AG151" s="97">
        <v>0.8</v>
      </c>
      <c r="AH151" s="97">
        <v>0.64</v>
      </c>
      <c r="AI151" s="97">
        <v>0.48</v>
      </c>
      <c r="AJ151" s="97">
        <v>1.28</v>
      </c>
      <c r="AK151" s="99">
        <v>26.0</v>
      </c>
      <c r="AL151" s="96" t="b">
        <v>1</v>
      </c>
      <c r="AM151" s="80">
        <f t="array" ref="AM151">INDEX(A151:AL151, MATCH(RIGHT('Roadmap setting'!$B$9, 3), $A$2:$AL$2, 0) - 1)
</f>
        <v>22.8</v>
      </c>
      <c r="AN151" s="82">
        <f t="array" ref="AN151">IFNA(LOOKUP(2,1/(ISNUMBER(AN145:AN150)),AN145:AN150)+(D151/(Resources!$P$55/7)),Today()+(D151/(Resources!$P$55/7)))</f>
        <v>45807.83297</v>
      </c>
      <c r="AO151" s="82">
        <f t="array" ref="AO151">IFNA(LOOKUP(2,1/(ISNUMBER(AO145:AO150)),AO145:AO150)+(E151/(Resources!$P$56/7)),Today()+(E151/(Resources!$P$56/7)))</f>
        <v>45849.58325</v>
      </c>
      <c r="AP151" s="82">
        <f t="array" ref="AP151">IF(ISNUMBER($AT151),IFNA(LOOKUP(2,1/(ISNUMBER(AP145:AP150)),AP145:AP150),Today()),IFNA(LOOKUP(2,1/(ISNUMBER(AP145:AP150)),AP145:AP150)+(D151/(Resources!$E$55/7)),Today()+(D151/(Resources!$E$55/7))))</f>
        <v>45840.21464</v>
      </c>
      <c r="AQ151" s="82">
        <f t="array" ref="AQ151">IF(ISNUMBER($AT151),IFNA(LOOKUP(2,1/(ISNUMBER(AQ145:AQ150)),AQ145:AQ150),Today()),IFNA(LOOKUP(2,1/(ISNUMBER(AQ145:AQ150)),AQ145:AQ150)+(E151/(Resources!$E$56/7)),Today()+(E151/(Resources!$E$56/7))))</f>
        <v>45898.79223</v>
      </c>
      <c r="AR151" s="226">
        <f t="shared" si="34"/>
        <v>45898.79223</v>
      </c>
      <c r="AS151" s="82"/>
      <c r="AT151" s="82"/>
      <c r="AU151" s="83"/>
    </row>
    <row r="152" ht="15.0" customHeight="1">
      <c r="A152" s="83" t="s">
        <v>97</v>
      </c>
      <c r="B152" s="110" t="s">
        <v>973</v>
      </c>
      <c r="C152" s="93">
        <f>IF($A152="Feature",SUM(D152:E152)*'Roadmap setting'!$B$13,0)</f>
        <v>2</v>
      </c>
      <c r="D152" s="94">
        <v>4.0</v>
      </c>
      <c r="E152" s="94">
        <v>6.0</v>
      </c>
      <c r="F152" s="95">
        <f>IF($A152="Feature",IF('Roadmap setting'!$E$14,$E152*('Roadmap setting'!$B$14+'Roadmap setting'!$D$14),$E152*'Roadmap setting'!$B$14),0)</f>
        <v>0.9</v>
      </c>
      <c r="G152" s="93">
        <f>IF($A152="Feature",$D152*'Roadmap setting'!$B$15,0)</f>
        <v>0</v>
      </c>
      <c r="H152" s="95">
        <f>IF($A152="Feature",$E152*'Roadmap setting'!$B$16,0)</f>
        <v>0</v>
      </c>
      <c r="I152" s="93">
        <f>SUM($D152:$E152)*'Roadmap setting'!$B$17</f>
        <v>1.2</v>
      </c>
      <c r="J152" s="93">
        <f>SUM($D152:$E152)*'Roadmap setting'!$B$18</f>
        <v>0.1</v>
      </c>
      <c r="K152" s="93">
        <f>SUM($D152:$E152)*'Roadmap setting'!$B$19</f>
        <v>0</v>
      </c>
      <c r="L152" s="95">
        <f>SUM($D152:$E152)*'Roadmap setting'!$B$20</f>
        <v>0.2</v>
      </c>
      <c r="M152" s="79">
        <f t="shared" si="33"/>
        <v>14.4</v>
      </c>
      <c r="N152" s="96" t="b">
        <v>1</v>
      </c>
      <c r="O152" s="97">
        <v>0.4</v>
      </c>
      <c r="P152" s="97">
        <v>0.6</v>
      </c>
      <c r="Q152" s="97">
        <v>0.3</v>
      </c>
      <c r="R152" s="97">
        <v>0.2</v>
      </c>
      <c r="S152" s="97">
        <v>0.1</v>
      </c>
      <c r="T152" s="97">
        <v>0.4</v>
      </c>
      <c r="U152" s="99">
        <v>14.5</v>
      </c>
      <c r="V152" s="96" t="b">
        <v>1</v>
      </c>
      <c r="W152" s="97">
        <v>0.6</v>
      </c>
      <c r="X152" s="97">
        <v>0.9</v>
      </c>
      <c r="Y152" s="97">
        <v>0.4</v>
      </c>
      <c r="Z152" s="97">
        <v>0.3</v>
      </c>
      <c r="AA152" s="97">
        <v>0.2</v>
      </c>
      <c r="AB152" s="97">
        <v>0.6</v>
      </c>
      <c r="AC152" s="99">
        <v>15.5</v>
      </c>
      <c r="AD152" s="96" t="b">
        <v>1</v>
      </c>
      <c r="AE152" s="97">
        <v>0.8</v>
      </c>
      <c r="AF152" s="97">
        <v>1.2</v>
      </c>
      <c r="AG152" s="97">
        <v>0.5</v>
      </c>
      <c r="AH152" s="97">
        <v>0.4</v>
      </c>
      <c r="AI152" s="97">
        <v>0.3</v>
      </c>
      <c r="AJ152" s="97">
        <v>0.8</v>
      </c>
      <c r="AK152" s="99">
        <v>16.5</v>
      </c>
      <c r="AL152" s="96" t="b">
        <v>1</v>
      </c>
      <c r="AM152" s="80">
        <f t="array" ref="AM152">INDEX(A152:AL152, MATCH(RIGHT('Roadmap setting'!$B$9, 3), $A$2:$AL$2, 0) - 1)
</f>
        <v>14.4</v>
      </c>
      <c r="AN152" s="82">
        <f t="array" ref="AN152">IFNA(LOOKUP(2,1/(ISNUMBER(AN146:AN151)),AN146:AN151)+(D152/(Resources!$P$55/7)),Today()+(D152/(Resources!$P$55/7)))</f>
        <v>45808.33028</v>
      </c>
      <c r="AO152" s="82">
        <f t="array" ref="AO152">IFNA(LOOKUP(2,1/(ISNUMBER(AO146:AO151)),AO146:AO151)+(E152/(Resources!$P$56/7)),Today()+(E152/(Resources!$P$56/7)))</f>
        <v>45850.81696</v>
      </c>
      <c r="AP152" s="82">
        <f t="array" ref="AP152">IF(ISNUMBER($AT152),IFNA(LOOKUP(2,1/(ISNUMBER(AP146:AP151)),AP146:AP151),Today()),IFNA(LOOKUP(2,1/(ISNUMBER(AP146:AP151)),AP146:AP151)+(D152/(Resources!$E$55/7)),Today()+(D152/(Resources!$E$55/7))))</f>
        <v>45841.23423</v>
      </c>
      <c r="AQ152" s="82">
        <f t="array" ref="AQ152">IF(ISNUMBER($AT152),IFNA(LOOKUP(2,1/(ISNUMBER(AQ146:AQ151)),AQ146:AQ151),Today()),IFNA(LOOKUP(2,1/(ISNUMBER(AQ146:AQ151)),AQ146:AQ151)+(E152/(Resources!$E$56/7)),Today()+(E152/(Resources!$E$56/7))))</f>
        <v>45900.86235</v>
      </c>
      <c r="AR152" s="226">
        <f t="shared" si="34"/>
        <v>45900.86235</v>
      </c>
      <c r="AS152" s="82"/>
      <c r="AT152" s="82"/>
      <c r="AU152" s="83"/>
    </row>
    <row r="153" ht="15.0" customHeight="1">
      <c r="A153" s="83" t="s">
        <v>97</v>
      </c>
      <c r="B153" s="230" t="s">
        <v>872</v>
      </c>
      <c r="C153" s="93">
        <f>IF($A153="Feature",SUM(D153:E153)*'Roadmap setting'!$B$13,0)</f>
        <v>6.4</v>
      </c>
      <c r="D153" s="94">
        <v>16.0</v>
      </c>
      <c r="E153" s="94">
        <v>16.0</v>
      </c>
      <c r="F153" s="95">
        <f>IF($A153="Feature",IF('Roadmap setting'!$E$14,$E153*('Roadmap setting'!$B$14+'Roadmap setting'!$D$14),$E153*'Roadmap setting'!$B$14),0)</f>
        <v>2.4</v>
      </c>
      <c r="G153" s="93">
        <f>IF($A153="Feature",$D153*'Roadmap setting'!$B$15,0)</f>
        <v>0</v>
      </c>
      <c r="H153" s="95">
        <f>IF($A153="Feature",$E153*'Roadmap setting'!$B$16,0)</f>
        <v>0</v>
      </c>
      <c r="I153" s="93">
        <f>SUM($D153:$E153)*'Roadmap setting'!$B$17</f>
        <v>3.84</v>
      </c>
      <c r="J153" s="93">
        <f>SUM($D153:$E153)*'Roadmap setting'!$B$18</f>
        <v>0.32</v>
      </c>
      <c r="K153" s="93">
        <f>SUM($D153:$E153)*'Roadmap setting'!$B$19</f>
        <v>0</v>
      </c>
      <c r="L153" s="95">
        <f>SUM($D153:$E153)*'Roadmap setting'!$B$20</f>
        <v>0.64</v>
      </c>
      <c r="M153" s="79">
        <f t="shared" si="33"/>
        <v>45.6</v>
      </c>
      <c r="N153" s="96" t="b">
        <v>1</v>
      </c>
      <c r="O153" s="97">
        <v>1.6</v>
      </c>
      <c r="P153" s="97">
        <v>1.6</v>
      </c>
      <c r="Q153" s="97">
        <v>0.96</v>
      </c>
      <c r="R153" s="97">
        <v>0.64</v>
      </c>
      <c r="S153" s="97">
        <v>0.32</v>
      </c>
      <c r="T153" s="97">
        <v>1.28</v>
      </c>
      <c r="U153" s="99">
        <v>45.6</v>
      </c>
      <c r="V153" s="96" t="b">
        <v>1</v>
      </c>
      <c r="W153" s="97">
        <v>2.4</v>
      </c>
      <c r="X153" s="97">
        <v>2.4</v>
      </c>
      <c r="Y153" s="97">
        <v>1.28</v>
      </c>
      <c r="Z153" s="97">
        <v>0.96</v>
      </c>
      <c r="AA153" s="97">
        <v>0.64</v>
      </c>
      <c r="AB153" s="97">
        <v>1.92</v>
      </c>
      <c r="AC153" s="99">
        <v>48.8</v>
      </c>
      <c r="AD153" s="96" t="b">
        <v>1</v>
      </c>
      <c r="AE153" s="97">
        <v>3.2</v>
      </c>
      <c r="AF153" s="97">
        <v>3.2</v>
      </c>
      <c r="AG153" s="97">
        <v>1.6</v>
      </c>
      <c r="AH153" s="97">
        <v>1.28</v>
      </c>
      <c r="AI153" s="97">
        <v>0.96</v>
      </c>
      <c r="AJ153" s="97">
        <v>2.56</v>
      </c>
      <c r="AK153" s="99">
        <v>52.0</v>
      </c>
      <c r="AL153" s="96" t="b">
        <v>1</v>
      </c>
      <c r="AM153" s="80">
        <f t="array" ref="AM153">INDEX(A153:AL153, MATCH(RIGHT('Roadmap setting'!$B$9, 3), $A$2:$AL$2, 0) - 1)
</f>
        <v>45.6</v>
      </c>
      <c r="AN153" s="82">
        <f t="array" ref="AN153">IFNA(LOOKUP(2,1/(ISNUMBER(AN147:AN152)),AN147:AN152)+(D153/(Resources!$P$55/7)),Today()+(D153/(Resources!$P$55/7)))</f>
        <v>45810.31951</v>
      </c>
      <c r="AO153" s="82">
        <f t="array" ref="AO153">IFNA(LOOKUP(2,1/(ISNUMBER(AO147:AO152)),AO147:AO152)+(E153/(Resources!$P$56/7)),Today()+(E153/(Resources!$P$56/7)))</f>
        <v>45854.10685</v>
      </c>
      <c r="AP153" s="82">
        <f t="array" ref="AP153">IF(ISNUMBER($AT153),IFNA(LOOKUP(2,1/(ISNUMBER(AP147:AP152)),AP147:AP152),Today()),IFNA(LOOKUP(2,1/(ISNUMBER(AP147:AP152)),AP147:AP152)+(D153/(Resources!$E$55/7)),Today()+(D153/(Resources!$E$55/7))))</f>
        <v>45845.31259</v>
      </c>
      <c r="AQ153" s="82">
        <f t="array" ref="AQ153">IF(ISNUMBER($AT153),IFNA(LOOKUP(2,1/(ISNUMBER(AQ147:AQ152)),AQ147:AQ152),Today()),IFNA(LOOKUP(2,1/(ISNUMBER(AQ147:AQ152)),AQ147:AQ152)+(E153/(Resources!$E$56/7)),Today()+(E153/(Resources!$E$56/7))))</f>
        <v>45906.38268</v>
      </c>
      <c r="AR153" s="226">
        <f t="shared" si="34"/>
        <v>45906.38268</v>
      </c>
      <c r="AS153" s="82"/>
      <c r="AT153" s="82"/>
      <c r="AU153" s="83"/>
    </row>
    <row r="154" ht="15.0" customHeight="1">
      <c r="A154" s="84"/>
      <c r="B154" s="85" t="s">
        <v>974</v>
      </c>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c r="AA154" s="84"/>
      <c r="AB154" s="84"/>
      <c r="AC154" s="84"/>
      <c r="AD154" s="84"/>
      <c r="AE154" s="84"/>
      <c r="AF154" s="84"/>
      <c r="AG154" s="84"/>
      <c r="AH154" s="84"/>
      <c r="AI154" s="84"/>
      <c r="AJ154" s="84"/>
      <c r="AK154" s="84"/>
      <c r="AL154" s="84"/>
      <c r="AM154" s="84"/>
      <c r="AN154" s="84"/>
      <c r="AO154" s="84"/>
      <c r="AP154" s="84"/>
      <c r="AQ154" s="84"/>
      <c r="AR154" s="84"/>
      <c r="AS154" s="84"/>
      <c r="AT154" s="84"/>
      <c r="AU154" s="84"/>
    </row>
    <row r="155" ht="15.0" customHeight="1">
      <c r="A155" s="72"/>
      <c r="B155" s="137" t="s">
        <v>975</v>
      </c>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72"/>
      <c r="AO155" s="72"/>
      <c r="AP155" s="72"/>
      <c r="AQ155" s="72"/>
      <c r="AR155" s="72"/>
      <c r="AS155" s="72"/>
      <c r="AT155" s="72"/>
      <c r="AU155" s="72"/>
    </row>
    <row r="156" ht="15.0" customHeight="1">
      <c r="A156" s="83" t="s">
        <v>97</v>
      </c>
      <c r="B156" s="110" t="s">
        <v>976</v>
      </c>
      <c r="C156" s="93">
        <f>IF($A156="Feature",SUM(D156:E156)*'Roadmap setting'!$B$13,0)</f>
        <v>2</v>
      </c>
      <c r="D156" s="94">
        <v>4.0</v>
      </c>
      <c r="E156" s="94">
        <v>6.0</v>
      </c>
      <c r="F156" s="95">
        <f>IF($A156="Feature",IF('Roadmap setting'!$E$14,$E156*('Roadmap setting'!$B$14+'Roadmap setting'!$D$14),$E156*'Roadmap setting'!$B$14),0)</f>
        <v>0.9</v>
      </c>
      <c r="G156" s="93">
        <f>IF($A156="Feature",$D156*'Roadmap setting'!$B$15,0)</f>
        <v>0</v>
      </c>
      <c r="H156" s="95">
        <f>IF($A156="Feature",$E156*'Roadmap setting'!$B$16,0)</f>
        <v>0</v>
      </c>
      <c r="I156" s="93">
        <f>SUM($D156:$E156)*'Roadmap setting'!$B$17</f>
        <v>1.2</v>
      </c>
      <c r="J156" s="93">
        <f>SUM($D156:$E156)*'Roadmap setting'!$B$18</f>
        <v>0.1</v>
      </c>
      <c r="K156" s="93">
        <f>SUM($D156:$E156)*'Roadmap setting'!$B$19</f>
        <v>0</v>
      </c>
      <c r="L156" s="95">
        <f>SUM($D156:$E156)*'Roadmap setting'!$B$20</f>
        <v>0.2</v>
      </c>
      <c r="M156" s="79">
        <f t="shared" ref="M156:M165" si="35">SUM($C156:$F156)+SUM(G156:L156)</f>
        <v>14.4</v>
      </c>
      <c r="N156" s="96" t="b">
        <v>1</v>
      </c>
      <c r="O156" s="97">
        <v>0.4</v>
      </c>
      <c r="P156" s="97">
        <v>0.6</v>
      </c>
      <c r="Q156" s="97">
        <v>0.3</v>
      </c>
      <c r="R156" s="97">
        <v>0.2</v>
      </c>
      <c r="S156" s="97">
        <v>0.1</v>
      </c>
      <c r="T156" s="97">
        <v>0.4</v>
      </c>
      <c r="U156" s="99">
        <v>14.5</v>
      </c>
      <c r="V156" s="96" t="b">
        <v>1</v>
      </c>
      <c r="W156" s="97">
        <v>0.6</v>
      </c>
      <c r="X156" s="97">
        <v>0.9</v>
      </c>
      <c r="Y156" s="97">
        <v>0.4</v>
      </c>
      <c r="Z156" s="97">
        <v>0.3</v>
      </c>
      <c r="AA156" s="97">
        <v>0.2</v>
      </c>
      <c r="AB156" s="97">
        <v>0.6</v>
      </c>
      <c r="AC156" s="99">
        <v>15.5</v>
      </c>
      <c r="AD156" s="96" t="b">
        <v>1</v>
      </c>
      <c r="AE156" s="97">
        <v>0.8</v>
      </c>
      <c r="AF156" s="97">
        <v>1.2</v>
      </c>
      <c r="AG156" s="97">
        <v>0.5</v>
      </c>
      <c r="AH156" s="97">
        <v>0.4</v>
      </c>
      <c r="AI156" s="97">
        <v>0.3</v>
      </c>
      <c r="AJ156" s="97">
        <v>0.8</v>
      </c>
      <c r="AK156" s="99">
        <v>16.5</v>
      </c>
      <c r="AL156" s="96" t="b">
        <v>1</v>
      </c>
      <c r="AM156" s="80">
        <f t="array" ref="AM156">INDEX(A156:AL156, MATCH(RIGHT('Roadmap setting'!$B$9, 3), $A$2:$AL$2, 0) - 1)
</f>
        <v>14.4</v>
      </c>
      <c r="AN156" s="82">
        <f t="array" ref="AN156">IFNA(LOOKUP(2,1/(ISNUMBER(AN150:AN155)),AN150:AN155)+(D156/(Resources!$P$55/7)),Today()+(D156/(Resources!$P$55/7)))</f>
        <v>45810.81681</v>
      </c>
      <c r="AO156" s="82">
        <f t="array" ref="AO156">IFNA(LOOKUP(2,1/(ISNUMBER(AO150:AO155)),AO150:AO155)+(E156/(Resources!$P$56/7)),Today()+(E156/(Resources!$P$56/7)))</f>
        <v>45855.34056</v>
      </c>
      <c r="AP156" s="82">
        <f t="array" ref="AP156">IF(ISNUMBER($AT156),IFNA(LOOKUP(2,1/(ISNUMBER(AP150:AP155)),AP150:AP155),Today()),IFNA(LOOKUP(2,1/(ISNUMBER(AP150:AP155)),AP150:AP155)+(D156/(Resources!$E$55/7)),Today()+(D156/(Resources!$E$55/7))))</f>
        <v>45846.33218</v>
      </c>
      <c r="AQ156" s="82">
        <f t="array" ref="AQ156">IF(ISNUMBER($AT156),IFNA(LOOKUP(2,1/(ISNUMBER(AQ150:AQ155)),AQ150:AQ155),Today()),IFNA(LOOKUP(2,1/(ISNUMBER(AQ150:AQ155)),AQ150:AQ155)+(E156/(Resources!$E$56/7)),Today()+(E156/(Resources!$E$56/7))))</f>
        <v>45908.4528</v>
      </c>
      <c r="AR156" s="226">
        <f t="shared" ref="AR156:AR165" si="36">IFERROR(MAX(AP156,AQ156),"")</f>
        <v>45908.4528</v>
      </c>
      <c r="AS156" s="82"/>
      <c r="AT156" s="82"/>
      <c r="AU156" s="83"/>
    </row>
    <row r="157" ht="15.0" customHeight="1">
      <c r="A157" s="83" t="s">
        <v>97</v>
      </c>
      <c r="B157" s="110" t="s">
        <v>977</v>
      </c>
      <c r="C157" s="93">
        <f>IF($A157="Feature",SUM(D157:E157)*'Roadmap setting'!$B$13,0)</f>
        <v>2.8</v>
      </c>
      <c r="D157" s="94">
        <v>8.0</v>
      </c>
      <c r="E157" s="94">
        <v>6.0</v>
      </c>
      <c r="F157" s="95">
        <f>IF($A157="Feature",IF('Roadmap setting'!$E$14,$E157*('Roadmap setting'!$B$14+'Roadmap setting'!$D$14),$E157*'Roadmap setting'!$B$14),0)</f>
        <v>0.9</v>
      </c>
      <c r="G157" s="93">
        <f>IF($A157="Feature",$D157*'Roadmap setting'!$B$15,0)</f>
        <v>0</v>
      </c>
      <c r="H157" s="95">
        <f>IF($A157="Feature",$E157*'Roadmap setting'!$B$16,0)</f>
        <v>0</v>
      </c>
      <c r="I157" s="93">
        <f>SUM($D157:$E157)*'Roadmap setting'!$B$17</f>
        <v>1.68</v>
      </c>
      <c r="J157" s="93">
        <f>SUM($D157:$E157)*'Roadmap setting'!$B$18</f>
        <v>0.14</v>
      </c>
      <c r="K157" s="93">
        <f>SUM($D157:$E157)*'Roadmap setting'!$B$19</f>
        <v>0</v>
      </c>
      <c r="L157" s="95">
        <f>SUM($D157:$E157)*'Roadmap setting'!$B$20</f>
        <v>0.28</v>
      </c>
      <c r="M157" s="79">
        <f t="shared" si="35"/>
        <v>19.8</v>
      </c>
      <c r="N157" s="96" t="b">
        <v>1</v>
      </c>
      <c r="O157" s="97">
        <v>0.8</v>
      </c>
      <c r="P157" s="97">
        <v>0.6</v>
      </c>
      <c r="Q157" s="97">
        <v>0.42</v>
      </c>
      <c r="R157" s="97">
        <v>0.28</v>
      </c>
      <c r="S157" s="97">
        <v>0.14</v>
      </c>
      <c r="T157" s="97">
        <v>0.56</v>
      </c>
      <c r="U157" s="99">
        <v>19.7</v>
      </c>
      <c r="V157" s="96" t="b">
        <v>1</v>
      </c>
      <c r="W157" s="97">
        <v>1.2</v>
      </c>
      <c r="X157" s="97">
        <v>0.9</v>
      </c>
      <c r="Y157" s="97">
        <v>0.56</v>
      </c>
      <c r="Z157" s="97">
        <v>0.42</v>
      </c>
      <c r="AA157" s="97">
        <v>0.28</v>
      </c>
      <c r="AB157" s="97">
        <v>0.84</v>
      </c>
      <c r="AC157" s="99">
        <v>21.1</v>
      </c>
      <c r="AD157" s="96" t="b">
        <v>1</v>
      </c>
      <c r="AE157" s="97">
        <v>1.6</v>
      </c>
      <c r="AF157" s="97">
        <v>1.2</v>
      </c>
      <c r="AG157" s="97">
        <v>0.7</v>
      </c>
      <c r="AH157" s="97">
        <v>0.56</v>
      </c>
      <c r="AI157" s="97">
        <v>0.42</v>
      </c>
      <c r="AJ157" s="97">
        <v>1.12</v>
      </c>
      <c r="AK157" s="99">
        <v>22.5</v>
      </c>
      <c r="AL157" s="96" t="b">
        <v>1</v>
      </c>
      <c r="AM157" s="80">
        <f t="array" ref="AM157">INDEX(A157:AL157, MATCH(RIGHT('Roadmap setting'!$B$9, 3), $A$2:$AL$2, 0) - 1)
</f>
        <v>19.8</v>
      </c>
      <c r="AN157" s="82">
        <f t="array" ref="AN157">IFNA(LOOKUP(2,1/(ISNUMBER(AN151:AN156)),AN151:AN156)+(D157/(Resources!$P$55/7)),Today()+(D157/(Resources!$P$55/7)))</f>
        <v>45811.81142</v>
      </c>
      <c r="AO157" s="82">
        <f t="array" ref="AO157">IFNA(LOOKUP(2,1/(ISNUMBER(AO151:AO156)),AO151:AO156)+(E157/(Resources!$P$56/7)),Today()+(E157/(Resources!$P$56/7)))</f>
        <v>45856.57427</v>
      </c>
      <c r="AP157" s="82">
        <f t="array" ref="AP157">IF(ISNUMBER($AT157),IFNA(LOOKUP(2,1/(ISNUMBER(AP151:AP156)),AP151:AP156),Today()),IFNA(LOOKUP(2,1/(ISNUMBER(AP151:AP156)),AP151:AP156)+(D157/(Resources!$E$55/7)),Today()+(D157/(Resources!$E$55/7))))</f>
        <v>45848.37137</v>
      </c>
      <c r="AQ157" s="82">
        <f t="array" ref="AQ157">IF(ISNUMBER($AT157),IFNA(LOOKUP(2,1/(ISNUMBER(AQ151:AQ156)),AQ151:AQ156),Today()),IFNA(LOOKUP(2,1/(ISNUMBER(AQ151:AQ156)),AQ151:AQ156)+(E157/(Resources!$E$56/7)),Today()+(E157/(Resources!$E$56/7))))</f>
        <v>45910.52292</v>
      </c>
      <c r="AR157" s="226">
        <f t="shared" si="36"/>
        <v>45910.52292</v>
      </c>
      <c r="AS157" s="82"/>
      <c r="AT157" s="82"/>
      <c r="AU157" s="83"/>
    </row>
    <row r="158" ht="15.0" customHeight="1">
      <c r="A158" s="83" t="s">
        <v>97</v>
      </c>
      <c r="B158" s="110" t="s">
        <v>978</v>
      </c>
      <c r="C158" s="93">
        <f>IF($A158="Feature",SUM(D158:E158)*'Roadmap setting'!$B$13,0)</f>
        <v>2.8</v>
      </c>
      <c r="D158" s="94">
        <v>8.0</v>
      </c>
      <c r="E158" s="94">
        <v>6.0</v>
      </c>
      <c r="F158" s="95">
        <f>IF($A158="Feature",IF('Roadmap setting'!$E$14,$E158*('Roadmap setting'!$B$14+'Roadmap setting'!$D$14),$E158*'Roadmap setting'!$B$14),0)</f>
        <v>0.9</v>
      </c>
      <c r="G158" s="93">
        <f>IF($A158="Feature",$D158*'Roadmap setting'!$B$15,0)</f>
        <v>0</v>
      </c>
      <c r="H158" s="95">
        <f>IF($A158="Feature",$E158*'Roadmap setting'!$B$16,0)</f>
        <v>0</v>
      </c>
      <c r="I158" s="93">
        <f>SUM($D158:$E158)*'Roadmap setting'!$B$17</f>
        <v>1.68</v>
      </c>
      <c r="J158" s="93">
        <f>SUM($D158:$E158)*'Roadmap setting'!$B$18</f>
        <v>0.14</v>
      </c>
      <c r="K158" s="93">
        <f>SUM($D158:$E158)*'Roadmap setting'!$B$19</f>
        <v>0</v>
      </c>
      <c r="L158" s="95">
        <f>SUM($D158:$E158)*'Roadmap setting'!$B$20</f>
        <v>0.28</v>
      </c>
      <c r="M158" s="79">
        <f t="shared" si="35"/>
        <v>19.8</v>
      </c>
      <c r="N158" s="96" t="b">
        <v>1</v>
      </c>
      <c r="O158" s="97">
        <v>0.8</v>
      </c>
      <c r="P158" s="97">
        <v>0.6</v>
      </c>
      <c r="Q158" s="97">
        <v>0.42</v>
      </c>
      <c r="R158" s="97">
        <v>0.28</v>
      </c>
      <c r="S158" s="97">
        <v>0.14</v>
      </c>
      <c r="T158" s="97">
        <v>0.56</v>
      </c>
      <c r="U158" s="99">
        <v>19.7</v>
      </c>
      <c r="V158" s="96" t="b">
        <v>1</v>
      </c>
      <c r="W158" s="97">
        <v>1.2</v>
      </c>
      <c r="X158" s="97">
        <v>0.9</v>
      </c>
      <c r="Y158" s="97">
        <v>0.56</v>
      </c>
      <c r="Z158" s="97">
        <v>0.42</v>
      </c>
      <c r="AA158" s="97">
        <v>0.28</v>
      </c>
      <c r="AB158" s="97">
        <v>0.84</v>
      </c>
      <c r="AC158" s="99">
        <v>21.1</v>
      </c>
      <c r="AD158" s="96" t="b">
        <v>1</v>
      </c>
      <c r="AE158" s="97">
        <v>1.6</v>
      </c>
      <c r="AF158" s="97">
        <v>1.2</v>
      </c>
      <c r="AG158" s="97">
        <v>0.7</v>
      </c>
      <c r="AH158" s="97">
        <v>0.56</v>
      </c>
      <c r="AI158" s="97">
        <v>0.42</v>
      </c>
      <c r="AJ158" s="97">
        <v>1.12</v>
      </c>
      <c r="AK158" s="99">
        <v>22.5</v>
      </c>
      <c r="AL158" s="96" t="b">
        <v>1</v>
      </c>
      <c r="AM158" s="80">
        <f t="array" ref="AM158">INDEX(A158:AL158, MATCH(RIGHT('Roadmap setting'!$B$9, 3), $A$2:$AL$2, 0) - 1)
</f>
        <v>19.8</v>
      </c>
      <c r="AN158" s="82">
        <f t="array" ref="AN158">IFNA(LOOKUP(2,1/(ISNUMBER(AN152:AN157)),AN152:AN157)+(D158/(Resources!$P$55/7)),Today()+(D158/(Resources!$P$55/7)))</f>
        <v>45812.80604</v>
      </c>
      <c r="AO158" s="82">
        <f t="array" ref="AO158">IFNA(LOOKUP(2,1/(ISNUMBER(AO152:AO157)),AO152:AO157)+(E158/(Resources!$P$56/7)),Today()+(E158/(Resources!$P$56/7)))</f>
        <v>45857.80798</v>
      </c>
      <c r="AP158" s="82">
        <f t="array" ref="AP158">IF(ISNUMBER($AT158),IFNA(LOOKUP(2,1/(ISNUMBER(AP152:AP157)),AP152:AP157),Today()),IFNA(LOOKUP(2,1/(ISNUMBER(AP152:AP157)),AP152:AP157)+(D158/(Resources!$E$55/7)),Today()+(D158/(Resources!$E$55/7))))</f>
        <v>45850.41055</v>
      </c>
      <c r="AQ158" s="82">
        <f t="array" ref="AQ158">IF(ISNUMBER($AT158),IFNA(LOOKUP(2,1/(ISNUMBER(AQ152:AQ157)),AQ152:AQ157),Today()),IFNA(LOOKUP(2,1/(ISNUMBER(AQ152:AQ157)),AQ152:AQ157)+(E158/(Resources!$E$56/7)),Today()+(E158/(Resources!$E$56/7))))</f>
        <v>45912.59304</v>
      </c>
      <c r="AR158" s="226">
        <f t="shared" si="36"/>
        <v>45912.59304</v>
      </c>
      <c r="AS158" s="82"/>
      <c r="AT158" s="82"/>
      <c r="AU158" s="83"/>
    </row>
    <row r="159" ht="15.0" customHeight="1">
      <c r="A159" s="83" t="s">
        <v>97</v>
      </c>
      <c r="B159" s="110" t="s">
        <v>979</v>
      </c>
      <c r="C159" s="93">
        <f>IF($A159="Feature",SUM(D159:E159)*'Roadmap setting'!$B$13,0)</f>
        <v>2.2</v>
      </c>
      <c r="D159" s="94">
        <v>5.0</v>
      </c>
      <c r="E159" s="94">
        <v>6.0</v>
      </c>
      <c r="F159" s="95">
        <f>IF($A159="Feature",IF('Roadmap setting'!$E$14,$E159*('Roadmap setting'!$B$14+'Roadmap setting'!$D$14),$E159*'Roadmap setting'!$B$14),0)</f>
        <v>0.9</v>
      </c>
      <c r="G159" s="93">
        <f>IF($A159="Feature",$D159*'Roadmap setting'!$B$15,0)</f>
        <v>0</v>
      </c>
      <c r="H159" s="95">
        <f>IF($A159="Feature",$E159*'Roadmap setting'!$B$16,0)</f>
        <v>0</v>
      </c>
      <c r="I159" s="93">
        <f>SUM($D159:$E159)*'Roadmap setting'!$B$17</f>
        <v>1.32</v>
      </c>
      <c r="J159" s="93">
        <f>SUM($D159:$E159)*'Roadmap setting'!$B$18</f>
        <v>0.11</v>
      </c>
      <c r="K159" s="93">
        <f>SUM($D159:$E159)*'Roadmap setting'!$B$19</f>
        <v>0</v>
      </c>
      <c r="L159" s="95">
        <f>SUM($D159:$E159)*'Roadmap setting'!$B$20</f>
        <v>0.22</v>
      </c>
      <c r="M159" s="79">
        <f t="shared" si="35"/>
        <v>15.75</v>
      </c>
      <c r="N159" s="96" t="b">
        <v>1</v>
      </c>
      <c r="O159" s="97">
        <v>0.5</v>
      </c>
      <c r="P159" s="97">
        <v>0.6</v>
      </c>
      <c r="Q159" s="97">
        <v>0.33</v>
      </c>
      <c r="R159" s="97">
        <v>0.22</v>
      </c>
      <c r="S159" s="97">
        <v>0.11</v>
      </c>
      <c r="T159" s="97">
        <v>0.44</v>
      </c>
      <c r="U159" s="99">
        <v>15.8</v>
      </c>
      <c r="V159" s="96" t="b">
        <v>1</v>
      </c>
      <c r="W159" s="97">
        <v>0.75</v>
      </c>
      <c r="X159" s="97">
        <v>0.9</v>
      </c>
      <c r="Y159" s="97">
        <v>0.44</v>
      </c>
      <c r="Z159" s="97">
        <v>0.33</v>
      </c>
      <c r="AA159" s="97">
        <v>0.22</v>
      </c>
      <c r="AB159" s="97">
        <v>0.66</v>
      </c>
      <c r="AC159" s="99">
        <v>16.9</v>
      </c>
      <c r="AD159" s="96" t="b">
        <v>1</v>
      </c>
      <c r="AE159" s="97">
        <v>1.0</v>
      </c>
      <c r="AF159" s="97">
        <v>1.2</v>
      </c>
      <c r="AG159" s="97">
        <v>0.55</v>
      </c>
      <c r="AH159" s="97">
        <v>0.44</v>
      </c>
      <c r="AI159" s="97">
        <v>0.33</v>
      </c>
      <c r="AJ159" s="97">
        <v>0.88</v>
      </c>
      <c r="AK159" s="99">
        <v>18.0</v>
      </c>
      <c r="AL159" s="96" t="b">
        <v>1</v>
      </c>
      <c r="AM159" s="80">
        <f t="array" ref="AM159">INDEX(A159:AL159, MATCH(RIGHT('Roadmap setting'!$B$9, 3), $A$2:$AL$2, 0) - 1)
</f>
        <v>15.75</v>
      </c>
      <c r="AN159" s="82">
        <f t="array" ref="AN159">IFNA(LOOKUP(2,1/(ISNUMBER(AN153:AN158)),AN153:AN158)+(D159/(Resources!$P$55/7)),Today()+(D159/(Resources!$P$55/7)))</f>
        <v>45813.42767</v>
      </c>
      <c r="AO159" s="82">
        <f t="array" ref="AO159">IFNA(LOOKUP(2,1/(ISNUMBER(AO153:AO158)),AO153:AO158)+(E159/(Resources!$P$56/7)),Today()+(E159/(Resources!$P$56/7)))</f>
        <v>45859.04169</v>
      </c>
      <c r="AP159" s="82">
        <f t="array" ref="AP159">IF(ISNUMBER($AT159),IFNA(LOOKUP(2,1/(ISNUMBER(AP153:AP158)),AP153:AP158),Today()),IFNA(LOOKUP(2,1/(ISNUMBER(AP153:AP158)),AP153:AP158)+(D159/(Resources!$E$55/7)),Today()+(D159/(Resources!$E$55/7))))</f>
        <v>45851.68504</v>
      </c>
      <c r="AQ159" s="82">
        <f t="array" ref="AQ159">IF(ISNUMBER($AT159),IFNA(LOOKUP(2,1/(ISNUMBER(AQ153:AQ158)),AQ153:AQ158),Today()),IFNA(LOOKUP(2,1/(ISNUMBER(AQ153:AQ158)),AQ153:AQ158)+(E159/(Resources!$E$56/7)),Today()+(E159/(Resources!$E$56/7))))</f>
        <v>45914.66317</v>
      </c>
      <c r="AR159" s="226">
        <f t="shared" si="36"/>
        <v>45914.66317</v>
      </c>
      <c r="AS159" s="82"/>
      <c r="AT159" s="82"/>
      <c r="AU159" s="83"/>
    </row>
    <row r="160" ht="15.0" customHeight="1">
      <c r="A160" s="83" t="s">
        <v>97</v>
      </c>
      <c r="B160" s="110" t="s">
        <v>980</v>
      </c>
      <c r="C160" s="93">
        <f>IF($A160="Feature",SUM(D160:E160)*'Roadmap setting'!$B$13,0)</f>
        <v>2.2</v>
      </c>
      <c r="D160" s="94">
        <v>5.0</v>
      </c>
      <c r="E160" s="94">
        <v>6.0</v>
      </c>
      <c r="F160" s="95">
        <f>IF($A160="Feature",IF('Roadmap setting'!$E$14,$E160*('Roadmap setting'!$B$14+'Roadmap setting'!$D$14),$E160*'Roadmap setting'!$B$14),0)</f>
        <v>0.9</v>
      </c>
      <c r="G160" s="93">
        <f>IF($A160="Feature",$D160*'Roadmap setting'!$B$15,0)</f>
        <v>0</v>
      </c>
      <c r="H160" s="95">
        <f>IF($A160="Feature",$E160*'Roadmap setting'!$B$16,0)</f>
        <v>0</v>
      </c>
      <c r="I160" s="93">
        <f>SUM($D160:$E160)*'Roadmap setting'!$B$17</f>
        <v>1.32</v>
      </c>
      <c r="J160" s="93">
        <f>SUM($D160:$E160)*'Roadmap setting'!$B$18</f>
        <v>0.11</v>
      </c>
      <c r="K160" s="93">
        <f>SUM($D160:$E160)*'Roadmap setting'!$B$19</f>
        <v>0</v>
      </c>
      <c r="L160" s="95">
        <f>SUM($D160:$E160)*'Roadmap setting'!$B$20</f>
        <v>0.22</v>
      </c>
      <c r="M160" s="79">
        <f t="shared" si="35"/>
        <v>15.75</v>
      </c>
      <c r="N160" s="96" t="b">
        <v>1</v>
      </c>
      <c r="O160" s="97">
        <v>0.5</v>
      </c>
      <c r="P160" s="97">
        <v>0.6</v>
      </c>
      <c r="Q160" s="97">
        <v>0.33</v>
      </c>
      <c r="R160" s="97">
        <v>0.22</v>
      </c>
      <c r="S160" s="97">
        <v>0.11</v>
      </c>
      <c r="T160" s="97">
        <v>0.44</v>
      </c>
      <c r="U160" s="99">
        <v>15.8</v>
      </c>
      <c r="V160" s="96" t="b">
        <v>1</v>
      </c>
      <c r="W160" s="97">
        <v>0.75</v>
      </c>
      <c r="X160" s="97">
        <v>0.9</v>
      </c>
      <c r="Y160" s="97">
        <v>0.44</v>
      </c>
      <c r="Z160" s="97">
        <v>0.33</v>
      </c>
      <c r="AA160" s="97">
        <v>0.22</v>
      </c>
      <c r="AB160" s="97">
        <v>0.66</v>
      </c>
      <c r="AC160" s="99">
        <v>16.9</v>
      </c>
      <c r="AD160" s="96" t="b">
        <v>1</v>
      </c>
      <c r="AE160" s="97">
        <v>1.0</v>
      </c>
      <c r="AF160" s="97">
        <v>1.2</v>
      </c>
      <c r="AG160" s="97">
        <v>0.55</v>
      </c>
      <c r="AH160" s="97">
        <v>0.44</v>
      </c>
      <c r="AI160" s="97">
        <v>0.33</v>
      </c>
      <c r="AJ160" s="97">
        <v>0.88</v>
      </c>
      <c r="AK160" s="99">
        <v>18.0</v>
      </c>
      <c r="AL160" s="96" t="b">
        <v>1</v>
      </c>
      <c r="AM160" s="80">
        <f t="array" ref="AM160">INDEX(A160:AL160, MATCH(RIGHT('Roadmap setting'!$B$9, 3), $A$2:$AL$2, 0) - 1)
</f>
        <v>15.75</v>
      </c>
      <c r="AN160" s="82">
        <f t="array" ref="AN160">IFNA(LOOKUP(2,1/(ISNUMBER(AN154:AN159)),AN154:AN159)+(D160/(Resources!$P$55/7)),Today()+(D160/(Resources!$P$55/7)))</f>
        <v>45814.0493</v>
      </c>
      <c r="AO160" s="82">
        <f t="array" ref="AO160">IFNA(LOOKUP(2,1/(ISNUMBER(AO154:AO159)),AO154:AO159)+(E160/(Resources!$P$56/7)),Today()+(E160/(Resources!$P$56/7)))</f>
        <v>45860.2754</v>
      </c>
      <c r="AP160" s="82">
        <f t="array" ref="AP160">IF(ISNUMBER($AT160),IFNA(LOOKUP(2,1/(ISNUMBER(AP154:AP159)),AP154:AP159),Today()),IFNA(LOOKUP(2,1/(ISNUMBER(AP154:AP159)),AP154:AP159)+(D160/(Resources!$E$55/7)),Today()+(D160/(Resources!$E$55/7))))</f>
        <v>45852.95952</v>
      </c>
      <c r="AQ160" s="82">
        <f t="array" ref="AQ160">IF(ISNUMBER($AT160),IFNA(LOOKUP(2,1/(ISNUMBER(AQ154:AQ159)),AQ154:AQ159),Today()),IFNA(LOOKUP(2,1/(ISNUMBER(AQ154:AQ159)),AQ154:AQ159)+(E160/(Resources!$E$56/7)),Today()+(E160/(Resources!$E$56/7))))</f>
        <v>45916.73329</v>
      </c>
      <c r="AR160" s="226">
        <f t="shared" si="36"/>
        <v>45916.73329</v>
      </c>
      <c r="AS160" s="82"/>
      <c r="AT160" s="82"/>
      <c r="AU160" s="83"/>
    </row>
    <row r="161" ht="15.0" customHeight="1">
      <c r="A161" s="83" t="s">
        <v>97</v>
      </c>
      <c r="B161" s="110" t="s">
        <v>981</v>
      </c>
      <c r="C161" s="93">
        <f>IF($A161="Feature",SUM(D161:E161)*'Roadmap setting'!$B$13,0)</f>
        <v>2.2</v>
      </c>
      <c r="D161" s="94">
        <v>5.0</v>
      </c>
      <c r="E161" s="94">
        <v>6.0</v>
      </c>
      <c r="F161" s="95">
        <f>IF($A161="Feature",IF('Roadmap setting'!$E$14,$E161*('Roadmap setting'!$B$14+'Roadmap setting'!$D$14),$E161*'Roadmap setting'!$B$14),0)</f>
        <v>0.9</v>
      </c>
      <c r="G161" s="93">
        <f>IF($A161="Feature",$D161*'Roadmap setting'!$B$15,0)</f>
        <v>0</v>
      </c>
      <c r="H161" s="95">
        <f>IF($A161="Feature",$E161*'Roadmap setting'!$B$16,0)</f>
        <v>0</v>
      </c>
      <c r="I161" s="93">
        <f>SUM($D161:$E161)*'Roadmap setting'!$B$17</f>
        <v>1.32</v>
      </c>
      <c r="J161" s="93">
        <f>SUM($D161:$E161)*'Roadmap setting'!$B$18</f>
        <v>0.11</v>
      </c>
      <c r="K161" s="93">
        <f>SUM($D161:$E161)*'Roadmap setting'!$B$19</f>
        <v>0</v>
      </c>
      <c r="L161" s="95">
        <f>SUM($D161:$E161)*'Roadmap setting'!$B$20</f>
        <v>0.22</v>
      </c>
      <c r="M161" s="79">
        <f t="shared" si="35"/>
        <v>15.75</v>
      </c>
      <c r="N161" s="96" t="b">
        <v>0</v>
      </c>
      <c r="O161" s="97">
        <v>0.5</v>
      </c>
      <c r="P161" s="97">
        <v>0.6</v>
      </c>
      <c r="Q161" s="97">
        <v>0.33</v>
      </c>
      <c r="R161" s="97">
        <v>0.22</v>
      </c>
      <c r="S161" s="97">
        <v>0.11</v>
      </c>
      <c r="T161" s="97">
        <v>0.44</v>
      </c>
      <c r="U161" s="99">
        <v>15.8</v>
      </c>
      <c r="V161" s="96" t="b">
        <v>0</v>
      </c>
      <c r="W161" s="97">
        <v>0.75</v>
      </c>
      <c r="X161" s="97">
        <v>0.9</v>
      </c>
      <c r="Y161" s="97">
        <v>0.44</v>
      </c>
      <c r="Z161" s="97">
        <v>0.33</v>
      </c>
      <c r="AA161" s="97">
        <v>0.22</v>
      </c>
      <c r="AB161" s="97">
        <v>0.66</v>
      </c>
      <c r="AC161" s="99">
        <v>16.9</v>
      </c>
      <c r="AD161" s="96" t="b">
        <v>0</v>
      </c>
      <c r="AE161" s="97">
        <v>1.0</v>
      </c>
      <c r="AF161" s="97">
        <v>1.2</v>
      </c>
      <c r="AG161" s="97">
        <v>0.55</v>
      </c>
      <c r="AH161" s="97">
        <v>0.44</v>
      </c>
      <c r="AI161" s="97">
        <v>0.33</v>
      </c>
      <c r="AJ161" s="97">
        <v>0.88</v>
      </c>
      <c r="AK161" s="99">
        <v>18.0</v>
      </c>
      <c r="AL161" s="96" t="b">
        <v>1</v>
      </c>
      <c r="AM161" s="80">
        <f t="array" ref="AM161">INDEX(A161:AL161, MATCH(RIGHT('Roadmap setting'!$B$9, 3), $A$2:$AL$2, 0) - 1)
</f>
        <v>15.75</v>
      </c>
      <c r="AN161" s="82">
        <f t="array" ref="AN161">IFNA(LOOKUP(2,1/(ISNUMBER(AN155:AN160)),AN155:AN160)+(D161/(Resources!$P$55/7)),Today()+(D161/(Resources!$P$55/7)))</f>
        <v>45814.67093</v>
      </c>
      <c r="AO161" s="82">
        <f t="array" ref="AO161">IFNA(LOOKUP(2,1/(ISNUMBER(AO155:AO160)),AO155:AO160)+(E161/(Resources!$P$56/7)),Today()+(E161/(Resources!$P$56/7)))</f>
        <v>45861.5091</v>
      </c>
      <c r="AP161" s="82">
        <f t="array" ref="AP161">IF(ISNUMBER($AT161),IFNA(LOOKUP(2,1/(ISNUMBER(AP155:AP160)),AP155:AP160),Today()),IFNA(LOOKUP(2,1/(ISNUMBER(AP155:AP160)),AP155:AP160)+(D161/(Resources!$E$55/7)),Today()+(D161/(Resources!$E$55/7))))</f>
        <v>45854.23401</v>
      </c>
      <c r="AQ161" s="82">
        <f t="array" ref="AQ161">IF(ISNUMBER($AT161),IFNA(LOOKUP(2,1/(ISNUMBER(AQ155:AQ160)),AQ155:AQ160),Today()),IFNA(LOOKUP(2,1/(ISNUMBER(AQ155:AQ160)),AQ155:AQ160)+(E161/(Resources!$E$56/7)),Today()+(E161/(Resources!$E$56/7))))</f>
        <v>45918.80341</v>
      </c>
      <c r="AR161" s="226">
        <f t="shared" si="36"/>
        <v>45918.80341</v>
      </c>
      <c r="AS161" s="82"/>
      <c r="AT161" s="82"/>
      <c r="AU161" s="83"/>
    </row>
    <row r="162" ht="15.0" customHeight="1">
      <c r="A162" s="83" t="s">
        <v>97</v>
      </c>
      <c r="B162" s="110" t="s">
        <v>982</v>
      </c>
      <c r="C162" s="93">
        <f>IF($A162="Feature",SUM(D162:E162)*'Roadmap setting'!$B$13,0)</f>
        <v>2.8</v>
      </c>
      <c r="D162" s="94">
        <v>8.0</v>
      </c>
      <c r="E162" s="94">
        <v>6.0</v>
      </c>
      <c r="F162" s="95">
        <f>IF($A162="Feature",IF('Roadmap setting'!$E$14,$E162*('Roadmap setting'!$B$14+'Roadmap setting'!$D$14),$E162*'Roadmap setting'!$B$14),0)</f>
        <v>0.9</v>
      </c>
      <c r="G162" s="93">
        <f>IF($A162="Feature",$D162*'Roadmap setting'!$B$15,0)</f>
        <v>0</v>
      </c>
      <c r="H162" s="95">
        <f>IF($A162="Feature",$E162*'Roadmap setting'!$B$16,0)</f>
        <v>0</v>
      </c>
      <c r="I162" s="93">
        <f>SUM($D162:$E162)*'Roadmap setting'!$B$17</f>
        <v>1.68</v>
      </c>
      <c r="J162" s="93">
        <f>SUM($D162:$E162)*'Roadmap setting'!$B$18</f>
        <v>0.14</v>
      </c>
      <c r="K162" s="93">
        <f>SUM($D162:$E162)*'Roadmap setting'!$B$19</f>
        <v>0</v>
      </c>
      <c r="L162" s="95">
        <f>SUM($D162:$E162)*'Roadmap setting'!$B$20</f>
        <v>0.28</v>
      </c>
      <c r="M162" s="79">
        <f t="shared" si="35"/>
        <v>19.8</v>
      </c>
      <c r="N162" s="96" t="b">
        <v>0</v>
      </c>
      <c r="O162" s="97">
        <v>0.8</v>
      </c>
      <c r="P162" s="97">
        <v>0.6</v>
      </c>
      <c r="Q162" s="97">
        <v>0.42</v>
      </c>
      <c r="R162" s="97">
        <v>0.28</v>
      </c>
      <c r="S162" s="97">
        <v>0.14</v>
      </c>
      <c r="T162" s="97">
        <v>0.56</v>
      </c>
      <c r="U162" s="99">
        <v>19.7</v>
      </c>
      <c r="V162" s="96" t="b">
        <v>0</v>
      </c>
      <c r="W162" s="97">
        <v>1.2</v>
      </c>
      <c r="X162" s="97">
        <v>0.9</v>
      </c>
      <c r="Y162" s="97">
        <v>0.56</v>
      </c>
      <c r="Z162" s="97">
        <v>0.42</v>
      </c>
      <c r="AA162" s="97">
        <v>0.28</v>
      </c>
      <c r="AB162" s="97">
        <v>0.84</v>
      </c>
      <c r="AC162" s="99">
        <v>21.1</v>
      </c>
      <c r="AD162" s="96" t="b">
        <v>0</v>
      </c>
      <c r="AE162" s="97">
        <v>1.6</v>
      </c>
      <c r="AF162" s="97">
        <v>1.2</v>
      </c>
      <c r="AG162" s="97">
        <v>0.7</v>
      </c>
      <c r="AH162" s="97">
        <v>0.56</v>
      </c>
      <c r="AI162" s="97">
        <v>0.42</v>
      </c>
      <c r="AJ162" s="97">
        <v>1.12</v>
      </c>
      <c r="AK162" s="99">
        <v>22.5</v>
      </c>
      <c r="AL162" s="96" t="b">
        <v>1</v>
      </c>
      <c r="AM162" s="80">
        <f t="array" ref="AM162">INDEX(A162:AL162, MATCH(RIGHT('Roadmap setting'!$B$9, 3), $A$2:$AL$2, 0) - 1)
</f>
        <v>19.8</v>
      </c>
      <c r="AN162" s="82">
        <f t="array" ref="AN162">IFNA(LOOKUP(2,1/(ISNUMBER(AN156:AN161)),AN156:AN161)+(D162/(Resources!$P$55/7)),Today()+(D162/(Resources!$P$55/7)))</f>
        <v>45815.66555</v>
      </c>
      <c r="AO162" s="82">
        <f t="array" ref="AO162">IFNA(LOOKUP(2,1/(ISNUMBER(AO156:AO161)),AO156:AO161)+(E162/(Resources!$P$56/7)),Today()+(E162/(Resources!$P$56/7)))</f>
        <v>45862.74281</v>
      </c>
      <c r="AP162" s="82">
        <f t="array" ref="AP162">IF(ISNUMBER($AT162),IFNA(LOOKUP(2,1/(ISNUMBER(AP156:AP161)),AP156:AP161),Today()),IFNA(LOOKUP(2,1/(ISNUMBER(AP156:AP161)),AP156:AP161)+(D162/(Resources!$E$55/7)),Today()+(D162/(Resources!$E$55/7))))</f>
        <v>45856.2732</v>
      </c>
      <c r="AQ162" s="82">
        <f t="array" ref="AQ162">IF(ISNUMBER($AT162),IFNA(LOOKUP(2,1/(ISNUMBER(AQ156:AQ161)),AQ156:AQ161),Today()),IFNA(LOOKUP(2,1/(ISNUMBER(AQ156:AQ161)),AQ156:AQ161)+(E162/(Resources!$E$56/7)),Today()+(E162/(Resources!$E$56/7))))</f>
        <v>45920.87354</v>
      </c>
      <c r="AR162" s="226">
        <f t="shared" si="36"/>
        <v>45920.87354</v>
      </c>
      <c r="AS162" s="82"/>
      <c r="AT162" s="82"/>
      <c r="AU162" s="83"/>
    </row>
    <row r="163" ht="15.0" customHeight="1">
      <c r="A163" s="83" t="s">
        <v>97</v>
      </c>
      <c r="B163" s="110" t="s">
        <v>983</v>
      </c>
      <c r="C163" s="93">
        <f>IF($A163="Feature",SUM(D163:E163)*'Roadmap setting'!$B$13,0)</f>
        <v>1.6</v>
      </c>
      <c r="D163" s="94">
        <v>5.0</v>
      </c>
      <c r="E163" s="94">
        <v>3.0</v>
      </c>
      <c r="F163" s="95">
        <f>IF($A163="Feature",IF('Roadmap setting'!$E$14,$E163*('Roadmap setting'!$B$14+'Roadmap setting'!$D$14),$E163*'Roadmap setting'!$B$14),0)</f>
        <v>0.45</v>
      </c>
      <c r="G163" s="93">
        <f>IF($A163="Feature",$D163*'Roadmap setting'!$B$15,0)</f>
        <v>0</v>
      </c>
      <c r="H163" s="95">
        <f>IF($A163="Feature",$E163*'Roadmap setting'!$B$16,0)</f>
        <v>0</v>
      </c>
      <c r="I163" s="93">
        <f>SUM($D163:$E163)*'Roadmap setting'!$B$17</f>
        <v>0.96</v>
      </c>
      <c r="J163" s="93">
        <f>SUM($D163:$E163)*'Roadmap setting'!$B$18</f>
        <v>0.08</v>
      </c>
      <c r="K163" s="93">
        <f>SUM($D163:$E163)*'Roadmap setting'!$B$19</f>
        <v>0</v>
      </c>
      <c r="L163" s="95">
        <f>SUM($D163:$E163)*'Roadmap setting'!$B$20</f>
        <v>0.16</v>
      </c>
      <c r="M163" s="79">
        <f t="shared" si="35"/>
        <v>11.25</v>
      </c>
      <c r="N163" s="96" t="b">
        <v>1</v>
      </c>
      <c r="O163" s="97">
        <v>0.5</v>
      </c>
      <c r="P163" s="97">
        <v>0.3</v>
      </c>
      <c r="Q163" s="97">
        <v>0.24</v>
      </c>
      <c r="R163" s="97">
        <v>0.16</v>
      </c>
      <c r="S163" s="97">
        <v>0.08</v>
      </c>
      <c r="T163" s="97">
        <v>0.32</v>
      </c>
      <c r="U163" s="99">
        <v>11.15</v>
      </c>
      <c r="V163" s="96" t="b">
        <v>1</v>
      </c>
      <c r="W163" s="97">
        <v>0.75</v>
      </c>
      <c r="X163" s="97">
        <v>0.45</v>
      </c>
      <c r="Y163" s="97">
        <v>0.32</v>
      </c>
      <c r="Z163" s="97">
        <v>0.24</v>
      </c>
      <c r="AA163" s="97">
        <v>0.16</v>
      </c>
      <c r="AB163" s="97">
        <v>0.48</v>
      </c>
      <c r="AC163" s="99">
        <v>11.95</v>
      </c>
      <c r="AD163" s="96" t="b">
        <v>1</v>
      </c>
      <c r="AE163" s="97">
        <v>1.0</v>
      </c>
      <c r="AF163" s="97">
        <v>0.6</v>
      </c>
      <c r="AG163" s="97">
        <v>0.4</v>
      </c>
      <c r="AH163" s="97">
        <v>0.32</v>
      </c>
      <c r="AI163" s="97">
        <v>0.24</v>
      </c>
      <c r="AJ163" s="97">
        <v>0.64</v>
      </c>
      <c r="AK163" s="99">
        <v>12.75</v>
      </c>
      <c r="AL163" s="96" t="b">
        <v>1</v>
      </c>
      <c r="AM163" s="80">
        <f t="array" ref="AM163">INDEX(A163:AL163, MATCH(RIGHT('Roadmap setting'!$B$9, 3), $A$2:$AL$2, 0) - 1)
</f>
        <v>11.25</v>
      </c>
      <c r="AN163" s="82">
        <f t="array" ref="AN163">IFNA(LOOKUP(2,1/(ISNUMBER(AN157:AN162)),AN157:AN162)+(D163/(Resources!$P$55/7)),Today()+(D163/(Resources!$P$55/7)))</f>
        <v>45816.28718</v>
      </c>
      <c r="AO163" s="82">
        <f t="array" ref="AO163">IFNA(LOOKUP(2,1/(ISNUMBER(AO157:AO162)),AO157:AO162)+(E163/(Resources!$P$56/7)),Today()+(E163/(Resources!$P$56/7)))</f>
        <v>45863.35967</v>
      </c>
      <c r="AP163" s="82">
        <f t="array" ref="AP163">IF(ISNUMBER($AT163),IFNA(LOOKUP(2,1/(ISNUMBER(AP157:AP162)),AP157:AP162),Today()),IFNA(LOOKUP(2,1/(ISNUMBER(AP157:AP162)),AP157:AP162)+(D163/(Resources!$E$55/7)),Today()+(D163/(Resources!$E$55/7))))</f>
        <v>45857.54768</v>
      </c>
      <c r="AQ163" s="82">
        <f t="array" ref="AQ163">IF(ISNUMBER($AT163),IFNA(LOOKUP(2,1/(ISNUMBER(AQ157:AQ162)),AQ157:AQ162),Today()),IFNA(LOOKUP(2,1/(ISNUMBER(AQ157:AQ162)),AQ157:AQ162)+(E163/(Resources!$E$56/7)),Today()+(E163/(Resources!$E$56/7))))</f>
        <v>45921.9086</v>
      </c>
      <c r="AR163" s="226">
        <f t="shared" si="36"/>
        <v>45921.9086</v>
      </c>
      <c r="AS163" s="82"/>
      <c r="AT163" s="82"/>
      <c r="AU163" s="83"/>
    </row>
    <row r="164" ht="15.0" customHeight="1">
      <c r="A164" s="83" t="s">
        <v>97</v>
      </c>
      <c r="B164" s="110" t="s">
        <v>984</v>
      </c>
      <c r="C164" s="93">
        <f>IF($A164="Feature",SUM(D164:E164)*'Roadmap setting'!$B$13,0)</f>
        <v>1.6</v>
      </c>
      <c r="D164" s="94">
        <v>5.0</v>
      </c>
      <c r="E164" s="94">
        <v>3.0</v>
      </c>
      <c r="F164" s="95">
        <f>IF($A164="Feature",IF('Roadmap setting'!$E$14,$E164*('Roadmap setting'!$B$14+'Roadmap setting'!$D$14),$E164*'Roadmap setting'!$B$14),0)</f>
        <v>0.45</v>
      </c>
      <c r="G164" s="93">
        <f>IF($A164="Feature",$D164*'Roadmap setting'!$B$15,0)</f>
        <v>0</v>
      </c>
      <c r="H164" s="95">
        <f>IF($A164="Feature",$E164*'Roadmap setting'!$B$16,0)</f>
        <v>0</v>
      </c>
      <c r="I164" s="93">
        <f>SUM($D164:$E164)*'Roadmap setting'!$B$17</f>
        <v>0.96</v>
      </c>
      <c r="J164" s="93">
        <f>SUM($D164:$E164)*'Roadmap setting'!$B$18</f>
        <v>0.08</v>
      </c>
      <c r="K164" s="93">
        <f>SUM($D164:$E164)*'Roadmap setting'!$B$19</f>
        <v>0</v>
      </c>
      <c r="L164" s="95">
        <f>SUM($D164:$E164)*'Roadmap setting'!$B$20</f>
        <v>0.16</v>
      </c>
      <c r="M164" s="79">
        <f t="shared" si="35"/>
        <v>11.25</v>
      </c>
      <c r="N164" s="96" t="b">
        <v>1</v>
      </c>
      <c r="O164" s="97">
        <v>0.5</v>
      </c>
      <c r="P164" s="97">
        <v>0.3</v>
      </c>
      <c r="Q164" s="97">
        <v>0.24</v>
      </c>
      <c r="R164" s="97">
        <v>0.16</v>
      </c>
      <c r="S164" s="97">
        <v>0.08</v>
      </c>
      <c r="T164" s="97">
        <v>0.32</v>
      </c>
      <c r="U164" s="99">
        <v>11.15</v>
      </c>
      <c r="V164" s="96" t="b">
        <v>1</v>
      </c>
      <c r="W164" s="97">
        <v>0.75</v>
      </c>
      <c r="X164" s="97">
        <v>0.45</v>
      </c>
      <c r="Y164" s="97">
        <v>0.32</v>
      </c>
      <c r="Z164" s="97">
        <v>0.24</v>
      </c>
      <c r="AA164" s="97">
        <v>0.16</v>
      </c>
      <c r="AB164" s="97">
        <v>0.48</v>
      </c>
      <c r="AC164" s="99">
        <v>11.95</v>
      </c>
      <c r="AD164" s="96" t="b">
        <v>1</v>
      </c>
      <c r="AE164" s="97">
        <v>1.0</v>
      </c>
      <c r="AF164" s="97">
        <v>0.6</v>
      </c>
      <c r="AG164" s="97">
        <v>0.4</v>
      </c>
      <c r="AH164" s="97">
        <v>0.32</v>
      </c>
      <c r="AI164" s="97">
        <v>0.24</v>
      </c>
      <c r="AJ164" s="97">
        <v>0.64</v>
      </c>
      <c r="AK164" s="99">
        <v>12.75</v>
      </c>
      <c r="AL164" s="96" t="b">
        <v>1</v>
      </c>
      <c r="AM164" s="80">
        <f t="array" ref="AM164">INDEX(A164:AL164, MATCH(RIGHT('Roadmap setting'!$B$9, 3), $A$2:$AL$2, 0) - 1)
</f>
        <v>11.25</v>
      </c>
      <c r="AN164" s="82">
        <f t="array" ref="AN164">IFNA(LOOKUP(2,1/(ISNUMBER(AN158:AN163)),AN158:AN163)+(D164/(Resources!$P$55/7)),Today()+(D164/(Resources!$P$55/7)))</f>
        <v>45816.90881</v>
      </c>
      <c r="AO164" s="82">
        <f t="array" ref="AO164">IFNA(LOOKUP(2,1/(ISNUMBER(AO158:AO163)),AO158:AO163)+(E164/(Resources!$P$56/7)),Today()+(E164/(Resources!$P$56/7)))</f>
        <v>45863.97652</v>
      </c>
      <c r="AP164" s="82">
        <f t="array" ref="AP164">IF(ISNUMBER($AT164),IFNA(LOOKUP(2,1/(ISNUMBER(AP158:AP163)),AP158:AP163),Today()),IFNA(LOOKUP(2,1/(ISNUMBER(AP158:AP163)),AP158:AP163)+(D164/(Resources!$E$55/7)),Today()+(D164/(Resources!$E$55/7))))</f>
        <v>45858.82217</v>
      </c>
      <c r="AQ164" s="82">
        <f t="array" ref="AQ164">IF(ISNUMBER($AT164),IFNA(LOOKUP(2,1/(ISNUMBER(AQ158:AQ163)),AQ158:AQ163),Today()),IFNA(LOOKUP(2,1/(ISNUMBER(AQ158:AQ163)),AQ158:AQ163)+(E164/(Resources!$E$56/7)),Today()+(E164/(Resources!$E$56/7))))</f>
        <v>45922.94366</v>
      </c>
      <c r="AR164" s="226">
        <f t="shared" si="36"/>
        <v>45922.94366</v>
      </c>
      <c r="AS164" s="82"/>
      <c r="AT164" s="82"/>
      <c r="AU164" s="83"/>
    </row>
    <row r="165" ht="15.0" customHeight="1">
      <c r="A165" s="83" t="s">
        <v>97</v>
      </c>
      <c r="B165" s="230" t="s">
        <v>872</v>
      </c>
      <c r="C165" s="93">
        <f>IF($A165="Feature",SUM(D165:E165)*'Roadmap setting'!$B$13,0)</f>
        <v>6.4</v>
      </c>
      <c r="D165" s="94">
        <v>16.0</v>
      </c>
      <c r="E165" s="94">
        <v>16.0</v>
      </c>
      <c r="F165" s="95">
        <f>IF($A165="Feature",IF('Roadmap setting'!$E$14,$E165*('Roadmap setting'!$B$14+'Roadmap setting'!$D$14),$E165*'Roadmap setting'!$B$14),0)</f>
        <v>2.4</v>
      </c>
      <c r="G165" s="93">
        <f>IF($A165="Feature",$D165*'Roadmap setting'!$B$15,0)</f>
        <v>0</v>
      </c>
      <c r="H165" s="95">
        <f>IF($A165="Feature",$E165*'Roadmap setting'!$B$16,0)</f>
        <v>0</v>
      </c>
      <c r="I165" s="93">
        <f>SUM($D165:$E165)*'Roadmap setting'!$B$17</f>
        <v>3.84</v>
      </c>
      <c r="J165" s="93">
        <f>SUM($D165:$E165)*'Roadmap setting'!$B$18</f>
        <v>0.32</v>
      </c>
      <c r="K165" s="93">
        <f>SUM($D165:$E165)*'Roadmap setting'!$B$19</f>
        <v>0</v>
      </c>
      <c r="L165" s="95">
        <f>SUM($D165:$E165)*'Roadmap setting'!$B$20</f>
        <v>0.64</v>
      </c>
      <c r="M165" s="79">
        <f t="shared" si="35"/>
        <v>45.6</v>
      </c>
      <c r="N165" s="96" t="b">
        <v>1</v>
      </c>
      <c r="O165" s="97">
        <v>1.6</v>
      </c>
      <c r="P165" s="97">
        <v>1.6</v>
      </c>
      <c r="Q165" s="97">
        <v>0.96</v>
      </c>
      <c r="R165" s="97">
        <v>0.64</v>
      </c>
      <c r="S165" s="97">
        <v>0.32</v>
      </c>
      <c r="T165" s="97">
        <v>1.28</v>
      </c>
      <c r="U165" s="99">
        <v>45.6</v>
      </c>
      <c r="V165" s="96" t="b">
        <v>1</v>
      </c>
      <c r="W165" s="97">
        <v>2.4</v>
      </c>
      <c r="X165" s="97">
        <v>2.4</v>
      </c>
      <c r="Y165" s="97">
        <v>1.28</v>
      </c>
      <c r="Z165" s="97">
        <v>0.96</v>
      </c>
      <c r="AA165" s="97">
        <v>0.64</v>
      </c>
      <c r="AB165" s="97">
        <v>1.92</v>
      </c>
      <c r="AC165" s="99">
        <v>48.8</v>
      </c>
      <c r="AD165" s="96" t="b">
        <v>1</v>
      </c>
      <c r="AE165" s="97">
        <v>3.2</v>
      </c>
      <c r="AF165" s="97">
        <v>3.2</v>
      </c>
      <c r="AG165" s="97">
        <v>1.6</v>
      </c>
      <c r="AH165" s="97">
        <v>1.28</v>
      </c>
      <c r="AI165" s="97">
        <v>0.96</v>
      </c>
      <c r="AJ165" s="97">
        <v>2.56</v>
      </c>
      <c r="AK165" s="99">
        <v>52.0</v>
      </c>
      <c r="AL165" s="96" t="b">
        <v>1</v>
      </c>
      <c r="AM165" s="80">
        <f t="array" ref="AM165">INDEX(A165:AL165, MATCH(RIGHT('Roadmap setting'!$B$9, 3), $A$2:$AL$2, 0) - 1)
</f>
        <v>45.6</v>
      </c>
      <c r="AN165" s="82">
        <f t="array" ref="AN165">IFNA(LOOKUP(2,1/(ISNUMBER(AN159:AN164)),AN159:AN164)+(D165/(Resources!$P$55/7)),Today()+(D165/(Resources!$P$55/7)))</f>
        <v>45818.89803</v>
      </c>
      <c r="AO165" s="82">
        <f t="array" ref="AO165">IFNA(LOOKUP(2,1/(ISNUMBER(AO159:AO164)),AO159:AO164)+(E165/(Resources!$P$56/7)),Today()+(E165/(Resources!$P$56/7)))</f>
        <v>45867.26642</v>
      </c>
      <c r="AP165" s="82">
        <f t="array" ref="AP165">IF(ISNUMBER($AT165),IFNA(LOOKUP(2,1/(ISNUMBER(AP159:AP164)),AP159:AP164),Today()),IFNA(LOOKUP(2,1/(ISNUMBER(AP159:AP164)),AP159:AP164)+(D165/(Resources!$E$55/7)),Today()+(D165/(Resources!$E$55/7))))</f>
        <v>45862.90054</v>
      </c>
      <c r="AQ165" s="82">
        <f t="array" ref="AQ165">IF(ISNUMBER($AT165),IFNA(LOOKUP(2,1/(ISNUMBER(AQ159:AQ164)),AQ159:AQ164),Today()),IFNA(LOOKUP(2,1/(ISNUMBER(AQ159:AQ164)),AQ159:AQ164)+(E165/(Resources!$E$56/7)),Today()+(E165/(Resources!$E$56/7))))</f>
        <v>45928.46399</v>
      </c>
      <c r="AR165" s="226">
        <f t="shared" si="36"/>
        <v>45928.46399</v>
      </c>
      <c r="AS165" s="82"/>
      <c r="AT165" s="82"/>
      <c r="AU165" s="83"/>
    </row>
    <row r="166" ht="15.0" customHeight="1">
      <c r="A166" s="84"/>
      <c r="B166" s="108" t="s">
        <v>985</v>
      </c>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c r="AA166" s="84"/>
      <c r="AB166" s="84"/>
      <c r="AC166" s="84"/>
      <c r="AD166" s="84"/>
      <c r="AE166" s="84"/>
      <c r="AF166" s="84"/>
      <c r="AG166" s="84"/>
      <c r="AH166" s="84"/>
      <c r="AI166" s="84"/>
      <c r="AJ166" s="84"/>
      <c r="AK166" s="84"/>
      <c r="AL166" s="84"/>
      <c r="AM166" s="84"/>
      <c r="AN166" s="84"/>
      <c r="AO166" s="84"/>
      <c r="AP166" s="84"/>
      <c r="AQ166" s="84"/>
      <c r="AR166" s="84"/>
      <c r="AS166" s="84"/>
      <c r="AT166" s="84"/>
      <c r="AU166" s="84"/>
    </row>
    <row r="167" ht="15.0" customHeight="1">
      <c r="A167" s="72"/>
      <c r="B167" s="137" t="s">
        <v>975</v>
      </c>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c r="AA167" s="72"/>
      <c r="AB167" s="72"/>
      <c r="AC167" s="72"/>
      <c r="AD167" s="72"/>
      <c r="AE167" s="72"/>
      <c r="AF167" s="72"/>
      <c r="AG167" s="72"/>
      <c r="AH167" s="72"/>
      <c r="AI167" s="72"/>
      <c r="AJ167" s="72"/>
      <c r="AK167" s="72"/>
      <c r="AL167" s="72"/>
      <c r="AM167" s="72"/>
      <c r="AN167" s="72"/>
      <c r="AO167" s="72"/>
      <c r="AP167" s="72"/>
      <c r="AQ167" s="72"/>
      <c r="AR167" s="72"/>
      <c r="AS167" s="72"/>
      <c r="AT167" s="72"/>
      <c r="AU167" s="72"/>
    </row>
    <row r="168" ht="15.0" customHeight="1">
      <c r="A168" s="83" t="s">
        <v>97</v>
      </c>
      <c r="B168" s="106" t="s">
        <v>986</v>
      </c>
      <c r="C168" s="93">
        <f>IF($A168="Feature",SUM(D168:E168)*'Roadmap setting'!$B$13,0)</f>
        <v>2</v>
      </c>
      <c r="D168" s="94">
        <v>4.0</v>
      </c>
      <c r="E168" s="94">
        <v>6.0</v>
      </c>
      <c r="F168" s="95">
        <f>IF($A168="Feature",IF('Roadmap setting'!$E$14,$E168*('Roadmap setting'!$B$14+'Roadmap setting'!$D$14),$E168*'Roadmap setting'!$B$14),0)</f>
        <v>0.9</v>
      </c>
      <c r="G168" s="93">
        <f>IF($A168="Feature",$D168*'Roadmap setting'!$B$15,0)</f>
        <v>0</v>
      </c>
      <c r="H168" s="95">
        <f>IF($A168="Feature",$E168*'Roadmap setting'!$B$16,0)</f>
        <v>0</v>
      </c>
      <c r="I168" s="93">
        <f>SUM($D168:$E168)*'Roadmap setting'!$B$17</f>
        <v>1.2</v>
      </c>
      <c r="J168" s="93">
        <f>SUM($D168:$E168)*'Roadmap setting'!$B$18</f>
        <v>0.1</v>
      </c>
      <c r="K168" s="93">
        <f>SUM($D168:$E168)*'Roadmap setting'!$B$19</f>
        <v>0</v>
      </c>
      <c r="L168" s="95">
        <f>SUM($D168:$E168)*'Roadmap setting'!$B$20</f>
        <v>0.2</v>
      </c>
      <c r="M168" s="79">
        <f t="shared" ref="M168:M169" si="37">SUM($C168:$F168)+SUM(G168:L168)</f>
        <v>14.4</v>
      </c>
      <c r="N168" s="96" t="b">
        <v>0</v>
      </c>
      <c r="O168" s="97">
        <v>0.4</v>
      </c>
      <c r="P168" s="97">
        <v>0.6</v>
      </c>
      <c r="Q168" s="97">
        <v>0.3</v>
      </c>
      <c r="R168" s="97">
        <v>0.2</v>
      </c>
      <c r="S168" s="97">
        <v>0.1</v>
      </c>
      <c r="T168" s="97">
        <v>0.4</v>
      </c>
      <c r="U168" s="99">
        <v>14.5</v>
      </c>
      <c r="V168" s="96" t="b">
        <v>0</v>
      </c>
      <c r="W168" s="97">
        <v>0.6</v>
      </c>
      <c r="X168" s="97">
        <v>0.9</v>
      </c>
      <c r="Y168" s="97">
        <v>0.4</v>
      </c>
      <c r="Z168" s="97">
        <v>0.3</v>
      </c>
      <c r="AA168" s="97">
        <v>0.2</v>
      </c>
      <c r="AB168" s="97">
        <v>0.6</v>
      </c>
      <c r="AC168" s="99">
        <v>15.5</v>
      </c>
      <c r="AD168" s="96" t="b">
        <v>0</v>
      </c>
      <c r="AE168" s="97">
        <v>0.8</v>
      </c>
      <c r="AF168" s="97">
        <v>1.2</v>
      </c>
      <c r="AG168" s="97">
        <v>0.5</v>
      </c>
      <c r="AH168" s="97">
        <v>0.4</v>
      </c>
      <c r="AI168" s="97">
        <v>0.3</v>
      </c>
      <c r="AJ168" s="97">
        <v>0.8</v>
      </c>
      <c r="AK168" s="99">
        <v>16.5</v>
      </c>
      <c r="AL168" s="96" t="b">
        <v>1</v>
      </c>
      <c r="AM168" s="80">
        <f t="array" ref="AM168">INDEX(A168:AL168, MATCH(RIGHT('Roadmap setting'!$B$9, 3), $A$2:$AL$2, 0) - 1)
</f>
        <v>14.4</v>
      </c>
      <c r="AN168" s="82">
        <f t="array" ref="AN168">IFNA(LOOKUP(2,1/(ISNUMBER(AN162:AN167)),AN162:AN167)+(D168/(Resources!$P$55/7)),Today()+(D168/(Resources!$P$55/7)))</f>
        <v>45819.39534</v>
      </c>
      <c r="AO168" s="82">
        <f t="array" ref="AO168">IFNA(LOOKUP(2,1/(ISNUMBER(AO162:AO167)),AO162:AO167)+(E168/(Resources!$P$56/7)),Today()+(E168/(Resources!$P$56/7)))</f>
        <v>45868.50013</v>
      </c>
      <c r="AP168" s="82">
        <f t="array" ref="AP168">IF(ISNUMBER($AT168),IFNA(LOOKUP(2,1/(ISNUMBER(AP162:AP167)),AP162:AP167),Today()),IFNA(LOOKUP(2,1/(ISNUMBER(AP162:AP167)),AP162:AP167)+(D168/(Resources!$E$55/7)),Today()+(D168/(Resources!$E$55/7))))</f>
        <v>45863.92013</v>
      </c>
      <c r="AQ168" s="82">
        <f t="array" ref="AQ168">IF(ISNUMBER($AT168),IFNA(LOOKUP(2,1/(ISNUMBER(AQ162:AQ167)),AQ162:AQ167),Today()),IFNA(LOOKUP(2,1/(ISNUMBER(AQ162:AQ167)),AQ162:AQ167)+(E168/(Resources!$E$56/7)),Today()+(E168/(Resources!$E$56/7))))</f>
        <v>45930.53411</v>
      </c>
      <c r="AR168" s="226">
        <f t="shared" ref="AR168:AR169" si="38">IFERROR(MAX(AP168,AQ168),"")</f>
        <v>45930.53411</v>
      </c>
      <c r="AS168" s="82"/>
      <c r="AT168" s="82"/>
      <c r="AU168" s="83"/>
    </row>
    <row r="169" ht="15.0" customHeight="1">
      <c r="A169" s="83" t="s">
        <v>97</v>
      </c>
      <c r="B169" s="110" t="s">
        <v>977</v>
      </c>
      <c r="C169" s="93">
        <f>IF($A169="Feature",SUM(D169:E169)*'Roadmap setting'!$B$13,0)</f>
        <v>32</v>
      </c>
      <c r="D169" s="94">
        <v>80.0</v>
      </c>
      <c r="E169" s="94">
        <v>80.0</v>
      </c>
      <c r="F169" s="95">
        <f>IF($A169="Feature",IF('Roadmap setting'!$E$14,$E169*('Roadmap setting'!$B$14+'Roadmap setting'!$D$14),$E169*'Roadmap setting'!$B$14),0)</f>
        <v>12</v>
      </c>
      <c r="G169" s="93">
        <f>IF($A169="Feature",$D169*'Roadmap setting'!$B$15,0)</f>
        <v>0</v>
      </c>
      <c r="H169" s="95">
        <f>IF($A169="Feature",$E169*'Roadmap setting'!$B$16,0)</f>
        <v>0</v>
      </c>
      <c r="I169" s="93">
        <f>SUM($D169:$E169)*'Roadmap setting'!$B$17</f>
        <v>19.2</v>
      </c>
      <c r="J169" s="93">
        <f>SUM($D169:$E169)*'Roadmap setting'!$B$18</f>
        <v>1.6</v>
      </c>
      <c r="K169" s="93">
        <f>SUM($D169:$E169)*'Roadmap setting'!$B$19</f>
        <v>0</v>
      </c>
      <c r="L169" s="95">
        <f>SUM($D169:$E169)*'Roadmap setting'!$B$20</f>
        <v>3.2</v>
      </c>
      <c r="M169" s="79">
        <f t="shared" si="37"/>
        <v>228</v>
      </c>
      <c r="N169" s="96" t="b">
        <v>0</v>
      </c>
      <c r="O169" s="97">
        <v>0.8</v>
      </c>
      <c r="P169" s="97">
        <v>0.6</v>
      </c>
      <c r="Q169" s="97">
        <v>0.42</v>
      </c>
      <c r="R169" s="97">
        <v>0.28</v>
      </c>
      <c r="S169" s="97">
        <v>0.14</v>
      </c>
      <c r="T169" s="97">
        <v>0.56</v>
      </c>
      <c r="U169" s="99">
        <v>19.7</v>
      </c>
      <c r="V169" s="96" t="b">
        <v>0</v>
      </c>
      <c r="W169" s="97">
        <v>1.2</v>
      </c>
      <c r="X169" s="97">
        <v>0.9</v>
      </c>
      <c r="Y169" s="97">
        <v>0.56</v>
      </c>
      <c r="Z169" s="97">
        <v>0.42</v>
      </c>
      <c r="AA169" s="97">
        <v>0.28</v>
      </c>
      <c r="AB169" s="97">
        <v>0.84</v>
      </c>
      <c r="AC169" s="99">
        <v>21.1</v>
      </c>
      <c r="AD169" s="96" t="b">
        <v>0</v>
      </c>
      <c r="AE169" s="97">
        <v>1.6</v>
      </c>
      <c r="AF169" s="97">
        <v>1.2</v>
      </c>
      <c r="AG169" s="97">
        <v>0.7</v>
      </c>
      <c r="AH169" s="97">
        <v>0.56</v>
      </c>
      <c r="AI169" s="97">
        <v>0.42</v>
      </c>
      <c r="AJ169" s="97">
        <v>1.12</v>
      </c>
      <c r="AK169" s="99">
        <v>22.5</v>
      </c>
      <c r="AL169" s="96" t="b">
        <v>1</v>
      </c>
      <c r="AM169" s="80">
        <f t="array" ref="AM169">INDEX(A169:AL169, MATCH(RIGHT('Roadmap setting'!$B$9, 3), $A$2:$AL$2, 0) - 1)
</f>
        <v>228</v>
      </c>
      <c r="AN169" s="82">
        <f t="array" ref="AN169">IFNA(LOOKUP(2,1/(ISNUMBER(AN163:AN168)),AN163:AN168)+(D169/(Resources!$P$55/7)),Today()+(D169/(Resources!$P$55/7)))</f>
        <v>45829.34146</v>
      </c>
      <c r="AO169" s="82">
        <f t="array" ref="AO169">IFNA(LOOKUP(2,1/(ISNUMBER(AO163:AO168)),AO163:AO168)+(E169/(Resources!$P$56/7)),Today()+(E169/(Resources!$P$56/7)))</f>
        <v>45884.94959</v>
      </c>
      <c r="AP169" s="82">
        <f t="array" ref="AP169">IF(ISNUMBER($AT169),IFNA(LOOKUP(2,1/(ISNUMBER(AP163:AP168)),AP163:AP168),Today()),IFNA(LOOKUP(2,1/(ISNUMBER(AP163:AP168)),AP163:AP168)+(D169/(Resources!$E$55/7)),Today()+(D169/(Resources!$E$55/7))))</f>
        <v>45884.31195</v>
      </c>
      <c r="AQ169" s="82">
        <f t="array" ref="AQ169">IF(ISNUMBER($AT169),IFNA(LOOKUP(2,1/(ISNUMBER(AQ163:AQ168)),AQ163:AQ168),Today()),IFNA(LOOKUP(2,1/(ISNUMBER(AQ163:AQ168)),AQ163:AQ168)+(E169/(Resources!$E$56/7)),Today()+(E169/(Resources!$E$56/7))))</f>
        <v>45958.13575</v>
      </c>
      <c r="AR169" s="226">
        <f t="shared" si="38"/>
        <v>45958.13575</v>
      </c>
      <c r="AS169" s="82"/>
      <c r="AT169" s="82"/>
      <c r="AU169" s="83"/>
    </row>
    <row r="170" ht="15.0" customHeight="1">
      <c r="A170" s="120"/>
      <c r="B170" s="137" t="s">
        <v>263</v>
      </c>
      <c r="C170" s="72"/>
      <c r="D170" s="72"/>
      <c r="E170" s="72"/>
      <c r="F170" s="72"/>
      <c r="G170" s="72"/>
      <c r="H170" s="72"/>
      <c r="I170" s="72"/>
      <c r="J170" s="72"/>
      <c r="K170" s="72"/>
      <c r="L170" s="72"/>
      <c r="M170" s="74"/>
      <c r="N170" s="73"/>
      <c r="O170" s="72"/>
      <c r="P170" s="72"/>
      <c r="Q170" s="72"/>
      <c r="R170" s="72"/>
      <c r="S170" s="72"/>
      <c r="T170" s="72"/>
      <c r="U170" s="74"/>
      <c r="V170" s="73"/>
      <c r="W170" s="72"/>
      <c r="X170" s="72"/>
      <c r="Y170" s="72"/>
      <c r="Z170" s="72"/>
      <c r="AA170" s="72"/>
      <c r="AB170" s="72"/>
      <c r="AC170" s="74"/>
      <c r="AD170" s="73"/>
      <c r="AE170" s="72"/>
      <c r="AF170" s="72"/>
      <c r="AG170" s="72"/>
      <c r="AH170" s="72"/>
      <c r="AI170" s="72"/>
      <c r="AJ170" s="72"/>
      <c r="AK170" s="74"/>
      <c r="AL170" s="73"/>
      <c r="AM170" s="75"/>
      <c r="AN170" s="75"/>
      <c r="AO170" s="75"/>
      <c r="AP170" s="75"/>
      <c r="AQ170" s="75"/>
      <c r="AR170" s="225"/>
      <c r="AS170" s="75"/>
      <c r="AT170" s="75"/>
      <c r="AU170" s="75"/>
    </row>
    <row r="171" ht="15.0" customHeight="1">
      <c r="A171" s="83" t="s">
        <v>77</v>
      </c>
      <c r="B171" s="103" t="s">
        <v>264</v>
      </c>
      <c r="C171" s="93">
        <f>IF($A171="Feature",SUM(D171:E171)*'Roadmap setting'!$B$13,0)</f>
        <v>0</v>
      </c>
      <c r="D171" s="94">
        <v>12.0</v>
      </c>
      <c r="E171" s="94">
        <v>12.0</v>
      </c>
      <c r="F171" s="95">
        <f>IF($A171="Feature",IF('Roadmap setting'!$E$14,$E171*('Roadmap setting'!$B$14+'Roadmap setting'!$D$14),$E171*'Roadmap setting'!$B$14),0)</f>
        <v>0</v>
      </c>
      <c r="G171" s="93">
        <f>IF($A171="Feature",$D171*'Roadmap setting'!$B$15,0)</f>
        <v>0</v>
      </c>
      <c r="H171" s="95">
        <f>IF($A171="Feature",$E171*'Roadmap setting'!$B$16,0)</f>
        <v>0</v>
      </c>
      <c r="I171" s="93">
        <f>SUM($D171:$E171)*'Roadmap setting'!$B$17</f>
        <v>2.88</v>
      </c>
      <c r="J171" s="93">
        <f>SUM($D171:$E171)*'Roadmap setting'!$B$18</f>
        <v>0.24</v>
      </c>
      <c r="K171" s="93">
        <f>SUM($D171:$E171)*'Roadmap setting'!$B$19</f>
        <v>0</v>
      </c>
      <c r="L171" s="95">
        <f>SUM($D171:$E171)*'Roadmap setting'!$B$20</f>
        <v>0.48</v>
      </c>
      <c r="M171" s="79">
        <f t="shared" ref="M171:M174" si="39">SUM($C171:$F171)+SUM(G171:L171)</f>
        <v>27.6</v>
      </c>
      <c r="N171" s="96" t="b">
        <v>1</v>
      </c>
      <c r="O171" s="97"/>
      <c r="P171" s="98"/>
      <c r="Q171" s="97">
        <v>0.72</v>
      </c>
      <c r="R171" s="97">
        <v>0.48</v>
      </c>
      <c r="S171" s="97">
        <v>0.24</v>
      </c>
      <c r="T171" s="98"/>
      <c r="U171" s="99">
        <v>27.84</v>
      </c>
      <c r="V171" s="96" t="b">
        <v>1</v>
      </c>
      <c r="W171" s="97"/>
      <c r="X171" s="98"/>
      <c r="Y171" s="97">
        <v>0.96</v>
      </c>
      <c r="Z171" s="97">
        <v>0.72</v>
      </c>
      <c r="AA171" s="97">
        <v>0.48</v>
      </c>
      <c r="AB171" s="98"/>
      <c r="AC171" s="99">
        <v>28.56</v>
      </c>
      <c r="AD171" s="96" t="b">
        <v>1</v>
      </c>
      <c r="AE171" s="97"/>
      <c r="AF171" s="98"/>
      <c r="AG171" s="97">
        <v>1.2</v>
      </c>
      <c r="AH171" s="97">
        <v>0.96</v>
      </c>
      <c r="AI171" s="97">
        <v>0.72</v>
      </c>
      <c r="AJ171" s="98"/>
      <c r="AK171" s="99">
        <v>29.28</v>
      </c>
      <c r="AL171" s="96" t="b">
        <v>1</v>
      </c>
      <c r="AM171" s="80">
        <f t="array" ref="AM171">INDEX(A171:AL171, MATCH(RIGHT('Roadmap setting'!$B$9, 3), $A$2:$AL$2, 0) - 1)
</f>
        <v>27.6</v>
      </c>
      <c r="AN171" s="82">
        <f t="array" ref="AN171">IFNA(LOOKUP(2,1/(ISNUMBER(AN73:AN170)),AN73:AN170)+(D171/(Resources!$P$55/7)),Today()+(D171/(Resources!$P$55/7)))</f>
        <v>45830.83338</v>
      </c>
      <c r="AO171" s="82">
        <f t="array" ref="AO171">IFNA(LOOKUP(2,1/(ISNUMBER(AO73:AO170)),AO73:AO170)+(E171/(Resources!$P$56/7)),Today()+(E171/(Resources!$P$56/7)))</f>
        <v>45887.41701</v>
      </c>
      <c r="AP171" s="82">
        <f t="array" ref="AP171">IF(ISNUMBER($AT171),IFNA(LOOKUP(2,1/(ISNUMBER(AP73:AP170)),AP73:AP170),Today()),IFNA(LOOKUP(2,1/(ISNUMBER(AP73:AP170)),AP73:AP170)+(D171/(Resources!$E$55/7)),Today()+(D171/(Resources!$E$55/7))))</f>
        <v>45887.37072</v>
      </c>
      <c r="AQ171" s="82">
        <f t="array" ref="AQ171">IF(ISNUMBER($AT171),IFNA(LOOKUP(2,1/(ISNUMBER(AQ73:AQ170)),AQ73:AQ170),Today()),IFNA(LOOKUP(2,1/(ISNUMBER(AQ73:AQ170)),AQ73:AQ170)+(E171/(Resources!$E$56/7)),Today()+(E171/(Resources!$E$56/7))))</f>
        <v>45962.27599</v>
      </c>
      <c r="AR171" s="226">
        <f t="shared" ref="AR171:AR174" si="40">IFERROR(MAX(AP171,AQ171),"")</f>
        <v>45962.27599</v>
      </c>
      <c r="AS171" s="82"/>
      <c r="AT171" s="82"/>
      <c r="AU171" s="83"/>
    </row>
    <row r="172" ht="15.0" customHeight="1">
      <c r="A172" s="83" t="s">
        <v>77</v>
      </c>
      <c r="B172" s="103" t="s">
        <v>265</v>
      </c>
      <c r="C172" s="93">
        <f>IF($A172="Feature",SUM(D172:E172)*'Roadmap setting'!$B$13,0)</f>
        <v>0</v>
      </c>
      <c r="D172" s="94">
        <v>32.0</v>
      </c>
      <c r="E172" s="94">
        <v>0.0</v>
      </c>
      <c r="F172" s="95">
        <f>IF($A172="Feature",IF('Roadmap setting'!$E$14,$E172*('Roadmap setting'!$B$14+'Roadmap setting'!$D$14),$E172*'Roadmap setting'!$B$14),0)</f>
        <v>0</v>
      </c>
      <c r="G172" s="93">
        <f>IF($A172="Feature",$D172*'Roadmap setting'!$B$15,0)</f>
        <v>0</v>
      </c>
      <c r="H172" s="95">
        <f>IF($A172="Feature",$E172*'Roadmap setting'!$B$16,0)</f>
        <v>0</v>
      </c>
      <c r="I172" s="93">
        <f>SUM($D172:$E172)*'Roadmap setting'!$B$17</f>
        <v>3.84</v>
      </c>
      <c r="J172" s="93">
        <f>SUM($D172:$E172)*'Roadmap setting'!$B$18</f>
        <v>0.32</v>
      </c>
      <c r="K172" s="93">
        <f>SUM($D172:$E172)*'Roadmap setting'!$B$19</f>
        <v>0</v>
      </c>
      <c r="L172" s="95">
        <f>SUM($D172:$E172)*'Roadmap setting'!$B$20</f>
        <v>0.64</v>
      </c>
      <c r="M172" s="79">
        <f t="shared" si="39"/>
        <v>36.8</v>
      </c>
      <c r="N172" s="96" t="b">
        <v>1</v>
      </c>
      <c r="O172" s="97"/>
      <c r="P172" s="98"/>
      <c r="Q172" s="97">
        <v>0.96</v>
      </c>
      <c r="R172" s="97">
        <v>0.64</v>
      </c>
      <c r="S172" s="97">
        <v>0.32</v>
      </c>
      <c r="T172" s="98"/>
      <c r="U172" s="99">
        <v>37.12</v>
      </c>
      <c r="V172" s="96" t="b">
        <v>1</v>
      </c>
      <c r="W172" s="97"/>
      <c r="X172" s="98"/>
      <c r="Y172" s="97">
        <v>1.28</v>
      </c>
      <c r="Z172" s="97">
        <v>0.96</v>
      </c>
      <c r="AA172" s="97">
        <v>0.64</v>
      </c>
      <c r="AB172" s="98"/>
      <c r="AC172" s="99">
        <v>38.08</v>
      </c>
      <c r="AD172" s="96" t="b">
        <v>1</v>
      </c>
      <c r="AE172" s="97"/>
      <c r="AF172" s="98"/>
      <c r="AG172" s="97">
        <v>1.6</v>
      </c>
      <c r="AH172" s="97">
        <v>1.28</v>
      </c>
      <c r="AI172" s="97">
        <v>0.96</v>
      </c>
      <c r="AJ172" s="98"/>
      <c r="AK172" s="99">
        <v>39.04</v>
      </c>
      <c r="AL172" s="96" t="b">
        <v>1</v>
      </c>
      <c r="AM172" s="80">
        <f t="array" ref="AM172">INDEX(A172:AL172, MATCH(RIGHT('Roadmap setting'!$B$9, 3), $A$2:$AL$2, 0) - 1)
</f>
        <v>36.8</v>
      </c>
      <c r="AN172" s="82">
        <f t="array" ref="AN172">IFNA(LOOKUP(2,1/(ISNUMBER(AN74:AN171)),AN74:AN171)+(D172/(Resources!$P$55/7)),Today()+(D172/(Resources!$P$55/7)))</f>
        <v>45834.81183</v>
      </c>
      <c r="AO172" s="82">
        <f t="array" ref="AO172">IFNA(LOOKUP(2,1/(ISNUMBER(AO74:AO171)),AO74:AO171)+(E172/(Resources!$P$56/7)),Today()+(E172/(Resources!$P$56/7)))</f>
        <v>45887.41701</v>
      </c>
      <c r="AP172" s="82">
        <f t="array" ref="AP172">IF(ISNUMBER($AT172),IFNA(LOOKUP(2,1/(ISNUMBER(AP74:AP171)),AP74:AP171),Today()),IFNA(LOOKUP(2,1/(ISNUMBER(AP74:AP171)),AP74:AP171)+(D172/(Resources!$E$55/7)),Today()+(D172/(Resources!$E$55/7))))</f>
        <v>45895.52745</v>
      </c>
      <c r="AQ172" s="82">
        <f t="array" ref="AQ172">IF(ISNUMBER($AT172),IFNA(LOOKUP(2,1/(ISNUMBER(AQ74:AQ171)),AQ74:AQ171),Today()),IFNA(LOOKUP(2,1/(ISNUMBER(AQ74:AQ171)),AQ74:AQ171)+(E172/(Resources!$E$56/7)),Today()+(E172/(Resources!$E$56/7))))</f>
        <v>45962.27599</v>
      </c>
      <c r="AR172" s="226">
        <f t="shared" si="40"/>
        <v>45962.27599</v>
      </c>
      <c r="AS172" s="82"/>
      <c r="AT172" s="82"/>
      <c r="AU172" s="83"/>
    </row>
    <row r="173" ht="15.0" customHeight="1">
      <c r="A173" s="83" t="s">
        <v>77</v>
      </c>
      <c r="B173" s="103" t="s">
        <v>266</v>
      </c>
      <c r="C173" s="93">
        <f>IF($A173="Feature",SUM(D173:E173)*'Roadmap setting'!$B$13,0)</f>
        <v>0</v>
      </c>
      <c r="D173" s="94">
        <v>12.0</v>
      </c>
      <c r="E173" s="94">
        <v>0.0</v>
      </c>
      <c r="F173" s="95">
        <f>IF($A173="Feature",IF('Roadmap setting'!$E$14,$E173*('Roadmap setting'!$B$14+'Roadmap setting'!$D$14),$E173*'Roadmap setting'!$B$14),0)</f>
        <v>0</v>
      </c>
      <c r="G173" s="93">
        <f>IF($A173="Feature",$D173*'Roadmap setting'!$B$15,0)</f>
        <v>0</v>
      </c>
      <c r="H173" s="95">
        <f>IF($A173="Feature",$E173*'Roadmap setting'!$B$16,0)</f>
        <v>0</v>
      </c>
      <c r="I173" s="93">
        <f>SUM($D173:$E173)*'Roadmap setting'!$B$17</f>
        <v>1.44</v>
      </c>
      <c r="J173" s="93">
        <f>SUM($D173:$E173)*'Roadmap setting'!$B$18</f>
        <v>0.12</v>
      </c>
      <c r="K173" s="93">
        <f>SUM($D173:$E173)*'Roadmap setting'!$B$19</f>
        <v>0</v>
      </c>
      <c r="L173" s="95">
        <f>SUM($D173:$E173)*'Roadmap setting'!$B$20</f>
        <v>0.24</v>
      </c>
      <c r="M173" s="79">
        <f t="shared" si="39"/>
        <v>13.8</v>
      </c>
      <c r="N173" s="96" t="b">
        <v>1</v>
      </c>
      <c r="O173" s="97"/>
      <c r="P173" s="98"/>
      <c r="Q173" s="97">
        <v>0.36</v>
      </c>
      <c r="R173" s="97">
        <v>0.24</v>
      </c>
      <c r="S173" s="97">
        <v>0.12</v>
      </c>
      <c r="T173" s="98"/>
      <c r="U173" s="99">
        <v>13.92</v>
      </c>
      <c r="V173" s="96" t="b">
        <v>1</v>
      </c>
      <c r="W173" s="97"/>
      <c r="X173" s="98"/>
      <c r="Y173" s="97">
        <v>0.48</v>
      </c>
      <c r="Z173" s="97">
        <v>0.36</v>
      </c>
      <c r="AA173" s="97">
        <v>0.24</v>
      </c>
      <c r="AB173" s="98"/>
      <c r="AC173" s="99">
        <v>14.28</v>
      </c>
      <c r="AD173" s="96" t="b">
        <v>1</v>
      </c>
      <c r="AE173" s="97"/>
      <c r="AF173" s="98"/>
      <c r="AG173" s="97">
        <v>0.6</v>
      </c>
      <c r="AH173" s="97">
        <v>0.48</v>
      </c>
      <c r="AI173" s="97">
        <v>0.36</v>
      </c>
      <c r="AJ173" s="98"/>
      <c r="AK173" s="99">
        <v>14.64</v>
      </c>
      <c r="AL173" s="96" t="b">
        <v>1</v>
      </c>
      <c r="AM173" s="80">
        <f t="array" ref="AM173">INDEX(A173:AL173, MATCH(RIGHT('Roadmap setting'!$B$9, 3), $A$2:$AL$2, 0) - 1)
</f>
        <v>13.8</v>
      </c>
      <c r="AN173" s="82">
        <f t="array" ref="AN173">IFNA(LOOKUP(2,1/(ISNUMBER(AN75:AN172)),AN75:AN172)+(D173/(Resources!$P$55/7)),Today()+(D173/(Resources!$P$55/7)))</f>
        <v>45836.30375</v>
      </c>
      <c r="AO173" s="82">
        <f t="array" ref="AO173">IFNA(LOOKUP(2,1/(ISNUMBER(AO75:AO172)),AO75:AO172)+(E173/(Resources!$P$56/7)),Today()+(E173/(Resources!$P$56/7)))</f>
        <v>45887.41701</v>
      </c>
      <c r="AP173" s="82">
        <f t="array" ref="AP173">IF(ISNUMBER($AT173),IFNA(LOOKUP(2,1/(ISNUMBER(AP75:AP172)),AP75:AP172),Today()),IFNA(LOOKUP(2,1/(ISNUMBER(AP75:AP172)),AP75:AP172)+(D173/(Resources!$E$55/7)),Today()+(D173/(Resources!$E$55/7))))</f>
        <v>45898.58622</v>
      </c>
      <c r="AQ173" s="82">
        <f t="array" ref="AQ173">IF(ISNUMBER($AT173),IFNA(LOOKUP(2,1/(ISNUMBER(AQ75:AQ172)),AQ75:AQ172),Today()),IFNA(LOOKUP(2,1/(ISNUMBER(AQ75:AQ172)),AQ75:AQ172)+(E173/(Resources!$E$56/7)),Today()+(E173/(Resources!$E$56/7))))</f>
        <v>45962.27599</v>
      </c>
      <c r="AR173" s="226">
        <f t="shared" si="40"/>
        <v>45962.27599</v>
      </c>
      <c r="AS173" s="82"/>
      <c r="AT173" s="82"/>
      <c r="AU173" s="83"/>
    </row>
    <row r="174" ht="15.0" customHeight="1">
      <c r="A174" s="83" t="s">
        <v>77</v>
      </c>
      <c r="B174" s="103" t="s">
        <v>267</v>
      </c>
      <c r="C174" s="93">
        <f>IF($A174="Feature",SUM(D174:E174)*'Roadmap setting'!$B$13,0)</f>
        <v>0</v>
      </c>
      <c r="D174" s="94">
        <v>12.0</v>
      </c>
      <c r="E174" s="94">
        <v>0.0</v>
      </c>
      <c r="F174" s="95">
        <f>IF($A174="Feature",IF('Roadmap setting'!$E$14,$E174*('Roadmap setting'!$B$14+'Roadmap setting'!$D$14),$E174*'Roadmap setting'!$B$14),0)</f>
        <v>0</v>
      </c>
      <c r="G174" s="93">
        <f>IF($A174="Feature",$D174*'Roadmap setting'!$B$15,0)</f>
        <v>0</v>
      </c>
      <c r="H174" s="95">
        <f>IF($A174="Feature",$E174*'Roadmap setting'!$B$16,0)</f>
        <v>0</v>
      </c>
      <c r="I174" s="93">
        <f>SUM($D174:$E174)*'Roadmap setting'!$B$17</f>
        <v>1.44</v>
      </c>
      <c r="J174" s="93">
        <f>SUM($D174:$E174)*'Roadmap setting'!$B$18</f>
        <v>0.12</v>
      </c>
      <c r="K174" s="93">
        <f>SUM($D174:$E174)*'Roadmap setting'!$B$19</f>
        <v>0</v>
      </c>
      <c r="L174" s="95">
        <f>SUM($D174:$E174)*'Roadmap setting'!$B$20</f>
        <v>0.24</v>
      </c>
      <c r="M174" s="79">
        <f t="shared" si="39"/>
        <v>13.8</v>
      </c>
      <c r="N174" s="96" t="b">
        <v>1</v>
      </c>
      <c r="O174" s="97"/>
      <c r="P174" s="98"/>
      <c r="Q174" s="97">
        <v>0.36</v>
      </c>
      <c r="R174" s="97">
        <v>0.24</v>
      </c>
      <c r="S174" s="97">
        <v>0.12</v>
      </c>
      <c r="T174" s="98"/>
      <c r="U174" s="99">
        <v>13.92</v>
      </c>
      <c r="V174" s="96" t="b">
        <v>1</v>
      </c>
      <c r="W174" s="97"/>
      <c r="X174" s="98"/>
      <c r="Y174" s="97">
        <v>0.48</v>
      </c>
      <c r="Z174" s="97">
        <v>0.36</v>
      </c>
      <c r="AA174" s="97">
        <v>0.24</v>
      </c>
      <c r="AB174" s="98"/>
      <c r="AC174" s="99">
        <v>14.28</v>
      </c>
      <c r="AD174" s="96" t="b">
        <v>1</v>
      </c>
      <c r="AE174" s="97"/>
      <c r="AF174" s="98"/>
      <c r="AG174" s="97">
        <v>0.6</v>
      </c>
      <c r="AH174" s="97">
        <v>0.48</v>
      </c>
      <c r="AI174" s="97">
        <v>0.36</v>
      </c>
      <c r="AJ174" s="98"/>
      <c r="AK174" s="99">
        <v>14.64</v>
      </c>
      <c r="AL174" s="96" t="b">
        <v>1</v>
      </c>
      <c r="AM174" s="80">
        <f t="array" ref="AM174">INDEX(A174:AL174, MATCH(RIGHT('Roadmap setting'!$B$9, 3), $A$2:$AL$2, 0) - 1)
</f>
        <v>13.8</v>
      </c>
      <c r="AN174" s="82">
        <f t="array" ref="AN174">IFNA(LOOKUP(2,1/(ISNUMBER(AN76:AN173)),AN76:AN173)+(D174/(Resources!$P$55/7)),Today()+(D174/(Resources!$P$55/7)))</f>
        <v>45837.79566</v>
      </c>
      <c r="AO174" s="82">
        <f t="array" ref="AO174">IFNA(LOOKUP(2,1/(ISNUMBER(AO76:AO173)),AO76:AO173)+(E174/(Resources!$P$56/7)),Today()+(E174/(Resources!$P$56/7)))</f>
        <v>45887.41701</v>
      </c>
      <c r="AP174" s="82">
        <f t="array" ref="AP174">IF(ISNUMBER($AT174),IFNA(LOOKUP(2,1/(ISNUMBER(AP76:AP173)),AP76:AP173),Today()),IFNA(LOOKUP(2,1/(ISNUMBER(AP76:AP173)),AP76:AP173)+(D174/(Resources!$E$55/7)),Today()+(D174/(Resources!$E$55/7))))</f>
        <v>45901.64499</v>
      </c>
      <c r="AQ174" s="82">
        <f t="array" ref="AQ174">IF(ISNUMBER($AT174),IFNA(LOOKUP(2,1/(ISNUMBER(AQ76:AQ173)),AQ76:AQ173),Today()),IFNA(LOOKUP(2,1/(ISNUMBER(AQ76:AQ173)),AQ76:AQ173)+(E174/(Resources!$E$56/7)),Today()+(E174/(Resources!$E$56/7))))</f>
        <v>45962.27599</v>
      </c>
      <c r="AR174" s="226">
        <f t="shared" si="40"/>
        <v>45962.27599</v>
      </c>
      <c r="AS174" s="82"/>
      <c r="AT174" s="82"/>
      <c r="AU174" s="83"/>
    </row>
    <row r="175" ht="15.0" customHeight="1">
      <c r="A175" s="238"/>
      <c r="B175" s="239" t="str">
        <f>IFERROR(__xludf.DUMMYFUNCTION("CONCAT(""Total estimated time + risk margin of "",if(len('Roadmap setting'!$E$11),TO_TEXT('Roadmap setting'!$E$11)))"),"Total estimated time + risk margin of 15%")</f>
        <v>Total estimated time + risk margin of 15%</v>
      </c>
      <c r="C175" s="240">
        <f>SUM(C3:C174)*(1+'Roadmap setting'!$E$11)</f>
        <v>315.33</v>
      </c>
      <c r="D175" s="240">
        <f>SUM(D3:D174)*(1+'Roadmap setting'!$E11)</f>
        <v>1105.15</v>
      </c>
      <c r="E175" s="240">
        <f>SUM(E3:E174)*(1+'Roadmap setting'!$E11)</f>
        <v>923.45</v>
      </c>
      <c r="F175" s="240">
        <f>SUM(F3:F174)*(1+'Roadmap setting'!$E11)</f>
        <v>131.2725</v>
      </c>
      <c r="G175" s="240">
        <f>SUM(G3:G174)*(1+'Roadmap setting'!$E11)</f>
        <v>0</v>
      </c>
      <c r="H175" s="240">
        <f>SUM(H3:H174)*(1+'Roadmap setting'!$E11)</f>
        <v>0</v>
      </c>
      <c r="I175" s="240">
        <f>SUM(I3:I174)*(1+'Roadmap setting'!$E11)</f>
        <v>243.432</v>
      </c>
      <c r="J175" s="240">
        <f>SUM(J3:J174)*(1+'Roadmap setting'!$E11)</f>
        <v>20.286</v>
      </c>
      <c r="K175" s="240">
        <f>SUM(K3:K174)*(1+'Roadmap setting'!$E11)</f>
        <v>0</v>
      </c>
      <c r="L175" s="240">
        <f>SUM(L3:L174)*(1+'Roadmap setting'!$E11)</f>
        <v>40.572</v>
      </c>
      <c r="M175" s="241">
        <f>SUM(M3:M174)*(1+'Roadmap setting'!$E$11)</f>
        <v>3335.391</v>
      </c>
      <c r="N175" s="240">
        <f>M175-(SUMIF(N3:N174,"False",M3:M174))*(1+'Roadmap setting'!$E$11)</f>
        <v>2652.1185</v>
      </c>
      <c r="O175" s="240">
        <f>SUM(O3:O174)*(1+'Roadmap setting'!$E11)</f>
        <v>76.935</v>
      </c>
      <c r="P175" s="240">
        <f>SUM(P3:P174)*(1+'Roadmap setting'!$E11)</f>
        <v>82.34</v>
      </c>
      <c r="Q175" s="240">
        <f>SUM(Q3:Q174)*(1+'Roadmap setting'!$E11)</f>
        <v>55.821</v>
      </c>
      <c r="R175" s="240">
        <f>SUM(R3:R174)*(1+'Roadmap setting'!$E11)</f>
        <v>33.695</v>
      </c>
      <c r="S175" s="240">
        <f>SUM(S3:S174)*(1+'Roadmap setting'!$E11)</f>
        <v>16.8475</v>
      </c>
      <c r="T175" s="240">
        <f>SUM(T3:T174)*(1+'Roadmap setting'!$E11)</f>
        <v>70.748</v>
      </c>
      <c r="U175" s="240">
        <f>SUM(U3:U174)*(1+'Roadmap setting'!$E$11)</f>
        <v>3098.8728</v>
      </c>
      <c r="V175" s="240">
        <f>U175-(SUMIF(V3:V174,"False",U3:U174))*(1+'Roadmap setting'!$E$11)</f>
        <v>1866.4063</v>
      </c>
      <c r="W175" s="240">
        <f>SUM(W3:W174)*(1+'Roadmap setting'!$E11)</f>
        <v>60.2025</v>
      </c>
      <c r="X175" s="240">
        <f>SUM(X3:X174)*(1+'Roadmap setting'!$E11)</f>
        <v>148.1775</v>
      </c>
      <c r="Y175" s="240">
        <f>SUM(Y3:Y174)*(1+'Roadmap setting'!$E11)</f>
        <v>67.022</v>
      </c>
      <c r="Z175" s="240">
        <f>SUM(Z3:Z174)*(1+'Roadmap setting'!$E11)</f>
        <v>44.436</v>
      </c>
      <c r="AA175" s="240">
        <f>SUM(AA3:AA174)*(1+'Roadmap setting'!$E11)</f>
        <v>29.624</v>
      </c>
      <c r="AB175" s="240">
        <f>SUM(AB3:AB174)*(1+'Roadmap setting'!$E11)</f>
        <v>95.013</v>
      </c>
      <c r="AC175" s="240">
        <f>SUM(AC3:AC174)*(1+'Roadmap setting'!$E$11)</f>
        <v>2897.931</v>
      </c>
      <c r="AD175" s="240">
        <f>AC175-(SUMIF(AD3:AD174,"False",AC3:AC174))*(1+'Roadmap setting'!$E$11)</f>
        <v>1922.041</v>
      </c>
      <c r="AE175" s="240">
        <f>SUM(AE3:AE174)*(1+'Roadmap setting'!$E11)</f>
        <v>80.27</v>
      </c>
      <c r="AF175" s="240">
        <f>SUM(AF3:AF174)*(1+'Roadmap setting'!$E11)</f>
        <v>197.57</v>
      </c>
      <c r="AG175" s="240">
        <f>SUM(AG3:AG174)*(1+'Roadmap setting'!$E11)</f>
        <v>83.7775</v>
      </c>
      <c r="AH175" s="240">
        <f>SUM(AH3:AH174)*(1+'Roadmap setting'!$E11)</f>
        <v>59.248</v>
      </c>
      <c r="AI175" s="240">
        <f>SUM(AI3:AI174)*(1+'Roadmap setting'!$E11)</f>
        <v>44.436</v>
      </c>
      <c r="AJ175" s="240">
        <f>SUM(AJ3:AJ174)*(1+'Roadmap setting'!$E11)</f>
        <v>126.684</v>
      </c>
      <c r="AK175" s="240">
        <f>SUM(AK3:AK174)*(1+'Roadmap setting'!$E$11)</f>
        <v>3074.9436</v>
      </c>
      <c r="AL175" s="240">
        <f>AK175-(SUMIF(AL3:AL174,"False",AK3:AK174))*(1+'Roadmap setting'!$E$11)</f>
        <v>2132.0931</v>
      </c>
      <c r="AM175" s="240">
        <f t="array" ref="AM175">INDEX(A175:AL175, MATCH(RIGHT('Roadmap setting'!$B$9, 3), $A$2:$AL$2, 0) - 1)</f>
        <v>3335.391</v>
      </c>
      <c r="AN175" s="242">
        <f>MAX(AN5:AN174)+((MAX(AN5:AN174)-Min(AN5:AN8))*('Roadmap setting'!$E$11))</f>
        <v>45846.31825</v>
      </c>
      <c r="AO175" s="242">
        <f>MAX(AO5:AO174)+((MAX(AO5:AO174)-Min(AO5:AO8))*('Roadmap setting'!$E$11))</f>
        <v>45903.94871</v>
      </c>
      <c r="AP175" s="242">
        <f>MAX(AP5:AP174)+((MAX(AP5:AP174)-Min(AP5:AP8))*('Roadmap setting'!$E$11))</f>
        <v>45919.11823</v>
      </c>
      <c r="AQ175" s="242">
        <f>MAX($AQ$5:$AQ$174)+((MAX($AQ$5:$AQ$174)-Min($AQ$5:$AQ$8))*('Roadmap setting'!$E$11))</f>
        <v>45990.01564</v>
      </c>
      <c r="AR175" s="243">
        <f>IFERROR(MAX($AP$175:$AQ$175),"")</f>
        <v>45990.01564</v>
      </c>
      <c r="AS175" s="241">
        <f>IF(SUM(AS3:AS174)&gt;0,SUM(AS3:AS174),"")</f>
        <v>48.62</v>
      </c>
      <c r="AT175" s="242"/>
      <c r="AU175" s="244"/>
    </row>
    <row r="176" ht="15.0" customHeight="1">
      <c r="A176" s="244"/>
      <c r="B176" s="245" t="s">
        <v>268</v>
      </c>
      <c r="C176" s="240">
        <f>SUMIF($AT3:$AT174,"",C3:C174)*(1+'Roadmap setting'!$E$11)</f>
        <v>315.33</v>
      </c>
      <c r="D176" s="240">
        <f>SUMIF($AT3:$AT174,"",D3:D174)*(1+'Roadmap setting'!$E$11)</f>
        <v>1105.15</v>
      </c>
      <c r="E176" s="240">
        <f>SUMIF($AT3:$AT174,"",E3:E174)*(1+'Roadmap setting'!$E$11)</f>
        <v>923.45</v>
      </c>
      <c r="F176" s="240">
        <f>SUMIF($AT3:$AT174,"",F3:F174)*(1+'Roadmap setting'!$E$11)</f>
        <v>131.2725</v>
      </c>
      <c r="G176" s="240">
        <f>SUMIF($AT3:$AT174,"",G3:G174)*(1+'Roadmap setting'!$E$11)</f>
        <v>0</v>
      </c>
      <c r="H176" s="240">
        <f>SUMIF($AT3:$AT174,"",H3:H174)*(1+'Roadmap setting'!$E$11)</f>
        <v>0</v>
      </c>
      <c r="I176" s="240">
        <f>SUMIF($AT3:$AT174,"",I3:I174)*(1+'Roadmap setting'!$E$11)</f>
        <v>243.432</v>
      </c>
      <c r="J176" s="240">
        <f>SUMIF($AT3:$AT174,"",J3:J174)*(1+'Roadmap setting'!$E$11)</f>
        <v>20.286</v>
      </c>
      <c r="K176" s="240">
        <f>SUMIF($AT3:$AT174,"",K3:K174)*(1+'Roadmap setting'!$E$11)</f>
        <v>0</v>
      </c>
      <c r="L176" s="240">
        <f>SUMIF($AT3:$AT174,"",L3:L174)*(1+'Roadmap setting'!$E$11)</f>
        <v>40.572</v>
      </c>
      <c r="M176" s="240">
        <f>SUMIF($AT3:$AT174,"",M3:M174)*(1+'Roadmap setting'!$E$11)</f>
        <v>3335.391</v>
      </c>
      <c r="N176" s="240">
        <f>N175-SUMIFS(M3:M174,N3:N174,"TRUE", $AT3:$AT174, "&lt;="&amp;TODAY())*(1+'Roadmap setting'!$E$11)</f>
        <v>2652.1185</v>
      </c>
      <c r="O176" s="240">
        <f>SUMIF($AT3:$AT174,"",O3:O174)*(1+'Roadmap setting'!$E$11)</f>
        <v>76.935</v>
      </c>
      <c r="P176" s="240">
        <f>SUMIF($AT3:$AT174,"",P3:P174)*(1+'Roadmap setting'!$E$11)</f>
        <v>82.34</v>
      </c>
      <c r="Q176" s="240">
        <f>SUMIF($AT3:$AT174,"",Q3:Q174)*(1+'Roadmap setting'!$E$11)</f>
        <v>55.821</v>
      </c>
      <c r="R176" s="240">
        <f>SUMIF($AT3:$AT174,"",R3:R174)*(1+'Roadmap setting'!$E$11)</f>
        <v>33.695</v>
      </c>
      <c r="S176" s="240">
        <f>SUMIF($AT3:$AT174,"",S3:S174)*(1+'Roadmap setting'!$E$11)</f>
        <v>16.8475</v>
      </c>
      <c r="T176" s="240">
        <f>SUMIF($AT3:$AT174,"",T3:T174)*(1+'Roadmap setting'!$E$11)</f>
        <v>70.748</v>
      </c>
      <c r="U176" s="240">
        <f>SUMIF($AT3:$AT174,"",U3:U174)*(1+'Roadmap setting'!$E$11)</f>
        <v>3098.8728</v>
      </c>
      <c r="V176" s="240">
        <f>V175-SUMIFS(U3:U174,V3:V174,"TRUE", $AT3:$AT174, "&lt;="&amp;TODAY())*(1+'Roadmap setting'!$E$11)</f>
        <v>1866.4063</v>
      </c>
      <c r="W176" s="240">
        <f>SUMIF($AT3:$AT174,"",W3:W174)*(1+'Roadmap setting'!$E$11)</f>
        <v>60.2025</v>
      </c>
      <c r="X176" s="240">
        <f>SUMIF($AT3:$AT174,"",X3:X174)*(1+'Roadmap setting'!$E$11)</f>
        <v>148.1775</v>
      </c>
      <c r="Y176" s="240">
        <f>SUMIF($AT3:$AT174,"",Y3:Y174)*(1+'Roadmap setting'!$E$11)</f>
        <v>67.022</v>
      </c>
      <c r="Z176" s="240">
        <f>SUMIF($AT3:$AT174,"",Z3:Z174)*(1+'Roadmap setting'!$E$11)</f>
        <v>44.436</v>
      </c>
      <c r="AA176" s="240">
        <f>SUMIF($AT3:$AT174,"",AA3:AA174)*(1+'Roadmap setting'!$E$11)</f>
        <v>29.624</v>
      </c>
      <c r="AB176" s="240">
        <f>SUMIF($AT3:$AT174,"",AB3:AB174)*(1+'Roadmap setting'!$E$11)</f>
        <v>95.013</v>
      </c>
      <c r="AC176" s="240">
        <f>SUMIF($AT3:$AT174,"",AC3:AC174)*(1+'Roadmap setting'!$E$11)</f>
        <v>2897.931</v>
      </c>
      <c r="AD176" s="240">
        <f>AD175-SUMIFS(AC3:AC174,AD3:AD174,"TRUE", $AT3:$AT174, "&lt;="&amp;TODAY())*(1+'Roadmap setting'!$E$11)</f>
        <v>1922.041</v>
      </c>
      <c r="AE176" s="240">
        <f>SUMIF($AT3:$AT174,"",AE3:AE174)*(1+'Roadmap setting'!$E$11)</f>
        <v>80.27</v>
      </c>
      <c r="AF176" s="240">
        <f>SUMIF($AT3:$AT174,"",AF3:AF174)*(1+'Roadmap setting'!$E$11)</f>
        <v>197.57</v>
      </c>
      <c r="AG176" s="240">
        <f>SUMIF($AT3:$AT174,"",AG3:AG174)*(1+'Roadmap setting'!$E$11)</f>
        <v>83.7775</v>
      </c>
      <c r="AH176" s="240">
        <f>SUMIF($AT3:$AT174,"",AH3:AH174)*(1+'Roadmap setting'!$E$11)</f>
        <v>59.248</v>
      </c>
      <c r="AI176" s="240">
        <f>SUMIF($AT3:$AT174,"",AI3:AI174)*(1+'Roadmap setting'!$E$11)</f>
        <v>44.436</v>
      </c>
      <c r="AJ176" s="240">
        <f>SUMIF($AT3:$AT174,"",AJ3:AJ174)*(1+'Roadmap setting'!$E$11)</f>
        <v>126.684</v>
      </c>
      <c r="AK176" s="240">
        <f>SUMIF($AT3:$AT174,"",AK3:AK174)*(1+'Roadmap setting'!$E$11)</f>
        <v>3074.9436</v>
      </c>
      <c r="AL176" s="240">
        <f>AL175-SUMIFS(AK3:AK174,AL3:AL174,"TRUE", $AT3:$AT174, "&lt;="&amp;TODAY())*(1+'Roadmap setting'!$E$11)</f>
        <v>2132.0931</v>
      </c>
      <c r="AM176" s="240">
        <f t="array" ref="AM176">INDEX(A176:AL176, MATCH(RIGHT('Roadmap setting'!$B$9, 3), $A$2:$AL$2, 0) - 1)</f>
        <v>3335.391</v>
      </c>
      <c r="AN176" s="246"/>
      <c r="AO176" s="246"/>
      <c r="AP176" s="246"/>
      <c r="AQ176" s="246"/>
      <c r="AR176" s="247">
        <f>IFERROR(ROUND(MAX(AP175,AQ175)-TODAY(),0),"")</f>
        <v>213</v>
      </c>
      <c r="AS176" s="247"/>
      <c r="AT176" s="247"/>
      <c r="AU176" s="244"/>
    </row>
  </sheetData>
  <mergeCells count="2">
    <mergeCell ref="A1:B1"/>
    <mergeCell ref="C1:AT1"/>
  </mergeCells>
  <conditionalFormatting sqref="A1:AU176">
    <cfRule type="expression" dxfId="9" priority="1">
      <formula>AND(#REF!&lt;&gt;"",#REF!-1&lt;TODAY())</formula>
    </cfRule>
  </conditionalFormatting>
  <conditionalFormatting sqref="G3:AL176 A64 C64:F64 AM64:AU64 A81:A83 C81:F83 AM81:AU83 A94 C94:F94 AM94:AU94 A107:A108 C107:F108 AM107:AU108 A115 C115:F115 AM115:AU115 A121 C121:F121 AM121:AU121 A125 C125:F125 AM125:AU125 A129:A130 C129:F130 AM129:AU130 A138 C138:F138 AM138:AU138 A145 C145:F145 AM145:AU145 A154:A155 C154:F155 AM154:AU155 A166:A167 C166:F167 AM166:AU167 AS175">
    <cfRule type="expression" dxfId="10" priority="2">
      <formula>AND(OR(RIGHT($C$1,3)="MVP",RIGHT($C$1,3)="MMP",RIGHT($C$1,3)="MLP",RIGHT($C$1,3)="MAP"),NOT(RIGHT($C$1,3)=G$2))</formula>
    </cfRule>
  </conditionalFormatting>
  <dataValidations>
    <dataValidation type="list" allowBlank="1" showErrorMessage="1" sqref="A7:A19 A22:A32 A34:A42 A45:A50 A52:A56 A58:A63 A66:A72 A74:A80 A84:A93 A95:A106 A109:A114 A116:A120 A122:A124 A126:A128 A131:A137 A139:A144 A146:A153 A156:A165 A168:A169 A171:A174">
      <formula1>"Feature,Bug,Chore"</formula1>
    </dataValidation>
    <dataValidation type="custom" allowBlank="1" showDropDown="1" sqref="AS3:AT3 AT4 AN6:AQ19 AS6:AT19 AN22:AQ32 AS22:AT32 AN34:AQ42 AS34:AT42 AN45:AQ50 AS45:AT50 AN52:AQ56 AS52:AT56 AN58:AQ63 AS58:AT63 AN66:AQ72 AS66:AT72 AN74:AQ81 AS74:AT81 AN84:AQ93 AS84:AT93 AN95:AQ106 AS95:AT106 AN109:AQ114 AS109:AT114 AN116:AQ120 AS116:AT120 AN122:AQ124 AS122:AT124 AN126:AQ128 AS126:AT128 AN131:AQ137 AS131:AT137 AN139:AQ144 AS139:AT144 AN146:AQ153 AS146:AT153 AN156:AQ165 AS156:AT165 AS168:AT169 AS170:AU170 AN168:AQ174 AS171:AT174">
      <formula1>OR(NOT(ISERROR(DATEVALUE(AN3))), AND(ISNUMBER(AN3), LEFT(CELL("format", AN3))="D"))</formula1>
    </dataValidation>
  </dataValidations>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7.29"/>
    <col customWidth="1" min="2" max="2" width="93.71"/>
    <col customWidth="1" min="3" max="3" width="117.29"/>
  </cols>
  <sheetData>
    <row r="1" ht="37.5" customHeight="1">
      <c r="A1" s="1" t="str">
        <f>CONCAT('Roadmap setting'!B3," - Meetings")</f>
        <v>SuperMarty project - Meetings</v>
      </c>
    </row>
    <row r="2" ht="26.25" customHeight="1">
      <c r="A2" s="70" t="s">
        <v>987</v>
      </c>
      <c r="B2" s="70" t="s">
        <v>988</v>
      </c>
      <c r="C2" s="70" t="s">
        <v>989</v>
      </c>
    </row>
    <row r="3" ht="26.25" customHeight="1">
      <c r="A3" s="248" t="s">
        <v>990</v>
      </c>
      <c r="B3" s="249"/>
      <c r="C3" s="250"/>
    </row>
    <row r="4" ht="26.25" customHeight="1">
      <c r="A4" s="251" t="b">
        <v>1</v>
      </c>
      <c r="B4" s="211" t="s">
        <v>991</v>
      </c>
      <c r="C4" s="211"/>
    </row>
    <row r="5" ht="26.25" customHeight="1">
      <c r="A5" s="251" t="b">
        <v>1</v>
      </c>
      <c r="B5" s="211" t="s">
        <v>992</v>
      </c>
      <c r="C5" s="211"/>
    </row>
    <row r="6" ht="26.25" customHeight="1">
      <c r="A6" s="251" t="b">
        <v>1</v>
      </c>
      <c r="B6" s="211" t="s">
        <v>993</v>
      </c>
      <c r="C6" s="211"/>
    </row>
    <row r="7" ht="26.25" customHeight="1">
      <c r="A7" s="251" t="b">
        <v>1</v>
      </c>
      <c r="B7" s="211" t="s">
        <v>994</v>
      </c>
      <c r="C7" s="252" t="s">
        <v>995</v>
      </c>
    </row>
    <row r="8" ht="26.25" customHeight="1">
      <c r="A8" s="251" t="b">
        <v>1</v>
      </c>
      <c r="B8" s="211" t="s">
        <v>996</v>
      </c>
      <c r="C8" s="211"/>
    </row>
    <row r="9" ht="26.25" customHeight="1">
      <c r="A9" s="251" t="b">
        <v>1</v>
      </c>
      <c r="B9" s="211" t="s">
        <v>997</v>
      </c>
      <c r="C9" s="211"/>
    </row>
    <row r="10" ht="26.25" customHeight="1">
      <c r="A10" s="251" t="b">
        <v>1</v>
      </c>
      <c r="B10" s="211" t="s">
        <v>998</v>
      </c>
      <c r="C10" s="211"/>
    </row>
    <row r="11" ht="26.25" customHeight="1">
      <c r="A11" s="251" t="b">
        <v>1</v>
      </c>
      <c r="B11" s="211" t="s">
        <v>999</v>
      </c>
      <c r="C11" s="211" t="s">
        <v>1000</v>
      </c>
    </row>
    <row r="12" ht="26.25" customHeight="1">
      <c r="A12" s="248" t="s">
        <v>1001</v>
      </c>
      <c r="B12" s="249"/>
      <c r="C12" s="250"/>
    </row>
    <row r="13" ht="26.25" customHeight="1">
      <c r="A13" s="251" t="b">
        <v>1</v>
      </c>
      <c r="B13" s="211" t="s">
        <v>1002</v>
      </c>
      <c r="C13" s="211"/>
    </row>
    <row r="14" ht="26.25" customHeight="1">
      <c r="A14" s="251" t="b">
        <v>1</v>
      </c>
      <c r="B14" s="211" t="s">
        <v>1003</v>
      </c>
      <c r="C14" s="211"/>
    </row>
    <row r="15" ht="26.25" customHeight="1">
      <c r="A15" s="251" t="b">
        <v>1</v>
      </c>
      <c r="B15" s="211" t="s">
        <v>1004</v>
      </c>
      <c r="C15" s="211"/>
    </row>
    <row r="16" ht="26.25" customHeight="1">
      <c r="A16" s="251" t="b">
        <v>1</v>
      </c>
      <c r="B16" s="211" t="s">
        <v>1005</v>
      </c>
      <c r="C16" s="211"/>
    </row>
    <row r="17" ht="26.25" customHeight="1">
      <c r="A17" s="251" t="b">
        <v>1</v>
      </c>
      <c r="B17" s="211" t="s">
        <v>999</v>
      </c>
      <c r="C17" s="211"/>
    </row>
    <row r="18" ht="26.25" customHeight="1">
      <c r="A18" s="248" t="s">
        <v>1006</v>
      </c>
      <c r="B18" s="249"/>
      <c r="C18" s="250"/>
    </row>
    <row r="19" ht="26.25" customHeight="1">
      <c r="A19" s="251" t="b">
        <v>1</v>
      </c>
      <c r="B19" s="211" t="s">
        <v>1007</v>
      </c>
      <c r="C19" s="211"/>
    </row>
    <row r="20" ht="26.25" customHeight="1">
      <c r="A20" s="251" t="b">
        <v>1</v>
      </c>
      <c r="B20" s="211" t="s">
        <v>1008</v>
      </c>
      <c r="C20" s="211" t="s">
        <v>1009</v>
      </c>
    </row>
    <row r="21" ht="26.25" customHeight="1">
      <c r="A21" s="251" t="b">
        <v>1</v>
      </c>
      <c r="B21" s="211" t="s">
        <v>1010</v>
      </c>
      <c r="C21" s="211" t="s">
        <v>1011</v>
      </c>
    </row>
    <row r="22" ht="26.25" customHeight="1">
      <c r="A22" s="251" t="b">
        <v>1</v>
      </c>
      <c r="B22" s="211" t="s">
        <v>1012</v>
      </c>
      <c r="C22" s="211" t="s">
        <v>1013</v>
      </c>
    </row>
    <row r="23" ht="26.25" customHeight="1">
      <c r="A23" s="251" t="b">
        <v>1</v>
      </c>
      <c r="B23" s="211" t="s">
        <v>1014</v>
      </c>
      <c r="C23" s="211" t="s">
        <v>1015</v>
      </c>
    </row>
    <row r="24" ht="26.25" customHeight="1">
      <c r="A24" s="251" t="b">
        <v>1</v>
      </c>
      <c r="B24" s="211" t="s">
        <v>999</v>
      </c>
      <c r="C24" s="211" t="s">
        <v>1016</v>
      </c>
    </row>
    <row r="25" ht="26.25" customHeight="1">
      <c r="A25" s="248" t="s">
        <v>1017</v>
      </c>
      <c r="B25" s="249"/>
      <c r="C25" s="250"/>
    </row>
    <row r="26" ht="26.25" customHeight="1">
      <c r="A26" s="251" t="b">
        <v>1</v>
      </c>
      <c r="B26" s="211" t="s">
        <v>1018</v>
      </c>
      <c r="C26" s="211" t="s">
        <v>1019</v>
      </c>
    </row>
    <row r="27" ht="26.25" customHeight="1">
      <c r="A27" s="251" t="b">
        <v>1</v>
      </c>
      <c r="B27" s="211" t="s">
        <v>1020</v>
      </c>
      <c r="C27" s="211" t="s">
        <v>1021</v>
      </c>
    </row>
    <row r="28" ht="26.25" customHeight="1">
      <c r="A28" s="251" t="b">
        <v>1</v>
      </c>
      <c r="B28" s="211" t="s">
        <v>1022</v>
      </c>
      <c r="C28" s="211" t="s">
        <v>1023</v>
      </c>
    </row>
    <row r="29" ht="26.25" customHeight="1">
      <c r="A29" s="248" t="s">
        <v>1024</v>
      </c>
      <c r="B29" s="249"/>
      <c r="C29" s="250"/>
    </row>
    <row r="30" ht="26.25" customHeight="1">
      <c r="A30" s="251" t="b">
        <v>1</v>
      </c>
      <c r="B30" s="211" t="s">
        <v>1025</v>
      </c>
      <c r="C30" s="211" t="s">
        <v>1026</v>
      </c>
    </row>
    <row r="31" ht="26.25" customHeight="1">
      <c r="A31" s="251" t="b">
        <v>1</v>
      </c>
      <c r="B31" s="211" t="s">
        <v>1027</v>
      </c>
      <c r="C31" s="211" t="s">
        <v>1028</v>
      </c>
    </row>
    <row r="32" ht="26.25" customHeight="1">
      <c r="A32" s="251" t="b">
        <v>1</v>
      </c>
      <c r="B32" s="211" t="s">
        <v>1029</v>
      </c>
      <c r="C32" s="211" t="s">
        <v>1030</v>
      </c>
    </row>
    <row r="33" ht="26.25" customHeight="1">
      <c r="A33" s="251" t="b">
        <v>1</v>
      </c>
      <c r="B33" s="211" t="s">
        <v>1031</v>
      </c>
      <c r="C33" s="211" t="s">
        <v>1032</v>
      </c>
    </row>
    <row r="34" ht="26.25" customHeight="1">
      <c r="A34" s="251" t="b">
        <v>1</v>
      </c>
      <c r="B34" s="211" t="s">
        <v>1033</v>
      </c>
      <c r="C34" s="211" t="s">
        <v>1034</v>
      </c>
    </row>
    <row r="35" ht="26.25" customHeight="1">
      <c r="A35" s="251" t="b">
        <v>1</v>
      </c>
      <c r="B35" s="211" t="s">
        <v>1035</v>
      </c>
      <c r="C35" s="211" t="s">
        <v>1036</v>
      </c>
    </row>
    <row r="36" ht="26.25" customHeight="1">
      <c r="A36" s="251" t="b">
        <v>1</v>
      </c>
      <c r="B36" s="211" t="s">
        <v>1037</v>
      </c>
      <c r="C36" s="211" t="s">
        <v>1038</v>
      </c>
    </row>
    <row r="37" ht="26.25" customHeight="1">
      <c r="A37" s="251" t="b">
        <v>1</v>
      </c>
      <c r="B37" s="211" t="s">
        <v>1039</v>
      </c>
      <c r="C37" s="211" t="s">
        <v>1040</v>
      </c>
    </row>
    <row r="38" ht="26.25" customHeight="1">
      <c r="A38" s="251" t="b">
        <v>1</v>
      </c>
      <c r="B38" s="211" t="s">
        <v>1041</v>
      </c>
      <c r="C38" s="211" t="s">
        <v>1042</v>
      </c>
    </row>
    <row r="39" ht="26.25" customHeight="1">
      <c r="A39" s="251" t="b">
        <v>1</v>
      </c>
      <c r="B39" s="211" t="s">
        <v>1043</v>
      </c>
      <c r="C39" s="211" t="s">
        <v>1044</v>
      </c>
    </row>
    <row r="40" ht="26.25" customHeight="1">
      <c r="A40" s="251" t="b">
        <v>1</v>
      </c>
      <c r="B40" s="211" t="s">
        <v>1045</v>
      </c>
      <c r="C40" s="211" t="s">
        <v>1046</v>
      </c>
    </row>
    <row r="41" ht="26.25" customHeight="1">
      <c r="A41" s="251" t="b">
        <v>1</v>
      </c>
      <c r="B41" s="211" t="s">
        <v>1047</v>
      </c>
      <c r="C41" s="211" t="s">
        <v>1048</v>
      </c>
    </row>
    <row r="42" ht="26.25" customHeight="1">
      <c r="A42" s="248" t="s">
        <v>1049</v>
      </c>
      <c r="B42" s="249"/>
      <c r="C42" s="250"/>
    </row>
    <row r="43" ht="26.25" customHeight="1">
      <c r="A43" s="251" t="b">
        <v>1</v>
      </c>
      <c r="B43" s="211" t="s">
        <v>1050</v>
      </c>
      <c r="C43" s="211" t="s">
        <v>1051</v>
      </c>
    </row>
    <row r="44" ht="26.25" customHeight="1">
      <c r="A44" s="251" t="b">
        <v>1</v>
      </c>
      <c r="B44" s="211" t="s">
        <v>1052</v>
      </c>
      <c r="C44" s="211" t="s">
        <v>1053</v>
      </c>
    </row>
    <row r="45" ht="26.25" customHeight="1">
      <c r="A45" s="251" t="b">
        <v>1</v>
      </c>
      <c r="B45" s="211" t="s">
        <v>1054</v>
      </c>
      <c r="C45" s="211" t="s">
        <v>1055</v>
      </c>
    </row>
    <row r="46" ht="26.25" customHeight="1">
      <c r="A46" s="251" t="b">
        <v>1</v>
      </c>
      <c r="B46" s="211" t="s">
        <v>1056</v>
      </c>
      <c r="C46" s="211" t="s">
        <v>1057</v>
      </c>
    </row>
    <row r="47" ht="26.25" customHeight="1">
      <c r="A47" s="251" t="b">
        <v>1</v>
      </c>
      <c r="B47" s="211" t="s">
        <v>1058</v>
      </c>
      <c r="C47" s="211" t="s">
        <v>1059</v>
      </c>
    </row>
    <row r="48" ht="26.25" customHeight="1">
      <c r="A48" s="251" t="b">
        <v>1</v>
      </c>
      <c r="B48" s="211" t="s">
        <v>1060</v>
      </c>
      <c r="C48" s="211" t="s">
        <v>1061</v>
      </c>
    </row>
    <row r="49" ht="26.25" customHeight="1">
      <c r="A49" s="251" t="b">
        <v>1</v>
      </c>
      <c r="B49" s="211" t="s">
        <v>1062</v>
      </c>
      <c r="C49" s="211" t="s">
        <v>1063</v>
      </c>
    </row>
    <row r="50" ht="26.25" customHeight="1">
      <c r="A50" s="251" t="b">
        <v>1</v>
      </c>
      <c r="B50" s="211" t="s">
        <v>1064</v>
      </c>
      <c r="C50" s="211" t="s">
        <v>1065</v>
      </c>
    </row>
    <row r="51" ht="26.25" customHeight="1">
      <c r="A51" s="251" t="b">
        <v>1</v>
      </c>
      <c r="B51" s="211" t="s">
        <v>1066</v>
      </c>
      <c r="C51" s="211" t="s">
        <v>1067</v>
      </c>
    </row>
    <row r="52" ht="26.25" customHeight="1">
      <c r="A52" s="251" t="b">
        <v>1</v>
      </c>
      <c r="B52" s="211" t="s">
        <v>1068</v>
      </c>
      <c r="C52" s="211" t="s">
        <v>1069</v>
      </c>
    </row>
    <row r="53" ht="43.5" customHeight="1">
      <c r="A53" s="251" t="b">
        <v>1</v>
      </c>
      <c r="B53" s="211" t="s">
        <v>1070</v>
      </c>
      <c r="C53" s="211" t="s">
        <v>1071</v>
      </c>
    </row>
    <row r="54" ht="26.25" customHeight="1">
      <c r="A54" s="248" t="s">
        <v>1072</v>
      </c>
      <c r="B54" s="249"/>
      <c r="C54" s="250"/>
    </row>
    <row r="55" ht="26.25" customHeight="1">
      <c r="A55" s="251" t="b">
        <v>1</v>
      </c>
      <c r="B55" s="211" t="s">
        <v>1073</v>
      </c>
      <c r="C55" s="211"/>
    </row>
    <row r="56" ht="26.25" customHeight="1">
      <c r="A56" s="251" t="b">
        <v>1</v>
      </c>
      <c r="B56" s="211" t="s">
        <v>1074</v>
      </c>
      <c r="C56" s="211"/>
    </row>
    <row r="57" ht="26.25" customHeight="1">
      <c r="A57" s="251" t="b">
        <v>1</v>
      </c>
      <c r="B57" s="211" t="s">
        <v>1075</v>
      </c>
      <c r="C57" s="211"/>
    </row>
    <row r="58" ht="26.25" customHeight="1">
      <c r="A58" s="251" t="b">
        <v>1</v>
      </c>
      <c r="B58" s="211" t="s">
        <v>1076</v>
      </c>
      <c r="C58" s="211" t="s">
        <v>1077</v>
      </c>
    </row>
    <row r="59" ht="26.25" customHeight="1">
      <c r="A59" s="251" t="b">
        <v>1</v>
      </c>
      <c r="B59" s="211" t="s">
        <v>1078</v>
      </c>
      <c r="C59" s="211" t="s">
        <v>1079</v>
      </c>
    </row>
    <row r="60" ht="26.25" customHeight="1">
      <c r="A60" s="251" t="b">
        <v>1</v>
      </c>
      <c r="B60" s="211" t="s">
        <v>999</v>
      </c>
      <c r="C60" s="211" t="s">
        <v>1080</v>
      </c>
    </row>
    <row r="61" ht="26.25" customHeight="1">
      <c r="A61" s="248" t="s">
        <v>1081</v>
      </c>
      <c r="B61" s="249"/>
      <c r="C61" s="250"/>
    </row>
    <row r="62" ht="26.25" customHeight="1">
      <c r="A62" s="251" t="b">
        <v>1</v>
      </c>
      <c r="B62" s="211" t="s">
        <v>1073</v>
      </c>
      <c r="C62" s="211"/>
    </row>
    <row r="63" ht="26.25" customHeight="1">
      <c r="A63" s="251" t="b">
        <v>1</v>
      </c>
      <c r="B63" s="211" t="s">
        <v>1074</v>
      </c>
      <c r="C63" s="211" t="s">
        <v>1082</v>
      </c>
    </row>
    <row r="64" ht="26.25" customHeight="1">
      <c r="A64" s="251" t="b">
        <v>1</v>
      </c>
      <c r="B64" s="253" t="s">
        <v>1083</v>
      </c>
      <c r="C64" s="211" t="s">
        <v>1084</v>
      </c>
    </row>
    <row r="65" ht="26.25" customHeight="1">
      <c r="A65" s="251" t="b">
        <v>1</v>
      </c>
      <c r="B65" s="211" t="s">
        <v>1085</v>
      </c>
      <c r="C65" s="211" t="s">
        <v>1086</v>
      </c>
    </row>
    <row r="66" ht="26.25" customHeight="1">
      <c r="A66" s="251" t="b">
        <v>1</v>
      </c>
      <c r="B66" s="211" t="s">
        <v>1087</v>
      </c>
      <c r="C66" s="211" t="s">
        <v>1088</v>
      </c>
    </row>
    <row r="67" ht="26.25" customHeight="1">
      <c r="A67" s="251" t="b">
        <v>1</v>
      </c>
      <c r="B67" s="211" t="s">
        <v>1089</v>
      </c>
      <c r="C67" s="211" t="s">
        <v>1090</v>
      </c>
    </row>
    <row r="68" ht="26.25" customHeight="1">
      <c r="A68" s="251" t="b">
        <v>1</v>
      </c>
      <c r="B68" s="211" t="s">
        <v>1091</v>
      </c>
      <c r="C68" s="211" t="s">
        <v>1092</v>
      </c>
    </row>
    <row r="69" ht="26.25" customHeight="1">
      <c r="A69" s="251" t="b">
        <v>1</v>
      </c>
      <c r="B69" s="211" t="s">
        <v>999</v>
      </c>
      <c r="C69" s="211"/>
    </row>
    <row r="70" ht="26.25" customHeight="1">
      <c r="A70" s="248" t="s">
        <v>1093</v>
      </c>
      <c r="B70" s="249"/>
      <c r="C70" s="250"/>
    </row>
    <row r="71" ht="26.25" customHeight="1">
      <c r="A71" s="251" t="b">
        <v>1</v>
      </c>
      <c r="B71" s="211" t="s">
        <v>1094</v>
      </c>
      <c r="C71" s="211"/>
    </row>
    <row r="72" ht="26.25" customHeight="1">
      <c r="A72" s="251" t="b">
        <v>1</v>
      </c>
      <c r="B72" s="211" t="s">
        <v>1095</v>
      </c>
      <c r="C72" s="211" t="s">
        <v>1096</v>
      </c>
    </row>
    <row r="73" ht="26.25" customHeight="1">
      <c r="A73" s="251" t="b">
        <v>1</v>
      </c>
      <c r="B73" s="211" t="s">
        <v>999</v>
      </c>
      <c r="C73" s="211"/>
    </row>
    <row r="74" ht="26.25" customHeight="1">
      <c r="A74" s="248" t="s">
        <v>1097</v>
      </c>
      <c r="B74" s="249"/>
      <c r="C74" s="250"/>
    </row>
    <row r="75" ht="26.25" customHeight="1">
      <c r="A75" s="251" t="b">
        <v>1</v>
      </c>
      <c r="B75" s="211" t="s">
        <v>1073</v>
      </c>
      <c r="C75" s="211"/>
    </row>
    <row r="76" ht="26.25" customHeight="1">
      <c r="A76" s="251" t="b">
        <v>1</v>
      </c>
      <c r="B76" s="211" t="s">
        <v>1074</v>
      </c>
      <c r="C76" s="211"/>
    </row>
    <row r="77" ht="26.25" customHeight="1">
      <c r="A77" s="251" t="b">
        <v>1</v>
      </c>
      <c r="B77" s="211" t="s">
        <v>1098</v>
      </c>
      <c r="C77" s="211"/>
    </row>
    <row r="78" ht="26.25" customHeight="1">
      <c r="A78" s="251" t="b">
        <v>1</v>
      </c>
      <c r="B78" s="211" t="s">
        <v>1099</v>
      </c>
      <c r="C78" s="211"/>
    </row>
    <row r="79" ht="26.25" customHeight="1">
      <c r="A79" s="251" t="b">
        <v>1</v>
      </c>
      <c r="B79" s="211" t="s">
        <v>1100</v>
      </c>
      <c r="C79" s="211"/>
    </row>
    <row r="80" ht="26.25" customHeight="1">
      <c r="A80" s="251" t="b">
        <v>1</v>
      </c>
      <c r="B80" s="211" t="s">
        <v>999</v>
      </c>
      <c r="C80" s="211"/>
    </row>
    <row r="81" ht="26.25" customHeight="1">
      <c r="A81" s="248" t="s">
        <v>1101</v>
      </c>
      <c r="B81" s="249"/>
      <c r="C81" s="250"/>
    </row>
    <row r="82" ht="26.25" customHeight="1">
      <c r="A82" s="251" t="b">
        <v>1</v>
      </c>
      <c r="B82" s="211" t="s">
        <v>1073</v>
      </c>
      <c r="C82" s="211" t="s">
        <v>1102</v>
      </c>
    </row>
    <row r="83" ht="26.25" customHeight="1">
      <c r="A83" s="251" t="b">
        <v>1</v>
      </c>
      <c r="B83" s="211" t="s">
        <v>1074</v>
      </c>
      <c r="C83" s="211" t="s">
        <v>1103</v>
      </c>
    </row>
    <row r="84" ht="26.25" customHeight="1">
      <c r="A84" s="251" t="b">
        <v>1</v>
      </c>
      <c r="B84" s="211" t="s">
        <v>1104</v>
      </c>
      <c r="C84" s="211" t="s">
        <v>1105</v>
      </c>
    </row>
    <row r="85" ht="26.25" customHeight="1">
      <c r="A85" s="251" t="b">
        <v>1</v>
      </c>
      <c r="B85" s="211" t="s">
        <v>1106</v>
      </c>
      <c r="C85" s="211" t="s">
        <v>1107</v>
      </c>
    </row>
    <row r="86" ht="26.25" customHeight="1">
      <c r="A86" s="251" t="b">
        <v>1</v>
      </c>
      <c r="B86" s="211" t="s">
        <v>1108</v>
      </c>
      <c r="C86" s="211" t="s">
        <v>1109</v>
      </c>
    </row>
    <row r="87" ht="26.25" customHeight="1">
      <c r="A87" s="251" t="b">
        <v>1</v>
      </c>
      <c r="B87" s="211" t="s">
        <v>999</v>
      </c>
      <c r="C87" s="211"/>
    </row>
    <row r="88" ht="26.25" customHeight="1">
      <c r="A88" s="248" t="s">
        <v>1110</v>
      </c>
      <c r="B88" s="249"/>
      <c r="C88" s="250"/>
    </row>
    <row r="89" ht="26.25" customHeight="1">
      <c r="A89" s="251" t="b">
        <v>1</v>
      </c>
      <c r="B89" s="211" t="s">
        <v>1111</v>
      </c>
      <c r="C89" s="211"/>
    </row>
    <row r="90" ht="26.25" customHeight="1">
      <c r="A90" s="251" t="b">
        <v>1</v>
      </c>
      <c r="B90" s="211" t="s">
        <v>1073</v>
      </c>
      <c r="C90" s="211"/>
    </row>
    <row r="91" ht="26.25" customHeight="1">
      <c r="A91" s="251" t="b">
        <v>1</v>
      </c>
      <c r="B91" s="211" t="s">
        <v>1074</v>
      </c>
      <c r="C91" s="211"/>
    </row>
    <row r="92" ht="26.25" customHeight="1">
      <c r="A92" s="251" t="b">
        <v>1</v>
      </c>
      <c r="B92" s="211" t="s">
        <v>1112</v>
      </c>
      <c r="C92" s="211"/>
    </row>
    <row r="93" ht="26.25" customHeight="1">
      <c r="A93" s="251" t="b">
        <v>1</v>
      </c>
      <c r="B93" s="211" t="s">
        <v>1113</v>
      </c>
      <c r="C93" s="211"/>
    </row>
    <row r="94" ht="26.25" customHeight="1">
      <c r="A94" s="251" t="b">
        <v>1</v>
      </c>
      <c r="B94" s="211" t="s">
        <v>1114</v>
      </c>
      <c r="C94" s="211" t="s">
        <v>1115</v>
      </c>
    </row>
    <row r="95" ht="26.25" customHeight="1">
      <c r="A95" s="251" t="b">
        <v>1</v>
      </c>
      <c r="B95" s="211" t="s">
        <v>999</v>
      </c>
      <c r="C95" s="211"/>
    </row>
    <row r="96" ht="26.25" customHeight="1">
      <c r="A96" s="248" t="s">
        <v>1116</v>
      </c>
      <c r="B96" s="249"/>
      <c r="C96" s="250"/>
    </row>
    <row r="97" ht="26.25" customHeight="1">
      <c r="A97" s="251" t="b">
        <v>1</v>
      </c>
      <c r="B97" s="211" t="s">
        <v>1073</v>
      </c>
      <c r="C97" s="211"/>
    </row>
    <row r="98" ht="26.25" customHeight="1">
      <c r="A98" s="251" t="b">
        <v>1</v>
      </c>
      <c r="B98" s="211" t="s">
        <v>1074</v>
      </c>
      <c r="C98" s="211"/>
    </row>
    <row r="99" ht="26.25" customHeight="1">
      <c r="A99" s="251" t="b">
        <v>1</v>
      </c>
      <c r="B99" s="211" t="s">
        <v>1117</v>
      </c>
      <c r="C99" s="211"/>
    </row>
    <row r="100" ht="26.25" customHeight="1">
      <c r="A100" s="251" t="b">
        <v>1</v>
      </c>
      <c r="B100" s="211" t="s">
        <v>999</v>
      </c>
      <c r="C100" s="211"/>
    </row>
    <row r="101" ht="26.25" customHeight="1">
      <c r="A101" s="248" t="s">
        <v>1118</v>
      </c>
      <c r="B101" s="249"/>
      <c r="C101" s="250"/>
    </row>
    <row r="102" ht="26.25" customHeight="1">
      <c r="A102" s="251" t="b">
        <v>1</v>
      </c>
      <c r="B102" s="211" t="s">
        <v>1073</v>
      </c>
      <c r="C102" s="211"/>
    </row>
    <row r="103" ht="26.25" customHeight="1">
      <c r="A103" s="251" t="b">
        <v>1</v>
      </c>
      <c r="B103" s="211" t="s">
        <v>1074</v>
      </c>
      <c r="C103" s="211"/>
    </row>
    <row r="104" ht="26.25" customHeight="1">
      <c r="A104" s="251" t="b">
        <v>1</v>
      </c>
      <c r="B104" s="211" t="s">
        <v>1119</v>
      </c>
      <c r="C104" s="211"/>
    </row>
    <row r="105" ht="26.25" customHeight="1">
      <c r="A105" s="251" t="b">
        <v>1</v>
      </c>
      <c r="B105" s="211" t="s">
        <v>1120</v>
      </c>
      <c r="C105" s="211"/>
    </row>
    <row r="106" ht="26.25" customHeight="1">
      <c r="A106" s="251" t="b">
        <v>1</v>
      </c>
      <c r="B106" s="211" t="s">
        <v>999</v>
      </c>
      <c r="C106" s="211"/>
    </row>
    <row r="107" ht="26.25" customHeight="1">
      <c r="A107" s="248" t="s">
        <v>1121</v>
      </c>
      <c r="B107" s="249"/>
      <c r="C107" s="250"/>
    </row>
    <row r="108" ht="26.25" customHeight="1">
      <c r="A108" s="251" t="b">
        <v>1</v>
      </c>
      <c r="B108" s="254" t="s">
        <v>1073</v>
      </c>
      <c r="C108" s="211"/>
    </row>
    <row r="109" ht="26.25" customHeight="1">
      <c r="A109" s="251" t="b">
        <v>1</v>
      </c>
      <c r="B109" s="254" t="s">
        <v>1074</v>
      </c>
      <c r="C109" s="211"/>
    </row>
    <row r="110" ht="26.25" customHeight="1">
      <c r="A110" s="251" t="b">
        <v>1</v>
      </c>
      <c r="B110" s="211" t="s">
        <v>1122</v>
      </c>
      <c r="C110" s="211"/>
    </row>
    <row r="111" ht="26.25" customHeight="1">
      <c r="A111" s="251" t="b">
        <v>1</v>
      </c>
      <c r="B111" s="211" t="s">
        <v>1123</v>
      </c>
      <c r="C111" s="211"/>
    </row>
    <row r="112" ht="26.25" customHeight="1">
      <c r="A112" s="251" t="b">
        <v>1</v>
      </c>
      <c r="B112" s="211" t="s">
        <v>1124</v>
      </c>
      <c r="C112" s="211"/>
    </row>
    <row r="113" ht="26.25" customHeight="1">
      <c r="A113" s="251" t="b">
        <v>1</v>
      </c>
      <c r="B113" s="254" t="s">
        <v>999</v>
      </c>
      <c r="C113" s="211"/>
    </row>
    <row r="114" ht="26.25" customHeight="1">
      <c r="A114" s="255" t="s">
        <v>1125</v>
      </c>
      <c r="B114" s="249"/>
      <c r="C114" s="250"/>
    </row>
    <row r="115" ht="26.25" customHeight="1">
      <c r="A115" s="251" t="b">
        <v>1</v>
      </c>
      <c r="B115" s="211" t="s">
        <v>1126</v>
      </c>
      <c r="C115" s="211"/>
    </row>
    <row r="116" ht="26.25" customHeight="1">
      <c r="A116" s="251" t="b">
        <v>1</v>
      </c>
      <c r="B116" s="211" t="s">
        <v>1127</v>
      </c>
      <c r="C116" s="211"/>
    </row>
    <row r="117" ht="26.25" customHeight="1">
      <c r="A117" s="248" t="s">
        <v>1128</v>
      </c>
      <c r="B117" s="249"/>
      <c r="C117" s="250"/>
    </row>
    <row r="118" ht="26.25" customHeight="1">
      <c r="A118" s="251" t="b">
        <v>1</v>
      </c>
      <c r="B118" s="254" t="s">
        <v>1073</v>
      </c>
      <c r="C118" s="211"/>
    </row>
    <row r="119" ht="26.25" customHeight="1">
      <c r="A119" s="251" t="b">
        <v>1</v>
      </c>
      <c r="B119" s="254" t="s">
        <v>1074</v>
      </c>
      <c r="C119" s="211"/>
    </row>
    <row r="120" ht="26.25" customHeight="1">
      <c r="A120" s="251" t="b">
        <v>1</v>
      </c>
      <c r="B120" s="211" t="s">
        <v>1129</v>
      </c>
      <c r="C120" s="211"/>
    </row>
    <row r="121" ht="26.25" customHeight="1">
      <c r="A121" s="251" t="b">
        <v>1</v>
      </c>
      <c r="B121" s="211" t="s">
        <v>1130</v>
      </c>
      <c r="C121" s="211"/>
    </row>
    <row r="122" ht="26.25" customHeight="1">
      <c r="A122" s="251" t="b">
        <v>1</v>
      </c>
      <c r="B122" s="211" t="s">
        <v>999</v>
      </c>
      <c r="C122" s="211"/>
    </row>
    <row r="123" ht="26.25" customHeight="1">
      <c r="A123" s="248" t="s">
        <v>1131</v>
      </c>
      <c r="B123" s="249"/>
      <c r="C123" s="250"/>
    </row>
    <row r="124" ht="26.25" customHeight="1">
      <c r="A124" s="251" t="b">
        <v>1</v>
      </c>
      <c r="B124" s="211" t="s">
        <v>1132</v>
      </c>
      <c r="C124" s="211"/>
    </row>
    <row r="125" ht="26.25" customHeight="1">
      <c r="A125" s="251" t="b">
        <v>1</v>
      </c>
      <c r="B125" s="211" t="s">
        <v>1133</v>
      </c>
      <c r="C125" s="211"/>
    </row>
    <row r="126" ht="26.25" customHeight="1">
      <c r="A126" s="251" t="b">
        <v>1</v>
      </c>
      <c r="B126" s="211" t="s">
        <v>1134</v>
      </c>
      <c r="C126" s="211"/>
    </row>
    <row r="127" ht="26.25" customHeight="1">
      <c r="A127" s="251" t="b">
        <v>1</v>
      </c>
      <c r="B127" s="211" t="s">
        <v>1135</v>
      </c>
      <c r="C127" s="211"/>
    </row>
    <row r="128" ht="26.25" customHeight="1">
      <c r="A128" s="251" t="b">
        <v>1</v>
      </c>
      <c r="B128" s="211" t="s">
        <v>1136</v>
      </c>
      <c r="C128" s="211"/>
    </row>
    <row r="129" ht="26.25" customHeight="1">
      <c r="A129" s="251" t="b">
        <v>1</v>
      </c>
      <c r="B129" s="211" t="s">
        <v>999</v>
      </c>
      <c r="C129" s="211"/>
    </row>
    <row r="130" ht="26.25" customHeight="1">
      <c r="A130" s="248" t="s">
        <v>1137</v>
      </c>
      <c r="B130" s="249"/>
      <c r="C130" s="250"/>
    </row>
    <row r="131" ht="26.25" customHeight="1">
      <c r="A131" s="251" t="b">
        <v>1</v>
      </c>
      <c r="B131" s="211" t="s">
        <v>1138</v>
      </c>
      <c r="C131" s="211"/>
    </row>
    <row r="132" ht="26.25" customHeight="1">
      <c r="A132" s="248" t="s">
        <v>1139</v>
      </c>
      <c r="B132" s="249"/>
      <c r="C132" s="250"/>
    </row>
    <row r="133" ht="26.25" customHeight="1">
      <c r="A133" s="251" t="b">
        <v>1</v>
      </c>
      <c r="B133" s="211" t="s">
        <v>1140</v>
      </c>
      <c r="C133" s="211"/>
    </row>
    <row r="134" ht="26.25" customHeight="1">
      <c r="A134" s="251" t="b">
        <v>1</v>
      </c>
      <c r="B134" s="211" t="s">
        <v>1141</v>
      </c>
      <c r="C134" s="211"/>
    </row>
    <row r="135" ht="26.25" customHeight="1">
      <c r="A135" s="248" t="s">
        <v>1142</v>
      </c>
      <c r="B135" s="249"/>
      <c r="C135" s="250"/>
    </row>
    <row r="136" ht="26.25" customHeight="1">
      <c r="A136" s="251" t="b">
        <v>1</v>
      </c>
      <c r="B136" s="254" t="s">
        <v>1073</v>
      </c>
      <c r="C136" s="211"/>
    </row>
    <row r="137" ht="26.25" customHeight="1">
      <c r="A137" s="251" t="b">
        <v>1</v>
      </c>
      <c r="B137" s="254" t="s">
        <v>1074</v>
      </c>
      <c r="C137" s="211"/>
    </row>
    <row r="138" ht="26.25" customHeight="1">
      <c r="A138" s="251" t="b">
        <v>1</v>
      </c>
      <c r="B138" s="211" t="s">
        <v>1143</v>
      </c>
      <c r="C138" s="211" t="s">
        <v>1144</v>
      </c>
    </row>
    <row r="139" ht="26.25" customHeight="1">
      <c r="A139" s="251" t="b">
        <v>1</v>
      </c>
      <c r="B139" s="211" t="s">
        <v>1145</v>
      </c>
      <c r="C139" s="211"/>
    </row>
    <row r="140" ht="26.25" customHeight="1">
      <c r="A140" s="251" t="b">
        <v>1</v>
      </c>
      <c r="B140" s="211" t="s">
        <v>999</v>
      </c>
      <c r="C140" s="211"/>
    </row>
    <row r="141" ht="26.25" customHeight="1">
      <c r="A141" s="256" t="s">
        <v>1146</v>
      </c>
      <c r="B141" s="249"/>
      <c r="C141" s="250"/>
    </row>
    <row r="142" ht="26.25" customHeight="1">
      <c r="A142" s="251" t="b">
        <v>0</v>
      </c>
      <c r="B142" s="254" t="s">
        <v>1073</v>
      </c>
      <c r="C142" s="211"/>
    </row>
    <row r="143" ht="26.25" customHeight="1">
      <c r="A143" s="251" t="b">
        <v>0</v>
      </c>
      <c r="B143" s="254" t="s">
        <v>1074</v>
      </c>
      <c r="C143" s="211"/>
    </row>
    <row r="144" ht="26.25" customHeight="1">
      <c r="A144" s="251" t="b">
        <v>0</v>
      </c>
      <c r="B144" s="211" t="s">
        <v>1145</v>
      </c>
      <c r="C144" s="211"/>
    </row>
    <row r="145" ht="26.25" customHeight="1">
      <c r="A145" s="251" t="b">
        <v>0</v>
      </c>
      <c r="B145" s="211" t="s">
        <v>999</v>
      </c>
      <c r="C145" s="211"/>
    </row>
    <row r="146" ht="26.25" customHeight="1">
      <c r="A146" s="251" t="b">
        <v>0</v>
      </c>
      <c r="B146" s="211"/>
      <c r="C146" s="211"/>
    </row>
    <row r="147" ht="26.25" customHeight="1">
      <c r="A147" s="251" t="b">
        <v>0</v>
      </c>
      <c r="B147" s="211"/>
      <c r="C147" s="211"/>
    </row>
    <row r="148" ht="26.25" customHeight="1">
      <c r="A148" s="251" t="b">
        <v>0</v>
      </c>
      <c r="B148" s="211"/>
      <c r="C148" s="211"/>
    </row>
    <row r="149" ht="26.25" customHeight="1">
      <c r="A149" s="251" t="b">
        <v>0</v>
      </c>
      <c r="B149" s="211"/>
      <c r="C149" s="211"/>
    </row>
    <row r="150" ht="26.25" customHeight="1">
      <c r="A150" s="251" t="b">
        <v>0</v>
      </c>
      <c r="B150" s="211"/>
      <c r="C150" s="211"/>
    </row>
    <row r="151" ht="26.25" customHeight="1">
      <c r="A151" s="251" t="b">
        <v>0</v>
      </c>
      <c r="B151" s="211"/>
      <c r="C151" s="211"/>
    </row>
    <row r="152" ht="26.25" customHeight="1">
      <c r="A152" s="251" t="b">
        <v>0</v>
      </c>
      <c r="B152" s="211"/>
      <c r="C152" s="211"/>
    </row>
    <row r="153" ht="26.25" customHeight="1">
      <c r="A153" s="251" t="b">
        <v>0</v>
      </c>
      <c r="B153" s="211"/>
      <c r="C153" s="211"/>
    </row>
    <row r="154" ht="26.25" customHeight="1">
      <c r="A154" s="251" t="b">
        <v>0</v>
      </c>
      <c r="B154" s="211"/>
      <c r="C154" s="211"/>
    </row>
    <row r="155" ht="26.25" customHeight="1">
      <c r="A155" s="251" t="b">
        <v>0</v>
      </c>
      <c r="B155" s="211"/>
      <c r="C155" s="211"/>
    </row>
    <row r="156" ht="26.25" customHeight="1">
      <c r="A156" s="251" t="b">
        <v>0</v>
      </c>
      <c r="B156" s="211"/>
      <c r="C156" s="211"/>
    </row>
    <row r="157" ht="26.25" customHeight="1">
      <c r="A157" s="251" t="b">
        <v>0</v>
      </c>
      <c r="B157" s="211"/>
      <c r="C157" s="211"/>
    </row>
    <row r="158" ht="26.25" customHeight="1">
      <c r="A158" s="251" t="b">
        <v>0</v>
      </c>
      <c r="B158" s="211"/>
      <c r="C158" s="211"/>
    </row>
    <row r="159" ht="26.25" customHeight="1">
      <c r="A159" s="251" t="b">
        <v>0</v>
      </c>
      <c r="B159" s="211"/>
      <c r="C159" s="211"/>
    </row>
    <row r="160" ht="26.25" customHeight="1">
      <c r="A160" s="251" t="b">
        <v>0</v>
      </c>
      <c r="B160" s="211"/>
      <c r="C160" s="211"/>
    </row>
    <row r="161" ht="26.25" customHeight="1">
      <c r="A161" s="251" t="b">
        <v>0</v>
      </c>
      <c r="B161" s="211"/>
      <c r="C161" s="211"/>
    </row>
    <row r="162" ht="26.25" customHeight="1">
      <c r="A162" s="251" t="b">
        <v>0</v>
      </c>
      <c r="B162" s="211"/>
      <c r="C162" s="211"/>
    </row>
    <row r="163" ht="26.25" customHeight="1">
      <c r="A163" s="251" t="b">
        <v>0</v>
      </c>
      <c r="B163" s="211"/>
      <c r="C163" s="211"/>
    </row>
    <row r="164" ht="26.25" customHeight="1">
      <c r="A164" s="251" t="b">
        <v>0</v>
      </c>
      <c r="B164" s="211"/>
      <c r="C164" s="211"/>
    </row>
    <row r="165" ht="26.25" customHeight="1">
      <c r="A165" s="251" t="b">
        <v>0</v>
      </c>
      <c r="B165" s="211"/>
      <c r="C165" s="211"/>
    </row>
    <row r="166" ht="26.25" customHeight="1">
      <c r="A166" s="251" t="b">
        <v>0</v>
      </c>
      <c r="B166" s="211"/>
      <c r="C166" s="211"/>
    </row>
    <row r="167" ht="26.25" customHeight="1">
      <c r="A167" s="251" t="b">
        <v>0</v>
      </c>
      <c r="B167" s="211"/>
      <c r="C167" s="211"/>
    </row>
    <row r="168" ht="26.25" customHeight="1">
      <c r="A168" s="251" t="b">
        <v>0</v>
      </c>
      <c r="B168" s="211"/>
      <c r="C168" s="211"/>
    </row>
    <row r="169" ht="26.25" customHeight="1">
      <c r="A169" s="251" t="b">
        <v>0</v>
      </c>
      <c r="B169" s="211"/>
      <c r="C169" s="211"/>
    </row>
    <row r="170" ht="26.25" customHeight="1">
      <c r="A170" s="251" t="b">
        <v>0</v>
      </c>
      <c r="B170" s="211"/>
      <c r="C170" s="211"/>
    </row>
    <row r="171" ht="26.25" customHeight="1">
      <c r="A171" s="251" t="b">
        <v>0</v>
      </c>
      <c r="B171" s="211"/>
      <c r="C171" s="211"/>
    </row>
    <row r="172" ht="26.25" customHeight="1">
      <c r="A172" s="251" t="b">
        <v>0</v>
      </c>
      <c r="B172" s="211"/>
      <c r="C172" s="211"/>
    </row>
    <row r="173" ht="26.25" customHeight="1">
      <c r="A173" s="251" t="b">
        <v>0</v>
      </c>
      <c r="B173" s="211"/>
      <c r="C173" s="211"/>
    </row>
    <row r="174" ht="26.25" customHeight="1">
      <c r="A174" s="251" t="b">
        <v>0</v>
      </c>
      <c r="B174" s="211"/>
      <c r="C174" s="211"/>
    </row>
    <row r="175" ht="26.25" customHeight="1">
      <c r="A175" s="251" t="b">
        <v>0</v>
      </c>
      <c r="B175" s="211"/>
      <c r="C175" s="211"/>
    </row>
    <row r="176" ht="26.25" customHeight="1">
      <c r="A176" s="251" t="b">
        <v>0</v>
      </c>
      <c r="B176" s="211"/>
      <c r="C176" s="211"/>
    </row>
    <row r="177" ht="26.25" customHeight="1">
      <c r="A177" s="251" t="b">
        <v>0</v>
      </c>
      <c r="B177" s="211"/>
      <c r="C177" s="211"/>
    </row>
    <row r="178" ht="26.25" customHeight="1">
      <c r="A178" s="251" t="b">
        <v>0</v>
      </c>
      <c r="B178" s="211"/>
      <c r="C178" s="211"/>
    </row>
    <row r="179" ht="26.25" customHeight="1">
      <c r="A179" s="251" t="b">
        <v>0</v>
      </c>
      <c r="B179" s="211"/>
      <c r="C179" s="211"/>
    </row>
    <row r="180" ht="26.25" customHeight="1">
      <c r="A180" s="251" t="b">
        <v>0</v>
      </c>
      <c r="B180" s="211"/>
      <c r="C180" s="211"/>
    </row>
    <row r="181" ht="26.25" customHeight="1">
      <c r="A181" s="251" t="b">
        <v>0</v>
      </c>
      <c r="B181" s="211"/>
      <c r="C181" s="211"/>
    </row>
    <row r="182" ht="26.25" customHeight="1">
      <c r="A182" s="251" t="b">
        <v>0</v>
      </c>
      <c r="B182" s="211"/>
      <c r="C182" s="211"/>
    </row>
    <row r="183" ht="26.25" customHeight="1">
      <c r="A183" s="251" t="b">
        <v>0</v>
      </c>
      <c r="B183" s="211"/>
      <c r="C183" s="211"/>
    </row>
    <row r="184" ht="26.25" customHeight="1">
      <c r="A184" s="251" t="b">
        <v>0</v>
      </c>
      <c r="B184" s="211"/>
      <c r="C184" s="211"/>
    </row>
    <row r="185" ht="26.25" customHeight="1">
      <c r="A185" s="251" t="b">
        <v>0</v>
      </c>
      <c r="B185" s="211"/>
      <c r="C185" s="211"/>
    </row>
    <row r="186" ht="26.25" customHeight="1">
      <c r="A186" s="251" t="b">
        <v>0</v>
      </c>
      <c r="B186" s="211"/>
      <c r="C186" s="211"/>
    </row>
    <row r="187" ht="26.25" customHeight="1">
      <c r="A187" s="251" t="b">
        <v>0</v>
      </c>
      <c r="B187" s="211"/>
      <c r="C187" s="211"/>
    </row>
    <row r="188" ht="26.25" customHeight="1">
      <c r="A188" s="251" t="b">
        <v>0</v>
      </c>
      <c r="B188" s="211"/>
      <c r="C188" s="211"/>
    </row>
    <row r="189" ht="26.25" customHeight="1">
      <c r="A189" s="251" t="b">
        <v>0</v>
      </c>
      <c r="B189" s="211"/>
      <c r="C189" s="211"/>
    </row>
    <row r="190" ht="26.25" customHeight="1">
      <c r="A190" s="251" t="b">
        <v>0</v>
      </c>
      <c r="B190" s="211"/>
      <c r="C190" s="211"/>
    </row>
    <row r="191" ht="26.25" customHeight="1">
      <c r="A191" s="251" t="b">
        <v>0</v>
      </c>
      <c r="B191" s="211"/>
      <c r="C191" s="211"/>
    </row>
    <row r="192" ht="26.25" customHeight="1">
      <c r="A192" s="251" t="b">
        <v>0</v>
      </c>
      <c r="B192" s="211"/>
      <c r="C192" s="211"/>
    </row>
    <row r="193" ht="26.25" customHeight="1">
      <c r="A193" s="251" t="b">
        <v>0</v>
      </c>
      <c r="B193" s="211"/>
      <c r="C193" s="211"/>
    </row>
    <row r="194" ht="26.25" customHeight="1">
      <c r="A194" s="251" t="b">
        <v>0</v>
      </c>
      <c r="B194" s="211"/>
      <c r="C194" s="211"/>
    </row>
    <row r="195" ht="26.25" customHeight="1">
      <c r="A195" s="251" t="b">
        <v>0</v>
      </c>
      <c r="B195" s="211"/>
      <c r="C195" s="211"/>
    </row>
    <row r="196" ht="26.25" customHeight="1">
      <c r="A196" s="251" t="b">
        <v>0</v>
      </c>
      <c r="B196" s="211"/>
      <c r="C196" s="211"/>
    </row>
    <row r="197" ht="26.25" customHeight="1">
      <c r="A197" s="251" t="b">
        <v>0</v>
      </c>
      <c r="B197" s="211"/>
      <c r="C197" s="211"/>
    </row>
    <row r="198" ht="26.25" customHeight="1">
      <c r="A198" s="251" t="b">
        <v>0</v>
      </c>
      <c r="B198" s="211"/>
      <c r="C198" s="211"/>
    </row>
    <row r="199" ht="26.25" customHeight="1">
      <c r="A199" s="251" t="b">
        <v>0</v>
      </c>
      <c r="B199" s="211"/>
      <c r="C199" s="211"/>
    </row>
    <row r="200" ht="26.25" customHeight="1">
      <c r="A200" s="251" t="b">
        <v>0</v>
      </c>
      <c r="B200" s="211"/>
      <c r="C200" s="211"/>
    </row>
    <row r="201" ht="26.25" customHeight="1">
      <c r="A201" s="251" t="b">
        <v>0</v>
      </c>
      <c r="B201" s="211"/>
      <c r="C201" s="211"/>
    </row>
    <row r="202" ht="26.25" customHeight="1">
      <c r="A202" s="251" t="b">
        <v>0</v>
      </c>
      <c r="B202" s="211"/>
      <c r="C202" s="211"/>
    </row>
    <row r="203" ht="26.25" customHeight="1">
      <c r="A203" s="251" t="b">
        <v>0</v>
      </c>
      <c r="B203" s="211"/>
      <c r="C203" s="211"/>
    </row>
    <row r="204" ht="26.25" customHeight="1">
      <c r="A204" s="251" t="b">
        <v>0</v>
      </c>
      <c r="B204" s="211"/>
      <c r="C204" s="211"/>
    </row>
    <row r="205" ht="26.25" customHeight="1">
      <c r="A205" s="251" t="b">
        <v>0</v>
      </c>
      <c r="B205" s="211"/>
      <c r="C205" s="211"/>
    </row>
    <row r="206" ht="26.25" customHeight="1">
      <c r="A206" s="251" t="b">
        <v>0</v>
      </c>
      <c r="B206" s="211"/>
      <c r="C206" s="211"/>
    </row>
    <row r="207" ht="26.25" customHeight="1">
      <c r="A207" s="251" t="b">
        <v>0</v>
      </c>
      <c r="B207" s="211"/>
      <c r="C207" s="211"/>
    </row>
    <row r="208" ht="26.25" customHeight="1">
      <c r="A208" s="251" t="b">
        <v>0</v>
      </c>
      <c r="B208" s="211"/>
      <c r="C208" s="211"/>
    </row>
    <row r="209" ht="26.25" customHeight="1">
      <c r="A209" s="251" t="b">
        <v>0</v>
      </c>
      <c r="B209" s="211"/>
      <c r="C209" s="211"/>
    </row>
    <row r="210" ht="26.25" customHeight="1">
      <c r="A210" s="251" t="b">
        <v>0</v>
      </c>
      <c r="B210" s="211"/>
      <c r="C210" s="211"/>
    </row>
    <row r="211" ht="26.25" customHeight="1">
      <c r="A211" s="251" t="b">
        <v>0</v>
      </c>
      <c r="B211" s="211"/>
      <c r="C211" s="211"/>
    </row>
    <row r="212" ht="26.25" customHeight="1">
      <c r="A212" s="251" t="b">
        <v>0</v>
      </c>
      <c r="B212" s="211"/>
      <c r="C212" s="211"/>
    </row>
    <row r="213" ht="26.25" customHeight="1">
      <c r="A213" s="251" t="b">
        <v>0</v>
      </c>
      <c r="B213" s="211"/>
      <c r="C213" s="211"/>
    </row>
    <row r="214" ht="26.25" customHeight="1">
      <c r="A214" s="251" t="b">
        <v>0</v>
      </c>
      <c r="B214" s="211"/>
      <c r="C214" s="211"/>
    </row>
    <row r="215" ht="26.25" customHeight="1">
      <c r="A215" s="251" t="b">
        <v>0</v>
      </c>
      <c r="B215" s="211"/>
      <c r="C215" s="211"/>
    </row>
    <row r="216" ht="26.25" customHeight="1">
      <c r="A216" s="251" t="b">
        <v>0</v>
      </c>
      <c r="B216" s="211"/>
      <c r="C216" s="211"/>
    </row>
    <row r="217" ht="26.25" customHeight="1">
      <c r="A217" s="251" t="b">
        <v>0</v>
      </c>
      <c r="B217" s="211"/>
      <c r="C217" s="211"/>
    </row>
    <row r="218" ht="26.25" customHeight="1">
      <c r="A218" s="251" t="b">
        <v>0</v>
      </c>
      <c r="B218" s="211"/>
      <c r="C218" s="211"/>
    </row>
    <row r="219" ht="26.25" customHeight="1">
      <c r="A219" s="251" t="b">
        <v>0</v>
      </c>
      <c r="B219" s="211"/>
      <c r="C219" s="211"/>
    </row>
    <row r="220" ht="26.25" customHeight="1">
      <c r="A220" s="251" t="b">
        <v>0</v>
      </c>
      <c r="B220" s="211"/>
      <c r="C220" s="211"/>
    </row>
    <row r="221" ht="26.25" customHeight="1">
      <c r="A221" s="251" t="b">
        <v>0</v>
      </c>
      <c r="B221" s="211"/>
      <c r="C221" s="211"/>
    </row>
    <row r="222" ht="26.25" customHeight="1">
      <c r="A222" s="251" t="b">
        <v>0</v>
      </c>
      <c r="B222" s="211"/>
      <c r="C222" s="211"/>
    </row>
    <row r="223" ht="26.25" customHeight="1">
      <c r="A223" s="251" t="b">
        <v>0</v>
      </c>
      <c r="B223" s="211"/>
      <c r="C223" s="211"/>
    </row>
    <row r="224" ht="26.25" customHeight="1">
      <c r="A224" s="251" t="b">
        <v>0</v>
      </c>
      <c r="B224" s="211"/>
      <c r="C224" s="211"/>
    </row>
    <row r="225" ht="26.25" customHeight="1">
      <c r="A225" s="251" t="b">
        <v>0</v>
      </c>
      <c r="B225" s="211"/>
      <c r="C225" s="211"/>
    </row>
    <row r="226" ht="26.25" customHeight="1">
      <c r="A226" s="251" t="b">
        <v>0</v>
      </c>
      <c r="B226" s="211"/>
      <c r="C226" s="211"/>
    </row>
    <row r="227" ht="26.25" customHeight="1">
      <c r="A227" s="251" t="b">
        <v>0</v>
      </c>
      <c r="B227" s="211"/>
      <c r="C227" s="211"/>
    </row>
    <row r="228" ht="26.25" customHeight="1">
      <c r="A228" s="251" t="b">
        <v>0</v>
      </c>
      <c r="B228" s="211"/>
      <c r="C228" s="211"/>
    </row>
    <row r="229" ht="26.25" customHeight="1">
      <c r="A229" s="251" t="b">
        <v>0</v>
      </c>
      <c r="B229" s="211"/>
      <c r="C229" s="211"/>
    </row>
    <row r="230" ht="26.25" customHeight="1">
      <c r="A230" s="251" t="b">
        <v>0</v>
      </c>
      <c r="B230" s="211"/>
      <c r="C230" s="211"/>
    </row>
    <row r="231" ht="26.25" customHeight="1">
      <c r="A231" s="251" t="b">
        <v>0</v>
      </c>
      <c r="B231" s="211"/>
      <c r="C231" s="211"/>
    </row>
    <row r="232" ht="26.25" customHeight="1">
      <c r="A232" s="251" t="b">
        <v>0</v>
      </c>
      <c r="B232" s="211"/>
      <c r="C232" s="211"/>
    </row>
    <row r="233" ht="26.25" customHeight="1">
      <c r="A233" s="251" t="b">
        <v>0</v>
      </c>
      <c r="B233" s="211"/>
      <c r="C233" s="211"/>
    </row>
    <row r="234" ht="26.25" customHeight="1">
      <c r="A234" s="251" t="b">
        <v>0</v>
      </c>
      <c r="B234" s="211"/>
      <c r="C234" s="211"/>
    </row>
    <row r="235" ht="26.25" customHeight="1">
      <c r="A235" s="251" t="b">
        <v>0</v>
      </c>
      <c r="B235" s="211"/>
      <c r="C235" s="211"/>
    </row>
    <row r="236" ht="26.25" customHeight="1">
      <c r="A236" s="251" t="b">
        <v>0</v>
      </c>
      <c r="B236" s="211"/>
      <c r="C236" s="211"/>
    </row>
    <row r="237" ht="26.25" customHeight="1">
      <c r="A237" s="251" t="b">
        <v>0</v>
      </c>
      <c r="B237" s="211"/>
      <c r="C237" s="211"/>
    </row>
    <row r="238" ht="26.25" customHeight="1">
      <c r="A238" s="251" t="b">
        <v>0</v>
      </c>
      <c r="B238" s="211"/>
      <c r="C238" s="211"/>
    </row>
    <row r="239" ht="26.25" customHeight="1">
      <c r="A239" s="251" t="b">
        <v>0</v>
      </c>
      <c r="B239" s="211"/>
      <c r="C239" s="211"/>
    </row>
    <row r="240" ht="26.25" customHeight="1">
      <c r="A240" s="251" t="b">
        <v>0</v>
      </c>
      <c r="B240" s="211"/>
      <c r="C240" s="211"/>
    </row>
    <row r="241" ht="26.25" customHeight="1">
      <c r="A241" s="251" t="b">
        <v>0</v>
      </c>
      <c r="B241" s="211"/>
      <c r="C241" s="211"/>
    </row>
    <row r="242" ht="26.25" customHeight="1">
      <c r="A242" s="251" t="b">
        <v>0</v>
      </c>
      <c r="B242" s="211"/>
      <c r="C242" s="211"/>
    </row>
  </sheetData>
  <mergeCells count="23">
    <mergeCell ref="A1:C1"/>
    <mergeCell ref="A3:C3"/>
    <mergeCell ref="A12:C12"/>
    <mergeCell ref="A18:C18"/>
    <mergeCell ref="A25:C25"/>
    <mergeCell ref="A29:C29"/>
    <mergeCell ref="A42:C42"/>
    <mergeCell ref="A54:C54"/>
    <mergeCell ref="A61:C61"/>
    <mergeCell ref="A70:C70"/>
    <mergeCell ref="A74:C74"/>
    <mergeCell ref="A81:C81"/>
    <mergeCell ref="A88:C88"/>
    <mergeCell ref="A96:C96"/>
    <mergeCell ref="A135:C135"/>
    <mergeCell ref="A141:C141"/>
    <mergeCell ref="A101:C101"/>
    <mergeCell ref="A107:C107"/>
    <mergeCell ref="A114:C114"/>
    <mergeCell ref="A117:C117"/>
    <mergeCell ref="A123:C123"/>
    <mergeCell ref="A130:C130"/>
    <mergeCell ref="A132:C132"/>
  </mergeCells>
  <conditionalFormatting sqref="A4:C11 A13:C17 A19:C24 A26:C28 A30:C41 A43:C53 A55:C60 A62:C242">
    <cfRule type="expression" dxfId="0" priority="1">
      <formula>$A4=TRUE</formula>
    </cfRule>
  </conditionalFormatting>
  <hyperlinks>
    <hyperlink r:id="rId1" ref="A3"/>
    <hyperlink r:id="rId2" ref="A12"/>
    <hyperlink r:id="rId3" ref="A18"/>
    <hyperlink r:id="rId4" ref="A25"/>
    <hyperlink r:id="rId5" ref="A29"/>
    <hyperlink r:id="rId6" ref="A42"/>
    <hyperlink r:id="rId7" ref="A54"/>
    <hyperlink r:id="rId8" ref="A61"/>
    <hyperlink r:id="rId9" ref="B64"/>
    <hyperlink r:id="rId10" ref="A70"/>
    <hyperlink r:id="rId11" ref="A74"/>
    <hyperlink r:id="rId12" ref="A81"/>
    <hyperlink r:id="rId13" ref="A88"/>
    <hyperlink r:id="rId14" ref="A96"/>
    <hyperlink r:id="rId15" ref="A101"/>
    <hyperlink r:id="rId16" ref="A107"/>
    <hyperlink r:id="rId17" ref="A114"/>
    <hyperlink r:id="rId18" ref="A117"/>
    <hyperlink r:id="rId19" ref="A123"/>
    <hyperlink r:id="rId20" ref="A130"/>
    <hyperlink r:id="rId21" ref="A132"/>
    <hyperlink r:id="rId22" ref="A135"/>
  </hyperlinks>
  <drawing r:id="rId2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7.29"/>
    <col customWidth="1" min="2" max="2" width="114.43"/>
    <col customWidth="1" min="3" max="4" width="14.43"/>
    <col customWidth="1" min="5" max="5" width="107.29"/>
    <col customWidth="1" hidden="1" min="6" max="6" width="28.57"/>
  </cols>
  <sheetData>
    <row r="1" ht="37.5" customHeight="1">
      <c r="A1" s="1" t="str">
        <f>CONCAT('Roadmap setting'!B3," - Action points")</f>
        <v>SuperMarty project - Action points</v>
      </c>
      <c r="F1" s="1"/>
    </row>
    <row r="2" ht="26.25" customHeight="1">
      <c r="A2" s="70" t="s">
        <v>987</v>
      </c>
      <c r="B2" s="70" t="s">
        <v>1147</v>
      </c>
      <c r="C2" s="70" t="s">
        <v>1148</v>
      </c>
      <c r="D2" s="70" t="s">
        <v>1149</v>
      </c>
      <c r="E2" s="70" t="s">
        <v>73</v>
      </c>
      <c r="F2" s="200" t="s">
        <v>1150</v>
      </c>
    </row>
    <row r="3" ht="26.25" customHeight="1">
      <c r="A3" s="215" t="s">
        <v>1151</v>
      </c>
      <c r="B3" s="257"/>
      <c r="C3" s="257"/>
      <c r="D3" s="257"/>
      <c r="E3" s="257"/>
      <c r="F3" s="258"/>
    </row>
    <row r="4" ht="26.25" customHeight="1">
      <c r="A4" s="251" t="b">
        <v>0</v>
      </c>
      <c r="B4" s="211"/>
      <c r="C4" s="259"/>
      <c r="D4" s="260"/>
      <c r="E4" s="261"/>
      <c r="F4" s="262">
        <f>COUNTIF(D4:D9, "&lt;" &amp; TODAY())</f>
        <v>0</v>
      </c>
    </row>
    <row r="5" ht="26.25" customHeight="1">
      <c r="A5" s="251" t="b">
        <v>0</v>
      </c>
      <c r="B5" s="211"/>
      <c r="C5" s="259"/>
      <c r="D5" s="260"/>
      <c r="E5" s="211"/>
      <c r="F5" s="83"/>
    </row>
    <row r="6" ht="26.25" customHeight="1">
      <c r="A6" s="251" t="b">
        <v>0</v>
      </c>
      <c r="B6" s="211"/>
      <c r="C6" s="259"/>
      <c r="D6" s="260"/>
      <c r="E6" s="211"/>
      <c r="F6" s="83"/>
    </row>
    <row r="7" ht="26.25" customHeight="1">
      <c r="A7" s="251" t="b">
        <v>0</v>
      </c>
      <c r="B7" s="211"/>
      <c r="C7" s="259"/>
      <c r="D7" s="260"/>
      <c r="E7" s="211"/>
      <c r="F7" s="83"/>
    </row>
    <row r="8" ht="26.25" customHeight="1">
      <c r="A8" s="251" t="b">
        <v>0</v>
      </c>
      <c r="B8" s="211"/>
      <c r="C8" s="259"/>
      <c r="D8" s="260"/>
      <c r="E8" s="252"/>
      <c r="F8" s="112"/>
    </row>
    <row r="9" ht="26.25" customHeight="1">
      <c r="A9" s="251" t="b">
        <v>0</v>
      </c>
      <c r="B9" s="211"/>
      <c r="C9" s="259"/>
      <c r="D9" s="260"/>
      <c r="E9" s="211"/>
      <c r="F9" s="83"/>
    </row>
  </sheetData>
  <mergeCells count="2">
    <mergeCell ref="A1:E1"/>
    <mergeCell ref="A3:E3"/>
  </mergeCells>
  <conditionalFormatting sqref="E4:F9">
    <cfRule type="expression" dxfId="11" priority="1">
      <formula>$E4="Done"</formula>
    </cfRule>
  </conditionalFormatting>
  <conditionalFormatting sqref="A4:F9">
    <cfRule type="expression" dxfId="0" priority="2">
      <formula>$A4=TRUE</formula>
    </cfRule>
  </conditionalFormatting>
  <dataValidations>
    <dataValidation type="custom" allowBlank="1" showDropDown="1" sqref="D4:D9">
      <formula1>OR(NOT(ISERROR(DATEVALUE(D4))), AND(ISNUMBER(D4), LEFT(CELL("format", D4))="D"))</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2.0" topLeftCell="A3" activePane="bottomLeft" state="frozen"/>
      <selection activeCell="B4" sqref="B4" pane="bottomLeft"/>
    </sheetView>
  </sheetViews>
  <sheetFormatPr customHeight="1" defaultColWidth="14.43" defaultRowHeight="15.0"/>
  <cols>
    <col customWidth="1" min="1" max="1" width="7.29"/>
    <col customWidth="1" min="2" max="2" width="103.71"/>
    <col customWidth="1" min="3" max="5" width="14.43"/>
    <col customWidth="1" min="6" max="6" width="103.71"/>
    <col customWidth="1" hidden="1" min="7" max="7" width="28.57"/>
  </cols>
  <sheetData>
    <row r="1" ht="37.5" customHeight="1">
      <c r="A1" s="263" t="str">
        <f>CONCAT('Roadmap setting'!B3," - Questions &amp; Answers")</f>
        <v>SuperMarty project - Questions &amp; Answers</v>
      </c>
      <c r="B1" s="249"/>
      <c r="C1" s="249"/>
      <c r="D1" s="249"/>
      <c r="E1" s="249"/>
      <c r="F1" s="250"/>
      <c r="G1" s="264"/>
    </row>
    <row r="2" ht="26.25" customHeight="1">
      <c r="A2" s="265" t="s">
        <v>987</v>
      </c>
      <c r="B2" s="265" t="s">
        <v>1152</v>
      </c>
      <c r="C2" s="265" t="s">
        <v>1153</v>
      </c>
      <c r="D2" s="265" t="s">
        <v>1154</v>
      </c>
      <c r="E2" s="265" t="s">
        <v>1148</v>
      </c>
      <c r="F2" s="265" t="s">
        <v>1155</v>
      </c>
      <c r="G2" s="265" t="s">
        <v>1150</v>
      </c>
    </row>
    <row r="3" ht="26.25" customHeight="1">
      <c r="A3" s="251" t="b">
        <v>0</v>
      </c>
      <c r="B3" s="211" t="s">
        <v>1156</v>
      </c>
      <c r="C3" s="259" t="s">
        <v>1157</v>
      </c>
      <c r="D3" s="260"/>
      <c r="E3" s="260"/>
      <c r="F3" s="211"/>
      <c r="G3" s="266">
        <f>COUNTIF(D3:D8, "&lt;" &amp; TODAY())</f>
        <v>0</v>
      </c>
    </row>
    <row r="4" ht="26.25" customHeight="1">
      <c r="A4" s="251" t="b">
        <v>0</v>
      </c>
      <c r="B4" s="211" t="s">
        <v>1158</v>
      </c>
      <c r="C4" s="259" t="s">
        <v>1157</v>
      </c>
      <c r="D4" s="260"/>
      <c r="E4" s="260"/>
      <c r="F4" s="211"/>
      <c r="G4" s="211"/>
    </row>
    <row r="5" ht="26.25" customHeight="1">
      <c r="A5" s="251" t="b">
        <v>0</v>
      </c>
      <c r="B5" s="211" t="s">
        <v>1159</v>
      </c>
      <c r="C5" s="259" t="s">
        <v>1157</v>
      </c>
      <c r="D5" s="260"/>
      <c r="E5" s="260"/>
      <c r="F5" s="211"/>
      <c r="G5" s="211"/>
    </row>
    <row r="6" ht="26.25" customHeight="1">
      <c r="A6" s="251" t="b">
        <v>0</v>
      </c>
      <c r="B6" s="211" t="s">
        <v>1160</v>
      </c>
      <c r="C6" s="259" t="s">
        <v>1157</v>
      </c>
      <c r="D6" s="260"/>
      <c r="E6" s="260"/>
      <c r="F6" s="211"/>
      <c r="G6" s="211"/>
    </row>
    <row r="7" ht="26.25" customHeight="1">
      <c r="A7" s="251" t="b">
        <v>0</v>
      </c>
      <c r="B7" s="211" t="s">
        <v>1161</v>
      </c>
      <c r="C7" s="259" t="s">
        <v>1157</v>
      </c>
      <c r="D7" s="260"/>
      <c r="E7" s="260"/>
      <c r="F7" s="252"/>
      <c r="G7" s="252"/>
    </row>
    <row r="8" ht="26.25" customHeight="1">
      <c r="A8" s="251" t="b">
        <v>0</v>
      </c>
      <c r="B8" s="211" t="s">
        <v>1162</v>
      </c>
      <c r="C8" s="259" t="s">
        <v>1157</v>
      </c>
      <c r="D8" s="260"/>
      <c r="E8" s="260"/>
      <c r="F8" s="211"/>
      <c r="G8" s="211"/>
    </row>
    <row r="9" ht="26.25" customHeight="1">
      <c r="A9" s="251" t="b">
        <v>0</v>
      </c>
      <c r="B9" s="211" t="s">
        <v>1163</v>
      </c>
      <c r="C9" s="259" t="s">
        <v>1157</v>
      </c>
      <c r="D9" s="260"/>
      <c r="E9" s="260"/>
      <c r="F9" s="211"/>
      <c r="G9" s="266">
        <f>COUNTIF(D9:D12, "&lt;" &amp; TODAY())</f>
        <v>0</v>
      </c>
    </row>
    <row r="10" ht="26.25" customHeight="1">
      <c r="A10" s="251" t="b">
        <v>0</v>
      </c>
      <c r="B10" s="211" t="s">
        <v>1164</v>
      </c>
      <c r="C10" s="259" t="s">
        <v>1157</v>
      </c>
      <c r="D10" s="260"/>
      <c r="E10" s="260"/>
      <c r="F10" s="211"/>
      <c r="G10" s="211"/>
    </row>
    <row r="11" ht="26.25" customHeight="1">
      <c r="A11" s="251" t="b">
        <v>0</v>
      </c>
      <c r="B11" s="211" t="s">
        <v>1165</v>
      </c>
      <c r="C11" s="259" t="s">
        <v>1157</v>
      </c>
      <c r="D11" s="260"/>
      <c r="E11" s="260"/>
      <c r="F11" s="211"/>
      <c r="G11" s="211"/>
    </row>
    <row r="12" ht="26.25" customHeight="1">
      <c r="A12" s="251" t="b">
        <v>0</v>
      </c>
      <c r="B12" s="211" t="s">
        <v>1166</v>
      </c>
      <c r="C12" s="259" t="s">
        <v>1167</v>
      </c>
      <c r="D12" s="260"/>
      <c r="E12" s="260"/>
      <c r="F12" s="211"/>
      <c r="G12" s="211"/>
    </row>
    <row r="13" ht="26.25" customHeight="1">
      <c r="A13" s="251" t="b">
        <v>0</v>
      </c>
      <c r="B13" s="211" t="s">
        <v>1168</v>
      </c>
      <c r="C13" s="259" t="s">
        <v>1169</v>
      </c>
      <c r="D13" s="260"/>
      <c r="E13" s="260"/>
      <c r="F13" s="211"/>
      <c r="G13" s="266">
        <f>COUNTIF(D13:D14, "&lt;" &amp; TODAY())</f>
        <v>0</v>
      </c>
    </row>
    <row r="14" ht="26.25" customHeight="1">
      <c r="A14" s="251" t="b">
        <v>0</v>
      </c>
      <c r="B14" s="211" t="s">
        <v>1170</v>
      </c>
      <c r="C14" s="259" t="s">
        <v>1169</v>
      </c>
      <c r="D14" s="260"/>
      <c r="E14" s="260"/>
      <c r="F14" s="211"/>
      <c r="G14" s="211"/>
    </row>
    <row r="15" ht="26.25" customHeight="1">
      <c r="A15" s="251" t="b">
        <v>0</v>
      </c>
      <c r="B15" s="211" t="s">
        <v>1171</v>
      </c>
      <c r="C15" s="259" t="s">
        <v>1169</v>
      </c>
      <c r="D15" s="260"/>
      <c r="E15" s="260"/>
      <c r="F15" s="211"/>
      <c r="G15" s="266">
        <f>COUNTIF(D15:D16, "&lt;" &amp; TODAY())</f>
        <v>0</v>
      </c>
    </row>
    <row r="16" ht="26.25" customHeight="1">
      <c r="A16" s="251" t="b">
        <v>0</v>
      </c>
      <c r="B16" s="211" t="s">
        <v>1172</v>
      </c>
      <c r="C16" s="259" t="s">
        <v>1169</v>
      </c>
      <c r="D16" s="260"/>
      <c r="E16" s="260"/>
      <c r="F16" s="211"/>
      <c r="G16" s="211"/>
    </row>
    <row r="17" ht="26.25" customHeight="1">
      <c r="A17" s="251" t="b">
        <v>0</v>
      </c>
      <c r="B17" s="211" t="s">
        <v>1173</v>
      </c>
      <c r="C17" s="259" t="s">
        <v>1169</v>
      </c>
      <c r="D17" s="260"/>
      <c r="E17" s="260"/>
      <c r="F17" s="211"/>
      <c r="G17" s="266">
        <f>COUNTIF(D17:D21, "&lt;" &amp; TODAY())</f>
        <v>0</v>
      </c>
    </row>
    <row r="18" ht="26.25" customHeight="1">
      <c r="A18" s="251" t="b">
        <v>0</v>
      </c>
      <c r="B18" s="211" t="s">
        <v>1174</v>
      </c>
      <c r="C18" s="259" t="s">
        <v>1169</v>
      </c>
      <c r="D18" s="260"/>
      <c r="E18" s="260"/>
      <c r="F18" s="211"/>
      <c r="G18" s="211"/>
    </row>
    <row r="19" ht="26.25" customHeight="1">
      <c r="A19" s="251" t="b">
        <v>0</v>
      </c>
      <c r="B19" s="211"/>
      <c r="C19" s="259"/>
      <c r="D19" s="260"/>
      <c r="E19" s="260"/>
      <c r="F19" s="211"/>
      <c r="G19" s="211"/>
    </row>
    <row r="20" ht="26.25" customHeight="1">
      <c r="A20" s="251" t="b">
        <v>0</v>
      </c>
      <c r="B20" s="211" t="s">
        <v>1175</v>
      </c>
      <c r="C20" s="259" t="s">
        <v>1176</v>
      </c>
      <c r="D20" s="260"/>
      <c r="E20" s="260"/>
      <c r="F20" s="211"/>
      <c r="G20" s="211"/>
    </row>
    <row r="21" ht="26.25" customHeight="1">
      <c r="A21" s="251" t="b">
        <v>0</v>
      </c>
      <c r="B21" s="211" t="s">
        <v>1177</v>
      </c>
      <c r="C21" s="259" t="s">
        <v>1176</v>
      </c>
      <c r="D21" s="260"/>
      <c r="E21" s="260"/>
      <c r="F21" s="211"/>
      <c r="G21" s="211"/>
    </row>
    <row r="22" ht="26.25" customHeight="1">
      <c r="A22" s="251" t="b">
        <v>0</v>
      </c>
      <c r="B22" s="211" t="s">
        <v>1178</v>
      </c>
      <c r="C22" s="259" t="s">
        <v>1176</v>
      </c>
      <c r="D22" s="260"/>
      <c r="E22" s="260"/>
      <c r="F22" s="211"/>
      <c r="G22" s="211"/>
    </row>
    <row r="23" ht="26.25" customHeight="1">
      <c r="A23" s="251" t="b">
        <v>0</v>
      </c>
      <c r="B23" s="211" t="s">
        <v>1179</v>
      </c>
      <c r="C23" s="259" t="s">
        <v>1176</v>
      </c>
      <c r="D23" s="260"/>
      <c r="E23" s="260"/>
      <c r="F23" s="211"/>
      <c r="G23" s="211"/>
    </row>
    <row r="24" ht="26.25" customHeight="1">
      <c r="A24" s="251" t="b">
        <v>0</v>
      </c>
      <c r="B24" s="211" t="s">
        <v>1180</v>
      </c>
      <c r="C24" s="259" t="s">
        <v>1176</v>
      </c>
      <c r="D24" s="260"/>
      <c r="E24" s="260"/>
      <c r="F24" s="211"/>
      <c r="G24" s="211"/>
    </row>
    <row r="25" ht="26.25" customHeight="1">
      <c r="A25" s="251" t="b">
        <v>0</v>
      </c>
      <c r="B25" s="211"/>
      <c r="C25" s="259"/>
      <c r="D25" s="260"/>
      <c r="E25" s="260"/>
      <c r="F25" s="211"/>
      <c r="G25" s="211"/>
    </row>
    <row r="26" ht="26.25" customHeight="1">
      <c r="A26" s="251" t="b">
        <v>0</v>
      </c>
      <c r="B26" s="211"/>
      <c r="C26" s="259"/>
      <c r="D26" s="260"/>
      <c r="E26" s="260"/>
      <c r="F26" s="211"/>
      <c r="G26" s="211"/>
    </row>
    <row r="27" ht="26.25" customHeight="1">
      <c r="A27" s="251" t="b">
        <v>0</v>
      </c>
      <c r="B27" s="211"/>
      <c r="C27" s="259"/>
      <c r="D27" s="260"/>
      <c r="E27" s="260"/>
      <c r="F27" s="211"/>
      <c r="G27" s="211"/>
    </row>
    <row r="28" ht="26.25" customHeight="1">
      <c r="A28" s="251" t="b">
        <v>0</v>
      </c>
      <c r="B28" s="211"/>
      <c r="C28" s="259"/>
      <c r="D28" s="260"/>
      <c r="E28" s="260"/>
      <c r="F28" s="211"/>
      <c r="G28" s="211"/>
    </row>
    <row r="29" ht="26.25" customHeight="1">
      <c r="A29" s="251" t="b">
        <v>0</v>
      </c>
      <c r="B29" s="211"/>
      <c r="C29" s="259"/>
      <c r="D29" s="260"/>
      <c r="E29" s="260"/>
      <c r="F29" s="211"/>
      <c r="G29" s="211"/>
    </row>
    <row r="30" ht="26.25" customHeight="1">
      <c r="A30" s="251" t="b">
        <v>0</v>
      </c>
      <c r="B30" s="211"/>
      <c r="C30" s="259"/>
      <c r="D30" s="260"/>
      <c r="E30" s="260"/>
      <c r="F30" s="211"/>
      <c r="G30" s="211"/>
    </row>
    <row r="31" ht="26.25" customHeight="1">
      <c r="A31" s="251" t="b">
        <v>0</v>
      </c>
      <c r="B31" s="211"/>
      <c r="C31" s="259"/>
      <c r="D31" s="260"/>
      <c r="E31" s="260"/>
      <c r="F31" s="211"/>
      <c r="G31" s="211"/>
    </row>
    <row r="32" ht="26.25" customHeight="1">
      <c r="A32" s="251" t="b">
        <v>0</v>
      </c>
      <c r="B32" s="211"/>
      <c r="C32" s="259"/>
      <c r="D32" s="260"/>
      <c r="E32" s="260"/>
      <c r="F32" s="211"/>
      <c r="G32" s="211"/>
    </row>
    <row r="33" ht="26.25" customHeight="1">
      <c r="A33" s="251" t="b">
        <v>0</v>
      </c>
      <c r="B33" s="211"/>
      <c r="C33" s="259"/>
      <c r="D33" s="260"/>
      <c r="E33" s="260"/>
      <c r="F33" s="211"/>
      <c r="G33" s="211"/>
    </row>
    <row r="34" ht="26.25" customHeight="1">
      <c r="A34" s="251" t="b">
        <v>0</v>
      </c>
      <c r="B34" s="211"/>
      <c r="C34" s="259"/>
      <c r="D34" s="260"/>
      <c r="E34" s="260"/>
      <c r="F34" s="211"/>
      <c r="G34" s="211"/>
    </row>
    <row r="35" ht="26.25" customHeight="1">
      <c r="A35" s="251" t="b">
        <v>0</v>
      </c>
      <c r="B35" s="211"/>
      <c r="C35" s="259"/>
      <c r="D35" s="260"/>
      <c r="E35" s="260"/>
      <c r="F35" s="211"/>
      <c r="G35" s="211"/>
    </row>
    <row r="36" ht="26.25" customHeight="1">
      <c r="A36" s="251" t="b">
        <v>0</v>
      </c>
      <c r="B36" s="211"/>
      <c r="C36" s="259"/>
      <c r="D36" s="260"/>
      <c r="E36" s="260"/>
      <c r="F36" s="211"/>
      <c r="G36" s="211"/>
    </row>
    <row r="37" ht="26.25" customHeight="1">
      <c r="A37" s="251" t="b">
        <v>0</v>
      </c>
      <c r="B37" s="211"/>
      <c r="C37" s="259"/>
      <c r="D37" s="260"/>
      <c r="E37" s="260"/>
      <c r="F37" s="211"/>
      <c r="G37" s="211"/>
    </row>
    <row r="38" ht="26.25" customHeight="1">
      <c r="A38" s="251" t="b">
        <v>0</v>
      </c>
      <c r="B38" s="211"/>
      <c r="C38" s="259"/>
      <c r="D38" s="260"/>
      <c r="E38" s="260"/>
      <c r="F38" s="211"/>
      <c r="G38" s="211"/>
    </row>
    <row r="39" ht="26.25" customHeight="1">
      <c r="A39" s="251" t="b">
        <v>0</v>
      </c>
      <c r="B39" s="211"/>
      <c r="C39" s="259"/>
      <c r="D39" s="260"/>
      <c r="E39" s="260"/>
      <c r="F39" s="211"/>
      <c r="G39" s="211"/>
    </row>
    <row r="40" ht="26.25" customHeight="1">
      <c r="A40" s="251" t="b">
        <v>0</v>
      </c>
      <c r="B40" s="211"/>
      <c r="C40" s="259"/>
      <c r="D40" s="260"/>
      <c r="E40" s="260"/>
      <c r="F40" s="211"/>
      <c r="G40" s="211"/>
    </row>
    <row r="41" ht="26.25" customHeight="1">
      <c r="A41" s="251" t="b">
        <v>0</v>
      </c>
      <c r="B41" s="211"/>
      <c r="C41" s="259"/>
      <c r="D41" s="260"/>
      <c r="E41" s="260"/>
      <c r="F41" s="211"/>
      <c r="G41" s="211"/>
    </row>
    <row r="42" ht="26.25" customHeight="1">
      <c r="A42" s="251" t="b">
        <v>0</v>
      </c>
      <c r="B42" s="211"/>
      <c r="C42" s="259"/>
      <c r="D42" s="260"/>
      <c r="E42" s="260"/>
      <c r="F42" s="211"/>
      <c r="G42" s="211"/>
    </row>
    <row r="43" ht="26.25" customHeight="1">
      <c r="A43" s="251" t="b">
        <v>0</v>
      </c>
      <c r="B43" s="211"/>
      <c r="C43" s="259"/>
      <c r="D43" s="260"/>
      <c r="E43" s="260"/>
      <c r="F43" s="211"/>
      <c r="G43" s="211"/>
    </row>
    <row r="44" ht="26.25" customHeight="1">
      <c r="A44" s="251" t="b">
        <v>0</v>
      </c>
      <c r="B44" s="211"/>
      <c r="C44" s="259"/>
      <c r="D44" s="260"/>
      <c r="E44" s="260"/>
      <c r="F44" s="211"/>
      <c r="G44" s="211"/>
    </row>
    <row r="45" ht="26.25" customHeight="1">
      <c r="A45" s="251" t="b">
        <v>0</v>
      </c>
      <c r="B45" s="211"/>
      <c r="C45" s="259"/>
      <c r="D45" s="260"/>
      <c r="E45" s="260"/>
      <c r="F45" s="211"/>
      <c r="G45" s="211"/>
    </row>
    <row r="46" ht="26.25" customHeight="1">
      <c r="A46" s="251" t="b">
        <v>0</v>
      </c>
      <c r="B46" s="211"/>
      <c r="C46" s="259"/>
      <c r="D46" s="260"/>
      <c r="E46" s="260"/>
      <c r="F46" s="211"/>
      <c r="G46" s="211"/>
    </row>
    <row r="47" ht="26.25" customHeight="1">
      <c r="A47" s="251" t="b">
        <v>0</v>
      </c>
      <c r="B47" s="211"/>
      <c r="C47" s="259"/>
      <c r="D47" s="260"/>
      <c r="E47" s="260"/>
      <c r="F47" s="211"/>
      <c r="G47" s="211"/>
    </row>
    <row r="48" ht="26.25" customHeight="1">
      <c r="A48" s="251" t="b">
        <v>0</v>
      </c>
      <c r="B48" s="211"/>
      <c r="C48" s="259"/>
      <c r="D48" s="260"/>
      <c r="E48" s="260"/>
      <c r="F48" s="211"/>
      <c r="G48" s="211"/>
    </row>
    <row r="49" ht="26.25" customHeight="1">
      <c r="A49" s="251" t="b">
        <v>0</v>
      </c>
      <c r="B49" s="211"/>
      <c r="C49" s="259"/>
      <c r="D49" s="260"/>
      <c r="E49" s="260"/>
      <c r="F49" s="211"/>
      <c r="G49" s="211"/>
    </row>
    <row r="50" ht="26.25" customHeight="1">
      <c r="A50" s="251" t="b">
        <v>0</v>
      </c>
      <c r="B50" s="211"/>
      <c r="C50" s="259"/>
      <c r="D50" s="260"/>
      <c r="E50" s="260"/>
      <c r="F50" s="211"/>
      <c r="G50" s="211"/>
    </row>
    <row r="51" ht="26.25" customHeight="1">
      <c r="A51" s="251" t="b">
        <v>0</v>
      </c>
      <c r="B51" s="211"/>
      <c r="C51" s="259"/>
      <c r="D51" s="260"/>
      <c r="E51" s="260"/>
      <c r="F51" s="211"/>
      <c r="G51" s="211"/>
    </row>
    <row r="52" ht="26.25" customHeight="1">
      <c r="A52" s="251" t="b">
        <v>0</v>
      </c>
      <c r="B52" s="211"/>
      <c r="C52" s="259"/>
      <c r="D52" s="260"/>
      <c r="E52" s="260"/>
      <c r="F52" s="211"/>
      <c r="G52" s="211"/>
    </row>
    <row r="53" ht="26.25" customHeight="1">
      <c r="A53" s="251" t="b">
        <v>0</v>
      </c>
      <c r="B53" s="211"/>
      <c r="C53" s="259"/>
      <c r="D53" s="260"/>
      <c r="E53" s="260"/>
      <c r="F53" s="211"/>
      <c r="G53" s="211"/>
    </row>
    <row r="54" ht="26.25" customHeight="1">
      <c r="A54" s="251" t="b">
        <v>0</v>
      </c>
      <c r="B54" s="211"/>
      <c r="C54" s="259"/>
      <c r="D54" s="260"/>
      <c r="E54" s="260"/>
      <c r="F54" s="211"/>
      <c r="G54" s="211"/>
    </row>
    <row r="55" ht="26.25" customHeight="1">
      <c r="A55" s="251" t="b">
        <v>0</v>
      </c>
      <c r="B55" s="211"/>
      <c r="C55" s="259"/>
      <c r="D55" s="260"/>
      <c r="E55" s="260"/>
      <c r="F55" s="211"/>
      <c r="G55" s="211"/>
    </row>
    <row r="56" ht="26.25" customHeight="1">
      <c r="A56" s="251" t="b">
        <v>0</v>
      </c>
      <c r="B56" s="211"/>
      <c r="C56" s="259"/>
      <c r="D56" s="260"/>
      <c r="E56" s="260"/>
      <c r="F56" s="211"/>
      <c r="G56" s="211"/>
    </row>
    <row r="57" ht="26.25" customHeight="1">
      <c r="A57" s="251" t="b">
        <v>0</v>
      </c>
      <c r="B57" s="211"/>
      <c r="C57" s="259"/>
      <c r="D57" s="260"/>
      <c r="E57" s="260"/>
      <c r="F57" s="211"/>
      <c r="G57" s="211"/>
    </row>
    <row r="58" ht="26.25" customHeight="1">
      <c r="A58" s="251" t="b">
        <v>0</v>
      </c>
      <c r="B58" s="211"/>
      <c r="C58" s="259"/>
      <c r="D58" s="260"/>
      <c r="E58" s="260"/>
      <c r="F58" s="211"/>
      <c r="G58" s="211"/>
    </row>
    <row r="59" ht="26.25" customHeight="1">
      <c r="A59" s="251" t="b">
        <v>0</v>
      </c>
      <c r="B59" s="211"/>
      <c r="C59" s="259"/>
      <c r="D59" s="260"/>
      <c r="E59" s="260"/>
      <c r="F59" s="211"/>
      <c r="G59" s="211"/>
    </row>
    <row r="60" ht="26.25" customHeight="1">
      <c r="A60" s="251" t="b">
        <v>0</v>
      </c>
      <c r="B60" s="211"/>
      <c r="C60" s="259"/>
      <c r="D60" s="260"/>
      <c r="E60" s="260"/>
      <c r="F60" s="211"/>
      <c r="G60" s="211"/>
    </row>
    <row r="61" ht="26.25" customHeight="1">
      <c r="A61" s="251" t="b">
        <v>0</v>
      </c>
      <c r="B61" s="211"/>
      <c r="C61" s="259"/>
      <c r="D61" s="260"/>
      <c r="E61" s="260"/>
      <c r="F61" s="211"/>
      <c r="G61" s="211"/>
    </row>
    <row r="62" ht="26.25" customHeight="1">
      <c r="A62" s="251" t="b">
        <v>0</v>
      </c>
      <c r="B62" s="211"/>
      <c r="C62" s="259"/>
      <c r="D62" s="260"/>
      <c r="E62" s="260"/>
      <c r="F62" s="211"/>
      <c r="G62" s="211"/>
    </row>
    <row r="63" ht="26.25" customHeight="1">
      <c r="A63" s="251" t="b">
        <v>0</v>
      </c>
      <c r="B63" s="211"/>
      <c r="C63" s="259"/>
      <c r="D63" s="260"/>
      <c r="E63" s="260"/>
      <c r="F63" s="211"/>
      <c r="G63" s="211"/>
    </row>
    <row r="64" ht="26.25" customHeight="1">
      <c r="A64" s="251" t="b">
        <v>0</v>
      </c>
      <c r="B64" s="211"/>
      <c r="C64" s="259"/>
      <c r="D64" s="260"/>
      <c r="E64" s="260"/>
      <c r="F64" s="211"/>
      <c r="G64" s="211"/>
    </row>
    <row r="65" ht="26.25" customHeight="1">
      <c r="A65" s="251" t="b">
        <v>0</v>
      </c>
      <c r="B65" s="211"/>
      <c r="C65" s="259"/>
      <c r="D65" s="260"/>
      <c r="E65" s="260"/>
      <c r="F65" s="211"/>
      <c r="G65" s="211"/>
    </row>
    <row r="66" ht="26.25" customHeight="1">
      <c r="A66" s="251" t="b">
        <v>0</v>
      </c>
      <c r="B66" s="211"/>
      <c r="C66" s="259"/>
      <c r="D66" s="260"/>
      <c r="E66" s="260"/>
      <c r="F66" s="211"/>
      <c r="G66" s="211"/>
    </row>
    <row r="67" ht="26.25" customHeight="1">
      <c r="A67" s="251" t="b">
        <v>0</v>
      </c>
      <c r="B67" s="211"/>
      <c r="C67" s="259"/>
      <c r="D67" s="260"/>
      <c r="E67" s="260"/>
      <c r="F67" s="211"/>
      <c r="G67" s="211"/>
    </row>
    <row r="68" ht="26.25" customHeight="1">
      <c r="A68" s="251" t="b">
        <v>0</v>
      </c>
      <c r="B68" s="211"/>
      <c r="C68" s="259"/>
      <c r="D68" s="260"/>
      <c r="E68" s="260"/>
      <c r="F68" s="211"/>
      <c r="G68" s="211"/>
    </row>
    <row r="69" ht="26.25" customHeight="1">
      <c r="A69" s="251" t="b">
        <v>0</v>
      </c>
      <c r="B69" s="211"/>
      <c r="C69" s="259"/>
      <c r="D69" s="260"/>
      <c r="E69" s="260"/>
      <c r="F69" s="211"/>
      <c r="G69" s="211"/>
    </row>
    <row r="70" ht="26.25" customHeight="1">
      <c r="A70" s="251" t="b">
        <v>0</v>
      </c>
      <c r="B70" s="211"/>
      <c r="C70" s="259"/>
      <c r="D70" s="260"/>
      <c r="E70" s="260"/>
      <c r="F70" s="211"/>
      <c r="G70" s="211"/>
    </row>
    <row r="71" ht="26.25" customHeight="1">
      <c r="A71" s="251" t="b">
        <v>0</v>
      </c>
      <c r="B71" s="211"/>
      <c r="C71" s="259"/>
      <c r="D71" s="260"/>
      <c r="E71" s="260"/>
      <c r="F71" s="211"/>
      <c r="G71" s="211"/>
    </row>
    <row r="72" ht="26.25" customHeight="1">
      <c r="A72" s="251" t="b">
        <v>0</v>
      </c>
      <c r="B72" s="211"/>
      <c r="C72" s="259"/>
      <c r="D72" s="260"/>
      <c r="E72" s="260"/>
      <c r="F72" s="211"/>
      <c r="G72" s="211"/>
    </row>
    <row r="73" ht="26.25" customHeight="1">
      <c r="A73" s="251" t="b">
        <v>0</v>
      </c>
      <c r="B73" s="211"/>
      <c r="C73" s="259"/>
      <c r="D73" s="260"/>
      <c r="E73" s="260"/>
      <c r="F73" s="211"/>
      <c r="G73" s="211"/>
    </row>
    <row r="74" ht="26.25" customHeight="1">
      <c r="A74" s="251" t="b">
        <v>0</v>
      </c>
      <c r="B74" s="211"/>
      <c r="C74" s="259"/>
      <c r="D74" s="260"/>
      <c r="E74" s="260"/>
      <c r="F74" s="211"/>
      <c r="G74" s="211"/>
    </row>
    <row r="75" ht="26.25" customHeight="1">
      <c r="A75" s="251" t="b">
        <v>0</v>
      </c>
      <c r="B75" s="211"/>
      <c r="C75" s="259"/>
      <c r="D75" s="260"/>
      <c r="E75" s="260"/>
      <c r="F75" s="211"/>
      <c r="G75" s="211"/>
    </row>
    <row r="76" ht="26.25" customHeight="1">
      <c r="A76" s="251" t="b">
        <v>0</v>
      </c>
      <c r="B76" s="211"/>
      <c r="C76" s="259"/>
      <c r="D76" s="260"/>
      <c r="E76" s="260"/>
      <c r="F76" s="211"/>
      <c r="G76" s="211"/>
    </row>
    <row r="77" ht="26.25" customHeight="1">
      <c r="A77" s="251" t="b">
        <v>0</v>
      </c>
      <c r="B77" s="211"/>
      <c r="C77" s="259"/>
      <c r="D77" s="260"/>
      <c r="E77" s="260"/>
      <c r="F77" s="211"/>
      <c r="G77" s="211"/>
    </row>
    <row r="78" ht="26.25" customHeight="1">
      <c r="A78" s="251" t="b">
        <v>0</v>
      </c>
      <c r="B78" s="211"/>
      <c r="C78" s="259"/>
      <c r="D78" s="260"/>
      <c r="E78" s="260"/>
      <c r="F78" s="211"/>
      <c r="G78" s="211"/>
    </row>
    <row r="79" ht="26.25" customHeight="1">
      <c r="A79" s="251" t="b">
        <v>0</v>
      </c>
      <c r="B79" s="211"/>
      <c r="C79" s="259"/>
      <c r="D79" s="260"/>
      <c r="E79" s="260"/>
      <c r="F79" s="211"/>
      <c r="G79" s="211"/>
    </row>
    <row r="80" ht="26.25" customHeight="1">
      <c r="A80" s="251" t="b">
        <v>0</v>
      </c>
      <c r="B80" s="211"/>
      <c r="C80" s="259"/>
      <c r="D80" s="260"/>
      <c r="E80" s="260"/>
      <c r="F80" s="211"/>
      <c r="G80" s="211"/>
    </row>
    <row r="81" ht="26.25" customHeight="1">
      <c r="A81" s="251" t="b">
        <v>0</v>
      </c>
      <c r="B81" s="211"/>
      <c r="C81" s="259"/>
      <c r="D81" s="260"/>
      <c r="E81" s="260"/>
      <c r="F81" s="211"/>
      <c r="G81" s="211"/>
    </row>
    <row r="82" ht="26.25" customHeight="1">
      <c r="A82" s="251" t="b">
        <v>0</v>
      </c>
      <c r="B82" s="211"/>
      <c r="C82" s="259"/>
      <c r="D82" s="260"/>
      <c r="E82" s="260"/>
      <c r="F82" s="211"/>
      <c r="G82" s="211"/>
    </row>
    <row r="83" ht="26.25" customHeight="1">
      <c r="A83" s="251" t="b">
        <v>0</v>
      </c>
      <c r="B83" s="211"/>
      <c r="C83" s="259"/>
      <c r="D83" s="260"/>
      <c r="E83" s="260"/>
      <c r="F83" s="211"/>
      <c r="G83" s="211"/>
    </row>
    <row r="84" ht="26.25" customHeight="1">
      <c r="A84" s="251" t="b">
        <v>0</v>
      </c>
      <c r="B84" s="211"/>
      <c r="C84" s="259"/>
      <c r="D84" s="260"/>
      <c r="E84" s="260"/>
      <c r="F84" s="211"/>
      <c r="G84" s="211"/>
    </row>
    <row r="85" ht="26.25" customHeight="1">
      <c r="A85" s="251" t="b">
        <v>0</v>
      </c>
      <c r="B85" s="211"/>
      <c r="C85" s="259"/>
      <c r="D85" s="260"/>
      <c r="E85" s="260"/>
      <c r="F85" s="211"/>
      <c r="G85" s="211"/>
    </row>
    <row r="86" ht="26.25" customHeight="1">
      <c r="A86" s="251" t="b">
        <v>0</v>
      </c>
      <c r="B86" s="211"/>
      <c r="C86" s="259"/>
      <c r="D86" s="260"/>
      <c r="E86" s="260"/>
      <c r="F86" s="211"/>
      <c r="G86" s="211"/>
    </row>
    <row r="87" ht="26.25" customHeight="1">
      <c r="A87" s="251" t="b">
        <v>0</v>
      </c>
      <c r="B87" s="211"/>
      <c r="C87" s="259"/>
      <c r="D87" s="260"/>
      <c r="E87" s="260"/>
      <c r="F87" s="211"/>
      <c r="G87" s="211"/>
    </row>
    <row r="88" ht="26.25" customHeight="1">
      <c r="A88" s="251" t="b">
        <v>0</v>
      </c>
      <c r="B88" s="211"/>
      <c r="C88" s="259"/>
      <c r="D88" s="260"/>
      <c r="E88" s="260"/>
      <c r="F88" s="211"/>
      <c r="G88" s="211"/>
    </row>
    <row r="89" ht="26.25" customHeight="1">
      <c r="A89" s="251" t="b">
        <v>0</v>
      </c>
      <c r="B89" s="211"/>
      <c r="C89" s="259"/>
      <c r="D89" s="260"/>
      <c r="E89" s="260"/>
      <c r="F89" s="211"/>
      <c r="G89" s="211"/>
    </row>
    <row r="90" ht="26.25" customHeight="1">
      <c r="A90" s="251" t="b">
        <v>0</v>
      </c>
      <c r="B90" s="211"/>
      <c r="C90" s="259"/>
      <c r="D90" s="260"/>
      <c r="E90" s="260"/>
      <c r="F90" s="211"/>
      <c r="G90" s="211"/>
    </row>
    <row r="91" ht="26.25" customHeight="1">
      <c r="A91" s="251" t="b">
        <v>0</v>
      </c>
      <c r="B91" s="211"/>
      <c r="C91" s="259"/>
      <c r="D91" s="260"/>
      <c r="E91" s="260"/>
      <c r="F91" s="211"/>
      <c r="G91" s="211"/>
    </row>
    <row r="92" ht="26.25" customHeight="1">
      <c r="A92" s="251" t="b">
        <v>0</v>
      </c>
      <c r="B92" s="211"/>
      <c r="C92" s="259"/>
      <c r="D92" s="260"/>
      <c r="E92" s="260"/>
      <c r="F92" s="211"/>
      <c r="G92" s="211"/>
    </row>
    <row r="93" ht="26.25" customHeight="1">
      <c r="A93" s="251" t="b">
        <v>0</v>
      </c>
      <c r="B93" s="211"/>
      <c r="C93" s="259"/>
      <c r="D93" s="260"/>
      <c r="E93" s="260"/>
      <c r="F93" s="211"/>
      <c r="G93" s="211"/>
    </row>
    <row r="94" ht="26.25" customHeight="1">
      <c r="A94" s="251" t="b">
        <v>0</v>
      </c>
      <c r="B94" s="211"/>
      <c r="C94" s="259"/>
      <c r="D94" s="260"/>
      <c r="E94" s="260"/>
      <c r="F94" s="211"/>
      <c r="G94" s="211"/>
    </row>
    <row r="95" ht="26.25" customHeight="1">
      <c r="A95" s="251" t="b">
        <v>0</v>
      </c>
      <c r="B95" s="211"/>
      <c r="C95" s="259"/>
      <c r="D95" s="260"/>
      <c r="E95" s="260"/>
      <c r="F95" s="211"/>
      <c r="G95" s="211"/>
    </row>
    <row r="96" ht="26.25" customHeight="1">
      <c r="A96" s="251" t="b">
        <v>0</v>
      </c>
      <c r="B96" s="211"/>
      <c r="C96" s="259"/>
      <c r="D96" s="260"/>
      <c r="E96" s="260"/>
      <c r="F96" s="211"/>
      <c r="G96" s="211"/>
    </row>
    <row r="97" ht="26.25" customHeight="1">
      <c r="A97" s="251" t="b">
        <v>0</v>
      </c>
      <c r="B97" s="211"/>
      <c r="C97" s="259"/>
      <c r="D97" s="260"/>
      <c r="E97" s="260"/>
      <c r="F97" s="211"/>
      <c r="G97" s="211"/>
    </row>
    <row r="98" ht="26.25" customHeight="1">
      <c r="A98" s="251" t="b">
        <v>0</v>
      </c>
      <c r="B98" s="211"/>
      <c r="C98" s="259"/>
      <c r="D98" s="260"/>
      <c r="E98" s="260"/>
      <c r="F98" s="211"/>
      <c r="G98" s="211"/>
    </row>
    <row r="99" ht="26.25" customHeight="1">
      <c r="A99" s="251" t="b">
        <v>0</v>
      </c>
      <c r="B99" s="211"/>
      <c r="C99" s="259"/>
      <c r="D99" s="260"/>
      <c r="E99" s="260"/>
      <c r="F99" s="211"/>
      <c r="G99" s="211"/>
    </row>
    <row r="100" ht="26.25" customHeight="1">
      <c r="A100" s="251" t="b">
        <v>0</v>
      </c>
      <c r="B100" s="211"/>
      <c r="C100" s="259"/>
      <c r="D100" s="260"/>
      <c r="E100" s="260"/>
      <c r="F100" s="211"/>
      <c r="G100" s="211"/>
    </row>
    <row r="101" ht="26.25" customHeight="1">
      <c r="A101" s="251" t="b">
        <v>0</v>
      </c>
      <c r="B101" s="211"/>
      <c r="C101" s="259"/>
      <c r="D101" s="260"/>
      <c r="E101" s="260"/>
      <c r="F101" s="211"/>
      <c r="G101" s="211"/>
    </row>
    <row r="102" ht="26.25" customHeight="1">
      <c r="A102" s="251" t="b">
        <v>0</v>
      </c>
      <c r="B102" s="211"/>
      <c r="C102" s="259"/>
      <c r="D102" s="260"/>
      <c r="E102" s="260"/>
      <c r="F102" s="211"/>
      <c r="G102" s="211"/>
    </row>
    <row r="103" ht="26.25" customHeight="1">
      <c r="A103" s="251" t="b">
        <v>0</v>
      </c>
      <c r="B103" s="211"/>
      <c r="C103" s="259"/>
      <c r="D103" s="260"/>
      <c r="E103" s="260"/>
      <c r="F103" s="211"/>
      <c r="G103" s="211"/>
    </row>
    <row r="104" ht="26.25" customHeight="1">
      <c r="A104" s="251" t="b">
        <v>0</v>
      </c>
      <c r="B104" s="211"/>
      <c r="C104" s="259"/>
      <c r="D104" s="260"/>
      <c r="E104" s="260"/>
      <c r="F104" s="211"/>
      <c r="G104" s="211"/>
    </row>
    <row r="105" ht="26.25" customHeight="1">
      <c r="A105" s="251" t="b">
        <v>0</v>
      </c>
      <c r="B105" s="211"/>
      <c r="C105" s="259"/>
      <c r="D105" s="260"/>
      <c r="E105" s="260"/>
      <c r="F105" s="211"/>
      <c r="G105" s="211"/>
    </row>
    <row r="106" ht="26.25" customHeight="1">
      <c r="A106" s="251" t="b">
        <v>0</v>
      </c>
      <c r="B106" s="211"/>
      <c r="C106" s="259"/>
      <c r="D106" s="260"/>
      <c r="E106" s="260"/>
      <c r="F106" s="211"/>
      <c r="G106" s="211"/>
    </row>
    <row r="107" ht="26.25" customHeight="1">
      <c r="A107" s="251" t="b">
        <v>0</v>
      </c>
      <c r="B107" s="211"/>
      <c r="C107" s="259"/>
      <c r="D107" s="260"/>
      <c r="E107" s="260"/>
      <c r="F107" s="211"/>
      <c r="G107" s="211"/>
    </row>
    <row r="108" ht="26.25" customHeight="1">
      <c r="A108" s="251" t="b">
        <v>0</v>
      </c>
      <c r="B108" s="211"/>
      <c r="C108" s="259"/>
      <c r="D108" s="260"/>
      <c r="E108" s="260"/>
      <c r="F108" s="211"/>
      <c r="G108" s="211"/>
    </row>
    <row r="109" ht="26.25" customHeight="1">
      <c r="A109" s="251" t="b">
        <v>0</v>
      </c>
      <c r="B109" s="211"/>
      <c r="C109" s="259"/>
      <c r="D109" s="260"/>
      <c r="E109" s="260"/>
      <c r="F109" s="211"/>
      <c r="G109" s="211"/>
    </row>
    <row r="110" ht="26.25" customHeight="1">
      <c r="A110" s="251" t="b">
        <v>0</v>
      </c>
      <c r="B110" s="211"/>
      <c r="C110" s="259"/>
      <c r="D110" s="260"/>
      <c r="E110" s="260"/>
      <c r="F110" s="211"/>
      <c r="G110" s="211"/>
    </row>
    <row r="111" ht="26.25" customHeight="1">
      <c r="A111" s="251" t="b">
        <v>0</v>
      </c>
      <c r="B111" s="211"/>
      <c r="C111" s="259"/>
      <c r="D111" s="260"/>
      <c r="E111" s="260"/>
      <c r="F111" s="211"/>
      <c r="G111" s="211"/>
    </row>
    <row r="112" ht="26.25" customHeight="1">
      <c r="A112" s="251" t="b">
        <v>0</v>
      </c>
      <c r="B112" s="211"/>
      <c r="C112" s="259"/>
      <c r="D112" s="260"/>
      <c r="E112" s="260"/>
      <c r="F112" s="211"/>
      <c r="G112" s="211"/>
    </row>
    <row r="113" ht="26.25" customHeight="1">
      <c r="A113" s="251" t="b">
        <v>0</v>
      </c>
      <c r="B113" s="211"/>
      <c r="C113" s="259"/>
      <c r="D113" s="260"/>
      <c r="E113" s="260"/>
      <c r="F113" s="211"/>
      <c r="G113" s="211"/>
    </row>
    <row r="114" ht="26.25" customHeight="1">
      <c r="A114" s="251" t="b">
        <v>0</v>
      </c>
      <c r="B114" s="211"/>
      <c r="C114" s="259"/>
      <c r="D114" s="260"/>
      <c r="E114" s="260"/>
      <c r="F114" s="211"/>
      <c r="G114" s="211"/>
    </row>
    <row r="115" ht="26.25" customHeight="1">
      <c r="A115" s="251" t="b">
        <v>0</v>
      </c>
      <c r="B115" s="211"/>
      <c r="C115" s="259"/>
      <c r="D115" s="260"/>
      <c r="E115" s="260"/>
      <c r="F115" s="211"/>
      <c r="G115" s="211"/>
    </row>
    <row r="116" ht="26.25" customHeight="1">
      <c r="A116" s="251" t="b">
        <v>0</v>
      </c>
      <c r="B116" s="211"/>
      <c r="C116" s="259"/>
      <c r="D116" s="260"/>
      <c r="E116" s="260"/>
      <c r="F116" s="211"/>
      <c r="G116" s="211"/>
    </row>
    <row r="117" ht="26.25" customHeight="1">
      <c r="A117" s="251" t="b">
        <v>0</v>
      </c>
      <c r="B117" s="211"/>
      <c r="C117" s="259"/>
      <c r="D117" s="260"/>
      <c r="E117" s="260"/>
      <c r="F117" s="211"/>
      <c r="G117" s="211"/>
    </row>
    <row r="118" ht="26.25" customHeight="1">
      <c r="A118" s="251" t="b">
        <v>0</v>
      </c>
      <c r="B118" s="211"/>
      <c r="C118" s="259"/>
      <c r="D118" s="260"/>
      <c r="E118" s="260"/>
      <c r="F118" s="211"/>
      <c r="G118" s="211"/>
    </row>
    <row r="119" ht="26.25" customHeight="1">
      <c r="A119" s="251" t="b">
        <v>0</v>
      </c>
      <c r="B119" s="211"/>
      <c r="C119" s="259"/>
      <c r="D119" s="260"/>
      <c r="E119" s="260"/>
      <c r="F119" s="211"/>
      <c r="G119" s="211"/>
    </row>
    <row r="120" ht="26.25" customHeight="1">
      <c r="A120" s="251" t="b">
        <v>0</v>
      </c>
      <c r="B120" s="211"/>
      <c r="C120" s="259"/>
      <c r="D120" s="260"/>
      <c r="E120" s="260"/>
      <c r="F120" s="211"/>
      <c r="G120" s="211"/>
    </row>
    <row r="121" ht="26.25" customHeight="1">
      <c r="A121" s="251" t="b">
        <v>0</v>
      </c>
      <c r="B121" s="211"/>
      <c r="C121" s="259"/>
      <c r="D121" s="260"/>
      <c r="E121" s="260"/>
      <c r="F121" s="211"/>
      <c r="G121" s="211"/>
    </row>
    <row r="122" ht="26.25" customHeight="1">
      <c r="A122" s="251" t="b">
        <v>0</v>
      </c>
      <c r="B122" s="211"/>
      <c r="C122" s="259"/>
      <c r="D122" s="260"/>
      <c r="E122" s="260"/>
      <c r="F122" s="211"/>
      <c r="G122" s="211"/>
    </row>
    <row r="123" ht="26.25" customHeight="1">
      <c r="A123" s="251" t="b">
        <v>0</v>
      </c>
      <c r="B123" s="211"/>
      <c r="C123" s="259"/>
      <c r="D123" s="260"/>
      <c r="E123" s="260"/>
      <c r="F123" s="211"/>
      <c r="G123" s="211"/>
    </row>
    <row r="124" ht="26.25" customHeight="1">
      <c r="A124" s="251" t="b">
        <v>0</v>
      </c>
      <c r="B124" s="211"/>
      <c r="C124" s="259"/>
      <c r="D124" s="260"/>
      <c r="E124" s="260"/>
      <c r="F124" s="211"/>
      <c r="G124" s="211"/>
    </row>
    <row r="125" ht="26.25" customHeight="1">
      <c r="A125" s="251" t="b">
        <v>0</v>
      </c>
      <c r="B125" s="211"/>
      <c r="C125" s="259"/>
      <c r="D125" s="260"/>
      <c r="E125" s="260"/>
      <c r="F125" s="211"/>
      <c r="G125" s="211"/>
    </row>
    <row r="126" ht="26.25" customHeight="1">
      <c r="A126" s="251" t="b">
        <v>0</v>
      </c>
      <c r="B126" s="211"/>
      <c r="C126" s="259"/>
      <c r="D126" s="260"/>
      <c r="E126" s="260"/>
      <c r="F126" s="211"/>
      <c r="G126" s="211"/>
    </row>
  </sheetData>
  <mergeCells count="1">
    <mergeCell ref="A1:F1"/>
  </mergeCells>
  <conditionalFormatting sqref="F3:G126 B9:B126">
    <cfRule type="expression" dxfId="11" priority="1">
      <formula>$F3="Done"</formula>
    </cfRule>
  </conditionalFormatting>
  <conditionalFormatting sqref="A3:G126">
    <cfRule type="expression" dxfId="0" priority="2">
      <formula>$A3=TRUE</formula>
    </cfRule>
  </conditionalFormatting>
  <dataValidations>
    <dataValidation type="custom" allowBlank="1" showDropDown="1" sqref="D3:E126">
      <formula1>OR(NOT(ISERROR(DATEVALUE(D3))), AND(ISNUMBER(D3), LEFT(CELL("format", D3))="D"))</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0" outlineLevelCol="1"/>
  <cols>
    <col customWidth="1" min="1" max="1" width="28.71"/>
    <col customWidth="1" min="2" max="2" width="14.43"/>
    <col customWidth="1" min="3" max="3" width="7.29"/>
    <col customWidth="1" min="4" max="4" width="28.71"/>
    <col customWidth="1" min="5" max="5" width="10.86"/>
    <col customWidth="1" hidden="1" min="6" max="6" width="21.57" outlineLevel="1"/>
    <col collapsed="1" customWidth="1" min="7" max="7" width="21.57"/>
    <col customWidth="1" min="8" max="8" width="14.43"/>
    <col customWidth="1" min="9" max="24" width="14.43" outlineLevel="1"/>
    <col customWidth="1" min="25" max="30" width="14.43"/>
    <col customWidth="1" min="31" max="31" width="85.86"/>
  </cols>
  <sheetData>
    <row r="1" ht="37.5" customHeight="1">
      <c r="A1" s="1"/>
      <c r="B1" s="1" t="str">
        <f>CONCAT('Roadmap setting'!B3," - Resources")</f>
        <v>SuperMarty project - Resources</v>
      </c>
      <c r="AE1" s="1"/>
    </row>
    <row r="2" ht="18.75" customHeight="1">
      <c r="A2" s="70" t="s">
        <v>1181</v>
      </c>
      <c r="B2" s="267" t="s">
        <v>1182</v>
      </c>
      <c r="C2" s="267" t="s">
        <v>1183</v>
      </c>
      <c r="D2" s="70" t="s">
        <v>1184</v>
      </c>
      <c r="E2" s="70" t="s">
        <v>1185</v>
      </c>
      <c r="F2" s="70" t="s">
        <v>1186</v>
      </c>
      <c r="G2" s="70" t="s">
        <v>1187</v>
      </c>
      <c r="H2" s="268" t="s">
        <v>1188</v>
      </c>
      <c r="I2" s="195" t="s">
        <v>1189</v>
      </c>
      <c r="J2" s="192"/>
      <c r="K2" s="192"/>
      <c r="L2" s="192"/>
      <c r="M2" s="192"/>
      <c r="N2" s="192"/>
      <c r="O2" s="192"/>
      <c r="P2" s="194"/>
      <c r="Q2" s="195" t="s">
        <v>1190</v>
      </c>
      <c r="R2" s="192"/>
      <c r="S2" s="194"/>
      <c r="T2" s="70" t="s">
        <v>1191</v>
      </c>
      <c r="U2" s="192"/>
      <c r="V2" s="192"/>
      <c r="W2" s="192"/>
      <c r="X2" s="194"/>
      <c r="Y2" s="70" t="s">
        <v>1192</v>
      </c>
      <c r="Z2" s="268" t="s">
        <v>1193</v>
      </c>
      <c r="AA2" s="268" t="s">
        <v>1194</v>
      </c>
      <c r="AB2" s="268" t="s">
        <v>1195</v>
      </c>
      <c r="AC2" s="268" t="s">
        <v>1196</v>
      </c>
      <c r="AD2" s="268" t="s">
        <v>1197</v>
      </c>
      <c r="AE2" s="269" t="s">
        <v>73</v>
      </c>
    </row>
    <row r="3" ht="30.0" customHeight="1">
      <c r="I3" s="197" t="s">
        <v>1198</v>
      </c>
      <c r="J3" s="200" t="s">
        <v>1199</v>
      </c>
      <c r="K3" s="200" t="s">
        <v>1200</v>
      </c>
      <c r="L3" s="200" t="s">
        <v>1201</v>
      </c>
      <c r="M3" s="200" t="s">
        <v>1202</v>
      </c>
      <c r="N3" s="200" t="s">
        <v>1203</v>
      </c>
      <c r="O3" s="200" t="s">
        <v>777</v>
      </c>
      <c r="P3" s="200" t="s">
        <v>1204</v>
      </c>
      <c r="Q3" s="197" t="s">
        <v>1205</v>
      </c>
      <c r="R3" s="200" t="s">
        <v>1206</v>
      </c>
      <c r="S3" s="198" t="s">
        <v>1207</v>
      </c>
      <c r="T3" s="200" t="s">
        <v>1208</v>
      </c>
      <c r="U3" s="200" t="s">
        <v>1209</v>
      </c>
      <c r="V3" s="200" t="s">
        <v>1210</v>
      </c>
      <c r="W3" s="200" t="s">
        <v>1211</v>
      </c>
      <c r="X3" s="198" t="s">
        <v>1212</v>
      </c>
      <c r="AE3" s="270"/>
    </row>
    <row r="4" ht="16.5" customHeight="1">
      <c r="A4" s="271" t="s">
        <v>797</v>
      </c>
      <c r="B4" s="272"/>
      <c r="C4" s="273" t="b">
        <v>1</v>
      </c>
      <c r="D4" s="274" t="s">
        <v>1213</v>
      </c>
      <c r="E4" s="273" t="b">
        <v>0</v>
      </c>
      <c r="F4" s="275">
        <f t="shared" ref="F4:F23" si="2">IF($G4 &gt; "",ROUND(LEFT($G4,2)/6,2),"")</f>
        <v>1</v>
      </c>
      <c r="G4" s="275" t="s">
        <v>1214</v>
      </c>
      <c r="H4" s="276">
        <v>40.0</v>
      </c>
      <c r="I4" s="277">
        <f t="shared" ref="I4:I17" si="3">IF($H4-$Y4&lt;20,0,IF(SUM($H$4:$H$47)-SUM($Y$4:$Y$47)&lt;250,0.25,0.5))</f>
        <v>0.25</v>
      </c>
      <c r="J4" s="277">
        <f t="shared" ref="J4:J17" si="4">IF(OR($D4=$A$53,$D4=$A$63,$D4=$A$57),0,IF($H4-$Y4&gt;7,IF($H4-$Y4&gt;19,1,0.5),0))+IF(AND($E4,$H4-$Y4&gt;4),1,0)</f>
        <v>0</v>
      </c>
      <c r="K4" s="277">
        <f>IF(OR($E4,$D4=$A$53),IF($H4-$Y4&gt;4,($H4-$Y4)*0.0125+((SUM($H$4:$H47)-SUM($Y$4:$Y$47))*0.0075),0),($H4-$Y4)*0.0125)</f>
        <v>1.6875</v>
      </c>
      <c r="L4" s="277">
        <f t="shared" ref="L4:L17" si="5">$K4*1.5</f>
        <v>2.53125</v>
      </c>
      <c r="M4" s="277">
        <f t="shared" ref="M4:M17" si="6">IF($H4-$Y4&lt;20,0,0.5)</f>
        <v>0.5</v>
      </c>
      <c r="N4" s="277">
        <v>0.0</v>
      </c>
      <c r="O4" s="277">
        <f t="shared" ref="O4:O17" si="7">IF(OR($D4=$A$53,$D4=$A$63,$D4=$A$57),0,IF($H4-$Y4&lt;20,0,IF(SUM($H$4:$H$47)-SUM($Y$4:$Y$47)&lt;170,0.5,IF(SUM($H$4:$H$47)-SUM($Y$4:$Y$47)&lt;250,1,IF(SUM($H$4:$H$47)-SUM($Y$4:$Y$47)&lt;330,1.5,2)))))</f>
        <v>0</v>
      </c>
      <c r="P4" s="277">
        <f t="shared" ref="P4:P17" si="8">IF($H4-$Y4&lt;6,0,IF($H4-$Y4&lt;20,0.5,1.25))</f>
        <v>1.25</v>
      </c>
      <c r="Q4" s="277">
        <f t="shared" ref="Q4:Q17" si="9">($H4-$Y4)/9</f>
        <v>2.5</v>
      </c>
      <c r="R4" s="277">
        <f t="shared" ref="R4:R17" si="10">($H4-$Y4)*0.08075</f>
        <v>1.816875</v>
      </c>
      <c r="S4" s="277">
        <f t="shared" ref="S4:S17" si="11">($H4-$Y4)*0.075</f>
        <v>1.6875</v>
      </c>
      <c r="T4" s="277">
        <f t="shared" ref="T4:T17" si="12">($H4-$Y4)*0.0125</f>
        <v>0.28125</v>
      </c>
      <c r="U4" s="277">
        <f t="shared" ref="U4:U17" si="13">IF($H4&gt;23,($H4-$Y4)*0.00625,0)</f>
        <v>0.140625</v>
      </c>
      <c r="V4" s="277">
        <f t="shared" ref="V4:V17" si="14">IF(OR($D4=$A$53,$E4),($H4-$Y4)*0.00625,0)</f>
        <v>0.140625</v>
      </c>
      <c r="W4" s="277">
        <f t="shared" ref="W4:X4" si="1">IF(($E4),($H4-$Y4)*0.0125,0)</f>
        <v>0</v>
      </c>
      <c r="X4" s="277">
        <f t="shared" si="1"/>
        <v>0</v>
      </c>
      <c r="Y4" s="277">
        <v>17.5</v>
      </c>
      <c r="Z4" s="277">
        <f t="shared" ref="Z4:Z23" si="16">IF($C4,$H4-$Y4-SUM($Q4:$X4),"")</f>
        <v>15.933125</v>
      </c>
      <c r="AA4" s="277">
        <f t="shared" ref="AA4:AA23" si="17">IF($H4&gt;0,$H4-SUM($I4:$Y4),"")</f>
        <v>9.714375</v>
      </c>
      <c r="AB4" s="277">
        <f t="shared" ref="AB4:AB23" si="18">IF(ISNUMBER($AA4),IF($AA4&gt;0,$AA4*$F4,0),"")</f>
        <v>9.714375</v>
      </c>
      <c r="AC4" s="277"/>
      <c r="AD4" s="278">
        <v>45699.0</v>
      </c>
      <c r="AE4" s="277"/>
    </row>
    <row r="5" ht="16.5" customHeight="1">
      <c r="A5" s="271" t="s">
        <v>801</v>
      </c>
      <c r="B5" s="272"/>
      <c r="C5" s="273" t="b">
        <v>1</v>
      </c>
      <c r="D5" s="274"/>
      <c r="E5" s="273" t="b">
        <v>0</v>
      </c>
      <c r="F5" s="275">
        <f t="shared" si="2"/>
        <v>1</v>
      </c>
      <c r="G5" s="275" t="s">
        <v>1214</v>
      </c>
      <c r="H5" s="276">
        <v>40.0</v>
      </c>
      <c r="I5" s="277">
        <f t="shared" si="3"/>
        <v>0</v>
      </c>
      <c r="J5" s="277">
        <f t="shared" si="4"/>
        <v>0</v>
      </c>
      <c r="K5" s="277">
        <f t="shared" ref="K5:K17" si="19">IF(OR($E5,$D5=$A$53),IF($H5-$Y5&gt;4,($H5-$Y5)*0.0125+((SUM($H$4:$H51)-SUM($Y$4:$Y$47))*0.0075),0),($H5-$Y5)*0.0125)</f>
        <v>0.0625</v>
      </c>
      <c r="L5" s="277">
        <f t="shared" si="5"/>
        <v>0.09375</v>
      </c>
      <c r="M5" s="277">
        <f t="shared" si="6"/>
        <v>0</v>
      </c>
      <c r="N5" s="277">
        <v>0.0</v>
      </c>
      <c r="O5" s="277">
        <f t="shared" si="7"/>
        <v>0</v>
      </c>
      <c r="P5" s="277">
        <f t="shared" si="8"/>
        <v>0</v>
      </c>
      <c r="Q5" s="277">
        <f t="shared" si="9"/>
        <v>0.5555555556</v>
      </c>
      <c r="R5" s="277">
        <f t="shared" si="10"/>
        <v>0.40375</v>
      </c>
      <c r="S5" s="277">
        <f t="shared" si="11"/>
        <v>0.375</v>
      </c>
      <c r="T5" s="277">
        <f t="shared" si="12"/>
        <v>0.0625</v>
      </c>
      <c r="U5" s="277">
        <f t="shared" si="13"/>
        <v>0.03125</v>
      </c>
      <c r="V5" s="277">
        <f t="shared" si="14"/>
        <v>0</v>
      </c>
      <c r="W5" s="277">
        <f t="shared" ref="W5:X5" si="15">IF(($E5),($H5-$Y5)*0.0125,0)</f>
        <v>0</v>
      </c>
      <c r="X5" s="277">
        <f t="shared" si="15"/>
        <v>0</v>
      </c>
      <c r="Y5" s="277">
        <v>35.0</v>
      </c>
      <c r="Z5" s="277">
        <f t="shared" si="16"/>
        <v>3.571944444</v>
      </c>
      <c r="AA5" s="277">
        <f t="shared" si="17"/>
        <v>3.415694444</v>
      </c>
      <c r="AB5" s="277">
        <f t="shared" si="18"/>
        <v>3.415694444</v>
      </c>
      <c r="AC5" s="277"/>
      <c r="AD5" s="278">
        <v>45699.0</v>
      </c>
      <c r="AE5" s="277"/>
    </row>
    <row r="6" ht="16.5" customHeight="1">
      <c r="A6" s="271" t="s">
        <v>820</v>
      </c>
      <c r="B6" s="272"/>
      <c r="C6" s="273" t="b">
        <v>1</v>
      </c>
      <c r="D6" s="274" t="s">
        <v>1215</v>
      </c>
      <c r="E6" s="273" t="b">
        <v>0</v>
      </c>
      <c r="F6" s="275">
        <f t="shared" si="2"/>
        <v>1</v>
      </c>
      <c r="G6" s="275" t="s">
        <v>1214</v>
      </c>
      <c r="H6" s="276">
        <v>40.0</v>
      </c>
      <c r="I6" s="277">
        <f t="shared" si="3"/>
        <v>0.25</v>
      </c>
      <c r="J6" s="277">
        <f t="shared" si="4"/>
        <v>1</v>
      </c>
      <c r="K6" s="277">
        <f t="shared" si="19"/>
        <v>0.5</v>
      </c>
      <c r="L6" s="277">
        <f t="shared" si="5"/>
        <v>0.75</v>
      </c>
      <c r="M6" s="277">
        <f t="shared" si="6"/>
        <v>0.5</v>
      </c>
      <c r="N6" s="277">
        <v>0.0</v>
      </c>
      <c r="O6" s="277">
        <f t="shared" si="7"/>
        <v>1</v>
      </c>
      <c r="P6" s="277">
        <f t="shared" si="8"/>
        <v>1.25</v>
      </c>
      <c r="Q6" s="277">
        <f t="shared" si="9"/>
        <v>4.444444444</v>
      </c>
      <c r="R6" s="277">
        <f t="shared" si="10"/>
        <v>3.23</v>
      </c>
      <c r="S6" s="277">
        <f t="shared" si="11"/>
        <v>3</v>
      </c>
      <c r="T6" s="277">
        <f t="shared" si="12"/>
        <v>0.5</v>
      </c>
      <c r="U6" s="277">
        <f t="shared" si="13"/>
        <v>0.25</v>
      </c>
      <c r="V6" s="277">
        <f t="shared" si="14"/>
        <v>0</v>
      </c>
      <c r="W6" s="277">
        <f t="shared" ref="W6:X6" si="20">IF(($E6),($H6-$Y6)*0.0125,0)</f>
        <v>0</v>
      </c>
      <c r="X6" s="277">
        <f t="shared" si="20"/>
        <v>0</v>
      </c>
      <c r="Y6" s="277">
        <v>0.0</v>
      </c>
      <c r="Z6" s="277">
        <f t="shared" si="16"/>
        <v>28.57555556</v>
      </c>
      <c r="AA6" s="277">
        <f t="shared" si="17"/>
        <v>23.32555556</v>
      </c>
      <c r="AB6" s="277">
        <f t="shared" si="18"/>
        <v>23.32555556</v>
      </c>
      <c r="AC6" s="277"/>
      <c r="AD6" s="278">
        <v>45699.0</v>
      </c>
      <c r="AE6" s="277"/>
    </row>
    <row r="7" ht="16.5" customHeight="1">
      <c r="A7" s="271" t="s">
        <v>802</v>
      </c>
      <c r="B7" s="272"/>
      <c r="C7" s="273" t="b">
        <v>1</v>
      </c>
      <c r="D7" s="274" t="s">
        <v>1216</v>
      </c>
      <c r="E7" s="273" t="b">
        <v>0</v>
      </c>
      <c r="F7" s="275">
        <f t="shared" si="2"/>
        <v>1</v>
      </c>
      <c r="G7" s="275" t="s">
        <v>1214</v>
      </c>
      <c r="H7" s="276">
        <v>40.0</v>
      </c>
      <c r="I7" s="277">
        <f t="shared" si="3"/>
        <v>0</v>
      </c>
      <c r="J7" s="277">
        <f t="shared" si="4"/>
        <v>0.5</v>
      </c>
      <c r="K7" s="277">
        <f t="shared" si="19"/>
        <v>0.125</v>
      </c>
      <c r="L7" s="277">
        <f t="shared" si="5"/>
        <v>0.1875</v>
      </c>
      <c r="M7" s="277">
        <f t="shared" si="6"/>
        <v>0</v>
      </c>
      <c r="N7" s="277">
        <v>0.0</v>
      </c>
      <c r="O7" s="277">
        <f t="shared" si="7"/>
        <v>0</v>
      </c>
      <c r="P7" s="277">
        <f t="shared" si="8"/>
        <v>0.5</v>
      </c>
      <c r="Q7" s="277">
        <f t="shared" si="9"/>
        <v>1.111111111</v>
      </c>
      <c r="R7" s="277">
        <f t="shared" si="10"/>
        <v>0.8075</v>
      </c>
      <c r="S7" s="277">
        <f t="shared" si="11"/>
        <v>0.75</v>
      </c>
      <c r="T7" s="277">
        <f t="shared" si="12"/>
        <v>0.125</v>
      </c>
      <c r="U7" s="277">
        <f t="shared" si="13"/>
        <v>0.0625</v>
      </c>
      <c r="V7" s="277">
        <f t="shared" si="14"/>
        <v>0</v>
      </c>
      <c r="W7" s="277">
        <f t="shared" ref="W7:X7" si="21">IF(($E7),($H7-$Y7)*0.0125,0)</f>
        <v>0</v>
      </c>
      <c r="X7" s="277">
        <f t="shared" si="21"/>
        <v>0</v>
      </c>
      <c r="Y7" s="277">
        <v>30.0</v>
      </c>
      <c r="Z7" s="277">
        <f t="shared" si="16"/>
        <v>7.143888889</v>
      </c>
      <c r="AA7" s="277">
        <f t="shared" si="17"/>
        <v>5.831388889</v>
      </c>
      <c r="AB7" s="277">
        <f t="shared" si="18"/>
        <v>5.831388889</v>
      </c>
      <c r="AC7" s="277"/>
      <c r="AD7" s="278">
        <v>45699.0</v>
      </c>
      <c r="AE7" s="273"/>
    </row>
    <row r="8" ht="16.5" customHeight="1">
      <c r="A8" s="271" t="s">
        <v>807</v>
      </c>
      <c r="B8" s="272"/>
      <c r="C8" s="273" t="b">
        <v>1</v>
      </c>
      <c r="D8" s="274" t="s">
        <v>1217</v>
      </c>
      <c r="E8" s="273" t="b">
        <v>0</v>
      </c>
      <c r="F8" s="275">
        <f t="shared" si="2"/>
        <v>1</v>
      </c>
      <c r="G8" s="275" t="s">
        <v>1214</v>
      </c>
      <c r="H8" s="276">
        <v>40.0</v>
      </c>
      <c r="I8" s="277">
        <f t="shared" si="3"/>
        <v>0</v>
      </c>
      <c r="J8" s="277">
        <f t="shared" si="4"/>
        <v>0</v>
      </c>
      <c r="K8" s="277">
        <f t="shared" si="19"/>
        <v>0.1875</v>
      </c>
      <c r="L8" s="277">
        <f t="shared" si="5"/>
        <v>0.28125</v>
      </c>
      <c r="M8" s="277">
        <f t="shared" si="6"/>
        <v>0</v>
      </c>
      <c r="N8" s="277">
        <v>0.0</v>
      </c>
      <c r="O8" s="277">
        <f t="shared" si="7"/>
        <v>0</v>
      </c>
      <c r="P8" s="277">
        <f t="shared" si="8"/>
        <v>0.5</v>
      </c>
      <c r="Q8" s="277">
        <f t="shared" si="9"/>
        <v>1.666666667</v>
      </c>
      <c r="R8" s="277">
        <f t="shared" si="10"/>
        <v>1.21125</v>
      </c>
      <c r="S8" s="277">
        <f t="shared" si="11"/>
        <v>1.125</v>
      </c>
      <c r="T8" s="277">
        <f t="shared" si="12"/>
        <v>0.1875</v>
      </c>
      <c r="U8" s="277">
        <f t="shared" si="13"/>
        <v>0.09375</v>
      </c>
      <c r="V8" s="277">
        <f t="shared" si="14"/>
        <v>0</v>
      </c>
      <c r="W8" s="277">
        <f t="shared" ref="W8:X8" si="22">IF(($E8),($H8-$Y8)*0.0125,0)</f>
        <v>0</v>
      </c>
      <c r="X8" s="277">
        <f t="shared" si="22"/>
        <v>0</v>
      </c>
      <c r="Y8" s="277">
        <v>25.0</v>
      </c>
      <c r="Z8" s="277">
        <f t="shared" si="16"/>
        <v>10.71583333</v>
      </c>
      <c r="AA8" s="277">
        <f t="shared" si="17"/>
        <v>9.747083333</v>
      </c>
      <c r="AB8" s="277">
        <f t="shared" si="18"/>
        <v>9.747083333</v>
      </c>
      <c r="AC8" s="277"/>
      <c r="AD8" s="278">
        <v>45699.0</v>
      </c>
      <c r="AE8" s="273"/>
    </row>
    <row r="9" ht="16.5" customHeight="1">
      <c r="A9" s="271" t="s">
        <v>809</v>
      </c>
      <c r="B9" s="272"/>
      <c r="C9" s="273" t="b">
        <v>1</v>
      </c>
      <c r="D9" s="274" t="s">
        <v>1218</v>
      </c>
      <c r="E9" s="273" t="b">
        <v>0</v>
      </c>
      <c r="F9" s="275">
        <f t="shared" si="2"/>
        <v>1</v>
      </c>
      <c r="G9" s="275" t="s">
        <v>1214</v>
      </c>
      <c r="H9" s="276">
        <v>40.0</v>
      </c>
      <c r="I9" s="277">
        <f t="shared" si="3"/>
        <v>0</v>
      </c>
      <c r="J9" s="277">
        <f t="shared" si="4"/>
        <v>0.5</v>
      </c>
      <c r="K9" s="277">
        <f t="shared" si="19"/>
        <v>0.125</v>
      </c>
      <c r="L9" s="277">
        <f t="shared" si="5"/>
        <v>0.1875</v>
      </c>
      <c r="M9" s="277">
        <f t="shared" si="6"/>
        <v>0</v>
      </c>
      <c r="N9" s="277">
        <v>0.0</v>
      </c>
      <c r="O9" s="277">
        <f t="shared" si="7"/>
        <v>0</v>
      </c>
      <c r="P9" s="277">
        <f t="shared" si="8"/>
        <v>0.5</v>
      </c>
      <c r="Q9" s="277">
        <f t="shared" si="9"/>
        <v>1.111111111</v>
      </c>
      <c r="R9" s="277">
        <f t="shared" si="10"/>
        <v>0.8075</v>
      </c>
      <c r="S9" s="277">
        <f t="shared" si="11"/>
        <v>0.75</v>
      </c>
      <c r="T9" s="277">
        <f t="shared" si="12"/>
        <v>0.125</v>
      </c>
      <c r="U9" s="277">
        <f t="shared" si="13"/>
        <v>0.0625</v>
      </c>
      <c r="V9" s="277">
        <f t="shared" si="14"/>
        <v>0</v>
      </c>
      <c r="W9" s="277">
        <f t="shared" ref="W9:X9" si="23">IF(($E9),($H9-$Y9)*0.0125,0)</f>
        <v>0</v>
      </c>
      <c r="X9" s="277">
        <f t="shared" si="23"/>
        <v>0</v>
      </c>
      <c r="Y9" s="277">
        <v>30.0</v>
      </c>
      <c r="Z9" s="277">
        <f t="shared" si="16"/>
        <v>7.143888889</v>
      </c>
      <c r="AA9" s="277">
        <f t="shared" si="17"/>
        <v>5.831388889</v>
      </c>
      <c r="AB9" s="277">
        <f t="shared" si="18"/>
        <v>5.831388889</v>
      </c>
      <c r="AC9" s="277"/>
      <c r="AD9" s="278">
        <v>45699.0</v>
      </c>
      <c r="AE9" s="273"/>
    </row>
    <row r="10" ht="16.5" customHeight="1">
      <c r="A10" s="271" t="s">
        <v>810</v>
      </c>
      <c r="B10" s="272"/>
      <c r="C10" s="273" t="b">
        <v>1</v>
      </c>
      <c r="D10" s="274" t="s">
        <v>1219</v>
      </c>
      <c r="E10" s="273" t="b">
        <v>0</v>
      </c>
      <c r="F10" s="275">
        <f t="shared" si="2"/>
        <v>1</v>
      </c>
      <c r="G10" s="275" t="s">
        <v>1214</v>
      </c>
      <c r="H10" s="276">
        <v>40.0</v>
      </c>
      <c r="I10" s="277">
        <f t="shared" si="3"/>
        <v>0</v>
      </c>
      <c r="J10" s="277">
        <f t="shared" si="4"/>
        <v>0.5</v>
      </c>
      <c r="K10" s="277">
        <f t="shared" si="19"/>
        <v>0.125</v>
      </c>
      <c r="L10" s="277">
        <f t="shared" si="5"/>
        <v>0.1875</v>
      </c>
      <c r="M10" s="277">
        <f t="shared" si="6"/>
        <v>0</v>
      </c>
      <c r="N10" s="277">
        <v>0.0</v>
      </c>
      <c r="O10" s="277">
        <f t="shared" si="7"/>
        <v>0</v>
      </c>
      <c r="P10" s="277">
        <f t="shared" si="8"/>
        <v>0.5</v>
      </c>
      <c r="Q10" s="277">
        <f t="shared" si="9"/>
        <v>1.111111111</v>
      </c>
      <c r="R10" s="277">
        <f t="shared" si="10"/>
        <v>0.8075</v>
      </c>
      <c r="S10" s="277">
        <f t="shared" si="11"/>
        <v>0.75</v>
      </c>
      <c r="T10" s="277">
        <f t="shared" si="12"/>
        <v>0.125</v>
      </c>
      <c r="U10" s="277">
        <f t="shared" si="13"/>
        <v>0.0625</v>
      </c>
      <c r="V10" s="277">
        <f t="shared" si="14"/>
        <v>0</v>
      </c>
      <c r="W10" s="277">
        <f t="shared" ref="W10:X10" si="24">IF(($E10),($H10-$Y10)*0.0125,0)</f>
        <v>0</v>
      </c>
      <c r="X10" s="277">
        <f t="shared" si="24"/>
        <v>0</v>
      </c>
      <c r="Y10" s="277">
        <v>30.0</v>
      </c>
      <c r="Z10" s="277">
        <f t="shared" si="16"/>
        <v>7.143888889</v>
      </c>
      <c r="AA10" s="277">
        <f t="shared" si="17"/>
        <v>5.831388889</v>
      </c>
      <c r="AB10" s="277">
        <f t="shared" si="18"/>
        <v>5.831388889</v>
      </c>
      <c r="AC10" s="277"/>
      <c r="AD10" s="278">
        <v>45699.0</v>
      </c>
      <c r="AE10" s="277"/>
    </row>
    <row r="11" ht="16.5" customHeight="1">
      <c r="A11" s="271" t="s">
        <v>832</v>
      </c>
      <c r="B11" s="272"/>
      <c r="C11" s="273" t="b">
        <v>1</v>
      </c>
      <c r="D11" s="274" t="s">
        <v>1219</v>
      </c>
      <c r="E11" s="273" t="b">
        <v>0</v>
      </c>
      <c r="F11" s="275">
        <f t="shared" si="2"/>
        <v>1</v>
      </c>
      <c r="G11" s="275" t="s">
        <v>1214</v>
      </c>
      <c r="H11" s="276">
        <v>40.0</v>
      </c>
      <c r="I11" s="277">
        <f t="shared" si="3"/>
        <v>0</v>
      </c>
      <c r="J11" s="277">
        <f t="shared" si="4"/>
        <v>0</v>
      </c>
      <c r="K11" s="277">
        <f t="shared" si="19"/>
        <v>0</v>
      </c>
      <c r="L11" s="277">
        <f t="shared" si="5"/>
        <v>0</v>
      </c>
      <c r="M11" s="277">
        <f t="shared" si="6"/>
        <v>0</v>
      </c>
      <c r="N11" s="277">
        <v>0.0</v>
      </c>
      <c r="O11" s="277">
        <f t="shared" si="7"/>
        <v>0</v>
      </c>
      <c r="P11" s="277">
        <f t="shared" si="8"/>
        <v>0</v>
      </c>
      <c r="Q11" s="277">
        <f t="shared" si="9"/>
        <v>0</v>
      </c>
      <c r="R11" s="277">
        <f t="shared" si="10"/>
        <v>0</v>
      </c>
      <c r="S11" s="277">
        <f t="shared" si="11"/>
        <v>0</v>
      </c>
      <c r="T11" s="277">
        <f t="shared" si="12"/>
        <v>0</v>
      </c>
      <c r="U11" s="277">
        <f t="shared" si="13"/>
        <v>0</v>
      </c>
      <c r="V11" s="277">
        <f t="shared" si="14"/>
        <v>0</v>
      </c>
      <c r="W11" s="277">
        <f t="shared" ref="W11:X11" si="25">IF(($E11),($H11-$Y11)*0.0125,0)</f>
        <v>0</v>
      </c>
      <c r="X11" s="277">
        <f t="shared" si="25"/>
        <v>0</v>
      </c>
      <c r="Y11" s="277">
        <v>40.0</v>
      </c>
      <c r="Z11" s="277">
        <f t="shared" si="16"/>
        <v>0</v>
      </c>
      <c r="AA11" s="277">
        <f t="shared" si="17"/>
        <v>0</v>
      </c>
      <c r="AB11" s="277">
        <f t="shared" si="18"/>
        <v>0</v>
      </c>
      <c r="AC11" s="277"/>
      <c r="AD11" s="278">
        <v>45699.0</v>
      </c>
      <c r="AE11" s="277"/>
    </row>
    <row r="12" ht="16.5" customHeight="1">
      <c r="A12" s="271" t="s">
        <v>1220</v>
      </c>
      <c r="B12" s="272"/>
      <c r="C12" s="273" t="b">
        <v>1</v>
      </c>
      <c r="D12" s="274"/>
      <c r="E12" s="273" t="b">
        <v>0</v>
      </c>
      <c r="F12" s="275">
        <f t="shared" si="2"/>
        <v>1</v>
      </c>
      <c r="G12" s="275" t="s">
        <v>1214</v>
      </c>
      <c r="H12" s="276">
        <v>40.0</v>
      </c>
      <c r="I12" s="277">
        <f t="shared" si="3"/>
        <v>0.25</v>
      </c>
      <c r="J12" s="277">
        <f t="shared" si="4"/>
        <v>1</v>
      </c>
      <c r="K12" s="277">
        <f t="shared" si="19"/>
        <v>0.5</v>
      </c>
      <c r="L12" s="277">
        <f t="shared" si="5"/>
        <v>0.75</v>
      </c>
      <c r="M12" s="277">
        <f t="shared" si="6"/>
        <v>0.5</v>
      </c>
      <c r="N12" s="277">
        <v>0.0</v>
      </c>
      <c r="O12" s="277">
        <f t="shared" si="7"/>
        <v>1</v>
      </c>
      <c r="P12" s="277">
        <f t="shared" si="8"/>
        <v>1.25</v>
      </c>
      <c r="Q12" s="277">
        <f t="shared" si="9"/>
        <v>4.444444444</v>
      </c>
      <c r="R12" s="277">
        <f t="shared" si="10"/>
        <v>3.23</v>
      </c>
      <c r="S12" s="277">
        <f t="shared" si="11"/>
        <v>3</v>
      </c>
      <c r="T12" s="277">
        <f t="shared" si="12"/>
        <v>0.5</v>
      </c>
      <c r="U12" s="277">
        <f t="shared" si="13"/>
        <v>0.25</v>
      </c>
      <c r="V12" s="277">
        <f t="shared" si="14"/>
        <v>0</v>
      </c>
      <c r="W12" s="277">
        <f t="shared" ref="W12:X12" si="26">IF(($E12),($H12-$Y12)*0.0125,0)</f>
        <v>0</v>
      </c>
      <c r="X12" s="277">
        <f t="shared" si="26"/>
        <v>0</v>
      </c>
      <c r="Y12" s="277">
        <f>IF($C12,0,$H12)</f>
        <v>0</v>
      </c>
      <c r="Z12" s="277">
        <f t="shared" si="16"/>
        <v>28.57555556</v>
      </c>
      <c r="AA12" s="277">
        <f t="shared" si="17"/>
        <v>23.32555556</v>
      </c>
      <c r="AB12" s="277">
        <f t="shared" si="18"/>
        <v>23.32555556</v>
      </c>
      <c r="AC12" s="277"/>
      <c r="AD12" s="278">
        <v>45699.0</v>
      </c>
      <c r="AE12" s="277"/>
    </row>
    <row r="13" ht="16.5" customHeight="1">
      <c r="A13" s="271" t="s">
        <v>805</v>
      </c>
      <c r="B13" s="272"/>
      <c r="C13" s="273" t="b">
        <v>1</v>
      </c>
      <c r="D13" s="274" t="s">
        <v>1216</v>
      </c>
      <c r="E13" s="273" t="b">
        <v>0</v>
      </c>
      <c r="F13" s="275">
        <f t="shared" si="2"/>
        <v>1</v>
      </c>
      <c r="G13" s="275" t="s">
        <v>1214</v>
      </c>
      <c r="H13" s="276">
        <v>40.0</v>
      </c>
      <c r="I13" s="277">
        <f t="shared" si="3"/>
        <v>0.25</v>
      </c>
      <c r="J13" s="277">
        <f t="shared" si="4"/>
        <v>1</v>
      </c>
      <c r="K13" s="277">
        <f t="shared" si="19"/>
        <v>0.4375</v>
      </c>
      <c r="L13" s="277">
        <f t="shared" si="5"/>
        <v>0.65625</v>
      </c>
      <c r="M13" s="277">
        <f t="shared" si="6"/>
        <v>0.5</v>
      </c>
      <c r="N13" s="277">
        <v>0.0</v>
      </c>
      <c r="O13" s="277">
        <f t="shared" si="7"/>
        <v>1</v>
      </c>
      <c r="P13" s="277">
        <f t="shared" si="8"/>
        <v>1.25</v>
      </c>
      <c r="Q13" s="277">
        <f t="shared" si="9"/>
        <v>3.888888889</v>
      </c>
      <c r="R13" s="277">
        <f t="shared" si="10"/>
        <v>2.82625</v>
      </c>
      <c r="S13" s="277">
        <f t="shared" si="11"/>
        <v>2.625</v>
      </c>
      <c r="T13" s="277">
        <f t="shared" si="12"/>
        <v>0.4375</v>
      </c>
      <c r="U13" s="277">
        <f t="shared" si="13"/>
        <v>0.21875</v>
      </c>
      <c r="V13" s="277">
        <f t="shared" si="14"/>
        <v>0</v>
      </c>
      <c r="W13" s="277">
        <f t="shared" ref="W13:X13" si="27">IF(($E13),($H13-$Y13)*0.0125,0)</f>
        <v>0</v>
      </c>
      <c r="X13" s="277">
        <f t="shared" si="27"/>
        <v>0</v>
      </c>
      <c r="Y13" s="277">
        <v>5.0</v>
      </c>
      <c r="Z13" s="277">
        <f t="shared" si="16"/>
        <v>25.00361111</v>
      </c>
      <c r="AA13" s="277">
        <f t="shared" si="17"/>
        <v>19.90986111</v>
      </c>
      <c r="AB13" s="277">
        <f t="shared" si="18"/>
        <v>19.90986111</v>
      </c>
      <c r="AC13" s="277"/>
      <c r="AD13" s="278">
        <v>45699.0</v>
      </c>
      <c r="AE13" s="277"/>
    </row>
    <row r="14" ht="16.5" customHeight="1">
      <c r="A14" s="275"/>
      <c r="B14" s="272"/>
      <c r="C14" s="273" t="b">
        <v>0</v>
      </c>
      <c r="D14" s="274"/>
      <c r="E14" s="273" t="b">
        <v>0</v>
      </c>
      <c r="F14" s="275" t="str">
        <f t="shared" si="2"/>
        <v/>
      </c>
      <c r="G14" s="275"/>
      <c r="H14" s="276"/>
      <c r="I14" s="277">
        <f t="shared" si="3"/>
        <v>0</v>
      </c>
      <c r="J14" s="277">
        <f t="shared" si="4"/>
        <v>0</v>
      </c>
      <c r="K14" s="277">
        <f t="shared" si="19"/>
        <v>0</v>
      </c>
      <c r="L14" s="277">
        <f t="shared" si="5"/>
        <v>0</v>
      </c>
      <c r="M14" s="277">
        <f t="shared" si="6"/>
        <v>0</v>
      </c>
      <c r="N14" s="277">
        <v>0.0</v>
      </c>
      <c r="O14" s="277">
        <f t="shared" si="7"/>
        <v>0</v>
      </c>
      <c r="P14" s="277">
        <f t="shared" si="8"/>
        <v>0</v>
      </c>
      <c r="Q14" s="277">
        <f t="shared" si="9"/>
        <v>0</v>
      </c>
      <c r="R14" s="277">
        <f t="shared" si="10"/>
        <v>0</v>
      </c>
      <c r="S14" s="277">
        <f t="shared" si="11"/>
        <v>0</v>
      </c>
      <c r="T14" s="277">
        <f t="shared" si="12"/>
        <v>0</v>
      </c>
      <c r="U14" s="277">
        <f t="shared" si="13"/>
        <v>0</v>
      </c>
      <c r="V14" s="277">
        <f t="shared" si="14"/>
        <v>0</v>
      </c>
      <c r="W14" s="277">
        <f t="shared" ref="W14:X14" si="28">IF(($E14),($H14-$Y14)*0.0125,0)</f>
        <v>0</v>
      </c>
      <c r="X14" s="277">
        <f t="shared" si="28"/>
        <v>0</v>
      </c>
      <c r="Y14" s="277" t="str">
        <f t="shared" ref="Y14:Y23" si="30">IF($C14,0,$H14)</f>
        <v/>
      </c>
      <c r="Z14" s="277" t="str">
        <f t="shared" si="16"/>
        <v/>
      </c>
      <c r="AA14" s="277" t="str">
        <f t="shared" si="17"/>
        <v/>
      </c>
      <c r="AB14" s="277" t="str">
        <f t="shared" si="18"/>
        <v/>
      </c>
      <c r="AC14" s="277"/>
      <c r="AD14" s="278"/>
      <c r="AE14" s="277"/>
    </row>
    <row r="15" ht="16.5" customHeight="1">
      <c r="A15" s="275"/>
      <c r="B15" s="272"/>
      <c r="C15" s="273" t="b">
        <v>0</v>
      </c>
      <c r="D15" s="274"/>
      <c r="E15" s="273" t="b">
        <v>0</v>
      </c>
      <c r="F15" s="275" t="str">
        <f t="shared" si="2"/>
        <v/>
      </c>
      <c r="G15" s="275"/>
      <c r="H15" s="276"/>
      <c r="I15" s="277">
        <f t="shared" si="3"/>
        <v>0</v>
      </c>
      <c r="J15" s="277">
        <f t="shared" si="4"/>
        <v>0</v>
      </c>
      <c r="K15" s="277">
        <f t="shared" si="19"/>
        <v>0</v>
      </c>
      <c r="L15" s="277">
        <f t="shared" si="5"/>
        <v>0</v>
      </c>
      <c r="M15" s="277">
        <f t="shared" si="6"/>
        <v>0</v>
      </c>
      <c r="N15" s="277">
        <v>0.0</v>
      </c>
      <c r="O15" s="277">
        <f t="shared" si="7"/>
        <v>0</v>
      </c>
      <c r="P15" s="277">
        <f t="shared" si="8"/>
        <v>0</v>
      </c>
      <c r="Q15" s="277">
        <f t="shared" si="9"/>
        <v>0</v>
      </c>
      <c r="R15" s="277">
        <f t="shared" si="10"/>
        <v>0</v>
      </c>
      <c r="S15" s="277">
        <f t="shared" si="11"/>
        <v>0</v>
      </c>
      <c r="T15" s="277">
        <f t="shared" si="12"/>
        <v>0</v>
      </c>
      <c r="U15" s="277">
        <f t="shared" si="13"/>
        <v>0</v>
      </c>
      <c r="V15" s="277">
        <f t="shared" si="14"/>
        <v>0</v>
      </c>
      <c r="W15" s="277">
        <f t="shared" ref="W15:X15" si="29">IF(($E15),($H15-$Y15)*0.0125,0)</f>
        <v>0</v>
      </c>
      <c r="X15" s="277">
        <f t="shared" si="29"/>
        <v>0</v>
      </c>
      <c r="Y15" s="277" t="str">
        <f t="shared" si="30"/>
        <v/>
      </c>
      <c r="Z15" s="277" t="str">
        <f t="shared" si="16"/>
        <v/>
      </c>
      <c r="AA15" s="277" t="str">
        <f t="shared" si="17"/>
        <v/>
      </c>
      <c r="AB15" s="277" t="str">
        <f t="shared" si="18"/>
        <v/>
      </c>
      <c r="AC15" s="277"/>
      <c r="AD15" s="278"/>
      <c r="AE15" s="277"/>
    </row>
    <row r="16" ht="16.5" customHeight="1">
      <c r="A16" s="275"/>
      <c r="B16" s="272"/>
      <c r="C16" s="273" t="b">
        <v>0</v>
      </c>
      <c r="D16" s="274"/>
      <c r="E16" s="273" t="b">
        <v>0</v>
      </c>
      <c r="F16" s="275" t="str">
        <f t="shared" si="2"/>
        <v/>
      </c>
      <c r="G16" s="275"/>
      <c r="H16" s="276"/>
      <c r="I16" s="277">
        <f t="shared" si="3"/>
        <v>0</v>
      </c>
      <c r="J16" s="277">
        <f t="shared" si="4"/>
        <v>0</v>
      </c>
      <c r="K16" s="277">
        <f t="shared" si="19"/>
        <v>0</v>
      </c>
      <c r="L16" s="277">
        <f t="shared" si="5"/>
        <v>0</v>
      </c>
      <c r="M16" s="277">
        <f t="shared" si="6"/>
        <v>0</v>
      </c>
      <c r="N16" s="277">
        <v>0.0</v>
      </c>
      <c r="O16" s="277">
        <f t="shared" si="7"/>
        <v>0</v>
      </c>
      <c r="P16" s="277">
        <f t="shared" si="8"/>
        <v>0</v>
      </c>
      <c r="Q16" s="277">
        <f t="shared" si="9"/>
        <v>0</v>
      </c>
      <c r="R16" s="277">
        <f t="shared" si="10"/>
        <v>0</v>
      </c>
      <c r="S16" s="277">
        <f t="shared" si="11"/>
        <v>0</v>
      </c>
      <c r="T16" s="277">
        <f t="shared" si="12"/>
        <v>0</v>
      </c>
      <c r="U16" s="277">
        <f t="shared" si="13"/>
        <v>0</v>
      </c>
      <c r="V16" s="277">
        <f t="shared" si="14"/>
        <v>0</v>
      </c>
      <c r="W16" s="277">
        <f t="shared" ref="W16:X16" si="31">IF(($E16),($H16-$Y16)*0.0125,0)</f>
        <v>0</v>
      </c>
      <c r="X16" s="277">
        <f t="shared" si="31"/>
        <v>0</v>
      </c>
      <c r="Y16" s="277" t="str">
        <f t="shared" si="30"/>
        <v/>
      </c>
      <c r="Z16" s="277" t="str">
        <f t="shared" si="16"/>
        <v/>
      </c>
      <c r="AA16" s="277" t="str">
        <f t="shared" si="17"/>
        <v/>
      </c>
      <c r="AB16" s="277" t="str">
        <f t="shared" si="18"/>
        <v/>
      </c>
      <c r="AC16" s="277"/>
      <c r="AD16" s="278"/>
      <c r="AE16" s="277"/>
    </row>
    <row r="17" ht="16.5" customHeight="1">
      <c r="A17" s="275"/>
      <c r="B17" s="272"/>
      <c r="C17" s="273" t="b">
        <v>0</v>
      </c>
      <c r="D17" s="274"/>
      <c r="E17" s="273" t="b">
        <v>0</v>
      </c>
      <c r="F17" s="275" t="str">
        <f t="shared" si="2"/>
        <v/>
      </c>
      <c r="G17" s="275"/>
      <c r="H17" s="276"/>
      <c r="I17" s="277">
        <f t="shared" si="3"/>
        <v>0</v>
      </c>
      <c r="J17" s="277">
        <f t="shared" si="4"/>
        <v>0</v>
      </c>
      <c r="K17" s="277">
        <f t="shared" si="19"/>
        <v>0</v>
      </c>
      <c r="L17" s="277">
        <f t="shared" si="5"/>
        <v>0</v>
      </c>
      <c r="M17" s="277">
        <f t="shared" si="6"/>
        <v>0</v>
      </c>
      <c r="N17" s="277">
        <v>0.0</v>
      </c>
      <c r="O17" s="277">
        <f t="shared" si="7"/>
        <v>0</v>
      </c>
      <c r="P17" s="277">
        <f t="shared" si="8"/>
        <v>0</v>
      </c>
      <c r="Q17" s="277">
        <f t="shared" si="9"/>
        <v>0</v>
      </c>
      <c r="R17" s="277">
        <f t="shared" si="10"/>
        <v>0</v>
      </c>
      <c r="S17" s="277">
        <f t="shared" si="11"/>
        <v>0</v>
      </c>
      <c r="T17" s="277">
        <f t="shared" si="12"/>
        <v>0</v>
      </c>
      <c r="U17" s="277">
        <f t="shared" si="13"/>
        <v>0</v>
      </c>
      <c r="V17" s="277">
        <f t="shared" si="14"/>
        <v>0</v>
      </c>
      <c r="W17" s="277">
        <f t="shared" ref="W17:X17" si="32">IF(($E17),($H17-$Y17)*0.0125,0)</f>
        <v>0</v>
      </c>
      <c r="X17" s="277">
        <f t="shared" si="32"/>
        <v>0</v>
      </c>
      <c r="Y17" s="277" t="str">
        <f t="shared" si="30"/>
        <v/>
      </c>
      <c r="Z17" s="277" t="str">
        <f t="shared" si="16"/>
        <v/>
      </c>
      <c r="AA17" s="277" t="str">
        <f t="shared" si="17"/>
        <v/>
      </c>
      <c r="AB17" s="277" t="str">
        <f t="shared" si="18"/>
        <v/>
      </c>
      <c r="AC17" s="277"/>
      <c r="AD17" s="278"/>
      <c r="AE17" s="277"/>
    </row>
    <row r="18" ht="16.5" customHeight="1">
      <c r="A18" s="275"/>
      <c r="B18" s="272"/>
      <c r="C18" s="273" t="b">
        <v>0</v>
      </c>
      <c r="D18" s="274"/>
      <c r="E18" s="273" t="b">
        <v>0</v>
      </c>
      <c r="F18" s="275" t="str">
        <f t="shared" si="2"/>
        <v/>
      </c>
      <c r="G18" s="275"/>
      <c r="H18" s="276"/>
      <c r="I18" s="277"/>
      <c r="J18" s="277"/>
      <c r="K18" s="277"/>
      <c r="L18" s="277"/>
      <c r="M18" s="277"/>
      <c r="N18" s="277"/>
      <c r="O18" s="277"/>
      <c r="P18" s="277"/>
      <c r="Q18" s="277"/>
      <c r="R18" s="277"/>
      <c r="S18" s="277"/>
      <c r="T18" s="277"/>
      <c r="U18" s="277"/>
      <c r="V18" s="277"/>
      <c r="W18" s="277"/>
      <c r="X18" s="277"/>
      <c r="Y18" s="277" t="str">
        <f t="shared" si="30"/>
        <v/>
      </c>
      <c r="Z18" s="277" t="str">
        <f t="shared" si="16"/>
        <v/>
      </c>
      <c r="AA18" s="277" t="str">
        <f t="shared" si="17"/>
        <v/>
      </c>
      <c r="AB18" s="277" t="str">
        <f t="shared" si="18"/>
        <v/>
      </c>
      <c r="AC18" s="277"/>
      <c r="AD18" s="278"/>
      <c r="AE18" s="277"/>
    </row>
    <row r="19" ht="16.5" customHeight="1">
      <c r="A19" s="275"/>
      <c r="B19" s="272"/>
      <c r="C19" s="273" t="b">
        <v>0</v>
      </c>
      <c r="D19" s="274"/>
      <c r="E19" s="273" t="b">
        <v>0</v>
      </c>
      <c r="F19" s="275" t="str">
        <f t="shared" si="2"/>
        <v/>
      </c>
      <c r="G19" s="275"/>
      <c r="H19" s="276"/>
      <c r="I19" s="277"/>
      <c r="J19" s="277"/>
      <c r="K19" s="277"/>
      <c r="L19" s="277"/>
      <c r="M19" s="277"/>
      <c r="N19" s="277"/>
      <c r="O19" s="277"/>
      <c r="P19" s="277"/>
      <c r="Q19" s="277"/>
      <c r="R19" s="277"/>
      <c r="S19" s="277"/>
      <c r="T19" s="277"/>
      <c r="U19" s="277"/>
      <c r="V19" s="277"/>
      <c r="W19" s="277"/>
      <c r="X19" s="277"/>
      <c r="Y19" s="277" t="str">
        <f t="shared" si="30"/>
        <v/>
      </c>
      <c r="Z19" s="277" t="str">
        <f t="shared" si="16"/>
        <v/>
      </c>
      <c r="AA19" s="277" t="str">
        <f t="shared" si="17"/>
        <v/>
      </c>
      <c r="AB19" s="277" t="str">
        <f t="shared" si="18"/>
        <v/>
      </c>
      <c r="AC19" s="277"/>
      <c r="AD19" s="278"/>
      <c r="AE19" s="277"/>
    </row>
    <row r="20" ht="16.5" customHeight="1">
      <c r="A20" s="275"/>
      <c r="B20" s="272"/>
      <c r="C20" s="273" t="b">
        <v>0</v>
      </c>
      <c r="D20" s="274"/>
      <c r="E20" s="273" t="b">
        <v>0</v>
      </c>
      <c r="F20" s="275" t="str">
        <f t="shared" si="2"/>
        <v/>
      </c>
      <c r="G20" s="275"/>
      <c r="H20" s="276"/>
      <c r="I20" s="277"/>
      <c r="J20" s="277"/>
      <c r="K20" s="277"/>
      <c r="L20" s="277"/>
      <c r="M20" s="277"/>
      <c r="N20" s="277"/>
      <c r="O20" s="277"/>
      <c r="P20" s="277"/>
      <c r="Q20" s="277"/>
      <c r="R20" s="277"/>
      <c r="S20" s="277"/>
      <c r="T20" s="277"/>
      <c r="U20" s="277"/>
      <c r="V20" s="277"/>
      <c r="W20" s="277"/>
      <c r="X20" s="277"/>
      <c r="Y20" s="277" t="str">
        <f t="shared" si="30"/>
        <v/>
      </c>
      <c r="Z20" s="277" t="str">
        <f t="shared" si="16"/>
        <v/>
      </c>
      <c r="AA20" s="277" t="str">
        <f t="shared" si="17"/>
        <v/>
      </c>
      <c r="AB20" s="277" t="str">
        <f t="shared" si="18"/>
        <v/>
      </c>
      <c r="AC20" s="277"/>
      <c r="AD20" s="278"/>
      <c r="AE20" s="277"/>
    </row>
    <row r="21" ht="16.5" customHeight="1">
      <c r="A21" s="275"/>
      <c r="B21" s="272"/>
      <c r="C21" s="273" t="b">
        <v>0</v>
      </c>
      <c r="D21" s="274"/>
      <c r="E21" s="273" t="b">
        <v>0</v>
      </c>
      <c r="F21" s="275" t="str">
        <f t="shared" si="2"/>
        <v/>
      </c>
      <c r="G21" s="275"/>
      <c r="H21" s="276"/>
      <c r="I21" s="277"/>
      <c r="J21" s="277"/>
      <c r="K21" s="277"/>
      <c r="L21" s="277"/>
      <c r="M21" s="277"/>
      <c r="N21" s="277"/>
      <c r="O21" s="277"/>
      <c r="P21" s="277"/>
      <c r="Q21" s="277"/>
      <c r="R21" s="277"/>
      <c r="S21" s="277"/>
      <c r="T21" s="277"/>
      <c r="U21" s="277"/>
      <c r="V21" s="277"/>
      <c r="W21" s="277"/>
      <c r="X21" s="277"/>
      <c r="Y21" s="277" t="str">
        <f t="shared" si="30"/>
        <v/>
      </c>
      <c r="Z21" s="277" t="str">
        <f t="shared" si="16"/>
        <v/>
      </c>
      <c r="AA21" s="277" t="str">
        <f t="shared" si="17"/>
        <v/>
      </c>
      <c r="AB21" s="277" t="str">
        <f t="shared" si="18"/>
        <v/>
      </c>
      <c r="AC21" s="277"/>
      <c r="AD21" s="278"/>
      <c r="AE21" s="277"/>
    </row>
    <row r="22" ht="16.5" customHeight="1">
      <c r="A22" s="275"/>
      <c r="B22" s="272"/>
      <c r="C22" s="273" t="b">
        <v>0</v>
      </c>
      <c r="D22" s="274"/>
      <c r="E22" s="273" t="b">
        <v>0</v>
      </c>
      <c r="F22" s="275" t="str">
        <f t="shared" si="2"/>
        <v/>
      </c>
      <c r="G22" s="275"/>
      <c r="H22" s="276"/>
      <c r="I22" s="277"/>
      <c r="J22" s="277"/>
      <c r="K22" s="277"/>
      <c r="L22" s="277"/>
      <c r="M22" s="277"/>
      <c r="N22" s="277"/>
      <c r="O22" s="277"/>
      <c r="P22" s="277"/>
      <c r="Q22" s="277"/>
      <c r="R22" s="277"/>
      <c r="S22" s="277"/>
      <c r="T22" s="277"/>
      <c r="U22" s="277"/>
      <c r="V22" s="277"/>
      <c r="W22" s="277"/>
      <c r="X22" s="277"/>
      <c r="Y22" s="277" t="str">
        <f t="shared" si="30"/>
        <v/>
      </c>
      <c r="Z22" s="277" t="str">
        <f t="shared" si="16"/>
        <v/>
      </c>
      <c r="AA22" s="277" t="str">
        <f t="shared" si="17"/>
        <v/>
      </c>
      <c r="AB22" s="277" t="str">
        <f t="shared" si="18"/>
        <v/>
      </c>
      <c r="AC22" s="277"/>
      <c r="AD22" s="278"/>
      <c r="AE22" s="277"/>
    </row>
    <row r="23" ht="16.5" customHeight="1">
      <c r="A23" s="275"/>
      <c r="B23" s="272"/>
      <c r="C23" s="273" t="b">
        <v>0</v>
      </c>
      <c r="D23" s="274"/>
      <c r="E23" s="273" t="b">
        <v>0</v>
      </c>
      <c r="F23" s="275" t="str">
        <f t="shared" si="2"/>
        <v/>
      </c>
      <c r="G23" s="275"/>
      <c r="H23" s="276"/>
      <c r="I23" s="277"/>
      <c r="J23" s="277"/>
      <c r="K23" s="277"/>
      <c r="L23" s="277"/>
      <c r="M23" s="277"/>
      <c r="N23" s="277"/>
      <c r="O23" s="277"/>
      <c r="P23" s="277"/>
      <c r="Q23" s="277"/>
      <c r="R23" s="277"/>
      <c r="S23" s="277"/>
      <c r="T23" s="277"/>
      <c r="U23" s="277"/>
      <c r="V23" s="277"/>
      <c r="W23" s="277"/>
      <c r="X23" s="277"/>
      <c r="Y23" s="277" t="str">
        <f t="shared" si="30"/>
        <v/>
      </c>
      <c r="Z23" s="277" t="str">
        <f t="shared" si="16"/>
        <v/>
      </c>
      <c r="AA23" s="277" t="str">
        <f t="shared" si="17"/>
        <v/>
      </c>
      <c r="AB23" s="277" t="str">
        <f t="shared" si="18"/>
        <v/>
      </c>
      <c r="AC23" s="277"/>
      <c r="AD23" s="278"/>
      <c r="AE23" s="277"/>
    </row>
    <row r="24" ht="22.5" hidden="1" customHeight="1">
      <c r="A24" s="70"/>
      <c r="B24" s="70" t="s">
        <v>1221</v>
      </c>
      <c r="C24" s="192"/>
      <c r="D24" s="192"/>
      <c r="E24" s="192"/>
      <c r="F24" s="192"/>
      <c r="G24" s="192"/>
      <c r="H24" s="192"/>
      <c r="I24" s="70"/>
      <c r="J24" s="70"/>
      <c r="K24" s="70"/>
      <c r="L24" s="70"/>
      <c r="M24" s="70"/>
      <c r="N24" s="70"/>
      <c r="O24" s="70"/>
      <c r="P24" s="70"/>
      <c r="Q24" s="70"/>
      <c r="R24" s="70"/>
      <c r="S24" s="70"/>
      <c r="T24" s="70"/>
      <c r="U24" s="70"/>
      <c r="V24" s="70"/>
      <c r="W24" s="70"/>
      <c r="X24" s="70"/>
      <c r="Y24" s="70" t="s">
        <v>73</v>
      </c>
      <c r="Z24" s="192"/>
      <c r="AA24" s="192"/>
      <c r="AB24" s="192"/>
      <c r="AC24" s="192"/>
      <c r="AD24" s="192"/>
      <c r="AE24" s="192"/>
    </row>
    <row r="25" ht="30.0" hidden="1" customHeight="1">
      <c r="A25" s="279" t="s">
        <v>1181</v>
      </c>
      <c r="B25" s="279" t="s">
        <v>275</v>
      </c>
      <c r="C25" s="279" t="s">
        <v>1222</v>
      </c>
      <c r="E25" s="279" t="s">
        <v>1223</v>
      </c>
      <c r="G25" s="279" t="s">
        <v>1224</v>
      </c>
      <c r="H25" s="279" t="s">
        <v>1225</v>
      </c>
      <c r="I25" s="279"/>
      <c r="J25" s="279"/>
      <c r="K25" s="279"/>
      <c r="L25" s="279"/>
      <c r="M25" s="279"/>
      <c r="N25" s="279"/>
      <c r="O25" s="279"/>
      <c r="P25" s="279"/>
      <c r="Q25" s="279"/>
      <c r="R25" s="279"/>
      <c r="S25" s="279"/>
      <c r="T25" s="279"/>
      <c r="U25" s="279"/>
      <c r="V25" s="279"/>
      <c r="W25" s="279"/>
      <c r="X25" s="279"/>
      <c r="Y25" s="279"/>
    </row>
    <row r="26" ht="16.5" hidden="1" customHeight="1">
      <c r="A26" s="280"/>
      <c r="B26" s="281"/>
      <c r="C26" s="82"/>
      <c r="E26" s="82"/>
      <c r="G26" s="282"/>
      <c r="H26" s="282"/>
      <c r="I26" s="283"/>
      <c r="J26" s="283"/>
      <c r="K26" s="283"/>
      <c r="L26" s="283"/>
      <c r="M26" s="283"/>
      <c r="N26" s="283"/>
      <c r="O26" s="283"/>
      <c r="P26" s="283"/>
      <c r="Q26" s="283"/>
      <c r="R26" s="283"/>
      <c r="S26" s="283"/>
      <c r="T26" s="283"/>
      <c r="U26" s="283"/>
      <c r="V26" s="283"/>
      <c r="W26" s="283"/>
      <c r="X26" s="283"/>
      <c r="Y26" s="284"/>
    </row>
    <row r="27" ht="16.5" hidden="1" customHeight="1">
      <c r="A27" s="280"/>
      <c r="B27" s="281"/>
      <c r="C27" s="82"/>
      <c r="E27" s="82"/>
      <c r="G27" s="282"/>
      <c r="H27" s="282"/>
      <c r="I27" s="283"/>
      <c r="J27" s="283"/>
      <c r="K27" s="283"/>
      <c r="L27" s="283"/>
      <c r="M27" s="283"/>
      <c r="N27" s="283"/>
      <c r="O27" s="283"/>
      <c r="P27" s="283"/>
      <c r="Q27" s="283"/>
      <c r="R27" s="283"/>
      <c r="S27" s="283"/>
      <c r="T27" s="283"/>
      <c r="U27" s="283"/>
      <c r="V27" s="283"/>
      <c r="W27" s="283"/>
      <c r="X27" s="283"/>
      <c r="Y27" s="284"/>
    </row>
    <row r="28" ht="16.5" hidden="1" customHeight="1">
      <c r="A28" s="285"/>
      <c r="B28" s="286"/>
      <c r="C28" s="82"/>
      <c r="E28" s="82" t="str">
        <f t="shared" ref="E28:E50" si="33">$C28</f>
        <v/>
      </c>
      <c r="G28" s="282" t="str">
        <f t="shared" ref="G28:G50" si="34">IF($B28 = "Approved extra work",IF(ISTEXT($A28),ROUND((XLOOKUP($A28,$A$4:$A$25,$H$4:$H$25) - XLOOKUP($A28,$A$4:$A$25,$Y$4:$Y$25))/ 5,1),""),IF(ISTEXT($A28),ROUND((XLOOKUP($A28,$A$4:$A$25,$Y$4:$Y$25) - XLOOKUP($A28,$A$4:$A$25,$H$4:$H$25))/ 5,1),""))</f>
        <v/>
      </c>
      <c r="H28" s="282" t="str">
        <f t="shared" ref="H28:H50" si="35">IF(ISBLANK($C28),"",ROUND(($E28-$C28)*$G28,1))</f>
        <v/>
      </c>
      <c r="I28" s="283"/>
      <c r="J28" s="283"/>
      <c r="K28" s="283"/>
      <c r="L28" s="283"/>
      <c r="M28" s="283"/>
      <c r="N28" s="283"/>
      <c r="O28" s="283"/>
      <c r="P28" s="283"/>
      <c r="Q28" s="283"/>
      <c r="R28" s="283"/>
      <c r="S28" s="283"/>
      <c r="T28" s="283"/>
      <c r="U28" s="283"/>
      <c r="V28" s="283"/>
      <c r="W28" s="283"/>
      <c r="X28" s="283"/>
      <c r="Y28" s="284"/>
    </row>
    <row r="29" ht="16.5" hidden="1" customHeight="1">
      <c r="A29" s="285"/>
      <c r="B29" s="286"/>
      <c r="C29" s="82"/>
      <c r="E29" s="82" t="str">
        <f t="shared" si="33"/>
        <v/>
      </c>
      <c r="G29" s="282" t="str">
        <f t="shared" si="34"/>
        <v/>
      </c>
      <c r="H29" s="282" t="str">
        <f t="shared" si="35"/>
        <v/>
      </c>
      <c r="I29" s="283"/>
      <c r="J29" s="283"/>
      <c r="K29" s="283"/>
      <c r="L29" s="283"/>
      <c r="M29" s="283"/>
      <c r="N29" s="283"/>
      <c r="O29" s="283"/>
      <c r="P29" s="283"/>
      <c r="Q29" s="283"/>
      <c r="R29" s="283"/>
      <c r="S29" s="283"/>
      <c r="T29" s="283"/>
      <c r="U29" s="283"/>
      <c r="V29" s="283"/>
      <c r="W29" s="283"/>
      <c r="X29" s="283"/>
      <c r="Y29" s="284"/>
    </row>
    <row r="30" ht="16.5" hidden="1" customHeight="1">
      <c r="A30" s="285"/>
      <c r="B30" s="286"/>
      <c r="C30" s="82"/>
      <c r="E30" s="82" t="str">
        <f t="shared" si="33"/>
        <v/>
      </c>
      <c r="G30" s="282" t="str">
        <f t="shared" si="34"/>
        <v/>
      </c>
      <c r="H30" s="282" t="str">
        <f t="shared" si="35"/>
        <v/>
      </c>
      <c r="I30" s="283"/>
      <c r="J30" s="283"/>
      <c r="K30" s="283"/>
      <c r="L30" s="283"/>
      <c r="M30" s="283"/>
      <c r="N30" s="283"/>
      <c r="O30" s="283"/>
      <c r="P30" s="283"/>
      <c r="Q30" s="283"/>
      <c r="R30" s="283"/>
      <c r="S30" s="283"/>
      <c r="T30" s="283"/>
      <c r="U30" s="283"/>
      <c r="V30" s="283"/>
      <c r="W30" s="283"/>
      <c r="X30" s="283"/>
      <c r="Y30" s="284"/>
    </row>
    <row r="31" ht="16.5" hidden="1" customHeight="1">
      <c r="A31" s="285"/>
      <c r="B31" s="286"/>
      <c r="C31" s="82"/>
      <c r="E31" s="82" t="str">
        <f t="shared" si="33"/>
        <v/>
      </c>
      <c r="G31" s="282" t="str">
        <f t="shared" si="34"/>
        <v/>
      </c>
      <c r="H31" s="282" t="str">
        <f t="shared" si="35"/>
        <v/>
      </c>
      <c r="I31" s="283"/>
      <c r="J31" s="283"/>
      <c r="K31" s="283"/>
      <c r="L31" s="283"/>
      <c r="M31" s="283"/>
      <c r="N31" s="283"/>
      <c r="O31" s="283"/>
      <c r="P31" s="283"/>
      <c r="Q31" s="283"/>
      <c r="R31" s="283"/>
      <c r="S31" s="283"/>
      <c r="T31" s="283"/>
      <c r="U31" s="283"/>
      <c r="V31" s="283"/>
      <c r="W31" s="283"/>
      <c r="X31" s="283"/>
      <c r="Y31" s="284"/>
    </row>
    <row r="32" ht="16.5" hidden="1" customHeight="1">
      <c r="A32" s="285"/>
      <c r="B32" s="286"/>
      <c r="C32" s="82"/>
      <c r="E32" s="82" t="str">
        <f t="shared" si="33"/>
        <v/>
      </c>
      <c r="G32" s="282" t="str">
        <f t="shared" si="34"/>
        <v/>
      </c>
      <c r="H32" s="282" t="str">
        <f t="shared" si="35"/>
        <v/>
      </c>
      <c r="I32" s="283"/>
      <c r="J32" s="283"/>
      <c r="K32" s="283"/>
      <c r="L32" s="283"/>
      <c r="M32" s="283"/>
      <c r="N32" s="283"/>
      <c r="O32" s="283"/>
      <c r="P32" s="283"/>
      <c r="Q32" s="283"/>
      <c r="R32" s="283"/>
      <c r="S32" s="283"/>
      <c r="T32" s="283"/>
      <c r="U32" s="283"/>
      <c r="V32" s="283"/>
      <c r="W32" s="283"/>
      <c r="X32" s="283"/>
      <c r="Y32" s="284"/>
    </row>
    <row r="33" ht="16.5" hidden="1" customHeight="1">
      <c r="A33" s="285"/>
      <c r="B33" s="286"/>
      <c r="C33" s="82"/>
      <c r="E33" s="82" t="str">
        <f t="shared" si="33"/>
        <v/>
      </c>
      <c r="G33" s="282" t="str">
        <f t="shared" si="34"/>
        <v/>
      </c>
      <c r="H33" s="282" t="str">
        <f t="shared" si="35"/>
        <v/>
      </c>
      <c r="I33" s="283"/>
      <c r="J33" s="283"/>
      <c r="K33" s="283"/>
      <c r="L33" s="283"/>
      <c r="M33" s="283"/>
      <c r="N33" s="283"/>
      <c r="O33" s="283"/>
      <c r="P33" s="283"/>
      <c r="Q33" s="283"/>
      <c r="R33" s="283"/>
      <c r="S33" s="283"/>
      <c r="T33" s="283"/>
      <c r="U33" s="283"/>
      <c r="V33" s="283"/>
      <c r="W33" s="283"/>
      <c r="X33" s="283"/>
      <c r="Y33" s="284"/>
    </row>
    <row r="34" ht="16.5" hidden="1" customHeight="1">
      <c r="A34" s="285"/>
      <c r="B34" s="286"/>
      <c r="C34" s="82"/>
      <c r="E34" s="82" t="str">
        <f t="shared" si="33"/>
        <v/>
      </c>
      <c r="G34" s="282" t="str">
        <f t="shared" si="34"/>
        <v/>
      </c>
      <c r="H34" s="282" t="str">
        <f t="shared" si="35"/>
        <v/>
      </c>
      <c r="I34" s="283"/>
      <c r="J34" s="283"/>
      <c r="K34" s="283"/>
      <c r="L34" s="283"/>
      <c r="M34" s="283"/>
      <c r="N34" s="283"/>
      <c r="O34" s="283"/>
      <c r="P34" s="283"/>
      <c r="Q34" s="283"/>
      <c r="R34" s="283"/>
      <c r="S34" s="283"/>
      <c r="T34" s="283"/>
      <c r="U34" s="283"/>
      <c r="V34" s="283"/>
      <c r="W34" s="283"/>
      <c r="X34" s="283"/>
      <c r="Y34" s="284"/>
    </row>
    <row r="35" ht="16.5" hidden="1" customHeight="1">
      <c r="A35" s="285"/>
      <c r="B35" s="286"/>
      <c r="C35" s="82"/>
      <c r="E35" s="82" t="str">
        <f t="shared" si="33"/>
        <v/>
      </c>
      <c r="G35" s="282" t="str">
        <f t="shared" si="34"/>
        <v/>
      </c>
      <c r="H35" s="282" t="str">
        <f t="shared" si="35"/>
        <v/>
      </c>
      <c r="I35" s="283"/>
      <c r="J35" s="283"/>
      <c r="K35" s="283"/>
      <c r="L35" s="283"/>
      <c r="M35" s="283"/>
      <c r="N35" s="283"/>
      <c r="O35" s="283"/>
      <c r="P35" s="283"/>
      <c r="Q35" s="283"/>
      <c r="R35" s="283"/>
      <c r="S35" s="283"/>
      <c r="T35" s="283"/>
      <c r="U35" s="283"/>
      <c r="V35" s="283"/>
      <c r="W35" s="283"/>
      <c r="X35" s="283"/>
      <c r="Y35" s="284"/>
    </row>
    <row r="36" ht="16.5" hidden="1" customHeight="1">
      <c r="A36" s="285"/>
      <c r="B36" s="286"/>
      <c r="C36" s="82"/>
      <c r="E36" s="82" t="str">
        <f t="shared" si="33"/>
        <v/>
      </c>
      <c r="G36" s="282" t="str">
        <f t="shared" si="34"/>
        <v/>
      </c>
      <c r="H36" s="282" t="str">
        <f t="shared" si="35"/>
        <v/>
      </c>
      <c r="I36" s="283"/>
      <c r="J36" s="283"/>
      <c r="K36" s="283"/>
      <c r="L36" s="283"/>
      <c r="M36" s="283"/>
      <c r="N36" s="283"/>
      <c r="O36" s="283"/>
      <c r="P36" s="283"/>
      <c r="Q36" s="283"/>
      <c r="R36" s="283"/>
      <c r="S36" s="283"/>
      <c r="T36" s="283"/>
      <c r="U36" s="283"/>
      <c r="V36" s="283"/>
      <c r="W36" s="283"/>
      <c r="X36" s="283"/>
      <c r="Y36" s="284"/>
    </row>
    <row r="37" ht="16.5" hidden="1" customHeight="1">
      <c r="A37" s="285"/>
      <c r="B37" s="286"/>
      <c r="C37" s="82"/>
      <c r="E37" s="82" t="str">
        <f t="shared" si="33"/>
        <v/>
      </c>
      <c r="G37" s="282" t="str">
        <f t="shared" si="34"/>
        <v/>
      </c>
      <c r="H37" s="282" t="str">
        <f t="shared" si="35"/>
        <v/>
      </c>
      <c r="I37" s="283"/>
      <c r="J37" s="283"/>
      <c r="K37" s="283"/>
      <c r="L37" s="283"/>
      <c r="M37" s="283"/>
      <c r="N37" s="283"/>
      <c r="O37" s="283"/>
      <c r="P37" s="283"/>
      <c r="Q37" s="283"/>
      <c r="R37" s="283"/>
      <c r="S37" s="283"/>
      <c r="T37" s="283"/>
      <c r="U37" s="283"/>
      <c r="V37" s="283"/>
      <c r="W37" s="283"/>
      <c r="X37" s="283"/>
      <c r="Y37" s="284"/>
    </row>
    <row r="38" ht="16.5" hidden="1" customHeight="1">
      <c r="A38" s="285"/>
      <c r="B38" s="286"/>
      <c r="C38" s="82"/>
      <c r="E38" s="82" t="str">
        <f t="shared" si="33"/>
        <v/>
      </c>
      <c r="G38" s="282" t="str">
        <f t="shared" si="34"/>
        <v/>
      </c>
      <c r="H38" s="282" t="str">
        <f t="shared" si="35"/>
        <v/>
      </c>
      <c r="I38" s="283"/>
      <c r="J38" s="283"/>
      <c r="K38" s="283"/>
      <c r="L38" s="283"/>
      <c r="M38" s="283"/>
      <c r="N38" s="283"/>
      <c r="O38" s="283"/>
      <c r="P38" s="283"/>
      <c r="Q38" s="283"/>
      <c r="R38" s="283"/>
      <c r="S38" s="283"/>
      <c r="T38" s="283"/>
      <c r="U38" s="283"/>
      <c r="V38" s="283"/>
      <c r="W38" s="283"/>
      <c r="X38" s="283"/>
      <c r="Y38" s="284"/>
    </row>
    <row r="39" ht="16.5" hidden="1" customHeight="1">
      <c r="A39" s="287" t="str">
        <f>$A11</f>
        <v>Nayyer Jafari</v>
      </c>
      <c r="B39" s="286"/>
      <c r="C39" s="82"/>
      <c r="E39" s="82" t="str">
        <f t="shared" si="33"/>
        <v/>
      </c>
      <c r="G39" s="282">
        <f t="shared" si="34"/>
        <v>0</v>
      </c>
      <c r="H39" s="282" t="str">
        <f t="shared" si="35"/>
        <v/>
      </c>
      <c r="I39" s="283"/>
      <c r="J39" s="283"/>
      <c r="K39" s="283"/>
      <c r="L39" s="283"/>
      <c r="M39" s="283"/>
      <c r="N39" s="283"/>
      <c r="O39" s="283"/>
      <c r="P39" s="283"/>
      <c r="Q39" s="283"/>
      <c r="R39" s="283"/>
      <c r="S39" s="283"/>
      <c r="T39" s="283"/>
      <c r="U39" s="283"/>
      <c r="V39" s="283"/>
      <c r="W39" s="283"/>
      <c r="X39" s="283"/>
      <c r="Y39" s="284"/>
    </row>
    <row r="40" ht="16.5" hidden="1" customHeight="1">
      <c r="A40" s="285"/>
      <c r="B40" s="286"/>
      <c r="C40" s="82"/>
      <c r="E40" s="82" t="str">
        <f t="shared" si="33"/>
        <v/>
      </c>
      <c r="G40" s="282" t="str">
        <f t="shared" si="34"/>
        <v/>
      </c>
      <c r="H40" s="282" t="str">
        <f t="shared" si="35"/>
        <v/>
      </c>
      <c r="I40" s="283"/>
      <c r="J40" s="283"/>
      <c r="K40" s="283"/>
      <c r="L40" s="283"/>
      <c r="M40" s="283"/>
      <c r="N40" s="283"/>
      <c r="O40" s="283"/>
      <c r="P40" s="283"/>
      <c r="Q40" s="283"/>
      <c r="R40" s="283"/>
      <c r="S40" s="283"/>
      <c r="T40" s="283"/>
      <c r="U40" s="283"/>
      <c r="V40" s="283"/>
      <c r="W40" s="283"/>
      <c r="X40" s="283"/>
      <c r="Y40" s="284"/>
    </row>
    <row r="41" ht="16.5" hidden="1" customHeight="1">
      <c r="A41" s="285"/>
      <c r="B41" s="286"/>
      <c r="C41" s="82"/>
      <c r="E41" s="82" t="str">
        <f t="shared" si="33"/>
        <v/>
      </c>
      <c r="G41" s="282" t="str">
        <f t="shared" si="34"/>
        <v/>
      </c>
      <c r="H41" s="282" t="str">
        <f t="shared" si="35"/>
        <v/>
      </c>
      <c r="I41" s="283"/>
      <c r="J41" s="283"/>
      <c r="K41" s="283"/>
      <c r="L41" s="283"/>
      <c r="M41" s="283"/>
      <c r="N41" s="283"/>
      <c r="O41" s="283"/>
      <c r="P41" s="283"/>
      <c r="Q41" s="283"/>
      <c r="R41" s="283"/>
      <c r="S41" s="283"/>
      <c r="T41" s="283"/>
      <c r="U41" s="283"/>
      <c r="V41" s="283"/>
      <c r="W41" s="283"/>
      <c r="X41" s="283"/>
      <c r="Y41" s="284"/>
    </row>
    <row r="42" ht="16.5" hidden="1" customHeight="1">
      <c r="A42" s="285"/>
      <c r="B42" s="286"/>
      <c r="C42" s="82"/>
      <c r="E42" s="82" t="str">
        <f t="shared" si="33"/>
        <v/>
      </c>
      <c r="G42" s="282" t="str">
        <f t="shared" si="34"/>
        <v/>
      </c>
      <c r="H42" s="282" t="str">
        <f t="shared" si="35"/>
        <v/>
      </c>
      <c r="I42" s="283"/>
      <c r="J42" s="283"/>
      <c r="K42" s="283"/>
      <c r="L42" s="283"/>
      <c r="M42" s="283"/>
      <c r="N42" s="283"/>
      <c r="O42" s="283"/>
      <c r="P42" s="283"/>
      <c r="Q42" s="283"/>
      <c r="R42" s="283"/>
      <c r="S42" s="283"/>
      <c r="T42" s="283"/>
      <c r="U42" s="283"/>
      <c r="V42" s="283"/>
      <c r="W42" s="283"/>
      <c r="X42" s="283"/>
      <c r="Y42" s="284"/>
    </row>
    <row r="43" ht="16.5" hidden="1" customHeight="1">
      <c r="A43" s="285"/>
      <c r="B43" s="286"/>
      <c r="C43" s="82"/>
      <c r="E43" s="82" t="str">
        <f t="shared" si="33"/>
        <v/>
      </c>
      <c r="G43" s="282" t="str">
        <f t="shared" si="34"/>
        <v/>
      </c>
      <c r="H43" s="282" t="str">
        <f t="shared" si="35"/>
        <v/>
      </c>
      <c r="I43" s="283"/>
      <c r="J43" s="283"/>
      <c r="K43" s="283"/>
      <c r="L43" s="283"/>
      <c r="M43" s="283"/>
      <c r="N43" s="283"/>
      <c r="O43" s="283"/>
      <c r="P43" s="283"/>
      <c r="Q43" s="283"/>
      <c r="R43" s="283"/>
      <c r="S43" s="283"/>
      <c r="T43" s="283"/>
      <c r="U43" s="283"/>
      <c r="V43" s="283"/>
      <c r="W43" s="283"/>
      <c r="X43" s="283"/>
      <c r="Y43" s="284"/>
    </row>
    <row r="44" ht="16.5" hidden="1" customHeight="1">
      <c r="A44" s="287" t="str">
        <f t="shared" ref="A44:A47" si="36">$A12</f>
        <v>Parya Ardalani</v>
      </c>
      <c r="B44" s="286"/>
      <c r="C44" s="82"/>
      <c r="E44" s="82" t="str">
        <f t="shared" si="33"/>
        <v/>
      </c>
      <c r="G44" s="282">
        <f t="shared" si="34"/>
        <v>-8</v>
      </c>
      <c r="H44" s="282" t="str">
        <f t="shared" si="35"/>
        <v/>
      </c>
      <c r="I44" s="283"/>
      <c r="J44" s="283"/>
      <c r="K44" s="283"/>
      <c r="L44" s="283"/>
      <c r="M44" s="283"/>
      <c r="N44" s="283"/>
      <c r="O44" s="283"/>
      <c r="P44" s="283"/>
      <c r="Q44" s="283"/>
      <c r="R44" s="283"/>
      <c r="S44" s="283"/>
      <c r="T44" s="283"/>
      <c r="U44" s="283"/>
      <c r="V44" s="283"/>
      <c r="W44" s="283"/>
      <c r="X44" s="283"/>
      <c r="Y44" s="284"/>
    </row>
    <row r="45" ht="16.5" hidden="1" customHeight="1">
      <c r="A45" s="287" t="str">
        <f t="shared" si="36"/>
        <v>Amin Mohabbat</v>
      </c>
      <c r="B45" s="286"/>
      <c r="C45" s="82"/>
      <c r="E45" s="82" t="str">
        <f t="shared" si="33"/>
        <v/>
      </c>
      <c r="G45" s="282">
        <f t="shared" si="34"/>
        <v>-7</v>
      </c>
      <c r="H45" s="282" t="str">
        <f t="shared" si="35"/>
        <v/>
      </c>
      <c r="I45" s="283"/>
      <c r="J45" s="283"/>
      <c r="K45" s="283"/>
      <c r="L45" s="283"/>
      <c r="M45" s="283"/>
      <c r="N45" s="283"/>
      <c r="O45" s="283"/>
      <c r="P45" s="283"/>
      <c r="Q45" s="283"/>
      <c r="R45" s="283"/>
      <c r="S45" s="283"/>
      <c r="T45" s="283"/>
      <c r="U45" s="283"/>
      <c r="V45" s="283"/>
      <c r="W45" s="283"/>
      <c r="X45" s="283"/>
      <c r="Y45" s="284"/>
    </row>
    <row r="46" ht="16.5" hidden="1" customHeight="1">
      <c r="A46" s="285" t="str">
        <f t="shared" si="36"/>
        <v/>
      </c>
      <c r="B46" s="288"/>
      <c r="C46" s="82"/>
      <c r="E46" s="82" t="str">
        <f t="shared" si="33"/>
        <v/>
      </c>
      <c r="G46" s="282" t="str">
        <f t="shared" si="34"/>
        <v/>
      </c>
      <c r="H46" s="282" t="str">
        <f t="shared" si="35"/>
        <v/>
      </c>
      <c r="I46" s="283"/>
      <c r="J46" s="283"/>
      <c r="K46" s="283"/>
      <c r="L46" s="283"/>
      <c r="M46" s="283"/>
      <c r="N46" s="283"/>
      <c r="O46" s="283"/>
      <c r="P46" s="283"/>
      <c r="Q46" s="283"/>
      <c r="R46" s="283"/>
      <c r="S46" s="283"/>
      <c r="T46" s="283"/>
      <c r="U46" s="283"/>
      <c r="V46" s="283"/>
      <c r="W46" s="283"/>
      <c r="X46" s="283"/>
      <c r="Y46" s="284"/>
    </row>
    <row r="47" ht="16.5" hidden="1" customHeight="1">
      <c r="A47" s="285" t="str">
        <f t="shared" si="36"/>
        <v/>
      </c>
      <c r="B47" s="272"/>
      <c r="C47" s="82"/>
      <c r="E47" s="82" t="str">
        <f t="shared" si="33"/>
        <v/>
      </c>
      <c r="G47" s="282" t="str">
        <f t="shared" si="34"/>
        <v/>
      </c>
      <c r="H47" s="282" t="str">
        <f t="shared" si="35"/>
        <v/>
      </c>
      <c r="I47" s="283"/>
      <c r="J47" s="283"/>
      <c r="K47" s="283"/>
      <c r="L47" s="283"/>
      <c r="M47" s="283"/>
      <c r="N47" s="283"/>
      <c r="O47" s="283"/>
      <c r="P47" s="283"/>
      <c r="Q47" s="283"/>
      <c r="R47" s="283"/>
      <c r="S47" s="283"/>
      <c r="T47" s="283"/>
      <c r="U47" s="283"/>
      <c r="V47" s="283"/>
      <c r="W47" s="283"/>
      <c r="X47" s="283"/>
      <c r="Y47" s="284"/>
    </row>
    <row r="48" ht="16.5" hidden="1" customHeight="1">
      <c r="A48" s="285"/>
      <c r="B48" s="272"/>
      <c r="C48" s="82"/>
      <c r="E48" s="82" t="str">
        <f t="shared" si="33"/>
        <v/>
      </c>
      <c r="G48" s="282" t="str">
        <f t="shared" si="34"/>
        <v/>
      </c>
      <c r="H48" s="282" t="str">
        <f t="shared" si="35"/>
        <v/>
      </c>
      <c r="I48" s="283"/>
      <c r="J48" s="283"/>
      <c r="K48" s="283"/>
      <c r="L48" s="283"/>
      <c r="M48" s="283"/>
      <c r="N48" s="283"/>
      <c r="O48" s="283"/>
      <c r="P48" s="283"/>
      <c r="Q48" s="283"/>
      <c r="R48" s="283"/>
      <c r="S48" s="283"/>
      <c r="T48" s="283"/>
      <c r="U48" s="283"/>
      <c r="V48" s="283"/>
      <c r="W48" s="283"/>
      <c r="X48" s="283"/>
      <c r="Y48" s="284"/>
    </row>
    <row r="49" ht="16.5" hidden="1" customHeight="1">
      <c r="A49" s="285"/>
      <c r="B49" s="272"/>
      <c r="C49" s="82"/>
      <c r="E49" s="82" t="str">
        <f t="shared" si="33"/>
        <v/>
      </c>
      <c r="G49" s="282" t="str">
        <f t="shared" si="34"/>
        <v/>
      </c>
      <c r="H49" s="282" t="str">
        <f t="shared" si="35"/>
        <v/>
      </c>
      <c r="I49" s="283"/>
      <c r="J49" s="283"/>
      <c r="K49" s="283"/>
      <c r="L49" s="283"/>
      <c r="M49" s="283"/>
      <c r="N49" s="283"/>
      <c r="O49" s="283"/>
      <c r="P49" s="283"/>
      <c r="Q49" s="283"/>
      <c r="R49" s="283"/>
      <c r="S49" s="283"/>
      <c r="T49" s="283"/>
      <c r="U49" s="283"/>
      <c r="V49" s="283"/>
      <c r="W49" s="283"/>
      <c r="X49" s="283"/>
      <c r="Y49" s="284"/>
    </row>
    <row r="50" ht="16.5" hidden="1" customHeight="1">
      <c r="A50" s="285"/>
      <c r="B50" s="272"/>
      <c r="C50" s="82"/>
      <c r="E50" s="82" t="str">
        <f t="shared" si="33"/>
        <v/>
      </c>
      <c r="G50" s="282" t="str">
        <f t="shared" si="34"/>
        <v/>
      </c>
      <c r="H50" s="282" t="str">
        <f t="shared" si="35"/>
        <v/>
      </c>
      <c r="I50" s="283"/>
      <c r="J50" s="283"/>
      <c r="K50" s="283"/>
      <c r="L50" s="283"/>
      <c r="M50" s="283"/>
      <c r="N50" s="283"/>
      <c r="O50" s="283"/>
      <c r="P50" s="283"/>
      <c r="Q50" s="283"/>
      <c r="R50" s="283"/>
      <c r="S50" s="283"/>
      <c r="T50" s="283"/>
      <c r="U50" s="283"/>
      <c r="V50" s="283"/>
      <c r="W50" s="283"/>
      <c r="X50" s="283"/>
      <c r="Y50" s="284"/>
    </row>
    <row r="51" ht="22.5" hidden="1" customHeight="1">
      <c r="A51" s="70"/>
      <c r="B51" s="70" t="s">
        <v>1226</v>
      </c>
      <c r="C51" s="192"/>
      <c r="D51" s="192"/>
      <c r="E51" s="192"/>
      <c r="F51" s="192"/>
      <c r="G51" s="192"/>
      <c r="H51" s="70" t="s">
        <v>1227</v>
      </c>
      <c r="I51" s="192"/>
      <c r="J51" s="70" t="s">
        <v>1228</v>
      </c>
      <c r="K51" s="192"/>
      <c r="L51" s="70"/>
      <c r="M51" s="70"/>
      <c r="N51" s="70" t="s">
        <v>1229</v>
      </c>
      <c r="O51" s="192"/>
      <c r="P51" s="70" t="s">
        <v>1230</v>
      </c>
      <c r="Q51" s="70"/>
      <c r="R51" s="70"/>
      <c r="S51" s="70"/>
      <c r="T51" s="70"/>
      <c r="U51" s="70"/>
      <c r="V51" s="70"/>
      <c r="W51" s="70"/>
      <c r="X51" s="70"/>
      <c r="Y51" s="70"/>
      <c r="Z51" s="70"/>
      <c r="AA51" s="192"/>
      <c r="AB51" s="192"/>
      <c r="AC51" s="192"/>
      <c r="AD51" s="192"/>
      <c r="AE51" s="199" t="s">
        <v>73</v>
      </c>
    </row>
    <row r="52" ht="30.0" hidden="1" customHeight="1">
      <c r="A52" s="279" t="s">
        <v>1184</v>
      </c>
      <c r="B52" s="289" t="s">
        <v>1231</v>
      </c>
      <c r="D52" s="279" t="s">
        <v>1232</v>
      </c>
      <c r="E52" s="279" t="s">
        <v>1233</v>
      </c>
      <c r="H52" s="279" t="s">
        <v>1234</v>
      </c>
      <c r="I52" s="279" t="s">
        <v>1235</v>
      </c>
      <c r="J52" s="279" t="s">
        <v>1236</v>
      </c>
      <c r="K52" s="279" t="s">
        <v>1237</v>
      </c>
      <c r="L52" s="279" t="s">
        <v>1238</v>
      </c>
      <c r="M52" s="279" t="s">
        <v>1239</v>
      </c>
      <c r="N52" s="279" t="s">
        <v>1240</v>
      </c>
      <c r="O52" s="279" t="s">
        <v>1241</v>
      </c>
      <c r="P52" s="279" t="s">
        <v>1242</v>
      </c>
      <c r="Q52" s="279"/>
      <c r="R52" s="279"/>
      <c r="S52" s="279"/>
      <c r="T52" s="279"/>
      <c r="U52" s="279"/>
      <c r="V52" s="279"/>
      <c r="W52" s="279"/>
      <c r="X52" s="279"/>
      <c r="Y52" s="279"/>
      <c r="Z52" s="279"/>
      <c r="AA52" s="279"/>
      <c r="AB52" s="279"/>
      <c r="AC52" s="279"/>
      <c r="AD52" s="279"/>
      <c r="AE52" s="290"/>
    </row>
    <row r="53" ht="18.75" hidden="1" customHeight="1">
      <c r="A53" s="275" t="s">
        <v>1213</v>
      </c>
      <c r="B53" s="277">
        <f>IF('Roadmap setting'!$B$8&gt;TODAY(),$M53/ROUNDUP(('Roadmap setting'!$B$8-TODAY())/7),$M53/MIN($O$55:$O$56))</f>
        <v>8.693171285</v>
      </c>
      <c r="D53" s="277">
        <f t="shared" ref="D53:D54" si="37">SUMIFS($AB$4:$AB$47,$D$4:$D$47,$A53)</f>
        <v>9.714375</v>
      </c>
      <c r="E53" s="277">
        <f t="shared" ref="E53:E54" si="38">B53</f>
        <v>8.693171285</v>
      </c>
      <c r="H53" s="277">
        <f t="shared" ref="H53:H64" si="39">$B53-$D53</f>
        <v>-1.021203715</v>
      </c>
      <c r="I53" s="277">
        <f>H53</f>
        <v>-1.021203715</v>
      </c>
      <c r="J53" s="277">
        <f>Roadmap!$D$190</f>
        <v>140.76</v>
      </c>
      <c r="K53" s="277"/>
      <c r="L53" s="277"/>
      <c r="M53" s="277">
        <f>Roadmap!$D$191</f>
        <v>72.68</v>
      </c>
      <c r="N53" s="291">
        <f t="shared" ref="N53:N63" si="40">IF($M53&gt;0,$M53/$B53,0)</f>
        <v>8.360585294</v>
      </c>
      <c r="O53" s="291">
        <f t="shared" ref="O53:O63" si="41">IF($M53&gt;0,$M53/$E53,0)</f>
        <v>8.360585294</v>
      </c>
      <c r="P53" s="277"/>
      <c r="Q53" s="277"/>
      <c r="R53" s="277"/>
      <c r="S53" s="277"/>
      <c r="T53" s="277"/>
      <c r="U53" s="277"/>
      <c r="V53" s="277"/>
      <c r="W53" s="277"/>
      <c r="X53" s="277"/>
      <c r="Y53" s="277"/>
      <c r="Z53" s="277"/>
      <c r="AA53" s="277"/>
      <c r="AB53" s="292"/>
      <c r="AC53" s="292"/>
      <c r="AD53" s="292"/>
      <c r="AE53" s="293"/>
    </row>
    <row r="54" ht="18.75" hidden="1" customHeight="1">
      <c r="A54" s="275" t="s">
        <v>1243</v>
      </c>
      <c r="B54" s="277">
        <f>IF('Roadmap setting'!$B$8&gt;TODAY(),$M54/ROUNDUP(('Roadmap setting'!$B$8-TODAY())/7),$M54/MIN($O$55:$O$56))</f>
        <v>0</v>
      </c>
      <c r="D54" s="277">
        <f t="shared" si="37"/>
        <v>0</v>
      </c>
      <c r="E54" s="277">
        <f t="shared" si="38"/>
        <v>0</v>
      </c>
      <c r="H54" s="277">
        <f t="shared" si="39"/>
        <v>0</v>
      </c>
      <c r="I54" s="277"/>
      <c r="J54" s="277"/>
      <c r="K54" s="275"/>
      <c r="L54" s="277"/>
      <c r="M54" s="275"/>
      <c r="N54" s="291">
        <f t="shared" si="40"/>
        <v>0</v>
      </c>
      <c r="O54" s="291">
        <f t="shared" si="41"/>
        <v>0</v>
      </c>
      <c r="P54" s="277"/>
      <c r="Q54" s="277"/>
      <c r="R54" s="277"/>
      <c r="S54" s="277"/>
      <c r="T54" s="277"/>
      <c r="U54" s="277"/>
      <c r="V54" s="277"/>
      <c r="W54" s="277"/>
      <c r="X54" s="277"/>
      <c r="Y54" s="277"/>
      <c r="Z54" s="277"/>
      <c r="AA54" s="275"/>
      <c r="AB54" s="292"/>
      <c r="AC54" s="292"/>
      <c r="AD54" s="292"/>
      <c r="AE54" s="293"/>
    </row>
    <row r="55" ht="18.75" hidden="1" customHeight="1">
      <c r="A55" s="275" t="s">
        <v>1216</v>
      </c>
      <c r="B55" s="277">
        <f>IF('Roadmap setting'!$B$8&gt;TODAY(),$M55/ROUNDUP(('Roadmap setting'!$B$8-TODAY())/7),$M55/MIN($O$55:$O$56))</f>
        <v>45.18523366</v>
      </c>
      <c r="D55" s="277">
        <f>SUMIFS($AB$4:$AB$47,$D$4:$D$47,$A$55)+IF($D$54&gt;0,$D$54*($M55/($M55+$M56)))+$D$64</f>
        <v>31.57263889</v>
      </c>
      <c r="E55" s="277">
        <f>$D$55*($K55/(SUM($K$53:$K$64)))</f>
        <v>27.46199381</v>
      </c>
      <c r="H55" s="277">
        <f t="shared" si="39"/>
        <v>13.61259477</v>
      </c>
      <c r="I55" s="277">
        <f t="shared" ref="I55:I56" si="42">$H55+$H58+($H$60*($B55/SUM($B$55:$B$56)))+($H$61*($B55/SUM($B$55:$B$56)))+($H$62*($B55/SUM($B$55:$B$56)))+($H$63*($B55/SUM($B$55:$B$56)))</f>
        <v>16.35174739</v>
      </c>
      <c r="J55" s="277">
        <f>Roadmap!$E$190</f>
        <v>774.525</v>
      </c>
      <c r="K55" s="277">
        <f>$M55</f>
        <v>377.775</v>
      </c>
      <c r="L55" s="277"/>
      <c r="M55" s="277">
        <f>Roadmap!$E$191</f>
        <v>377.775</v>
      </c>
      <c r="N55" s="291">
        <f t="shared" si="40"/>
        <v>8.360585294</v>
      </c>
      <c r="O55" s="291">
        <f t="shared" si="41"/>
        <v>13.75628451</v>
      </c>
      <c r="P55" s="277">
        <f>IF(ISDATE('Roadmap setting'!$B$7)&amp;'Roadmap setting'!$B$7&lt;TODAY(),$J55/ROUNDUP(('Roadmap setting'!$B$8-'Roadmap setting'!$B$7)/7),$J55/$O55)</f>
        <v>56.30335717</v>
      </c>
      <c r="Q55" s="292"/>
      <c r="R55" s="277"/>
      <c r="S55" s="277"/>
      <c r="T55" s="277"/>
      <c r="U55" s="277"/>
      <c r="V55" s="277"/>
      <c r="W55" s="277"/>
      <c r="X55" s="277"/>
      <c r="Y55" s="277"/>
      <c r="Z55" s="277"/>
      <c r="AA55" s="277"/>
      <c r="AB55" s="292"/>
      <c r="AC55" s="292"/>
      <c r="AD55" s="292"/>
      <c r="AE55" s="293"/>
    </row>
    <row r="56" ht="18.75" hidden="1" customHeight="1">
      <c r="A56" s="275" t="s">
        <v>1215</v>
      </c>
      <c r="B56" s="277">
        <f>IF('Roadmap setting'!$B$8&gt;TODAY(),$M56/ROUNDUP(('Roadmap setting'!$B$8-TODAY())/7),$M56/MIN($O$55:$O$56))</f>
        <v>20.28865134</v>
      </c>
      <c r="D56" s="277">
        <f>SUMIFS($AB$4:$AB$47,$D$4:$D$47,$A$56)+IF($D$54&gt;0,$D$54*($M56/($M55+$M56)))</f>
        <v>23.32555556</v>
      </c>
      <c r="E56" s="277">
        <f>$D$56*($L56/(SUM($L$53:$L$64)))</f>
        <v>20.28865134</v>
      </c>
      <c r="H56" s="277">
        <f t="shared" si="39"/>
        <v>-3.036904218</v>
      </c>
      <c r="I56" s="277">
        <f t="shared" si="42"/>
        <v>-1.806995507</v>
      </c>
      <c r="J56" s="277">
        <f>Roadmap!$F$190</f>
        <v>284.625</v>
      </c>
      <c r="K56" s="292"/>
      <c r="L56" s="277">
        <f>$M56</f>
        <v>169.625</v>
      </c>
      <c r="M56" s="277">
        <f>Roadmap!$F$191</f>
        <v>169.625</v>
      </c>
      <c r="N56" s="291">
        <f t="shared" si="40"/>
        <v>8.360585294</v>
      </c>
      <c r="O56" s="291">
        <f t="shared" si="41"/>
        <v>8.360585294</v>
      </c>
      <c r="P56" s="277">
        <f>IF('Roadmap setting'!$B$8&gt;TODAY(),$J56/ROUNDUP(('Roadmap setting'!$B$8-TODAY())/7),$J56/$O56)</f>
        <v>34.04366919</v>
      </c>
      <c r="Q56" s="277"/>
      <c r="R56" s="277"/>
      <c r="S56" s="277"/>
      <c r="T56" s="277"/>
      <c r="U56" s="277"/>
      <c r="V56" s="277"/>
      <c r="W56" s="277"/>
      <c r="X56" s="277"/>
      <c r="Y56" s="277"/>
      <c r="Z56" s="277"/>
      <c r="AA56" s="277"/>
      <c r="AB56" s="292"/>
      <c r="AC56" s="292"/>
      <c r="AD56" s="292"/>
      <c r="AE56" s="293"/>
    </row>
    <row r="57" ht="18.75" hidden="1" customHeight="1">
      <c r="A57" s="275" t="s">
        <v>1217</v>
      </c>
      <c r="B57" s="277">
        <f>IF('Roadmap setting'!$B$8&gt;TODAY(),$M57/ROUNDUP(('Roadmap setting'!$B$8-TODAY())/7),$M57/MIN($O$55:$O$56))</f>
        <v>3.669151013</v>
      </c>
      <c r="D57" s="277">
        <f t="shared" ref="D57:D64" si="43">SUMIFS($AB$4:$AB$47,$D$4:$D$47,$A57)</f>
        <v>9.747083333</v>
      </c>
      <c r="E57" s="277">
        <f>B57</f>
        <v>3.669151013</v>
      </c>
      <c r="H57" s="277">
        <f t="shared" si="39"/>
        <v>-6.07793232</v>
      </c>
      <c r="I57" s="277"/>
      <c r="J57" s="277">
        <f>Roadmap!$G$190</f>
        <v>40.68125</v>
      </c>
      <c r="K57" s="277"/>
      <c r="L57" s="277"/>
      <c r="M57" s="277">
        <f>Roadmap!$G$191</f>
        <v>30.67625</v>
      </c>
      <c r="N57" s="291">
        <f t="shared" si="40"/>
        <v>8.360585294</v>
      </c>
      <c r="O57" s="291">
        <f t="shared" si="41"/>
        <v>8.360585294</v>
      </c>
      <c r="P57" s="277"/>
      <c r="Q57" s="277"/>
      <c r="R57" s="277"/>
      <c r="S57" s="277"/>
      <c r="T57" s="277"/>
      <c r="U57" s="277"/>
      <c r="V57" s="277"/>
      <c r="W57" s="277"/>
      <c r="X57" s="277"/>
      <c r="Y57" s="277"/>
      <c r="Z57" s="277"/>
      <c r="AA57" s="277"/>
      <c r="AB57" s="292"/>
      <c r="AC57" s="292"/>
      <c r="AD57" s="292"/>
      <c r="AE57" s="293"/>
    </row>
    <row r="58" ht="18.75" hidden="1" customHeight="1">
      <c r="A58" s="275" t="s">
        <v>1244</v>
      </c>
      <c r="B58" s="277">
        <f>IF('Roadmap setting'!$B$8&gt;TODAY(),$M58/ROUNDUP(('Roadmap setting'!$B$8-TODAY())/7),$M58/MIN($O$55:$O$56))</f>
        <v>0</v>
      </c>
      <c r="D58" s="277">
        <f t="shared" si="43"/>
        <v>0</v>
      </c>
      <c r="E58" s="277">
        <f t="shared" ref="E58:E64" si="44">$D$55*($K58/(SUM($K$53:$K$64)))+$D$56*($L58/(SUM($L$53:$L$64)))</f>
        <v>0</v>
      </c>
      <c r="H58" s="277">
        <f t="shared" si="39"/>
        <v>0</v>
      </c>
      <c r="I58" s="277"/>
      <c r="J58" s="277">
        <f t="array" ref="J58">XLOOKUP($A58,IF(RIGHT('Roadmap setting'!$B$9,3)="MMR",Roadmap!$P$2:$U$2,IF(RIGHT('Roadmap setting'!$B$9,3)="MLP",Roadmap!$X$2:$AC$2,IF(RIGHT('Roadmap setting'!$B$9,3)="MAP",Roadmap!$AF$2:$AL$2,Roadmap!$H$2:$M$2))),IF(RIGHT('Roadmap setting'!$B$9,3)="MMR",Roadmap!$P$190:$U$190,IF(RIGHT('Roadmap setting'!$B$9,3)="MLP",Roadmap!$X$190:$AC$190,IF(RIGHT('Roadmap setting'!$B$9,3)="MAP",Roadmap!$AF$190:$AL$190,Roadmap!$H$190:$M$190))))</f>
        <v>0</v>
      </c>
      <c r="K58" s="277">
        <f>$M58</f>
        <v>0</v>
      </c>
      <c r="L58" s="277"/>
      <c r="M58" s="277">
        <f t="array" ref="M58">XLOOKUP($A58,IF(RIGHT('Roadmap setting'!$B$9,3)="MMR",Roadmap!$P$2:$U$2,IF(RIGHT('Roadmap setting'!$B$9,3)="MLP",Roadmap!$X$2:$AC$2,IF(RIGHT('Roadmap setting'!$B$9,3)="MAP",Roadmap!$AF$2:$AL$2,Roadmap!$H$2:$M$2))),IF(RIGHT('Roadmap setting'!$B$9,3)="MMR",Roadmap!$P$191:$U$191,IF(RIGHT('Roadmap setting'!$B$9,3)="MLP",Roadmap!$X$191:$AC$191,IF(RIGHT('Roadmap setting'!$B$9,3)="MAP",Roadmap!$AF$191:$AL$191,Roadmap!$H$191:$M$191))))</f>
        <v>0</v>
      </c>
      <c r="N58" s="291">
        <f t="shared" si="40"/>
        <v>0</v>
      </c>
      <c r="O58" s="291">
        <f t="shared" si="41"/>
        <v>0</v>
      </c>
      <c r="P58" s="277"/>
      <c r="Q58" s="277"/>
      <c r="R58" s="277"/>
      <c r="S58" s="277"/>
      <c r="T58" s="277"/>
      <c r="U58" s="277"/>
      <c r="V58" s="277"/>
      <c r="W58" s="277"/>
      <c r="X58" s="277"/>
      <c r="Y58" s="277"/>
      <c r="Z58" s="277"/>
      <c r="AA58" s="277"/>
      <c r="AB58" s="292"/>
      <c r="AC58" s="292"/>
      <c r="AD58" s="292"/>
      <c r="AE58" s="293"/>
    </row>
    <row r="59" ht="18.75" hidden="1" customHeight="1">
      <c r="A59" s="275" t="s">
        <v>1245</v>
      </c>
      <c r="B59" s="277">
        <f>IF('Roadmap setting'!$B$8&gt;TODAY(),$M59/ROUNDUP(('Roadmap setting'!$B$8-TODAY())/7),$M59/MIN($O$55:$O$56))</f>
        <v>0</v>
      </c>
      <c r="D59" s="277">
        <f t="shared" si="43"/>
        <v>0</v>
      </c>
      <c r="E59" s="277">
        <f t="shared" si="44"/>
        <v>0</v>
      </c>
      <c r="H59" s="277">
        <f t="shared" si="39"/>
        <v>0</v>
      </c>
      <c r="I59" s="277"/>
      <c r="J59" s="277">
        <f t="array" ref="J59">XLOOKUP($A59,IF(RIGHT('Roadmap setting'!$B$9,3)="MMR",Roadmap!$P$2:$U$2,IF(RIGHT('Roadmap setting'!$B$9,3)="MLP",Roadmap!$X$2:$AC$2,IF(RIGHT('Roadmap setting'!$B$9,3)="MAP",Roadmap!$AF$2:$AL$2,Roadmap!$H$2:$M$2))),IF(RIGHT('Roadmap setting'!$B$9,3)="MMR",Roadmap!$P$190:$U$190,IF(RIGHT('Roadmap setting'!$B$9,3)="MLP",Roadmap!$X$190:$AC$190,IF(RIGHT('Roadmap setting'!$B$9,3)="MAP",Roadmap!$AF$190:$AL$190,Roadmap!$H$190:$M$190))))</f>
        <v>0</v>
      </c>
      <c r="K59" s="292"/>
      <c r="L59" s="277">
        <f>$M59</f>
        <v>0</v>
      </c>
      <c r="M59" s="277">
        <f t="array" ref="M59">XLOOKUP($A59,IF(RIGHT('Roadmap setting'!$B$9,3)="MMR",Roadmap!$P$2:$U$2,IF(RIGHT('Roadmap setting'!$B$9,3)="MLP",Roadmap!$X$2:$AC$2,IF(RIGHT('Roadmap setting'!$B$9,3)="MAP",Roadmap!$AF$2:$AL$2,Roadmap!$H$2:$M$2))),IF(RIGHT('Roadmap setting'!$B$9,3)="MMR",Roadmap!$P$191:$U$191,IF(RIGHT('Roadmap setting'!$B$9,3)="MLP",Roadmap!$X$191:$AC$191,IF(RIGHT('Roadmap setting'!$B$9,3)="MAP",Roadmap!$AF$191:$AL$191,Roadmap!$H$191:$M$191))))</f>
        <v>0</v>
      </c>
      <c r="N59" s="291">
        <f t="shared" si="40"/>
        <v>0</v>
      </c>
      <c r="O59" s="291">
        <f t="shared" si="41"/>
        <v>0</v>
      </c>
      <c r="P59" s="277"/>
      <c r="Q59" s="277"/>
      <c r="R59" s="277"/>
      <c r="S59" s="277"/>
      <c r="T59" s="277"/>
      <c r="U59" s="277"/>
      <c r="V59" s="277"/>
      <c r="W59" s="277"/>
      <c r="X59" s="277"/>
      <c r="Y59" s="277"/>
      <c r="Z59" s="277"/>
      <c r="AA59" s="277"/>
      <c r="AB59" s="292"/>
      <c r="AC59" s="292"/>
      <c r="AD59" s="292"/>
      <c r="AE59" s="293"/>
    </row>
    <row r="60" ht="18.75" hidden="1" customHeight="1">
      <c r="A60" s="294" t="s">
        <v>1219</v>
      </c>
      <c r="B60" s="277">
        <f>IF('Roadmap setting'!$B$8&gt;TODAY(),$M60/ROUNDUP(('Roadmap setting'!$B$8-TODAY())/7),$M60/MIN($O$55:$O$56))</f>
        <v>7.840360178</v>
      </c>
      <c r="D60" s="277">
        <f t="shared" si="43"/>
        <v>5.831388889</v>
      </c>
      <c r="E60" s="277">
        <f t="shared" si="44"/>
        <v>5.71803944</v>
      </c>
      <c r="H60" s="277">
        <f t="shared" si="39"/>
        <v>2.008971289</v>
      </c>
      <c r="I60" s="277"/>
      <c r="J60" s="277">
        <f t="array" ref="J60">XLOOKUP($A60,IF(RIGHT('Roadmap setting'!$B$9,3)="MMR",Roadmap!$P$2:$U$2,IF(RIGHT('Roadmap setting'!$B$9,3)="MLP",Roadmap!$X$2:$AC$2,IF(RIGHT('Roadmap setting'!$B$9,3)="MAP",Roadmap!$AF$2:$AL$2,Roadmap!$H$2:$M$2))),IF(RIGHT('Roadmap setting'!$B$9,3)="MMR",Roadmap!$P$190:$U$190,IF(RIGHT('Roadmap setting'!$B$9,3)="MLP",Roadmap!$X$190:$AC$190,IF(RIGHT('Roadmap setting'!$B$9,3)="MAP",Roadmap!$AF$190:$AL$190,Roadmap!$H$190:$M$190))))</f>
        <v>126.96</v>
      </c>
      <c r="K60" s="277">
        <f t="shared" ref="K60:K63" si="45">$M$55/($M$55+$M$56)*$M60</f>
        <v>45.23776261</v>
      </c>
      <c r="L60" s="277">
        <f t="shared" ref="L60:L63" si="46">$M60-$K60</f>
        <v>20.31223739</v>
      </c>
      <c r="M60" s="277">
        <f t="array" ref="M60">XLOOKUP($A60,IF(RIGHT('Roadmap setting'!$B$9,3)="MMR",Roadmap!$P$2:$U$2,IF(RIGHT('Roadmap setting'!$B$9,3)="MLP",Roadmap!$X$2:$AC$2,IF(RIGHT('Roadmap setting'!$B$9,3)="MAP",Roadmap!$AF$2:$AL$2,Roadmap!$H$2:$M$2))),IF(RIGHT('Roadmap setting'!$B$9,3)="MMR",Roadmap!$P$191:$U$191,IF(RIGHT('Roadmap setting'!$B$9,3)="MLP",Roadmap!$X$191:$AC$191,IF(RIGHT('Roadmap setting'!$B$9,3)="MAP",Roadmap!$AF$191:$AL$191,Roadmap!$H$191:$M$191))))</f>
        <v>65.55</v>
      </c>
      <c r="N60" s="291">
        <f t="shared" si="40"/>
        <v>8.360585294</v>
      </c>
      <c r="O60" s="291">
        <f t="shared" si="41"/>
        <v>11.46371946</v>
      </c>
      <c r="P60" s="277"/>
      <c r="Q60" s="277"/>
      <c r="R60" s="277"/>
      <c r="S60" s="277"/>
      <c r="T60" s="277"/>
      <c r="U60" s="277"/>
      <c r="V60" s="277"/>
      <c r="W60" s="277"/>
      <c r="X60" s="277"/>
      <c r="Y60" s="277"/>
      <c r="Z60" s="277"/>
      <c r="AA60" s="277"/>
      <c r="AB60" s="292"/>
      <c r="AC60" s="292"/>
      <c r="AD60" s="292"/>
      <c r="AE60" s="293"/>
    </row>
    <row r="61" ht="18.75" hidden="1" customHeight="1">
      <c r="A61" s="275" t="s">
        <v>1246</v>
      </c>
      <c r="B61" s="277">
        <f>IF('Roadmap setting'!$B$8&gt;TODAY(),$M61/ROUNDUP(('Roadmap setting'!$B$8-TODAY())/7),$M61/MIN($O$55:$O$56))</f>
        <v>0.6533633482</v>
      </c>
      <c r="D61" s="277">
        <f t="shared" si="43"/>
        <v>0</v>
      </c>
      <c r="E61" s="277">
        <f t="shared" si="44"/>
        <v>0.4765032866</v>
      </c>
      <c r="H61" s="277">
        <f t="shared" si="39"/>
        <v>0.6533633482</v>
      </c>
      <c r="I61" s="277"/>
      <c r="J61" s="277">
        <f t="array" ref="J61">XLOOKUP($A61,IF(RIGHT('Roadmap setting'!$B$9,3)="MMR",Roadmap!$P$2:$U$2,IF(RIGHT('Roadmap setting'!$B$9,3)="MLP",Roadmap!$X$2:$AC$2,IF(RIGHT('Roadmap setting'!$B$9,3)="MAP",Roadmap!$AF$2:$AL$2,Roadmap!$H$2:$M$2))),IF(RIGHT('Roadmap setting'!$B$9,3)="MMR",Roadmap!$P$190:$U$190,IF(RIGHT('Roadmap setting'!$B$9,3)="MLP",Roadmap!$X$190:$AC$190,IF(RIGHT('Roadmap setting'!$B$9,3)="MAP",Roadmap!$AF$190:$AL$190,Roadmap!$H$190:$M$190))))</f>
        <v>10.58</v>
      </c>
      <c r="K61" s="277">
        <f t="shared" si="45"/>
        <v>3.76981355</v>
      </c>
      <c r="L61" s="277">
        <f t="shared" si="46"/>
        <v>1.69268645</v>
      </c>
      <c r="M61" s="277">
        <f t="array" ref="M61">XLOOKUP($A61,IF(RIGHT('Roadmap setting'!$B$9,3)="MMR",Roadmap!$P$2:$U$2,IF(RIGHT('Roadmap setting'!$B$9,3)="MLP",Roadmap!$X$2:$AC$2,IF(RIGHT('Roadmap setting'!$B$9,3)="MAP",Roadmap!$AF$2:$AL$2,Roadmap!$H$2:$M$2))),IF(RIGHT('Roadmap setting'!$B$9,3)="MMR",Roadmap!$P$191:$U$191,IF(RIGHT('Roadmap setting'!$B$9,3)="MLP",Roadmap!$X$191:$AC$191,IF(RIGHT('Roadmap setting'!$B$9,3)="MAP",Roadmap!$AF$191:$AL$191,Roadmap!$H$191:$M$191))))</f>
        <v>5.4625</v>
      </c>
      <c r="N61" s="291">
        <f t="shared" si="40"/>
        <v>8.360585294</v>
      </c>
      <c r="O61" s="291">
        <f t="shared" si="41"/>
        <v>11.46371946</v>
      </c>
      <c r="P61" s="277"/>
      <c r="Q61" s="277"/>
      <c r="R61" s="277"/>
      <c r="S61" s="277"/>
      <c r="T61" s="277"/>
      <c r="U61" s="277"/>
      <c r="V61" s="277"/>
      <c r="W61" s="277"/>
      <c r="X61" s="277"/>
      <c r="Y61" s="277"/>
      <c r="Z61" s="277"/>
      <c r="AA61" s="277"/>
      <c r="AB61" s="292"/>
      <c r="AC61" s="292"/>
      <c r="AD61" s="292"/>
      <c r="AE61" s="293"/>
    </row>
    <row r="62" ht="18.75" hidden="1" customHeight="1">
      <c r="A62" s="275" t="s">
        <v>1247</v>
      </c>
      <c r="B62" s="277">
        <f>IF('Roadmap setting'!$B$8&gt;TODAY(),$M62/ROUNDUP(('Roadmap setting'!$B$8-TODAY())/7),$M62/MIN($O$55:$O$56))</f>
        <v>0</v>
      </c>
      <c r="D62" s="277">
        <f t="shared" si="43"/>
        <v>0</v>
      </c>
      <c r="E62" s="277">
        <f t="shared" si="44"/>
        <v>0</v>
      </c>
      <c r="H62" s="277">
        <f t="shared" si="39"/>
        <v>0</v>
      </c>
      <c r="I62" s="277"/>
      <c r="J62" s="277">
        <f t="array" ref="J62">XLOOKUP($A62,IF(RIGHT('Roadmap setting'!$B$9,3)="MMR",Roadmap!$P$2:$U$2,IF(RIGHT('Roadmap setting'!$B$9,3)="MLP",Roadmap!$X$2:$AC$2,IF(RIGHT('Roadmap setting'!$B$9,3)="MAP",Roadmap!$AF$2:$AL$2,Roadmap!$H$2:$M$2))),IF(RIGHT('Roadmap setting'!$B$9,3)="MMR",Roadmap!$P$190:$U$190,IF(RIGHT('Roadmap setting'!$B$9,3)="MLP",Roadmap!$X$190:$AC$190,IF(RIGHT('Roadmap setting'!$B$9,3)="MAP",Roadmap!$AF$190:$AL$190,Roadmap!$H$190:$M$190))))</f>
        <v>0</v>
      </c>
      <c r="K62" s="277">
        <f t="shared" si="45"/>
        <v>0</v>
      </c>
      <c r="L62" s="277">
        <f t="shared" si="46"/>
        <v>0</v>
      </c>
      <c r="M62" s="277">
        <f t="array" ref="M62">XLOOKUP($A62,IF(RIGHT('Roadmap setting'!$B$9,3)="MMR",Roadmap!$P$2:$U$2,IF(RIGHT('Roadmap setting'!$B$9,3)="MLP",Roadmap!$X$2:$AC$2,IF(RIGHT('Roadmap setting'!$B$9,3)="MAP",Roadmap!$AF$2:$AL$2,Roadmap!$H$2:$M$2))),IF(RIGHT('Roadmap setting'!$B$9,3)="MMR",Roadmap!$P$191:$U$191,IF(RIGHT('Roadmap setting'!$B$9,3)="MLP",Roadmap!$X$191:$AC$191,IF(RIGHT('Roadmap setting'!$B$9,3)="MAP",Roadmap!$AF$191:$AL$191,Roadmap!$H$191:$M$191))))</f>
        <v>0</v>
      </c>
      <c r="N62" s="291">
        <f t="shared" si="40"/>
        <v>0</v>
      </c>
      <c r="O62" s="291">
        <f t="shared" si="41"/>
        <v>0</v>
      </c>
      <c r="P62" s="277"/>
      <c r="Q62" s="277"/>
      <c r="R62" s="277"/>
      <c r="S62" s="277"/>
      <c r="T62" s="277"/>
      <c r="U62" s="277"/>
      <c r="V62" s="277"/>
      <c r="W62" s="277"/>
      <c r="X62" s="277"/>
      <c r="Y62" s="277"/>
      <c r="Z62" s="277"/>
      <c r="AA62" s="277"/>
      <c r="AB62" s="292"/>
      <c r="AC62" s="292"/>
      <c r="AD62" s="292"/>
      <c r="AE62" s="293"/>
    </row>
    <row r="63" ht="18.75" hidden="1" customHeight="1">
      <c r="A63" s="275" t="s">
        <v>1248</v>
      </c>
      <c r="B63" s="277">
        <f>IF('Roadmap setting'!$B$8&gt;TODAY(),$M63/ROUNDUP(('Roadmap setting'!$B$8-TODAY())/7),$M63/MIN($O$55:$O$56))</f>
        <v>1.306726696</v>
      </c>
      <c r="D63" s="277">
        <f t="shared" si="43"/>
        <v>0</v>
      </c>
      <c r="E63" s="277">
        <f t="shared" si="44"/>
        <v>0.9530065733</v>
      </c>
      <c r="H63" s="277">
        <f t="shared" si="39"/>
        <v>1.306726696</v>
      </c>
      <c r="I63" s="277"/>
      <c r="J63" s="277">
        <f t="array" ref="J63">XLOOKUP($A63,IF(RIGHT('Roadmap setting'!$B$9,3)="MMR",Roadmap!$P$2:$U$2,IF(RIGHT('Roadmap setting'!$B$9,3)="MLP",Roadmap!$X$2:$AC$2,IF(RIGHT('Roadmap setting'!$B$9,3)="MAP",Roadmap!$AF$2:$AL$2,Roadmap!$H$2:$M$2))),IF(RIGHT('Roadmap setting'!$B$9,3)="MMR",Roadmap!$P$190:$U$190,IF(RIGHT('Roadmap setting'!$B$9,3)="MLP",Roadmap!$X$190:$AC$190,IF(RIGHT('Roadmap setting'!$B$9,3)="MAP",Roadmap!$AF$190:$AL$190,Roadmap!$H$190:$M$190))))</f>
        <v>21.16</v>
      </c>
      <c r="K63" s="277">
        <f t="shared" si="45"/>
        <v>7.539627101</v>
      </c>
      <c r="L63" s="277">
        <f t="shared" si="46"/>
        <v>3.385372899</v>
      </c>
      <c r="M63" s="277">
        <f t="array" ref="M63">XLOOKUP($A63,IF(RIGHT('Roadmap setting'!$B$9,3)="MMR",Roadmap!$P$2:$U$2,IF(RIGHT('Roadmap setting'!$B$9,3)="MLP",Roadmap!$X$2:$AC$2,IF(RIGHT('Roadmap setting'!$B$9,3)="MAP",Roadmap!$AF$2:$AL$2,Roadmap!$H$2:$M$2))),IF(RIGHT('Roadmap setting'!$B$9,3)="MMR",Roadmap!$P$191:$U$191,IF(RIGHT('Roadmap setting'!$B$9,3)="MLP",Roadmap!$X$191:$AC$191,IF(RIGHT('Roadmap setting'!$B$9,3)="MAP",Roadmap!$AF$191:$AL$191,Roadmap!$H$191:$M$191))))</f>
        <v>10.925</v>
      </c>
      <c r="N63" s="291">
        <f t="shared" si="40"/>
        <v>8.360585294</v>
      </c>
      <c r="O63" s="291">
        <f t="shared" si="41"/>
        <v>11.46371946</v>
      </c>
      <c r="P63" s="277"/>
      <c r="Q63" s="277"/>
      <c r="R63" s="277"/>
      <c r="S63" s="277"/>
      <c r="T63" s="277"/>
      <c r="U63" s="277"/>
      <c r="V63" s="277"/>
      <c r="W63" s="277"/>
      <c r="X63" s="277"/>
      <c r="Y63" s="277"/>
      <c r="Z63" s="277"/>
      <c r="AA63" s="277"/>
      <c r="AB63" s="292"/>
      <c r="AC63" s="292"/>
      <c r="AD63" s="292"/>
      <c r="AE63" s="293"/>
    </row>
    <row r="64" ht="18.75" hidden="1" customHeight="1">
      <c r="A64" s="275" t="s">
        <v>1218</v>
      </c>
      <c r="B64" s="277">
        <f>IF('Roadmap setting'!$B$8&gt;TODAY(),$M64/ROUNDUP(('Roadmap setting'!$B$8-TODAY())/7),$M64/MIN($O$55:$O$56))</f>
        <v>0</v>
      </c>
      <c r="D64" s="277">
        <f t="shared" si="43"/>
        <v>5.831388889</v>
      </c>
      <c r="E64" s="277">
        <f t="shared" si="44"/>
        <v>0</v>
      </c>
      <c r="H64" s="277">
        <f t="shared" si="39"/>
        <v>-5.831388889</v>
      </c>
      <c r="I64" s="277"/>
      <c r="J64" s="277"/>
      <c r="K64" s="277"/>
      <c r="L64" s="277"/>
      <c r="M64" s="277"/>
      <c r="N64" s="277"/>
      <c r="O64" s="277"/>
      <c r="P64" s="277"/>
      <c r="Q64" s="277"/>
      <c r="R64" s="277"/>
      <c r="S64" s="277"/>
      <c r="T64" s="277"/>
      <c r="U64" s="277"/>
      <c r="V64" s="277"/>
      <c r="W64" s="277"/>
      <c r="X64" s="277"/>
      <c r="Y64" s="277"/>
      <c r="Z64" s="277"/>
      <c r="AA64" s="277"/>
      <c r="AB64" s="277"/>
      <c r="AC64" s="277"/>
      <c r="AD64" s="293"/>
      <c r="AE64" s="275"/>
    </row>
  </sheetData>
  <mergeCells count="130">
    <mergeCell ref="AB2:AB3"/>
    <mergeCell ref="AC2:AC3"/>
    <mergeCell ref="AD2:AD3"/>
    <mergeCell ref="AE2:AE3"/>
    <mergeCell ref="Y24:AE24"/>
    <mergeCell ref="Y25:AE25"/>
    <mergeCell ref="Y26:AE26"/>
    <mergeCell ref="Y27:AE27"/>
    <mergeCell ref="Y28:AE28"/>
    <mergeCell ref="Y36:AE36"/>
    <mergeCell ref="Y37:AE37"/>
    <mergeCell ref="Y38:AE38"/>
    <mergeCell ref="Y39:AE39"/>
    <mergeCell ref="Y40:AE40"/>
    <mergeCell ref="Y41:AE41"/>
    <mergeCell ref="Y42:AE42"/>
    <mergeCell ref="Y50:AE50"/>
    <mergeCell ref="Z51:AD51"/>
    <mergeCell ref="Y43:AE43"/>
    <mergeCell ref="Y44:AE44"/>
    <mergeCell ref="Y45:AE45"/>
    <mergeCell ref="Y46:AE46"/>
    <mergeCell ref="Y47:AE47"/>
    <mergeCell ref="Y48:AE48"/>
    <mergeCell ref="Y49:AE49"/>
    <mergeCell ref="I2:P2"/>
    <mergeCell ref="Q2:S2"/>
    <mergeCell ref="T2:X2"/>
    <mergeCell ref="Y2:Y3"/>
    <mergeCell ref="Z2:Z3"/>
    <mergeCell ref="AA2:AA3"/>
    <mergeCell ref="B1:AD1"/>
    <mergeCell ref="A2:A3"/>
    <mergeCell ref="B2:B3"/>
    <mergeCell ref="C2:C3"/>
    <mergeCell ref="D2:D3"/>
    <mergeCell ref="E2:E3"/>
    <mergeCell ref="F2:F3"/>
    <mergeCell ref="G2:G3"/>
    <mergeCell ref="H2:H3"/>
    <mergeCell ref="B24:H24"/>
    <mergeCell ref="C25:D25"/>
    <mergeCell ref="E25:F25"/>
    <mergeCell ref="C26:D26"/>
    <mergeCell ref="E26:F26"/>
    <mergeCell ref="E31:F31"/>
    <mergeCell ref="E32:F32"/>
    <mergeCell ref="Y29:AE29"/>
    <mergeCell ref="Y30:AE30"/>
    <mergeCell ref="Y31:AE31"/>
    <mergeCell ref="Y32:AE32"/>
    <mergeCell ref="Y33:AE33"/>
    <mergeCell ref="Y34:AE34"/>
    <mergeCell ref="Y35:AE35"/>
    <mergeCell ref="C45:D45"/>
    <mergeCell ref="C46:D46"/>
    <mergeCell ref="C47:D47"/>
    <mergeCell ref="C48:D48"/>
    <mergeCell ref="C49:D49"/>
    <mergeCell ref="C50:D50"/>
    <mergeCell ref="E46:F46"/>
    <mergeCell ref="E47:F47"/>
    <mergeCell ref="E48:F48"/>
    <mergeCell ref="E49:F49"/>
    <mergeCell ref="E50:F50"/>
    <mergeCell ref="B51:G51"/>
    <mergeCell ref="H51:I51"/>
    <mergeCell ref="B52:C52"/>
    <mergeCell ref="E52:G52"/>
    <mergeCell ref="B53:C53"/>
    <mergeCell ref="E53:G53"/>
    <mergeCell ref="B54:C54"/>
    <mergeCell ref="E54:G54"/>
    <mergeCell ref="E55:G55"/>
    <mergeCell ref="B60:C60"/>
    <mergeCell ref="B61:C61"/>
    <mergeCell ref="B62:C62"/>
    <mergeCell ref="B63:C63"/>
    <mergeCell ref="B64:C64"/>
    <mergeCell ref="E61:G61"/>
    <mergeCell ref="E62:G62"/>
    <mergeCell ref="E63:G63"/>
    <mergeCell ref="E64:G64"/>
    <mergeCell ref="E56:G56"/>
    <mergeCell ref="E57:G57"/>
    <mergeCell ref="B58:C58"/>
    <mergeCell ref="E58:G58"/>
    <mergeCell ref="B59:C59"/>
    <mergeCell ref="E59:G59"/>
    <mergeCell ref="E60:G60"/>
    <mergeCell ref="C27:D27"/>
    <mergeCell ref="E27:F27"/>
    <mergeCell ref="C28:D28"/>
    <mergeCell ref="E28:F28"/>
    <mergeCell ref="C29:D29"/>
    <mergeCell ref="E29:F29"/>
    <mergeCell ref="E30:F30"/>
    <mergeCell ref="C30:D30"/>
    <mergeCell ref="C31:D31"/>
    <mergeCell ref="C32:D32"/>
    <mergeCell ref="C33:D33"/>
    <mergeCell ref="E33:F33"/>
    <mergeCell ref="C34:D34"/>
    <mergeCell ref="E34:F34"/>
    <mergeCell ref="C35:D35"/>
    <mergeCell ref="E35:F35"/>
    <mergeCell ref="C36:D36"/>
    <mergeCell ref="E36:F36"/>
    <mergeCell ref="C37:D37"/>
    <mergeCell ref="E37:F37"/>
    <mergeCell ref="E38:F38"/>
    <mergeCell ref="C38:D38"/>
    <mergeCell ref="C39:D39"/>
    <mergeCell ref="C40:D40"/>
    <mergeCell ref="C41:D41"/>
    <mergeCell ref="C42:D42"/>
    <mergeCell ref="C43:D43"/>
    <mergeCell ref="C44:D44"/>
    <mergeCell ref="E39:F39"/>
    <mergeCell ref="E40:F40"/>
    <mergeCell ref="E41:F41"/>
    <mergeCell ref="E42:F42"/>
    <mergeCell ref="E43:F43"/>
    <mergeCell ref="E44:F44"/>
    <mergeCell ref="E45:F45"/>
    <mergeCell ref="J51:K51"/>
    <mergeCell ref="N51:O51"/>
    <mergeCell ref="B55:C55"/>
    <mergeCell ref="B56:C56"/>
    <mergeCell ref="B57:C57"/>
  </mergeCells>
  <conditionalFormatting sqref="A4:AE23">
    <cfRule type="expression" dxfId="12" priority="1">
      <formula>AND($A4&lt;&gt;"",$AD4+14&lt;Today())</formula>
    </cfRule>
  </conditionalFormatting>
  <dataValidations>
    <dataValidation type="list" allowBlank="1" showErrorMessage="1" sqref="D4:D23">
      <formula1>Resources!$A$53:$A$64</formula1>
    </dataValidation>
    <dataValidation type="decimal" allowBlank="1" showDropDown="1" sqref="B4:B23">
      <formula1>10.0</formula1>
      <formula2>999.0</formula2>
    </dataValidation>
    <dataValidation type="list" allowBlank="1" sqref="F4:F23">
      <formula1>"0,17,0,33,0,50,0,67,0,83,1,1,17,1,33,1,50,1,67,1,83,2"</formula1>
    </dataValidation>
    <dataValidation type="list" allowBlank="1" showErrorMessage="1" sqref="A26:A50">
      <formula1>Resources!$A$4:$A$17</formula1>
    </dataValidation>
    <dataValidation type="list" allowBlank="1" showErrorMessage="1" sqref="G4:G23">
      <formula1>"1 - Minimal,2 - Very low,3 - Low,4 - Moderate,5 - Adequate,6 - Normal,7 - Good,8 - Strong,9 - High,10 - Very high,11 - Excellent,12 - Maximum"</formula1>
    </dataValidation>
    <dataValidation type="list" allowBlank="1" showErrorMessage="1" sqref="B26:B50">
      <formula1>"Approved extra work,Sick,On a different project"</formula1>
    </dataValidation>
    <dataValidation type="custom" allowBlank="1" showDropDown="1" sqref="C26:C50 E26:E50">
      <formula1>OR(NOT(ISERROR(DATEVALUE(C26))), AND(ISNUMBER(C26), LEFT(CELL("format", C26))="D"))</formula1>
    </dataValidation>
    <dataValidation type="decimal" allowBlank="1" showDropDown="1" showErrorMessage="1" sqref="H4:Y23">
      <formula1>0.0</formula1>
      <formula2>80.0</formula2>
    </dataValidation>
  </dataValidations>
  <hyperlinks>
    <hyperlink r:id="rId2" ref="A4"/>
    <hyperlink r:id="rId3" ref="A5"/>
    <hyperlink r:id="rId4" ref="A6"/>
    <hyperlink r:id="rId5" ref="A7"/>
    <hyperlink r:id="rId6" ref="A8"/>
    <hyperlink r:id="rId7" ref="A9"/>
    <hyperlink r:id="rId8" ref="A10"/>
    <hyperlink r:id="rId9" ref="A11"/>
    <hyperlink r:id="rId10" ref="A12"/>
    <hyperlink r:id="rId11" ref="A13"/>
  </hyperlinks>
  <printOptions/>
  <pageMargins bottom="0.75" footer="0.0" header="0.0" left="0.7" right="0.7" top="0.75"/>
  <pageSetup orientation="landscape"/>
  <drawing r:id="rId12"/>
  <legacyDrawing r:id="rId1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5.86"/>
    <col customWidth="1" min="6" max="6" width="164.43"/>
  </cols>
  <sheetData>
    <row r="1" ht="37.5" customHeight="1">
      <c r="A1" s="1" t="str">
        <f>CONCAT('Roadmap setting'!B3," - Roadmap settings")</f>
        <v>SuperMarty project - Roadmap settings</v>
      </c>
    </row>
    <row r="2" ht="22.5" customHeight="1">
      <c r="A2" s="200" t="s">
        <v>1249</v>
      </c>
      <c r="F2" s="200" t="s">
        <v>73</v>
      </c>
    </row>
    <row r="3" ht="22.5" customHeight="1">
      <c r="A3" s="295" t="s">
        <v>1250</v>
      </c>
      <c r="B3" s="296" t="s">
        <v>1251</v>
      </c>
      <c r="F3" s="297"/>
    </row>
    <row r="4" ht="22.5" customHeight="1">
      <c r="A4" s="298" t="s">
        <v>1252</v>
      </c>
      <c r="B4" s="299" t="s">
        <v>1253</v>
      </c>
      <c r="F4" s="300"/>
    </row>
    <row r="5" ht="22.5" customHeight="1">
      <c r="A5" s="295" t="s">
        <v>1254</v>
      </c>
      <c r="B5" s="301"/>
      <c r="F5" s="295"/>
    </row>
    <row r="6" ht="22.5" customHeight="1">
      <c r="A6" s="298" t="s">
        <v>1255</v>
      </c>
      <c r="B6" s="302" t="s">
        <v>1256</v>
      </c>
      <c r="F6" s="300"/>
    </row>
    <row r="7" ht="22.5" customHeight="1">
      <c r="A7" s="295" t="s">
        <v>1257</v>
      </c>
      <c r="B7" s="303">
        <v>45600.0</v>
      </c>
      <c r="F7" s="297"/>
    </row>
    <row r="8" ht="22.5" customHeight="1">
      <c r="A8" s="298" t="s">
        <v>1258</v>
      </c>
      <c r="B8" s="304"/>
      <c r="F8" s="300"/>
    </row>
    <row r="9" ht="22.5" customHeight="1">
      <c r="A9" s="305" t="s">
        <v>1259</v>
      </c>
      <c r="B9" s="306" t="s">
        <v>1260</v>
      </c>
      <c r="F9" s="297"/>
    </row>
    <row r="10" ht="22.5" customHeight="1">
      <c r="A10" s="298" t="s">
        <v>1261</v>
      </c>
      <c r="B10" s="307">
        <v>2.0</v>
      </c>
      <c r="F10" s="300"/>
    </row>
    <row r="11" ht="22.5" customHeight="1">
      <c r="A11" s="305" t="s">
        <v>1262</v>
      </c>
      <c r="B11" s="306" t="s">
        <v>1263</v>
      </c>
      <c r="D11" s="306" t="s">
        <v>1264</v>
      </c>
      <c r="E11" s="308">
        <v>0.15</v>
      </c>
      <c r="F11" s="308"/>
    </row>
    <row r="12" ht="22.5" customHeight="1">
      <c r="A12" s="309" t="s">
        <v>1265</v>
      </c>
      <c r="B12" s="309" t="s">
        <v>60</v>
      </c>
      <c r="C12" s="309" t="s">
        <v>1266</v>
      </c>
      <c r="D12" s="309" t="s">
        <v>63</v>
      </c>
      <c r="E12" s="309" t="s">
        <v>64</v>
      </c>
      <c r="F12" s="309"/>
    </row>
    <row r="13" ht="22.5" customHeight="1">
      <c r="A13" s="310" t="str">
        <f>Resources!$A$53</f>
        <v>Project manager</v>
      </c>
      <c r="B13" s="311">
        <v>0.2</v>
      </c>
      <c r="C13" s="311">
        <f t="shared" ref="C13:E13" si="1">B13</f>
        <v>0.2</v>
      </c>
      <c r="D13" s="311">
        <f t="shared" si="1"/>
        <v>0.2</v>
      </c>
      <c r="E13" s="311">
        <f t="shared" si="1"/>
        <v>0.2</v>
      </c>
      <c r="F13" s="273" t="s">
        <v>1267</v>
      </c>
    </row>
    <row r="14" ht="22.5" customHeight="1">
      <c r="A14" s="312" t="str">
        <f>Resources!$A$57</f>
        <v>UI/UX design</v>
      </c>
      <c r="B14" s="313">
        <v>0.15</v>
      </c>
      <c r="C14" s="314" t="s">
        <v>1268</v>
      </c>
      <c r="D14" s="313">
        <v>0.1</v>
      </c>
      <c r="E14" s="315" t="b">
        <v>0</v>
      </c>
      <c r="F14" s="316"/>
    </row>
    <row r="15" ht="22.5" customHeight="1">
      <c r="A15" s="317" t="str">
        <f>Resources!$A$58</f>
        <v>Backend auto. testing</v>
      </c>
      <c r="B15" s="311">
        <v>0.0</v>
      </c>
      <c r="C15" s="311">
        <v>0.1</v>
      </c>
      <c r="D15" s="311">
        <v>0.1</v>
      </c>
      <c r="E15" s="311">
        <v>0.1</v>
      </c>
      <c r="F15" s="311"/>
    </row>
    <row r="16" ht="22.5" customHeight="1">
      <c r="A16" s="298" t="str">
        <f>Resources!$A$59</f>
        <v>Frontend auto. testing</v>
      </c>
      <c r="B16" s="313">
        <v>0.0</v>
      </c>
      <c r="C16" s="313">
        <v>0.1</v>
      </c>
      <c r="D16" s="313">
        <v>0.1</v>
      </c>
      <c r="E16" s="313">
        <v>0.1</v>
      </c>
      <c r="F16" s="313"/>
    </row>
    <row r="17" ht="22.5" customHeight="1">
      <c r="A17" s="310" t="str">
        <f>Resources!$A$60</f>
        <v>Technical (code) review</v>
      </c>
      <c r="B17" s="311">
        <v>0.12</v>
      </c>
      <c r="C17" s="311">
        <v>0.03</v>
      </c>
      <c r="D17" s="311">
        <v>0.03</v>
      </c>
      <c r="E17" s="311">
        <v>0.03</v>
      </c>
      <c r="F17" s="311"/>
    </row>
    <row r="18" ht="22.5" customHeight="1">
      <c r="A18" s="312" t="str">
        <f>Resources!$A$61</f>
        <v>Performance testing</v>
      </c>
      <c r="B18" s="313">
        <v>0.01</v>
      </c>
      <c r="C18" s="313">
        <v>0.02</v>
      </c>
      <c r="D18" s="313">
        <v>0.02</v>
      </c>
      <c r="E18" s="313">
        <v>0.02</v>
      </c>
      <c r="F18" s="314" t="s">
        <v>1269</v>
      </c>
    </row>
    <row r="19" ht="22.5" customHeight="1">
      <c r="A19" s="318" t="str">
        <f>Resources!$A$62</f>
        <v>Security testing</v>
      </c>
      <c r="B19" s="311">
        <v>0.0</v>
      </c>
      <c r="C19" s="311">
        <v>0.02</v>
      </c>
      <c r="D19" s="311">
        <v>0.02</v>
      </c>
      <c r="E19" s="311">
        <v>0.02</v>
      </c>
      <c r="F19" s="311"/>
    </row>
    <row r="20" ht="22.5" customHeight="1">
      <c r="A20" s="298" t="str">
        <f>Resources!$A$63</f>
        <v>Technical documentation</v>
      </c>
      <c r="B20" s="313">
        <v>0.02</v>
      </c>
      <c r="C20" s="313">
        <v>0.04</v>
      </c>
      <c r="D20" s="313">
        <v>0.04</v>
      </c>
      <c r="E20" s="313">
        <v>0.04</v>
      </c>
      <c r="F20" s="313"/>
    </row>
    <row r="21" ht="22.5" customHeight="1">
      <c r="A21" s="319" t="s">
        <v>769</v>
      </c>
      <c r="B21" s="320">
        <v>0.2</v>
      </c>
      <c r="C21" s="320">
        <f t="shared" ref="C21:E21" si="2">B21</f>
        <v>0.2</v>
      </c>
      <c r="D21" s="320">
        <f t="shared" si="2"/>
        <v>0.2</v>
      </c>
      <c r="E21" s="320">
        <f t="shared" si="2"/>
        <v>0.2</v>
      </c>
      <c r="F21" s="321" t="s">
        <v>1270</v>
      </c>
    </row>
  </sheetData>
  <mergeCells count="11">
    <mergeCell ref="B8:E8"/>
    <mergeCell ref="B9:E9"/>
    <mergeCell ref="B10:E10"/>
    <mergeCell ref="B11:C11"/>
    <mergeCell ref="A1:F1"/>
    <mergeCell ref="A2:E2"/>
    <mergeCell ref="B3:E3"/>
    <mergeCell ref="B4:E4"/>
    <mergeCell ref="B5:E5"/>
    <mergeCell ref="B6:E6"/>
    <mergeCell ref="B7:E7"/>
  </mergeCells>
  <conditionalFormatting sqref="B3:E7 B9:E11">
    <cfRule type="containsBlanks" dxfId="13" priority="1">
      <formula>LEN(TRIM(B3))=0</formula>
    </cfRule>
  </conditionalFormatting>
  <dataValidations>
    <dataValidation type="list" allowBlank="1" sqref="E11 B13:E13 B14 D14 B15:E21">
      <formula1>"0%,1%,2%,3%,4%,5%,6%,7%,8%,9%,10%,11%,12%,13%,14%,15%,20%,25%,30%"</formula1>
    </dataValidation>
    <dataValidation type="list" allowBlank="1" showErrorMessage="1" sqref="B10">
      <formula1>"1,2"</formula1>
    </dataValidation>
    <dataValidation type="list" allowBlank="1" showErrorMessage="1" sqref="B11">
      <formula1>"Scope based,Budget based,Fixed price"</formula1>
    </dataValidation>
    <dataValidation type="list" allowBlank="1" showErrorMessage="1" sqref="B9">
      <formula1>"Minimum viable product - MVP,Minimum marketable product - MMP,Most lovable product - MLP,Most awesome product - MAP"</formula1>
    </dataValidation>
    <dataValidation type="list" allowBlank="1" showErrorMessage="1" sqref="B6">
      <formula1>"Project Discovery,In progress,Maintanance / SLA,Cancelled,Temporarily paused,Completed"</formula1>
    </dataValidation>
    <dataValidation type="custom" allowBlank="1" showDropDown="1" sqref="B7:B8 F6:F9">
      <formula1>OR(NOT(ISERROR(DATEVALUE(B6))), AND(ISNUMBER(B6), LEFT(CELL("format", B6))="D"))</formula1>
    </dataValidation>
  </dataValidations>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4.43" defaultRowHeight="15.0"/>
  <cols>
    <col customWidth="1" min="1" max="1" width="31.86"/>
    <col customWidth="1" min="2" max="2" width="11.43"/>
    <col customWidth="1" min="3" max="3" width="10.71"/>
    <col customWidth="1" min="4" max="4" width="10.43"/>
    <col customWidth="1" min="5" max="5" width="9.71"/>
    <col customWidth="1" min="6" max="6" width="10.0"/>
    <col customWidth="1" min="7" max="7" width="8.86"/>
    <col customWidth="1" min="8" max="8" width="11.57"/>
    <col customWidth="1" min="9" max="10" width="10.43"/>
    <col customWidth="1" min="11" max="11" width="12.71"/>
    <col customWidth="1" min="12" max="44" width="10.14"/>
  </cols>
  <sheetData>
    <row r="1" ht="35.25" customHeight="1">
      <c r="A1" s="322"/>
      <c r="B1" s="322"/>
      <c r="C1" s="322"/>
      <c r="D1" s="322"/>
      <c r="E1" s="322"/>
      <c r="F1" s="322"/>
      <c r="G1" s="322"/>
      <c r="H1" s="322"/>
      <c r="I1" s="322"/>
      <c r="J1" s="322"/>
      <c r="K1" s="322"/>
      <c r="L1" s="323"/>
      <c r="M1" s="323"/>
      <c r="N1" s="323"/>
      <c r="O1" s="323"/>
      <c r="P1" s="323"/>
      <c r="Q1" s="323"/>
      <c r="R1" s="323"/>
      <c r="S1" s="323"/>
      <c r="T1" s="323"/>
      <c r="U1" s="323"/>
      <c r="V1" s="323"/>
      <c r="W1" s="323"/>
      <c r="X1" s="323"/>
      <c r="Y1" s="323"/>
      <c r="Z1" s="323"/>
      <c r="AA1" s="323"/>
      <c r="AB1" s="323"/>
      <c r="AC1" s="323"/>
      <c r="AD1" s="323"/>
      <c r="AE1" s="323"/>
      <c r="AF1" s="323"/>
      <c r="AG1" s="323"/>
      <c r="AH1" s="323"/>
      <c r="AI1" s="323"/>
      <c r="AJ1" s="323"/>
      <c r="AK1" s="323"/>
      <c r="AL1" s="323"/>
      <c r="AM1" s="323"/>
      <c r="AN1" s="323"/>
      <c r="AO1" s="323"/>
      <c r="AP1" s="323"/>
      <c r="AQ1" s="323"/>
      <c r="AR1" s="323"/>
    </row>
    <row r="2" ht="20.25" customHeight="1">
      <c r="A2" s="324" t="s">
        <v>1271</v>
      </c>
      <c r="B2" s="324"/>
      <c r="C2" s="324"/>
      <c r="D2" s="324"/>
      <c r="E2" s="324"/>
      <c r="F2" s="324"/>
      <c r="G2" s="324"/>
      <c r="H2" s="324"/>
      <c r="I2" s="324"/>
      <c r="J2" s="324"/>
      <c r="K2" s="324"/>
      <c r="L2" s="324" t="s">
        <v>1272</v>
      </c>
      <c r="R2" s="324"/>
      <c r="S2" s="324"/>
      <c r="T2" s="324"/>
      <c r="U2" s="324"/>
      <c r="V2" s="324"/>
      <c r="W2" s="324"/>
      <c r="X2" s="324"/>
      <c r="Y2" s="324"/>
      <c r="Z2" s="324"/>
      <c r="AA2" s="324"/>
      <c r="AB2" s="324"/>
      <c r="AC2" s="324"/>
      <c r="AD2" s="324"/>
      <c r="AE2" s="324"/>
      <c r="AF2" s="324"/>
      <c r="AG2" s="324"/>
      <c r="AH2" s="324"/>
      <c r="AI2" s="324"/>
      <c r="AJ2" s="324"/>
      <c r="AK2" s="324"/>
      <c r="AL2" s="324"/>
      <c r="AM2" s="324"/>
      <c r="AN2" s="324"/>
      <c r="AO2" s="324"/>
      <c r="AP2" s="324"/>
      <c r="AQ2" s="324"/>
      <c r="AR2" s="324"/>
    </row>
    <row r="3" ht="24.0" customHeight="1">
      <c r="A3" s="325" t="s">
        <v>1273</v>
      </c>
      <c r="B3" s="326">
        <v>1670.0</v>
      </c>
      <c r="C3" s="327"/>
      <c r="D3" s="328"/>
      <c r="E3" s="328"/>
      <c r="F3" s="329"/>
      <c r="G3" s="328"/>
      <c r="H3" s="329"/>
      <c r="I3" s="328"/>
      <c r="J3" s="328"/>
      <c r="K3" s="329"/>
      <c r="L3" s="328"/>
      <c r="M3" s="328"/>
      <c r="N3" s="328"/>
      <c r="O3" s="328"/>
      <c r="P3" s="328"/>
      <c r="Q3" s="328"/>
      <c r="R3" s="328"/>
      <c r="S3" s="328"/>
      <c r="T3" s="328"/>
      <c r="U3" s="328"/>
      <c r="V3" s="328"/>
      <c r="W3" s="328"/>
      <c r="X3" s="328"/>
      <c r="Y3" s="328"/>
      <c r="Z3" s="328"/>
      <c r="AA3" s="328"/>
      <c r="AB3" s="328"/>
      <c r="AC3" s="328"/>
      <c r="AD3" s="328"/>
      <c r="AE3" s="328"/>
      <c r="AF3" s="328"/>
      <c r="AG3" s="328"/>
      <c r="AH3" s="328"/>
      <c r="AI3" s="328"/>
      <c r="AJ3" s="328"/>
      <c r="AK3" s="328"/>
      <c r="AL3" s="328"/>
      <c r="AM3" s="328"/>
      <c r="AN3" s="328"/>
      <c r="AO3" s="328"/>
      <c r="AP3" s="328"/>
      <c r="AQ3" s="328"/>
      <c r="AR3" s="330"/>
    </row>
    <row r="4" ht="24.0" customHeight="1">
      <c r="A4" s="325" t="s">
        <v>1274</v>
      </c>
      <c r="B4" s="331">
        <f>Roadmap!AN190</f>
        <v>1398.65875</v>
      </c>
      <c r="C4" s="327"/>
      <c r="D4" s="328">
        <f>B3-E14</f>
        <v>296.73</v>
      </c>
      <c r="E4" s="328"/>
      <c r="F4" s="329"/>
      <c r="G4" s="328"/>
      <c r="H4" s="329"/>
      <c r="I4" s="328"/>
      <c r="J4" s="328"/>
      <c r="K4" s="329"/>
      <c r="L4" s="328"/>
      <c r="M4" s="328"/>
      <c r="N4" s="328"/>
      <c r="O4" s="328"/>
      <c r="P4" s="328"/>
      <c r="Q4" s="328"/>
      <c r="R4" s="328"/>
      <c r="S4" s="328"/>
      <c r="T4" s="328"/>
      <c r="U4" s="328"/>
      <c r="V4" s="328"/>
      <c r="W4" s="328"/>
      <c r="X4" s="328"/>
      <c r="Y4" s="328"/>
      <c r="Z4" s="328"/>
      <c r="AA4" s="328"/>
      <c r="AB4" s="328"/>
      <c r="AC4" s="328"/>
      <c r="AD4" s="328"/>
      <c r="AE4" s="328"/>
      <c r="AF4" s="328"/>
      <c r="AG4" s="328"/>
      <c r="AH4" s="328"/>
      <c r="AI4" s="328"/>
      <c r="AJ4" s="328"/>
      <c r="AK4" s="328"/>
      <c r="AL4" s="328"/>
      <c r="AM4" s="328"/>
      <c r="AN4" s="328"/>
      <c r="AO4" s="328"/>
      <c r="AP4" s="328"/>
      <c r="AQ4" s="328"/>
      <c r="AR4" s="330"/>
    </row>
    <row r="5">
      <c r="A5" s="332" t="s">
        <v>1275</v>
      </c>
      <c r="B5" s="332"/>
      <c r="C5" s="332"/>
      <c r="D5" s="333">
        <f>SUM(D7:D12)</f>
        <v>2507.3</v>
      </c>
      <c r="E5" s="333">
        <f>SUM(E7:E13)</f>
        <v>1373.27</v>
      </c>
      <c r="F5" s="332"/>
      <c r="G5" s="332"/>
      <c r="H5" s="332"/>
      <c r="I5" s="332"/>
      <c r="J5" s="332"/>
      <c r="K5" s="332"/>
      <c r="L5" s="334" t="s">
        <v>1276</v>
      </c>
      <c r="M5" s="335"/>
      <c r="N5" s="336"/>
      <c r="O5" s="334" t="s">
        <v>1277</v>
      </c>
      <c r="P5" s="335"/>
      <c r="Q5" s="336"/>
      <c r="R5" s="337" t="s">
        <v>1278</v>
      </c>
      <c r="U5" s="337" t="s">
        <v>1279</v>
      </c>
      <c r="X5" s="337" t="s">
        <v>1280</v>
      </c>
      <c r="AA5" s="337" t="s">
        <v>1281</v>
      </c>
      <c r="AD5" s="337" t="s">
        <v>1282</v>
      </c>
      <c r="AG5" s="337" t="s">
        <v>1283</v>
      </c>
      <c r="AJ5" s="337" t="s">
        <v>1284</v>
      </c>
      <c r="AM5" s="337" t="s">
        <v>1285</v>
      </c>
      <c r="AP5" s="337" t="s">
        <v>1286</v>
      </c>
    </row>
    <row r="6" ht="61.5" customHeight="1">
      <c r="A6" s="338" t="s">
        <v>1287</v>
      </c>
      <c r="B6" s="338" t="s">
        <v>1288</v>
      </c>
      <c r="C6" s="338" t="s">
        <v>1289</v>
      </c>
      <c r="D6" s="339" t="s">
        <v>1290</v>
      </c>
      <c r="E6" s="339" t="s">
        <v>1291</v>
      </c>
      <c r="F6" s="339" t="s">
        <v>1292</v>
      </c>
      <c r="G6" s="340" t="s">
        <v>1293</v>
      </c>
      <c r="H6" s="340" t="s">
        <v>1294</v>
      </c>
      <c r="I6" s="340" t="s">
        <v>1295</v>
      </c>
      <c r="J6" s="340" t="s">
        <v>1296</v>
      </c>
      <c r="K6" s="341" t="s">
        <v>1297</v>
      </c>
      <c r="L6" s="342" t="s">
        <v>1298</v>
      </c>
      <c r="M6" s="343" t="s">
        <v>1299</v>
      </c>
      <c r="N6" s="344" t="s">
        <v>1300</v>
      </c>
      <c r="O6" s="343" t="s">
        <v>1298</v>
      </c>
      <c r="P6" s="343" t="s">
        <v>1299</v>
      </c>
      <c r="Q6" s="344" t="s">
        <v>1300</v>
      </c>
      <c r="R6" s="343" t="s">
        <v>1298</v>
      </c>
      <c r="S6" s="343" t="s">
        <v>1299</v>
      </c>
      <c r="T6" s="344" t="s">
        <v>1300</v>
      </c>
      <c r="U6" s="343" t="s">
        <v>1298</v>
      </c>
      <c r="V6" s="343" t="s">
        <v>1299</v>
      </c>
      <c r="W6" s="344" t="s">
        <v>1300</v>
      </c>
      <c r="X6" s="343" t="s">
        <v>1298</v>
      </c>
      <c r="Y6" s="343" t="s">
        <v>1299</v>
      </c>
      <c r="Z6" s="344" t="s">
        <v>1300</v>
      </c>
      <c r="AA6" s="343" t="s">
        <v>1298</v>
      </c>
      <c r="AB6" s="343" t="s">
        <v>1299</v>
      </c>
      <c r="AC6" s="344" t="s">
        <v>1300</v>
      </c>
      <c r="AD6" s="343" t="s">
        <v>1298</v>
      </c>
      <c r="AE6" s="343" t="s">
        <v>1299</v>
      </c>
      <c r="AF6" s="344" t="s">
        <v>1300</v>
      </c>
      <c r="AG6" s="343" t="s">
        <v>1298</v>
      </c>
      <c r="AH6" s="343" t="s">
        <v>1299</v>
      </c>
      <c r="AI6" s="344" t="s">
        <v>1300</v>
      </c>
      <c r="AJ6" s="343" t="s">
        <v>1298</v>
      </c>
      <c r="AK6" s="343" t="s">
        <v>1299</v>
      </c>
      <c r="AL6" s="344" t="s">
        <v>1300</v>
      </c>
      <c r="AM6" s="343" t="s">
        <v>1298</v>
      </c>
      <c r="AN6" s="343" t="s">
        <v>1299</v>
      </c>
      <c r="AO6" s="344" t="s">
        <v>1300</v>
      </c>
      <c r="AP6" s="343" t="s">
        <v>1298</v>
      </c>
      <c r="AQ6" s="343" t="s">
        <v>1299</v>
      </c>
      <c r="AR6" s="344" t="s">
        <v>1300</v>
      </c>
    </row>
    <row r="7" ht="24.0" customHeight="1">
      <c r="A7" s="345" t="s">
        <v>1301</v>
      </c>
      <c r="B7" s="346">
        <v>45599.0</v>
      </c>
      <c r="C7" s="347">
        <v>45624.0</v>
      </c>
      <c r="D7" s="348">
        <f t="shared" ref="D7:D8" si="1">SUM(L7+O7+R7+U7+AA7+AD7+AG7+AJ7+AM7+AP7)</f>
        <v>318.3</v>
      </c>
      <c r="E7" s="348">
        <f>SUM(M7+P7+S7+V7+Y7+AB7+AE7+AH7+AN7+AQ7+AK7)</f>
        <v>79.21</v>
      </c>
      <c r="F7" s="349">
        <f t="shared" ref="F7:F13" si="2">IF(D7&lt;&gt;0, ((D7 - E7) / D7), 0)</f>
        <v>0.7511467169</v>
      </c>
      <c r="G7" s="316">
        <v>0.0</v>
      </c>
      <c r="H7" s="349">
        <f t="shared" ref="H7:H13" si="3">IF(E7&lt;&gt;0, ((E7 - G7) / E7), 0)</f>
        <v>1</v>
      </c>
      <c r="I7" s="316">
        <v>0.0</v>
      </c>
      <c r="J7" s="316">
        <v>298.3</v>
      </c>
      <c r="K7" s="349">
        <f t="shared" ref="K7:K13" si="4">IF(I7&lt;&gt;0, ((I7 - J7) / I7), 0)</f>
        <v>0</v>
      </c>
      <c r="L7" s="350">
        <v>50.75</v>
      </c>
      <c r="M7" s="351">
        <v>20.25</v>
      </c>
      <c r="N7" s="352">
        <f t="shared" ref="N7:N13" si="5">M7/L7</f>
        <v>0.3990147783</v>
      </c>
      <c r="O7" s="353">
        <v>35.75</v>
      </c>
      <c r="P7" s="351">
        <v>6.0</v>
      </c>
      <c r="Q7" s="352">
        <f t="shared" ref="Q7:Q13" si="6">P7/O7</f>
        <v>0.1678321678</v>
      </c>
      <c r="R7" s="353">
        <v>35.75</v>
      </c>
      <c r="S7" s="351">
        <v>9.0</v>
      </c>
      <c r="T7" s="352">
        <f t="shared" ref="T7:T8" si="7">S7/R7</f>
        <v>0.2517482517</v>
      </c>
      <c r="U7" s="353">
        <v>50.05</v>
      </c>
      <c r="V7" s="351">
        <v>3.0</v>
      </c>
      <c r="W7" s="352">
        <f t="shared" ref="W7:W13" si="8">V7/U7</f>
        <v>0.05994005994</v>
      </c>
      <c r="X7" s="354">
        <v>0.0</v>
      </c>
      <c r="Y7" s="321">
        <v>2.83</v>
      </c>
      <c r="Z7" s="354">
        <v>0.0</v>
      </c>
      <c r="AA7" s="353">
        <v>28.0</v>
      </c>
      <c r="AB7" s="351">
        <v>0.0</v>
      </c>
      <c r="AC7" s="352">
        <f t="shared" ref="AC7:AC13" si="9">AB7/AA7</f>
        <v>0</v>
      </c>
      <c r="AD7" s="353">
        <v>30.0</v>
      </c>
      <c r="AE7" s="351">
        <v>6.0</v>
      </c>
      <c r="AF7" s="352">
        <f t="shared" ref="AF7:AF13" si="10">AE7/AD7</f>
        <v>0.2</v>
      </c>
      <c r="AG7" s="353">
        <v>30.0</v>
      </c>
      <c r="AH7" s="351">
        <v>15.98</v>
      </c>
      <c r="AI7" s="352">
        <f t="shared" ref="AI7:AI13" si="11">AH7/AG7</f>
        <v>0.5326666667</v>
      </c>
      <c r="AJ7" s="353">
        <v>15.0</v>
      </c>
      <c r="AK7" s="351">
        <v>0.0</v>
      </c>
      <c r="AL7" s="352">
        <f t="shared" ref="AL7:AL13" si="12">AK7/AJ7</f>
        <v>0</v>
      </c>
      <c r="AM7" s="353">
        <v>23.0</v>
      </c>
      <c r="AN7" s="351">
        <v>0.0</v>
      </c>
      <c r="AO7" s="352">
        <f t="shared" ref="AO7:AO13" si="13">AN7/AM7</f>
        <v>0</v>
      </c>
      <c r="AP7" s="355">
        <v>20.0</v>
      </c>
      <c r="AQ7" s="354">
        <v>16.15</v>
      </c>
      <c r="AR7" s="356">
        <f t="shared" ref="AR7:AR13" si="14">AQ7/AP7</f>
        <v>0.8075</v>
      </c>
    </row>
    <row r="8" ht="24.0" customHeight="1">
      <c r="A8" s="345" t="s">
        <v>1302</v>
      </c>
      <c r="B8" s="346">
        <v>45627.0</v>
      </c>
      <c r="C8" s="347">
        <v>45657.0</v>
      </c>
      <c r="D8" s="348">
        <f t="shared" si="1"/>
        <v>402</v>
      </c>
      <c r="E8" s="348">
        <f>SUM(M8+P8+S8+V8+AB8+AE8+AH8+AN8+Y8+AK8+AQ8)</f>
        <v>191.74</v>
      </c>
      <c r="F8" s="349">
        <f t="shared" si="2"/>
        <v>0.5230348259</v>
      </c>
      <c r="G8" s="316">
        <v>0.0</v>
      </c>
      <c r="H8" s="349">
        <f t="shared" si="3"/>
        <v>1</v>
      </c>
      <c r="I8" s="316">
        <v>0.0</v>
      </c>
      <c r="J8" s="316">
        <v>385.0</v>
      </c>
      <c r="K8" s="349">
        <f t="shared" si="4"/>
        <v>0</v>
      </c>
      <c r="L8" s="350">
        <v>70.0</v>
      </c>
      <c r="M8" s="351">
        <v>44.46</v>
      </c>
      <c r="N8" s="352">
        <f t="shared" si="5"/>
        <v>0.6351428571</v>
      </c>
      <c r="O8" s="353">
        <v>110.0</v>
      </c>
      <c r="P8" s="351">
        <v>23.94</v>
      </c>
      <c r="Q8" s="352">
        <f t="shared" si="6"/>
        <v>0.2176363636</v>
      </c>
      <c r="R8" s="353">
        <v>110.0</v>
      </c>
      <c r="S8" s="351">
        <v>0.0</v>
      </c>
      <c r="T8" s="352">
        <f t="shared" si="7"/>
        <v>0</v>
      </c>
      <c r="U8" s="353">
        <v>40.0</v>
      </c>
      <c r="V8" s="351">
        <v>34.56</v>
      </c>
      <c r="W8" s="352">
        <f t="shared" si="8"/>
        <v>0.864</v>
      </c>
      <c r="X8" s="354">
        <v>0.0</v>
      </c>
      <c r="Y8" s="354">
        <v>17.44</v>
      </c>
      <c r="Z8" s="354">
        <v>0.0</v>
      </c>
      <c r="AA8" s="353">
        <v>16.0</v>
      </c>
      <c r="AB8" s="351">
        <v>3.81</v>
      </c>
      <c r="AC8" s="352">
        <f t="shared" si="9"/>
        <v>0.238125</v>
      </c>
      <c r="AD8" s="353">
        <v>12.0</v>
      </c>
      <c r="AE8" s="351">
        <v>4.99</v>
      </c>
      <c r="AF8" s="352">
        <f t="shared" si="10"/>
        <v>0.4158333333</v>
      </c>
      <c r="AG8" s="353">
        <v>12.0</v>
      </c>
      <c r="AH8" s="351">
        <v>41.98</v>
      </c>
      <c r="AI8" s="352">
        <f t="shared" si="11"/>
        <v>3.498333333</v>
      </c>
      <c r="AJ8" s="353">
        <v>12.0</v>
      </c>
      <c r="AK8" s="351">
        <v>3.97</v>
      </c>
      <c r="AL8" s="352">
        <f t="shared" si="12"/>
        <v>0.3308333333</v>
      </c>
      <c r="AM8" s="353">
        <v>15.0</v>
      </c>
      <c r="AN8" s="351">
        <v>8.66</v>
      </c>
      <c r="AO8" s="352">
        <f t="shared" si="13"/>
        <v>0.5773333333</v>
      </c>
      <c r="AP8" s="353">
        <v>5.0</v>
      </c>
      <c r="AQ8" s="354">
        <v>7.93</v>
      </c>
      <c r="AR8" s="356">
        <f t="shared" si="14"/>
        <v>1.586</v>
      </c>
    </row>
    <row r="9" ht="24.0" customHeight="1">
      <c r="A9" s="345" t="s">
        <v>1303</v>
      </c>
      <c r="B9" s="346">
        <v>45658.0</v>
      </c>
      <c r="C9" s="347">
        <v>45688.0</v>
      </c>
      <c r="D9" s="348">
        <f>SUM(L9+O9+R9+U9+X9+AJ9+$AA$9+$AD$9+$AG$9+$AM$9+AP9)</f>
        <v>415</v>
      </c>
      <c r="E9" s="348">
        <f>SUM(M9+P9+S9+V9+Y9+AB9+AE9+AH9+AK9+AN9+AQ9)</f>
        <v>403.98</v>
      </c>
      <c r="F9" s="349">
        <f t="shared" si="2"/>
        <v>0.02655421687</v>
      </c>
      <c r="G9" s="316">
        <v>403.98</v>
      </c>
      <c r="H9" s="349">
        <f t="shared" si="3"/>
        <v>0</v>
      </c>
      <c r="I9" s="316">
        <v>0.0</v>
      </c>
      <c r="J9" s="316">
        <v>0.0</v>
      </c>
      <c r="K9" s="349">
        <f t="shared" si="4"/>
        <v>0</v>
      </c>
      <c r="L9" s="350">
        <v>90.0</v>
      </c>
      <c r="M9" s="351">
        <v>53.25</v>
      </c>
      <c r="N9" s="352">
        <f t="shared" si="5"/>
        <v>0.5916666667</v>
      </c>
      <c r="O9" s="353">
        <v>105.0</v>
      </c>
      <c r="P9" s="351">
        <v>96.58</v>
      </c>
      <c r="Q9" s="352">
        <f t="shared" si="6"/>
        <v>0.9198095238</v>
      </c>
      <c r="R9" s="353">
        <v>0.0</v>
      </c>
      <c r="S9" s="351">
        <v>24.25</v>
      </c>
      <c r="T9" s="357">
        <v>0.0</v>
      </c>
      <c r="U9" s="353">
        <v>20.0</v>
      </c>
      <c r="V9" s="351">
        <v>11.88</v>
      </c>
      <c r="W9" s="352">
        <f t="shared" si="8"/>
        <v>0.594</v>
      </c>
      <c r="X9" s="353">
        <v>100.0</v>
      </c>
      <c r="Y9" s="351">
        <v>129.68</v>
      </c>
      <c r="Z9" s="352">
        <f t="shared" ref="Z9:Z13" si="15">Y9/X9</f>
        <v>1.2968</v>
      </c>
      <c r="AA9" s="353">
        <v>16.0</v>
      </c>
      <c r="AB9" s="351">
        <v>12.0</v>
      </c>
      <c r="AC9" s="352">
        <f t="shared" si="9"/>
        <v>0.75</v>
      </c>
      <c r="AD9" s="353">
        <v>12.0</v>
      </c>
      <c r="AE9" s="351">
        <v>10.25</v>
      </c>
      <c r="AF9" s="352">
        <f t="shared" si="10"/>
        <v>0.8541666667</v>
      </c>
      <c r="AG9" s="353">
        <v>40.0</v>
      </c>
      <c r="AH9" s="351">
        <v>26.8</v>
      </c>
      <c r="AI9" s="352">
        <f t="shared" si="11"/>
        <v>0.67</v>
      </c>
      <c r="AJ9" s="353">
        <v>12.0</v>
      </c>
      <c r="AK9" s="351">
        <v>5.0</v>
      </c>
      <c r="AL9" s="352">
        <f t="shared" si="12"/>
        <v>0.4166666667</v>
      </c>
      <c r="AM9" s="353">
        <v>15.0</v>
      </c>
      <c r="AN9" s="351">
        <v>32.39</v>
      </c>
      <c r="AO9" s="352">
        <f t="shared" si="13"/>
        <v>2.159333333</v>
      </c>
      <c r="AP9" s="353">
        <v>5.0</v>
      </c>
      <c r="AQ9" s="351">
        <v>1.9</v>
      </c>
      <c r="AR9" s="352">
        <f t="shared" si="14"/>
        <v>0.38</v>
      </c>
    </row>
    <row r="10" ht="24.0" customHeight="1">
      <c r="A10" s="345" t="s">
        <v>1304</v>
      </c>
      <c r="B10" s="346">
        <v>45689.0</v>
      </c>
      <c r="C10" s="347">
        <v>45716.0</v>
      </c>
      <c r="D10" s="348">
        <f>SUM(L10+O10+R10+U10+X10+AJ10+$AA$10+$AD$10+$AG$10+$AM$10+AP10)</f>
        <v>515</v>
      </c>
      <c r="E10" s="348">
        <f t="shared" ref="E10:E13" si="16">SUM(M10+P10+S10+V10+Y10+AK10+AQ10+AB10+AE10+AH10+AN10)</f>
        <v>304.87</v>
      </c>
      <c r="F10" s="349">
        <f t="shared" si="2"/>
        <v>0.4080194175</v>
      </c>
      <c r="G10" s="316">
        <v>304.42</v>
      </c>
      <c r="H10" s="349">
        <f t="shared" si="3"/>
        <v>0.001476038967</v>
      </c>
      <c r="I10" s="316">
        <v>262.0</v>
      </c>
      <c r="J10" s="316">
        <v>0.0</v>
      </c>
      <c r="K10" s="349">
        <f t="shared" si="4"/>
        <v>1</v>
      </c>
      <c r="L10" s="350">
        <v>90.0</v>
      </c>
      <c r="M10" s="351">
        <v>44.75</v>
      </c>
      <c r="N10" s="352">
        <f t="shared" si="5"/>
        <v>0.4972222222</v>
      </c>
      <c r="O10" s="353">
        <v>105.0</v>
      </c>
      <c r="P10" s="351">
        <v>28.45</v>
      </c>
      <c r="Q10" s="352">
        <f t="shared" si="6"/>
        <v>0.270952381</v>
      </c>
      <c r="R10" s="353">
        <v>100.0</v>
      </c>
      <c r="S10" s="351">
        <v>94.9</v>
      </c>
      <c r="T10" s="357">
        <v>0.0</v>
      </c>
      <c r="U10" s="353">
        <v>20.0</v>
      </c>
      <c r="V10" s="351">
        <v>3.5</v>
      </c>
      <c r="W10" s="352">
        <f t="shared" si="8"/>
        <v>0.175</v>
      </c>
      <c r="X10" s="353">
        <v>100.0</v>
      </c>
      <c r="Y10" s="351">
        <v>107.85</v>
      </c>
      <c r="Z10" s="352">
        <f t="shared" si="15"/>
        <v>1.0785</v>
      </c>
      <c r="AA10" s="353">
        <v>16.0</v>
      </c>
      <c r="AB10" s="351">
        <v>1.34</v>
      </c>
      <c r="AC10" s="352">
        <f t="shared" si="9"/>
        <v>0.08375</v>
      </c>
      <c r="AD10" s="353">
        <v>12.0</v>
      </c>
      <c r="AE10" s="351">
        <v>0.66</v>
      </c>
      <c r="AF10" s="352">
        <f t="shared" si="10"/>
        <v>0.055</v>
      </c>
      <c r="AG10" s="353">
        <v>40.0</v>
      </c>
      <c r="AH10" s="351">
        <v>8.23</v>
      </c>
      <c r="AI10" s="352">
        <f t="shared" si="11"/>
        <v>0.20575</v>
      </c>
      <c r="AJ10" s="353">
        <v>12.0</v>
      </c>
      <c r="AK10" s="351">
        <v>5.45</v>
      </c>
      <c r="AL10" s="352">
        <f t="shared" si="12"/>
        <v>0.4541666667</v>
      </c>
      <c r="AM10" s="353">
        <v>15.0</v>
      </c>
      <c r="AN10" s="351">
        <v>9.74</v>
      </c>
      <c r="AO10" s="352">
        <f t="shared" si="13"/>
        <v>0.6493333333</v>
      </c>
      <c r="AP10" s="353">
        <v>5.0</v>
      </c>
      <c r="AQ10" s="351">
        <v>0.0</v>
      </c>
      <c r="AR10" s="352">
        <f t="shared" si="14"/>
        <v>0</v>
      </c>
    </row>
    <row r="11" ht="24.0" customHeight="1">
      <c r="A11" s="345" t="s">
        <v>1305</v>
      </c>
      <c r="B11" s="346">
        <v>45717.0</v>
      </c>
      <c r="C11" s="347">
        <v>45747.0</v>
      </c>
      <c r="D11" s="348">
        <f>SUM(L11+O11+R11+U11+X11+AA11+AD11+AG11+AM11+AJ11+$AA$11+$AD$11+$AG$11+$AM$11+AP11)</f>
        <v>556</v>
      </c>
      <c r="E11" s="348">
        <f t="shared" si="16"/>
        <v>194.07</v>
      </c>
      <c r="F11" s="349">
        <f t="shared" si="2"/>
        <v>0.6509532374</v>
      </c>
      <c r="G11" s="316">
        <v>194.07</v>
      </c>
      <c r="H11" s="349">
        <f t="shared" si="3"/>
        <v>0</v>
      </c>
      <c r="I11" s="316">
        <v>210.0</v>
      </c>
      <c r="J11" s="316">
        <v>229.43</v>
      </c>
      <c r="K11" s="349">
        <f t="shared" si="4"/>
        <v>-0.09252380952</v>
      </c>
      <c r="L11" s="350">
        <v>60.0</v>
      </c>
      <c r="M11" s="351">
        <v>33.95</v>
      </c>
      <c r="N11" s="352">
        <f t="shared" si="5"/>
        <v>0.5658333333</v>
      </c>
      <c r="O11" s="353">
        <v>100.0</v>
      </c>
      <c r="P11" s="351">
        <v>1.17</v>
      </c>
      <c r="Q11" s="352">
        <f t="shared" si="6"/>
        <v>0.0117</v>
      </c>
      <c r="R11" s="353">
        <v>100.0</v>
      </c>
      <c r="S11" s="351">
        <v>63.88</v>
      </c>
      <c r="T11" s="357">
        <v>0.0</v>
      </c>
      <c r="U11" s="353">
        <v>10.0</v>
      </c>
      <c r="V11" s="351">
        <v>3.09</v>
      </c>
      <c r="W11" s="352">
        <f t="shared" si="8"/>
        <v>0.309</v>
      </c>
      <c r="X11" s="353">
        <v>100.0</v>
      </c>
      <c r="Y11" s="351">
        <v>76.6</v>
      </c>
      <c r="Z11" s="352">
        <f t="shared" si="15"/>
        <v>0.766</v>
      </c>
      <c r="AA11" s="353">
        <v>16.0</v>
      </c>
      <c r="AB11" s="351">
        <v>1.4</v>
      </c>
      <c r="AC11" s="352">
        <f t="shared" si="9"/>
        <v>0.0875</v>
      </c>
      <c r="AD11" s="353">
        <v>12.0</v>
      </c>
      <c r="AE11" s="351">
        <v>2.47</v>
      </c>
      <c r="AF11" s="352">
        <f t="shared" si="10"/>
        <v>0.2058333333</v>
      </c>
      <c r="AG11" s="353">
        <v>30.0</v>
      </c>
      <c r="AH11" s="351">
        <v>3.95</v>
      </c>
      <c r="AI11" s="352">
        <f t="shared" si="11"/>
        <v>0.1316666667</v>
      </c>
      <c r="AJ11" s="353">
        <v>5.0</v>
      </c>
      <c r="AK11" s="351">
        <v>1.4</v>
      </c>
      <c r="AL11" s="352">
        <f t="shared" si="12"/>
        <v>0.28</v>
      </c>
      <c r="AM11" s="353">
        <v>30.0</v>
      </c>
      <c r="AN11" s="351">
        <v>2.16</v>
      </c>
      <c r="AO11" s="352">
        <f t="shared" si="13"/>
        <v>0.072</v>
      </c>
      <c r="AP11" s="353">
        <v>5.0</v>
      </c>
      <c r="AQ11" s="351">
        <v>4.0</v>
      </c>
      <c r="AR11" s="352">
        <f t="shared" si="14"/>
        <v>0.8</v>
      </c>
    </row>
    <row r="12" ht="24.0" customHeight="1">
      <c r="A12" s="345" t="s">
        <v>1306</v>
      </c>
      <c r="B12" s="346">
        <v>45753.0</v>
      </c>
      <c r="C12" s="347">
        <v>45777.0</v>
      </c>
      <c r="D12" s="348">
        <f t="shared" ref="D12:D13" si="17">SUM(L12+O12+R12+U12+X12+AA12+AD12+AG12+AM12+AP12+AJ12)</f>
        <v>301</v>
      </c>
      <c r="E12" s="348">
        <f t="shared" si="16"/>
        <v>199.4</v>
      </c>
      <c r="F12" s="349">
        <f t="shared" si="2"/>
        <v>0.3375415282</v>
      </c>
      <c r="G12" s="316">
        <v>0.0</v>
      </c>
      <c r="H12" s="349">
        <f t="shared" si="3"/>
        <v>1</v>
      </c>
      <c r="I12" s="316">
        <v>0.0</v>
      </c>
      <c r="J12" s="316">
        <v>250.0</v>
      </c>
      <c r="K12" s="349">
        <f t="shared" si="4"/>
        <v>0</v>
      </c>
      <c r="L12" s="358">
        <v>55.0</v>
      </c>
      <c r="M12" s="359">
        <v>49.93</v>
      </c>
      <c r="N12" s="360">
        <f t="shared" si="5"/>
        <v>0.9078181818</v>
      </c>
      <c r="O12" s="358">
        <v>0.0</v>
      </c>
      <c r="P12" s="359">
        <v>0.0</v>
      </c>
      <c r="Q12" s="360" t="str">
        <f t="shared" si="6"/>
        <v>#DIV/0!</v>
      </c>
      <c r="R12" s="358">
        <v>100.0</v>
      </c>
      <c r="S12" s="359">
        <v>30.25</v>
      </c>
      <c r="T12" s="361">
        <v>0.0</v>
      </c>
      <c r="U12" s="358">
        <v>5.0</v>
      </c>
      <c r="V12" s="359">
        <v>2.9</v>
      </c>
      <c r="W12" s="360">
        <f t="shared" si="8"/>
        <v>0.58</v>
      </c>
      <c r="X12" s="358">
        <v>100.0</v>
      </c>
      <c r="Y12" s="359">
        <v>101.79</v>
      </c>
      <c r="Z12" s="360">
        <f t="shared" si="15"/>
        <v>1.0179</v>
      </c>
      <c r="AA12" s="358">
        <v>4.0</v>
      </c>
      <c r="AB12" s="359">
        <v>0.0</v>
      </c>
      <c r="AC12" s="360">
        <f t="shared" si="9"/>
        <v>0</v>
      </c>
      <c r="AD12" s="358">
        <v>2.0</v>
      </c>
      <c r="AE12" s="359">
        <v>1.63</v>
      </c>
      <c r="AF12" s="360">
        <f t="shared" si="10"/>
        <v>0.815</v>
      </c>
      <c r="AG12" s="358">
        <v>15.0</v>
      </c>
      <c r="AH12" s="359">
        <v>2.91</v>
      </c>
      <c r="AI12" s="360">
        <f t="shared" si="11"/>
        <v>0.194</v>
      </c>
      <c r="AJ12" s="358">
        <v>5.0</v>
      </c>
      <c r="AK12" s="359">
        <v>2.49</v>
      </c>
      <c r="AL12" s="360">
        <f t="shared" si="12"/>
        <v>0.498</v>
      </c>
      <c r="AM12" s="358">
        <v>10.0</v>
      </c>
      <c r="AN12" s="359">
        <v>7.5</v>
      </c>
      <c r="AO12" s="360">
        <f t="shared" si="13"/>
        <v>0.75</v>
      </c>
      <c r="AP12" s="358">
        <v>5.0</v>
      </c>
      <c r="AQ12" s="359">
        <v>0.0</v>
      </c>
      <c r="AR12" s="360">
        <f t="shared" si="14"/>
        <v>0</v>
      </c>
    </row>
    <row r="13" ht="24.0" customHeight="1">
      <c r="A13" s="345" t="s">
        <v>1307</v>
      </c>
      <c r="B13" s="346">
        <v>45778.0</v>
      </c>
      <c r="C13" s="347">
        <v>45808.0</v>
      </c>
      <c r="D13" s="348">
        <f t="shared" si="17"/>
        <v>451</v>
      </c>
      <c r="E13" s="348">
        <f t="shared" si="16"/>
        <v>0</v>
      </c>
      <c r="F13" s="349">
        <f t="shared" si="2"/>
        <v>1</v>
      </c>
      <c r="G13" s="316">
        <v>0.0</v>
      </c>
      <c r="H13" s="349">
        <f t="shared" si="3"/>
        <v>0</v>
      </c>
      <c r="I13" s="316">
        <v>0.0</v>
      </c>
      <c r="J13" s="316">
        <v>350.0</v>
      </c>
      <c r="K13" s="349">
        <f t="shared" si="4"/>
        <v>0</v>
      </c>
      <c r="L13" s="350">
        <v>55.0</v>
      </c>
      <c r="M13" s="351"/>
      <c r="N13" s="352">
        <f t="shared" si="5"/>
        <v>0</v>
      </c>
      <c r="O13" s="350">
        <v>110.0</v>
      </c>
      <c r="P13" s="351"/>
      <c r="Q13" s="352">
        <f t="shared" si="6"/>
        <v>0</v>
      </c>
      <c r="R13" s="350">
        <v>110.0</v>
      </c>
      <c r="S13" s="351">
        <v>0.0</v>
      </c>
      <c r="T13" s="357">
        <v>0.0</v>
      </c>
      <c r="U13" s="350">
        <v>5.0</v>
      </c>
      <c r="V13" s="351"/>
      <c r="W13" s="352">
        <f t="shared" si="8"/>
        <v>0</v>
      </c>
      <c r="X13" s="350">
        <v>130.0</v>
      </c>
      <c r="Y13" s="351">
        <v>0.0</v>
      </c>
      <c r="Z13" s="352">
        <f t="shared" si="15"/>
        <v>0</v>
      </c>
      <c r="AA13" s="350">
        <v>4.0</v>
      </c>
      <c r="AB13" s="351">
        <v>0.0</v>
      </c>
      <c r="AC13" s="352">
        <f t="shared" si="9"/>
        <v>0</v>
      </c>
      <c r="AD13" s="350">
        <v>2.0</v>
      </c>
      <c r="AE13" s="351">
        <v>0.0</v>
      </c>
      <c r="AF13" s="352">
        <f t="shared" si="10"/>
        <v>0</v>
      </c>
      <c r="AG13" s="350">
        <v>15.0</v>
      </c>
      <c r="AH13" s="351">
        <v>0.0</v>
      </c>
      <c r="AI13" s="352">
        <f t="shared" si="11"/>
        <v>0</v>
      </c>
      <c r="AJ13" s="350">
        <v>5.0</v>
      </c>
      <c r="AK13" s="351">
        <v>0.0</v>
      </c>
      <c r="AL13" s="352">
        <f t="shared" si="12"/>
        <v>0</v>
      </c>
      <c r="AM13" s="350">
        <v>10.0</v>
      </c>
      <c r="AN13" s="351">
        <v>0.0</v>
      </c>
      <c r="AO13" s="352">
        <f t="shared" si="13"/>
        <v>0</v>
      </c>
      <c r="AP13" s="350">
        <v>5.0</v>
      </c>
      <c r="AQ13" s="351">
        <v>0.0</v>
      </c>
      <c r="AR13" s="352">
        <f t="shared" si="14"/>
        <v>0</v>
      </c>
    </row>
    <row r="14" ht="24.0" customHeight="1">
      <c r="A14" s="345" t="s">
        <v>1308</v>
      </c>
      <c r="B14" s="346"/>
      <c r="C14" s="346"/>
      <c r="D14" s="348"/>
      <c r="E14" s="348">
        <f>SUM(E7:E13)</f>
        <v>1373.27</v>
      </c>
      <c r="F14" s="349"/>
      <c r="G14" s="316"/>
      <c r="H14" s="349"/>
      <c r="I14" s="316"/>
      <c r="J14" s="316"/>
      <c r="K14" s="349"/>
      <c r="L14" s="350"/>
      <c r="M14" s="351"/>
      <c r="N14" s="356"/>
      <c r="O14" s="350"/>
      <c r="P14" s="351"/>
      <c r="Q14" s="356"/>
      <c r="R14" s="350"/>
      <c r="S14" s="351"/>
      <c r="T14" s="362"/>
      <c r="U14" s="350"/>
      <c r="V14" s="351"/>
      <c r="W14" s="356"/>
      <c r="X14" s="350"/>
      <c r="Y14" s="351"/>
      <c r="Z14" s="356"/>
      <c r="AA14" s="350"/>
      <c r="AB14" s="351"/>
      <c r="AC14" s="356"/>
      <c r="AD14" s="350"/>
      <c r="AE14" s="351"/>
      <c r="AF14" s="356"/>
      <c r="AG14" s="350"/>
      <c r="AH14" s="351"/>
      <c r="AI14" s="356"/>
      <c r="AJ14" s="350"/>
      <c r="AK14" s="351"/>
      <c r="AL14" s="356"/>
      <c r="AM14" s="350"/>
      <c r="AN14" s="351"/>
      <c r="AO14" s="356"/>
      <c r="AP14" s="350"/>
      <c r="AQ14" s="351"/>
      <c r="AR14" s="356"/>
    </row>
  </sheetData>
  <mergeCells count="12">
    <mergeCell ref="AD5:AF5"/>
    <mergeCell ref="AG5:AI5"/>
    <mergeCell ref="AJ5:AL5"/>
    <mergeCell ref="AM5:AO5"/>
    <mergeCell ref="AP5:AR5"/>
    <mergeCell ref="L2:Q2"/>
    <mergeCell ref="L5:N5"/>
    <mergeCell ref="O5:Q5"/>
    <mergeCell ref="R5:T5"/>
    <mergeCell ref="U5:W5"/>
    <mergeCell ref="X5:Z5"/>
    <mergeCell ref="AA5:AC5"/>
  </mergeCells>
  <drawing r:id="rId2"/>
  <legacyDrawing r:id="rId3"/>
  <tableParts count="1">
    <tablePart r:id="rId5"/>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2" width="14.43"/>
    <col customWidth="1" min="3" max="3" width="28.71"/>
    <col customWidth="1" min="4" max="4" width="18.71"/>
    <col customWidth="1" min="5" max="5" width="200.14"/>
  </cols>
  <sheetData>
    <row r="1" ht="37.5" customHeight="1">
      <c r="A1" s="1" t="str">
        <f>CONCAT('Roadmap setting'!B3," - Document change log")</f>
        <v>SuperMarty project - Document change log</v>
      </c>
    </row>
    <row r="2" ht="30.0" customHeight="1">
      <c r="A2" s="363" t="s">
        <v>1309</v>
      </c>
      <c r="B2" s="363" t="s">
        <v>1310</v>
      </c>
      <c r="C2" s="364" t="s">
        <v>1311</v>
      </c>
      <c r="D2" s="365" t="s">
        <v>275</v>
      </c>
      <c r="E2" s="364" t="s">
        <v>73</v>
      </c>
    </row>
    <row r="3" ht="22.5" customHeight="1">
      <c r="A3" s="10" t="s">
        <v>1312</v>
      </c>
      <c r="B3" s="366">
        <v>45481.0</v>
      </c>
      <c r="C3" s="273" t="s">
        <v>1313</v>
      </c>
      <c r="D3" s="273" t="s">
        <v>1314</v>
      </c>
      <c r="E3" s="367" t="s">
        <v>1315</v>
      </c>
    </row>
    <row r="4" ht="22.5" customHeight="1">
      <c r="A4" s="10" t="s">
        <v>1316</v>
      </c>
      <c r="B4" s="366">
        <v>45594.0</v>
      </c>
      <c r="C4" s="273" t="s">
        <v>797</v>
      </c>
      <c r="D4" s="273"/>
      <c r="E4" s="273" t="s">
        <v>1317</v>
      </c>
    </row>
    <row r="5" ht="22.5" customHeight="1">
      <c r="A5" s="10"/>
      <c r="B5" s="366"/>
      <c r="C5" s="273"/>
      <c r="D5" s="273"/>
      <c r="E5" s="273"/>
    </row>
    <row r="6" ht="22.5" customHeight="1">
      <c r="A6" s="10"/>
      <c r="B6" s="366"/>
      <c r="C6" s="273"/>
      <c r="D6" s="273"/>
      <c r="E6" s="273"/>
    </row>
    <row r="7" ht="22.5" customHeight="1">
      <c r="A7" s="10"/>
      <c r="B7" s="366"/>
      <c r="C7" s="273"/>
      <c r="D7" s="273"/>
      <c r="E7" s="273"/>
    </row>
    <row r="8" ht="22.5" customHeight="1">
      <c r="A8" s="10"/>
      <c r="B8" s="366"/>
      <c r="C8" s="273"/>
      <c r="D8" s="273"/>
      <c r="E8" s="273"/>
    </row>
    <row r="9" ht="22.5" customHeight="1">
      <c r="A9" s="10"/>
      <c r="B9" s="366"/>
      <c r="C9" s="273"/>
      <c r="D9" s="273"/>
      <c r="E9" s="273"/>
    </row>
    <row r="10" ht="22.5" customHeight="1">
      <c r="A10" s="10"/>
      <c r="B10" s="366"/>
      <c r="C10" s="273"/>
      <c r="D10" s="273"/>
      <c r="E10" s="273"/>
    </row>
    <row r="11" ht="22.5" customHeight="1">
      <c r="A11" s="368"/>
      <c r="B11" s="82"/>
      <c r="C11" s="114"/>
      <c r="D11" s="114"/>
      <c r="E11" s="114"/>
    </row>
    <row r="12" ht="22.5" customHeight="1">
      <c r="A12" s="368"/>
      <c r="B12" s="82"/>
      <c r="C12" s="114"/>
      <c r="D12" s="114"/>
      <c r="E12" s="114"/>
    </row>
    <row r="13" ht="22.5" customHeight="1">
      <c r="A13" s="368"/>
      <c r="B13" s="82"/>
      <c r="C13" s="114"/>
      <c r="D13" s="114"/>
      <c r="E13" s="114"/>
    </row>
    <row r="14" ht="22.5" customHeight="1">
      <c r="A14" s="368"/>
      <c r="B14" s="82"/>
      <c r="C14" s="114"/>
      <c r="D14" s="114"/>
      <c r="E14" s="114"/>
    </row>
    <row r="15" ht="22.5" customHeight="1">
      <c r="A15" s="368"/>
      <c r="B15" s="82"/>
      <c r="C15" s="114"/>
      <c r="D15" s="114"/>
      <c r="E15" s="114"/>
    </row>
    <row r="16" ht="22.5" customHeight="1">
      <c r="A16" s="368"/>
      <c r="B16" s="82"/>
      <c r="C16" s="114"/>
      <c r="D16" s="114"/>
      <c r="E16" s="114"/>
    </row>
    <row r="17" ht="22.5" customHeight="1">
      <c r="A17" s="368"/>
      <c r="B17" s="82"/>
      <c r="C17" s="114"/>
      <c r="D17" s="114"/>
      <c r="E17" s="114"/>
    </row>
    <row r="18" ht="22.5" customHeight="1">
      <c r="A18" s="368"/>
      <c r="B18" s="82"/>
      <c r="C18" s="114"/>
      <c r="D18" s="114"/>
      <c r="E18" s="114"/>
    </row>
    <row r="19" ht="22.5" customHeight="1">
      <c r="A19" s="368"/>
      <c r="B19" s="82"/>
      <c r="C19" s="114"/>
      <c r="D19" s="114"/>
      <c r="E19" s="114"/>
    </row>
    <row r="20" ht="22.5" customHeight="1">
      <c r="A20" s="368"/>
      <c r="B20" s="82"/>
      <c r="C20" s="114"/>
      <c r="D20" s="114"/>
      <c r="E20" s="114"/>
    </row>
    <row r="21" ht="22.5" customHeight="1">
      <c r="A21" s="368"/>
      <c r="B21" s="82"/>
      <c r="C21" s="114"/>
      <c r="D21" s="114"/>
      <c r="E21" s="114"/>
    </row>
    <row r="22" ht="22.5" customHeight="1">
      <c r="A22" s="368"/>
      <c r="B22" s="82"/>
      <c r="C22" s="114"/>
      <c r="D22" s="114"/>
      <c r="E22" s="114"/>
    </row>
    <row r="23" ht="22.5" customHeight="1">
      <c r="A23" s="368"/>
      <c r="B23" s="82"/>
      <c r="C23" s="114"/>
      <c r="D23" s="114"/>
      <c r="E23" s="114"/>
    </row>
    <row r="24" ht="22.5" customHeight="1">
      <c r="A24" s="368"/>
      <c r="B24" s="82"/>
      <c r="C24" s="114"/>
      <c r="D24" s="114"/>
      <c r="E24" s="114"/>
    </row>
    <row r="25" ht="22.5" customHeight="1">
      <c r="A25" s="368"/>
      <c r="B25" s="82"/>
      <c r="C25" s="114"/>
      <c r="D25" s="114"/>
      <c r="E25" s="114"/>
    </row>
    <row r="26" ht="22.5" customHeight="1">
      <c r="A26" s="368"/>
      <c r="B26" s="82"/>
      <c r="C26" s="114"/>
      <c r="D26" s="114"/>
      <c r="E26" s="114"/>
    </row>
    <row r="27" ht="22.5" customHeight="1">
      <c r="A27" s="368"/>
      <c r="B27" s="82"/>
      <c r="C27" s="114"/>
      <c r="D27" s="114"/>
      <c r="E27" s="114"/>
    </row>
    <row r="28" ht="22.5" customHeight="1">
      <c r="A28" s="368"/>
      <c r="B28" s="82"/>
      <c r="C28" s="114"/>
      <c r="D28" s="114"/>
      <c r="E28" s="114"/>
    </row>
    <row r="29" ht="22.5" customHeight="1">
      <c r="A29" s="368"/>
      <c r="B29" s="82"/>
      <c r="C29" s="114"/>
      <c r="D29" s="114"/>
      <c r="E29" s="114"/>
    </row>
    <row r="30" ht="22.5" customHeight="1">
      <c r="A30" s="368"/>
      <c r="B30" s="82"/>
      <c r="C30" s="114"/>
      <c r="D30" s="114"/>
      <c r="E30" s="114"/>
    </row>
    <row r="31" ht="22.5" customHeight="1">
      <c r="A31" s="368"/>
      <c r="B31" s="82"/>
      <c r="C31" s="114"/>
      <c r="D31" s="114"/>
      <c r="E31" s="114"/>
    </row>
    <row r="32" ht="22.5" customHeight="1">
      <c r="A32" s="368"/>
      <c r="B32" s="82"/>
      <c r="C32" s="114"/>
      <c r="D32" s="114"/>
      <c r="E32" s="114"/>
    </row>
    <row r="33" ht="22.5" customHeight="1">
      <c r="A33" s="368"/>
      <c r="B33" s="82"/>
      <c r="C33" s="114"/>
      <c r="D33" s="114"/>
      <c r="E33" s="114"/>
    </row>
    <row r="34" ht="22.5" customHeight="1">
      <c r="A34" s="368"/>
      <c r="B34" s="82"/>
      <c r="C34" s="114"/>
      <c r="D34" s="114"/>
      <c r="E34" s="114"/>
    </row>
    <row r="35" ht="22.5" customHeight="1">
      <c r="A35" s="368"/>
      <c r="B35" s="82"/>
      <c r="C35" s="114"/>
      <c r="D35" s="114"/>
      <c r="E35" s="114"/>
    </row>
    <row r="36" ht="22.5" customHeight="1">
      <c r="A36" s="368"/>
      <c r="B36" s="82"/>
      <c r="C36" s="114"/>
      <c r="D36" s="114"/>
      <c r="E36" s="114"/>
    </row>
    <row r="37" ht="22.5" customHeight="1">
      <c r="A37" s="368"/>
      <c r="B37" s="82"/>
      <c r="C37" s="114"/>
      <c r="D37" s="114"/>
      <c r="E37" s="114"/>
    </row>
    <row r="38" ht="22.5" customHeight="1">
      <c r="A38" s="368"/>
      <c r="B38" s="82"/>
      <c r="C38" s="114"/>
      <c r="D38" s="114"/>
      <c r="E38" s="114"/>
    </row>
    <row r="39" ht="22.5" customHeight="1">
      <c r="A39" s="368"/>
      <c r="B39" s="82"/>
      <c r="C39" s="114"/>
      <c r="D39" s="114"/>
      <c r="E39" s="114"/>
    </row>
    <row r="40" ht="22.5" customHeight="1">
      <c r="A40" s="368"/>
      <c r="B40" s="82"/>
      <c r="C40" s="114"/>
      <c r="D40" s="114"/>
      <c r="E40" s="114"/>
    </row>
  </sheetData>
  <mergeCells count="1">
    <mergeCell ref="A1:E1"/>
  </mergeCells>
  <dataValidations>
    <dataValidation type="list" allowBlank="1" showErrorMessage="1" sqref="D3:D40">
      <formula1>"Roadmap updates,Resources updates,Roadmap setting updates,Other"</formula1>
    </dataValidation>
    <dataValidation type="custom" allowBlank="1" showDropDown="1" showInputMessage="1" showErrorMessage="1" prompt="Enter a valid date" sqref="B3:B15">
      <formula1>OR(NOT(ISERROR(DATEVALUE(B3))), AND(ISNUMBER(B3), LEFT(CELL("format", B3))="D"))</formula1>
    </dataValidation>
    <dataValidation type="custom" allowBlank="1" showDropDown="1" sqref="B17:B40">
      <formula1>OR(NOT(ISERROR(DATEVALUE(B17))), AND(ISNUMBER(B17), LEFT(CELL("format", B17))="D"))</formula1>
    </dataValidation>
  </dataValidations>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 width="50.14"/>
    <col customWidth="1" min="2" max="3" width="14.43"/>
    <col customWidth="1" hidden="1" min="4" max="4" width="14.43"/>
    <col customWidth="1" min="5" max="5" width="171.57"/>
    <col customWidth="1" min="6" max="6" width="7.29"/>
    <col customWidth="1" min="7" max="7" width="11.57"/>
  </cols>
  <sheetData>
    <row r="1" ht="37.5" customHeight="1">
      <c r="A1" s="1" t="str">
        <f>CONCAT('Roadmap setting'!B3," - Error Log")</f>
        <v>SuperMarty project - Error Log</v>
      </c>
      <c r="F1" s="369"/>
      <c r="G1" s="370"/>
    </row>
    <row r="2" ht="22.5" customHeight="1">
      <c r="A2" s="200" t="s">
        <v>1318</v>
      </c>
      <c r="B2" s="200" t="s">
        <v>1319</v>
      </c>
      <c r="C2" s="200" t="s">
        <v>1320</v>
      </c>
      <c r="D2" s="200" t="s">
        <v>1321</v>
      </c>
      <c r="E2" s="200" t="s">
        <v>1322</v>
      </c>
      <c r="F2" s="371" t="s">
        <v>1183</v>
      </c>
      <c r="G2" s="371" t="s">
        <v>1323</v>
      </c>
    </row>
    <row r="3">
      <c r="A3" s="372" t="s">
        <v>1324</v>
      </c>
      <c r="B3" s="373"/>
      <c r="C3" s="372"/>
      <c r="D3" s="372"/>
      <c r="E3" s="372"/>
      <c r="F3" s="373"/>
      <c r="G3" s="374"/>
    </row>
    <row r="4" ht="29.25" customHeight="1">
      <c r="A4" s="229" t="s">
        <v>1325</v>
      </c>
      <c r="B4" s="92" t="str">
        <f>IF(OR(COLUMNS(Roadmap!$C$2:$AV$4) = 44, COLUMNS(Roadmap!$C$2:$AV$4) = 36, COLUMNS(Roadmap!$C$2:$AV$4) = 28, COLUMNS(Roadmap!$C$2:$AV$4) = 20, COLUMNS(Roadmap!$C$2:$AV$4) = 12), "", "True")</f>
        <v>True</v>
      </c>
      <c r="C4" s="83"/>
      <c r="D4" s="83"/>
      <c r="E4" s="83" t="s">
        <v>1326</v>
      </c>
      <c r="F4" s="375" t="b">
        <v>1</v>
      </c>
      <c r="G4" s="82">
        <v>45225.0</v>
      </c>
    </row>
    <row r="5">
      <c r="A5" s="229" t="s">
        <v>1327</v>
      </c>
      <c r="B5" s="375">
        <f>COUNTIF(Roadmap!AN:AN,"")-COUNTIF(#REF!,"")-COUNTIF(#REF!,"")-COUNTIF(#REF!,"")-COUNTIF(#REF!,"")-COUNTIF(#REF!,"")-COUNTIF(#REF!,"")-COUNTIF(#REF!,"")-COUNTIF(#REF!,"")-COUNTIF(#REF!,"")-COUNTIF(#REF!,"")-COUNTIF(Roadmap!AN185,"")-COUNTIF(Roadmap!AN3,"")-COUNTIF(Roadmap!AN190,"")-COUNTIF(Roadmap!AN191,"")</f>
        <v>91</v>
      </c>
      <c r="C5" s="229"/>
      <c r="D5" s="229"/>
      <c r="E5" s="229" t="s">
        <v>1328</v>
      </c>
      <c r="F5" s="375" t="b">
        <v>1</v>
      </c>
      <c r="G5" s="376">
        <v>45236.0</v>
      </c>
    </row>
    <row r="6">
      <c r="A6" s="377" t="s">
        <v>1329</v>
      </c>
      <c r="B6" s="378">
        <f>IF(COUNTIF(Roadmap!AN:AN, "&gt;=" &amp;Roadmap!AS:AS + 14) &gt; 0, COUNTIF(Roadmap!AN:AN, "&gt;=" &amp; Roadmap!AS:AS + 28), "")</f>
        <v>8</v>
      </c>
      <c r="C6" s="378">
        <f>IF(COUNTIF(Roadmap!AN:AN, "&gt;=" &amp;Roadmap!AS:AS  + 14) &gt; 0, COUNTIF(Roadmap!AN:AN, "&gt;=" &amp; Roadmap!AS:AS + 14), "")</f>
        <v>22</v>
      </c>
      <c r="D6" s="83"/>
      <c r="E6" s="83" t="s">
        <v>1330</v>
      </c>
      <c r="F6" s="92" t="b">
        <v>1</v>
      </c>
      <c r="G6" s="82">
        <v>45225.0</v>
      </c>
    </row>
    <row r="7">
      <c r="A7" s="229" t="s">
        <v>1331</v>
      </c>
      <c r="B7" s="378" t="str">
        <f>IF(ISDATE('Roadmap setting'!B8), IF(MAX(INDIRECT("Roadmap!AP:AP" &amp; COUNT(Roadmap!AS:AS))) - 'Roadmap setting'!B8 &gt; 14, "Yes", ""), "")</f>
        <v/>
      </c>
      <c r="C7" s="378" t="str">
        <f>IF(ISDATE('Roadmap setting'!B8), IF(MAX(INDIRECT("Roadmap!AP:AP" &amp; COUNT(Roadmap!AS:AS))) - 'Roadmap setting'!B8 &lt; 14, "Yes", ""), "")</f>
        <v/>
      </c>
      <c r="D7" s="83"/>
      <c r="E7" s="83" t="s">
        <v>1332</v>
      </c>
      <c r="F7" s="92" t="b">
        <v>1</v>
      </c>
      <c r="G7" s="82">
        <v>45225.0</v>
      </c>
    </row>
    <row r="8">
      <c r="A8" s="372" t="s">
        <v>1333</v>
      </c>
      <c r="B8" s="373"/>
      <c r="C8" s="372"/>
      <c r="D8" s="372"/>
      <c r="E8" s="372"/>
      <c r="F8" s="373"/>
      <c r="G8" s="374"/>
    </row>
    <row r="9">
      <c r="A9" s="229" t="s">
        <v>1334</v>
      </c>
      <c r="B9" s="92">
        <f>IF(COUNTIF('Team performance'!B:B, "&gt;150%") + COUNTIF('Team performance'!B:B, "&lt;50%") &gt; 0, COUNTIF('Team performance'!B:B, "&gt;150%") + COUNTIF('Team performance'!B:B, "&lt;50%"), "")</f>
        <v>5</v>
      </c>
      <c r="C9" s="92">
        <f>IF(COUNTIF('Team performance'!B:B, "&gt;125%") + COUNTIF('Team performance'!B:B, "&lt;75%") &gt; 0, COUNTIF('Team performance'!B:B, "&gt;125%") + COUNTIF('Team performance'!B:B, "&lt;75%"), "")</f>
        <v>7</v>
      </c>
      <c r="D9" s="377"/>
      <c r="E9" s="229" t="s">
        <v>1335</v>
      </c>
      <c r="F9" s="375" t="b">
        <v>1</v>
      </c>
      <c r="G9" s="82">
        <v>45225.0</v>
      </c>
    </row>
    <row r="10">
      <c r="A10" s="229" t="s">
        <v>1336</v>
      </c>
      <c r="B10" s="378" t="str">
        <f>IF(COUNTIF('Team performance'!G:G, "*Bad*") = 0, "", COUNTIF('Team performance'!G:G, "*Bad*"))</f>
        <v/>
      </c>
      <c r="C10" s="378">
        <f>IF(COUNTIF('Team performance'!G:G, "*Below Par*") = 0, "", COUNTIF('Team performance'!G:G, "*Below Par*"))</f>
        <v>2</v>
      </c>
      <c r="D10" s="377"/>
      <c r="E10" s="229" t="s">
        <v>1337</v>
      </c>
      <c r="F10" s="375" t="b">
        <v>1</v>
      </c>
      <c r="G10" s="82">
        <v>45225.0</v>
      </c>
    </row>
    <row r="11">
      <c r="A11" s="229" t="s">
        <v>1338</v>
      </c>
      <c r="B11" s="378" t="str">
        <f>IF(COUNTIF('Team performance'!I:I, "*Bad*") = 0, "", COUNTIF('Team performance'!I:I, "*Bad*"))</f>
        <v/>
      </c>
      <c r="C11" s="378">
        <f>IF(COUNTIF('Team performance'!I:I, "*Below Par*") = 0, "", COUNTIF('Team performance'!I:I, "*Below Par*"))</f>
        <v>1</v>
      </c>
      <c r="D11" s="377"/>
      <c r="E11" s="229" t="s">
        <v>1339</v>
      </c>
      <c r="F11" s="375" t="b">
        <v>1</v>
      </c>
      <c r="G11" s="82">
        <v>45225.0</v>
      </c>
    </row>
    <row r="12">
      <c r="A12" s="229" t="s">
        <v>1340</v>
      </c>
      <c r="B12" s="378" t="str">
        <f>IF(COUNTIF('Team performance'!J:J, "*Bad*") = 0, "", COUNTIF('Team performance'!J:J, "*Bad*"))</f>
        <v/>
      </c>
      <c r="C12" s="378" t="str">
        <f>IF(COUNTIF('Team performance'!J:J, "*Below Par*") = 0, "", COUNTIF('Team performance'!J:J, "*Below Par*"))</f>
        <v/>
      </c>
      <c r="D12" s="377"/>
      <c r="E12" s="229" t="s">
        <v>1341</v>
      </c>
      <c r="F12" s="375" t="b">
        <v>1</v>
      </c>
      <c r="G12" s="82">
        <v>45225.0</v>
      </c>
    </row>
    <row r="13">
      <c r="A13" s="229" t="s">
        <v>1342</v>
      </c>
      <c r="B13" s="378" t="str">
        <f>IF(COUNTIF('Team performance'!M:M, "*Bad*") = 0, "", COUNTIF('Team performance'!M:M, "*Bad*"))</f>
        <v/>
      </c>
      <c r="C13" s="378" t="str">
        <f>IF(COUNTIF('Team performance'!M:M, "*Below Par*") = 0, "", COUNTIF('Team performance'!M:M, "*Below Par*"))</f>
        <v/>
      </c>
      <c r="D13" s="377"/>
      <c r="E13" s="229" t="s">
        <v>1343</v>
      </c>
      <c r="F13" s="375" t="b">
        <v>1</v>
      </c>
      <c r="G13" s="82">
        <v>45225.0</v>
      </c>
    </row>
    <row r="14">
      <c r="A14" s="229" t="s">
        <v>1344</v>
      </c>
      <c r="B14" s="378" t="str">
        <f>IF(COUNTIF('Team performance'!P:P, "*Bad*") = 0, "", COUNTIF('Team performance'!P:P, "*Bad*"))</f>
        <v/>
      </c>
      <c r="C14" s="378" t="str">
        <f>IF(COUNTIF('Team performance'!P:P, "*Below Par*") = 0, "", COUNTIF('Team performance'!P:P, "*Below Par*"))</f>
        <v/>
      </c>
      <c r="D14" s="377"/>
      <c r="E14" s="229" t="s">
        <v>1345</v>
      </c>
      <c r="F14" s="375" t="b">
        <v>1</v>
      </c>
      <c r="G14" s="82">
        <v>45225.0</v>
      </c>
    </row>
    <row r="15">
      <c r="A15" s="372" t="s">
        <v>1346</v>
      </c>
      <c r="B15" s="373"/>
      <c r="C15" s="372"/>
      <c r="D15" s="372"/>
      <c r="E15" s="372"/>
      <c r="F15" s="373"/>
      <c r="G15" s="374"/>
    </row>
    <row r="16">
      <c r="A16" s="229" t="s">
        <v>1347</v>
      </c>
      <c r="B16" s="375" t="str">
        <f>IF(
    'Roadmap setting'!B6 &lt;&gt; "In progress",
    "Project not in progress",
    IF(
        OR(
            AND(
                'Roadmap setting'!B10 = "Weekly", 
                COUNTIFS(#REF!, "&gt;= " &amp; TODAY() - 13, #REF!, "&lt;=" &amp; TODAY()) &gt; 0
            ),
            AND(
                'Roadmap setting'!B10 = "Every 2 Weeks", 
                COUNTIFS(#REF!, "&gt;= " &amp; TODAY() - 27, #REF!, "&lt;=" &amp; TODAY()) &gt; 0
            )
        ),
        "",
        "Yes"
    )
)
</f>
        <v>Yes</v>
      </c>
      <c r="C16" s="378" t="str">
        <f>IF( 'Roadmap setting'!B6 &lt;&gt; "In progress", "Project not in progress", IF( OR( AND( 'Roadmap setting'!B10 = "Weekly", COUNTIFS(#REF!, "&gt;= " &amp; TODAY() - 6, #REF!, "&lt;=" &amp; TODAY()) &gt; 0 ), AND( 'Roadmap setting'!B10 = "Every 2 Weeks", COUNTIFS(#REF!, "&gt;= " &amp; TODAY() - 13, #REF!, "&lt;=" &amp; TODAY()) &gt; 0 ) ), "", "Yes" ) )</f>
        <v>Yes</v>
      </c>
      <c r="D16" s="377"/>
      <c r="E16" s="229" t="s">
        <v>1348</v>
      </c>
      <c r="F16" s="375" t="b">
        <v>1</v>
      </c>
      <c r="G16" s="376">
        <v>45225.0</v>
      </c>
    </row>
    <row r="17">
      <c r="A17" s="377" t="s">
        <v>1349</v>
      </c>
      <c r="B17" s="378" t="str">
        <f>IF(
    'Roadmap setting'!B6 &lt;&gt; "Maintanance / SLA",
    "Project not in maintenance",
    IF(
        OR(
            AND(
                'Roadmap setting'!B10 = "Weekly",
                COUNTIFS(#REF!, "&gt;= " &amp; TODAY() - 27, #REF!, "&lt;=" &amp; TODAY()) &gt; 0
            ),
            AND(
                'Roadmap setting'!B10 = "Every 2 Weeks",
                COUNTIFS(#REF!, "&gt;= " &amp; TODAY() - 56, #REF!, "&lt;=" &amp; TODAY()) &gt; 0
            )
        ),
        "",
        "Yes"
    )
)
</f>
        <v>Project not in maintenance</v>
      </c>
      <c r="C17" s="378" t="str">
        <f>IF(
    'Roadmap setting'!B6 &lt;&gt; "Maintanance / SLA",
    "Project not in maintenance",
    IF(
        OR(
            AND(
                'Roadmap setting'!B10 = "Weekly",
                COUNTIFS(#REF!, "&gt;= " &amp; TODAY() - 13, #REF!, "&lt;=" &amp; TODAY()) &gt; 0
            ),
            AND(
                'Roadmap setting'!B10 = "Every 2 Weeks",
                COUNTIFS(#REF!, "&gt;= " &amp; TODAY() - 27, #REF!, "&lt;=" &amp; TODAY()) &gt; 0
            )
        ),
        "",
        "Yes"
    )
)
</f>
        <v>Project not in maintenance</v>
      </c>
      <c r="D17" s="377"/>
      <c r="E17" s="229" t="s">
        <v>1350</v>
      </c>
      <c r="F17" s="375" t="b">
        <v>1</v>
      </c>
      <c r="G17" s="82">
        <v>45225.0</v>
      </c>
    </row>
    <row r="18">
      <c r="A18" s="372" t="s">
        <v>1351</v>
      </c>
      <c r="B18" s="373"/>
      <c r="C18" s="372"/>
      <c r="D18" s="372"/>
      <c r="E18" s="372"/>
      <c r="F18" s="373"/>
      <c r="G18" s="374"/>
    </row>
    <row r="19">
      <c r="A19" s="229" t="s">
        <v>1352</v>
      </c>
      <c r="B19" s="378">
        <f>COUNTIF('Action points'!D:D, "&lt;" &amp; TODAY()) + COUNTIF('Action points'!A:A, FALSE)</f>
        <v>6</v>
      </c>
      <c r="C19" s="83"/>
      <c r="D19" s="83"/>
      <c r="E19" s="83" t="s">
        <v>1353</v>
      </c>
      <c r="F19" s="92" t="b">
        <v>1</v>
      </c>
      <c r="G19" s="82">
        <v>45225.0</v>
      </c>
    </row>
    <row r="20">
      <c r="A20" s="229" t="s">
        <v>1354</v>
      </c>
      <c r="B20" s="378" t="str">
        <f>IF(
    IF(
        'Roadmap setting'!B10 = "Weekly",
        COUNTIFS('Action points'!D:D, "&gt;= " &amp; TODAY() - 13, 'Action points'!D:D, "&lt;=" &amp; TODAY()) &gt; 0,
        IF(
            'Roadmap setting'!B10 = "Every 2 Weeks",
            COUNTIFS('Action points'!D:D, "&gt;= " &amp; TODAY() - 28, 'Action points'!D:D, "&lt;=" &amp; TODAY()) &gt; 0,
            TRUE
        )
    ),
    "",
    "Yes"
)
</f>
        <v/>
      </c>
      <c r="C20" s="378" t="str">
        <f>IF( IF( 'Roadmap setting'!B10 = "Weekly", COUNTIFS('Action points'!D:D, "&gt;= " &amp; TODAY() - 6, 'Action points'!D:D, "&lt;=" &amp; TODAY()) &gt; 0, IF( 'Roadmap setting'!B10 = "Every 2 Weeks", COUNTIFS('Action points'!D:D, "&gt;= " &amp; TODAY() - 13, 'Action points'!D:D, "&lt;=" &amp; TODAY()) &gt; 0, TRUE ) ), "", "Yes" )</f>
        <v/>
      </c>
      <c r="D20" s="83"/>
      <c r="E20" s="229" t="s">
        <v>1355</v>
      </c>
      <c r="F20" s="92" t="b">
        <v>1</v>
      </c>
      <c r="G20" s="82">
        <v>45225.0</v>
      </c>
    </row>
    <row r="21">
      <c r="A21" s="372" t="s">
        <v>1356</v>
      </c>
      <c r="B21" s="373"/>
      <c r="C21" s="372"/>
      <c r="D21" s="372"/>
      <c r="E21" s="372"/>
      <c r="F21" s="373"/>
      <c r="G21" s="374"/>
    </row>
    <row r="22">
      <c r="A22" s="229" t="s">
        <v>1357</v>
      </c>
      <c r="B22" s="378">
        <f>IF(COUNTIF(Resources!I53:I54, "&gt;8") &gt; 0, COUNTIF(Resources!I53:I54, "&gt;8"), "")</f>
        <v>1</v>
      </c>
      <c r="C22" s="378" t="str">
        <f>IF(COUNTIFS(Resources!I53:I54, "&gt;=1", Resources!I53:I54, "&lt;=8", Resources!I53:I54, "&lt;&gt;") &gt; 0, COUNTIFS(Resources!I53:I54, "&gt;=1", Resources!I53:I54, "&lt;=8", Resources!I53:I54, "&lt;&gt;"), "")</f>
        <v/>
      </c>
      <c r="D22" s="83"/>
      <c r="E22" s="83" t="s">
        <v>1358</v>
      </c>
      <c r="F22" s="92" t="b">
        <v>1</v>
      </c>
      <c r="G22" s="82">
        <v>45225.0</v>
      </c>
    </row>
    <row r="23">
      <c r="A23" s="229" t="s">
        <v>1331</v>
      </c>
      <c r="B23" s="92" t="str">
        <f>IF(AND(ISNUMBER($B$22), $B$22&gt;0), "Yes", "")</f>
        <v>Yes</v>
      </c>
      <c r="C23" s="83"/>
      <c r="D23" s="83"/>
      <c r="E23" s="83" t="s">
        <v>1359</v>
      </c>
      <c r="F23" s="92" t="b">
        <v>1</v>
      </c>
      <c r="G23" s="82">
        <v>45225.0</v>
      </c>
    </row>
    <row r="24">
      <c r="A24" s="229" t="s">
        <v>1360</v>
      </c>
      <c r="B24" s="375" t="s">
        <v>1026</v>
      </c>
      <c r="C24" s="229"/>
      <c r="D24" s="229"/>
      <c r="E24" s="379" t="s">
        <v>1361</v>
      </c>
      <c r="F24" s="375" t="b">
        <v>1</v>
      </c>
      <c r="G24" s="376">
        <v>45236.0</v>
      </c>
    </row>
    <row r="25">
      <c r="A25" s="377" t="s">
        <v>1362</v>
      </c>
      <c r="B25" s="378"/>
      <c r="C25" s="378" t="str">
        <f>IF(sum(Resources!Z4:Z47)&lt;sum(Resources!H4:H47)-sum(Resources!Z4:Z47) / 2 ,"Yes" , "")</f>
        <v>Yes</v>
      </c>
      <c r="D25" s="377"/>
      <c r="E25" s="83" t="s">
        <v>1363</v>
      </c>
      <c r="F25" s="92" t="b">
        <v>1</v>
      </c>
      <c r="G25" s="82">
        <v>45225.0</v>
      </c>
    </row>
    <row r="26">
      <c r="A26" s="229" t="s">
        <v>1364</v>
      </c>
      <c r="B26" s="380" t="str">
        <f t="array" ref="B26">IF( SUMPRODUCT( --(ISNUMBER(MATCH(Resources!D1:D54,{"Full stack development";"Backend development";"Frontend development";"Backend auto. testing";"Frontend auto. testing";"Technical (code) review"},0))), --(ISNUMBER(MATCH(Resources!G1:G54,{"9 - Senior A";"10 - Senior B";"11 - Senior C";"12 - Senior D"},0))), Resources!Z1:Z54 ) &lt; (20%)* SUMPRODUCT( --(ISNUMBER(MATCH(Resources!D1:D54,{"Full stack development";"Backend development";"Frontend development";"Backend auto. testing";"Frontend auto. testing";"Technical (code) review"},0))), --(ISNUMBER(MATCH(Resources!G1:G54,{"1 - Junior A";"2 - Junior B";"3 - Junior C";"4 - Junior D";"5 - Mid-level A";"6 - Mid-level B";"7 - Mid-level C";"8 - Mid-level D"},0))), Resources!Z1:Z54 ), "YES", "")</f>
        <v/>
      </c>
      <c r="C26" s="378" t="str">
        <f t="array" ref="C26">IF(SUMPRODUCT( --(ISNUMBER(MATCH(Resources!D1:D54,{"Full stack development";"Backend development";"Frontend development";"Backend auto. testing";"Frontend auto. testing";"Technical (code) review"},0))), --(ISNUMBER(MATCH(Resources!G1:G54,{"9 - Senior A";"10 - Senior B";"11 - Senior C";"12 - Senior D"},0))), Resources!Z1:Z54 ) &gt; (40%)* SUMPRODUCT( --(ISNUMBER(MATCH(Resources!D1:D54,{"Full stack development";"Backend development";"Frontend development";"Backend auto. testing";"Frontend auto. testing";"Technical (code) review"},0))), --(ISNUMBER(MATCH(Resources!G1:G54,{"1 - Junior A";"2 - Junior B";"3 - Junior C";"4 - Junior D";"5 - Mid-level A";"6 - Mid-level B";"7 - Mid-level C";"8 - Mid-level D"},0))), Resources!Z1:Z54 ), "YES", "")</f>
        <v/>
      </c>
      <c r="D26" s="378"/>
      <c r="E26" s="83" t="s">
        <v>1365</v>
      </c>
      <c r="F26" s="92" t="b">
        <v>1</v>
      </c>
      <c r="G26" s="82">
        <v>45229.0</v>
      </c>
    </row>
    <row r="27">
      <c r="A27" s="229" t="s">
        <v>1366</v>
      </c>
      <c r="B27" s="378" t="str">
        <f t="array" ref="B27">IF(SUMIF(Resources!D:D, "Product owner", Resources!Z:Z) &lt; 20% * SUMPRODUCT(SUMIF(Resources!D:D, {"Full stack development"; "Backend development"; "Frontend development"; "UI/UX design"; "Backend auto. testing"; "Frontend auto. testing"; "Technical (code) review"; "Performance testing"; "Security testing"; "Technical documentation"; "Dev Ops development"}, Resources!Z:Z)), "Yes", "")</f>
        <v>Yes</v>
      </c>
      <c r="C27" s="83" t="str">
        <f t="array" ref="C27">IF(SUMIF(Resources!D:D, "Product owner", Resources!Z:Z) &gt; 40% * SUMPRODUCT(SUMIF(Resources!D:D, {"Full stack development"; "Backend development"; "Frontend development"; "UI/UX design"; "Backend auto. testing"; "Frontend auto. testing"; "Technical (code) review"; "Performance testing"; "Security testing"; "Technical documentation"; "Dev Ops development"}, Resources!Z:Z)), "Yes", "")</f>
        <v/>
      </c>
      <c r="D27" s="377"/>
      <c r="E27" s="83" t="s">
        <v>1367</v>
      </c>
      <c r="F27" s="92" t="b">
        <v>1</v>
      </c>
      <c r="G27" s="82">
        <v>45229.0</v>
      </c>
    </row>
    <row r="28">
      <c r="A28" s="229" t="s">
        <v>1368</v>
      </c>
      <c r="B28" s="378"/>
      <c r="C28" s="377"/>
      <c r="D28" s="377"/>
      <c r="E28" s="92"/>
      <c r="F28" s="92" t="b">
        <v>0</v>
      </c>
      <c r="G28" s="82"/>
    </row>
    <row r="29">
      <c r="A29" s="377" t="s">
        <v>1369</v>
      </c>
      <c r="B29" s="378"/>
      <c r="C29" s="83"/>
      <c r="D29" s="377"/>
      <c r="E29" s="83" t="s">
        <v>1370</v>
      </c>
      <c r="F29" s="92" t="b">
        <v>1</v>
      </c>
      <c r="G29" s="82">
        <v>45229.0</v>
      </c>
    </row>
    <row r="30">
      <c r="A30" s="377" t="s">
        <v>1371</v>
      </c>
      <c r="B30" s="92"/>
      <c r="C30" s="83"/>
      <c r="D30" s="83"/>
      <c r="E30" s="92"/>
      <c r="F30" s="92" t="b">
        <v>0</v>
      </c>
      <c r="G30" s="82"/>
    </row>
    <row r="31">
      <c r="A31" s="229" t="s">
        <v>1372</v>
      </c>
      <c r="B31" s="92">
        <f>IF(COUNTIF(Resources!AD4:AD47, "&lt;="&amp;TODAY()-14) &gt; 0, COUNTIF(Resources!AD4:AD47, "&lt;="&amp;TODAY()-14), "")</f>
        <v>10</v>
      </c>
      <c r="C31" s="378">
        <f>IF(COUNTIF(Resources!AD4:AD47, "&lt;="&amp;TODAY()-7) &gt; 0, COUNTIF(Resources!AD4:AD47, "&lt;="&amp;TODAY()-7), "")</f>
        <v>10</v>
      </c>
      <c r="D31" s="83"/>
      <c r="E31" s="83" t="s">
        <v>1373</v>
      </c>
      <c r="F31" s="92" t="b">
        <v>1</v>
      </c>
      <c r="G31" s="82">
        <v>45225.0</v>
      </c>
    </row>
    <row r="32">
      <c r="A32" s="229" t="s">
        <v>1374</v>
      </c>
      <c r="B32" s="378">
        <f>IF(COUNTIFS(Resources!$A$4:$A$47, "&lt;&gt;*@*", Resources!$A$4:$A$47, "* *") &gt; 0, COUNTIFS(Resources!$A$4:$A$47, "&lt;&gt;*@*", Resources!$A$4:$A$47, "* *"), "")</f>
        <v>1</v>
      </c>
      <c r="C32" s="92"/>
      <c r="D32" s="83"/>
      <c r="E32" s="83" t="s">
        <v>1375</v>
      </c>
      <c r="F32" s="92" t="b">
        <v>1</v>
      </c>
      <c r="G32" s="82">
        <v>45225.0</v>
      </c>
    </row>
    <row r="33">
      <c r="A33" s="229" t="s">
        <v>1376</v>
      </c>
      <c r="B33" s="262">
        <f>IFERROR(__xludf.DUMMYFUNCTION("IF(COUNTA(Resources!$A$5:$A$47) - COUNTUNIQUE(Resources!$A$5:$A$47) &gt; 0, COUNTA(Resources!$A$5:$A$47) - COUNTUNIQUE(Resources!$A$5:$A$47), """")"),3.0)</f>
        <v>3</v>
      </c>
      <c r="C33" s="92"/>
      <c r="D33" s="83"/>
      <c r="E33" s="83" t="s">
        <v>1377</v>
      </c>
      <c r="F33" s="92" t="b">
        <v>1</v>
      </c>
      <c r="G33" s="82">
        <v>45225.0</v>
      </c>
    </row>
    <row r="34">
      <c r="A34" s="377" t="s">
        <v>1378</v>
      </c>
      <c r="B34" s="92"/>
      <c r="C34" s="83"/>
      <c r="D34" s="83"/>
      <c r="E34" s="83"/>
      <c r="F34" s="92" t="b">
        <v>0</v>
      </c>
      <c r="G34" s="82"/>
    </row>
    <row r="35">
      <c r="A35" s="372" t="s">
        <v>1379</v>
      </c>
      <c r="B35" s="373"/>
      <c r="C35" s="372"/>
      <c r="D35" s="372"/>
      <c r="E35" s="381"/>
      <c r="F35" s="373"/>
      <c r="G35" s="374"/>
    </row>
    <row r="36">
      <c r="A36" s="229" t="s">
        <v>1380</v>
      </c>
      <c r="B36" s="375">
        <f>IF(COUNTBLANK('Roadmap setting'!B3:B11) - ('Roadmap setting'!B8 = "") &gt; 0, COUNTBLANK('Roadmap setting'!B3:B11) - ('Roadmap setting'!B8 = ""), "")</f>
        <v>1</v>
      </c>
      <c r="C36" s="83"/>
      <c r="D36" s="83"/>
      <c r="E36" s="83" t="s">
        <v>1381</v>
      </c>
      <c r="F36" s="297" t="b">
        <v>1</v>
      </c>
      <c r="G36" s="82">
        <v>45225.0</v>
      </c>
    </row>
    <row r="37">
      <c r="A37" s="229" t="s">
        <v>1382</v>
      </c>
      <c r="B37" s="375" t="str">
        <f>IF(ISBLANK('Roadmap setting'!B9) , "Yes" , "")</f>
        <v/>
      </c>
      <c r="C37" s="83"/>
      <c r="D37" s="83"/>
      <c r="E37" s="83" t="s">
        <v>1383</v>
      </c>
      <c r="F37" s="92" t="b">
        <v>1</v>
      </c>
      <c r="G37" s="82">
        <v>45225.0</v>
      </c>
    </row>
    <row r="38">
      <c r="A38" s="83" t="s">
        <v>1384</v>
      </c>
      <c r="B38" s="375" t="str">
        <f>IF(ISBLANK('Roadmap setting'!B3) , "Yes" , "")</f>
        <v/>
      </c>
      <c r="C38" s="83"/>
      <c r="D38" s="83"/>
      <c r="E38" s="83" t="s">
        <v>1385</v>
      </c>
      <c r="F38" s="92" t="b">
        <v>1</v>
      </c>
      <c r="G38" s="82">
        <v>45225.0</v>
      </c>
    </row>
    <row r="39">
      <c r="A39" s="83" t="s">
        <v>1386</v>
      </c>
      <c r="B39" s="375" t="str">
        <f>IF(OR(ISBLANK('Roadmap setting'!$B$7), ISBLANK('Roadmap setting'!$B$8)), "", IF('Roadmap setting'!$B$8 &gt; 'Roadmap setting'!$B$7, "", "Yes"))</f>
        <v/>
      </c>
      <c r="C39" s="83"/>
      <c r="D39" s="83"/>
      <c r="E39" s="83" t="s">
        <v>1387</v>
      </c>
      <c r="F39" s="92" t="b">
        <v>1</v>
      </c>
      <c r="G39" s="82">
        <v>45225.0</v>
      </c>
    </row>
    <row r="40">
      <c r="A40" s="229" t="s">
        <v>1388</v>
      </c>
      <c r="B40" s="375"/>
      <c r="C40" s="83"/>
      <c r="D40" s="83"/>
      <c r="E40" s="83"/>
      <c r="F40" s="92" t="b">
        <v>0</v>
      </c>
      <c r="G40" s="82"/>
    </row>
    <row r="41">
      <c r="A41" s="229" t="s">
        <v>1389</v>
      </c>
      <c r="B41" s="375"/>
      <c r="C41" s="83"/>
      <c r="D41" s="83"/>
      <c r="E41" s="83"/>
      <c r="F41" s="92" t="b">
        <v>0</v>
      </c>
      <c r="G41" s="82"/>
    </row>
    <row r="42">
      <c r="A42" s="229" t="s">
        <v>1390</v>
      </c>
      <c r="B42" s="375"/>
      <c r="C42" s="83"/>
      <c r="D42" s="83"/>
      <c r="E42" s="83"/>
      <c r="F42" s="92" t="b">
        <v>0</v>
      </c>
      <c r="G42" s="82"/>
    </row>
    <row r="43">
      <c r="A43" s="372" t="s">
        <v>1391</v>
      </c>
      <c r="B43" s="373"/>
      <c r="C43" s="372"/>
      <c r="D43" s="372"/>
      <c r="E43" s="372"/>
      <c r="F43" s="373"/>
      <c r="G43" s="374"/>
    </row>
    <row r="44">
      <c r="A44" s="83" t="s">
        <v>1392</v>
      </c>
      <c r="B44" s="92" t="str">
        <f>IFERROR(__xludf.DUMMYFUNCTION("IF(INDEX('Change log'!A:A, MAX(IF('Change log'!A:A&lt;&gt;"""", ROW('Change log'!A:A), 0))) = REGEXEXTRACT(D44, ""v\d+\.\d+\.\d+""), """", ""Yes"")"),"Yes")</f>
        <v>Yes</v>
      </c>
      <c r="C44" s="83"/>
      <c r="D44" s="83" t="s">
        <v>1393</v>
      </c>
      <c r="E44" s="83" t="s">
        <v>1394</v>
      </c>
      <c r="F44" s="92" t="b">
        <v>1</v>
      </c>
      <c r="G44" s="82">
        <v>45225.0</v>
      </c>
    </row>
    <row r="45">
      <c r="A45" s="83" t="s">
        <v>1395</v>
      </c>
      <c r="B45" s="92"/>
      <c r="C45" s="83"/>
      <c r="D45" s="83"/>
      <c r="E45" s="83"/>
      <c r="F45" s="92" t="b">
        <v>0</v>
      </c>
      <c r="G45" s="82"/>
    </row>
    <row r="46">
      <c r="A46" s="372" t="s">
        <v>1396</v>
      </c>
      <c r="B46" s="373"/>
      <c r="C46" s="372"/>
      <c r="D46" s="372"/>
      <c r="E46" s="372"/>
      <c r="F46" s="373"/>
      <c r="G46" s="374"/>
    </row>
    <row r="47">
      <c r="A47" s="83" t="s">
        <v>1397</v>
      </c>
      <c r="B47" s="92"/>
      <c r="C47" s="92"/>
      <c r="D47" s="83"/>
      <c r="E47" s="112" t="s">
        <v>1398</v>
      </c>
      <c r="F47" s="92" t="b">
        <v>1</v>
      </c>
      <c r="G47" s="82">
        <v>45243.0</v>
      </c>
    </row>
    <row r="48">
      <c r="A48" s="83" t="s">
        <v>1399</v>
      </c>
      <c r="B48" s="92"/>
      <c r="C48" s="92"/>
      <c r="D48" s="83"/>
      <c r="E48" s="112" t="s">
        <v>1400</v>
      </c>
      <c r="F48" s="92" t="b">
        <v>1</v>
      </c>
      <c r="G48" s="82">
        <v>45246.0</v>
      </c>
    </row>
    <row r="49">
      <c r="A49" s="83" t="s">
        <v>1401</v>
      </c>
      <c r="B49" s="92"/>
      <c r="C49" s="83"/>
      <c r="D49" s="83"/>
      <c r="E49" s="83"/>
      <c r="F49" s="92" t="b">
        <v>0</v>
      </c>
      <c r="G49" s="82"/>
    </row>
    <row r="50">
      <c r="A50" s="83" t="s">
        <v>1402</v>
      </c>
      <c r="B50" s="92"/>
      <c r="C50" s="92"/>
      <c r="D50" s="83"/>
      <c r="E50" s="83" t="s">
        <v>1403</v>
      </c>
      <c r="F50" s="92" t="b">
        <v>1</v>
      </c>
      <c r="G50" s="82">
        <v>45246.0</v>
      </c>
    </row>
    <row r="51">
      <c r="A51" s="372" t="s">
        <v>1404</v>
      </c>
      <c r="B51" s="373"/>
      <c r="C51" s="372"/>
      <c r="D51" s="372"/>
      <c r="E51" s="372"/>
      <c r="F51" s="373"/>
      <c r="G51" s="374"/>
    </row>
    <row r="52" ht="26.25" customHeight="1">
      <c r="A52" s="83" t="s">
        <v>1405</v>
      </c>
      <c r="B52" s="92">
        <f>COUNTIF($G$4:$G54,"") - COUNTIF($G$8, "")- COUNTIF($G$15, "")- COUNTIF($G$21, "")- COUNTIF($G$18, "")- COUNTIF($G$35, "")- COUNTIF($G$43, "")- COUNTIF($G$46, "")- COUNTIF($G$51, "")</f>
        <v>8</v>
      </c>
      <c r="C52" s="83"/>
      <c r="D52" s="83"/>
      <c r="E52" s="83" t="s">
        <v>1406</v>
      </c>
      <c r="F52" s="92" t="b">
        <v>1</v>
      </c>
      <c r="G52" s="82">
        <v>45225.0</v>
      </c>
    </row>
    <row r="53">
      <c r="A53" s="83" t="s">
        <v>1407</v>
      </c>
      <c r="B53" s="92">
        <f>IF(COUNTIF(G:G, "&lt;" &amp; DATE(YEAR(TODAY()), MONTH(TODAY())-3, DAY(TODAY()))) &gt; 0, COUNTIF(G:G, "&lt;" &amp; DATE(YEAR(TODAY()), MONTH(TODAY())-3, DAY(TODAY()))), "")</f>
        <v>35</v>
      </c>
      <c r="C53" s="83"/>
      <c r="D53" s="83"/>
      <c r="E53" s="83" t="s">
        <v>1408</v>
      </c>
      <c r="F53" s="92" t="b">
        <v>1</v>
      </c>
      <c r="G53" s="82">
        <v>45225.0</v>
      </c>
    </row>
    <row r="54">
      <c r="A54" s="83" t="s">
        <v>1409</v>
      </c>
      <c r="B54" s="92">
        <f>COUNTIF(F:F , "False")</f>
        <v>8</v>
      </c>
      <c r="C54" s="83"/>
      <c r="D54" s="83"/>
      <c r="E54" s="83" t="s">
        <v>1410</v>
      </c>
      <c r="F54" s="92" t="b">
        <v>1</v>
      </c>
      <c r="G54" s="82">
        <v>45225.0</v>
      </c>
    </row>
  </sheetData>
  <mergeCells count="1">
    <mergeCell ref="A1:E1"/>
  </mergeCells>
  <conditionalFormatting sqref="G4:G7 G9:G14 G16:G17 G19:G20 G22:G34 G36:G42 G44:G45 G47:G50 G52:G54">
    <cfRule type="expression" dxfId="0" priority="1">
      <formula>AND($AQ4&lt;&gt;"",$AQ4-1&lt;TODAY())</formula>
    </cfRule>
  </conditionalFormatting>
  <conditionalFormatting sqref="A46 A51">
    <cfRule type="expression" dxfId="0" priority="2">
      <formula>AND(#REF!&lt;&gt;"",#REF!-1&lt;TODAY())</formula>
    </cfRule>
  </conditionalFormatting>
  <conditionalFormatting sqref="A3:G3 A8:G8 A15:G15 A18:G18 A21:G21 A35:G35 A43:G43 A46:G46 A51:G51">
    <cfRule type="expression" dxfId="0" priority="3">
      <formula>AND(#REF!&lt;&gt;"",#REF!-1&lt;TODAY())</formula>
    </cfRule>
  </conditionalFormatting>
  <dataValidations>
    <dataValidation type="custom" allowBlank="1" showDropDown="1" sqref="G4:G7 G9:G14 G16:G17 G19:G20 G22:G34 G36:G42 G44:G45 G47:G50 G52:G54">
      <formula1>OR(NOT(ISERROR(DATEVALUE(G4))), AND(ISNUMBER(G4), LEFT(CELL("format", G4))="D"))</formula1>
    </dataValidation>
  </dataValidations>
  <hyperlinks>
    <hyperlink r:id="rId1" ref="E24"/>
  </hyperlinks>
  <drawing r:id="rId2"/>
</worksheet>
</file>