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"/>
    </mc:Choice>
  </mc:AlternateContent>
  <bookViews>
    <workbookView xWindow="0" yWindow="0" windowWidth="23040" windowHeight="8808" xr2:uid="{00000000-000D-0000-FFFF-FFFF00000000}"/>
  </bookViews>
  <sheets>
    <sheet name="User Interface" sheetId="2" r:id="rId1"/>
    <sheet name="Working Catalog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N5" i="2" s="1"/>
  <c r="W6" i="1" s="1"/>
  <c r="X26" i="1" l="1"/>
  <c r="X18" i="1"/>
  <c r="X10" i="1"/>
  <c r="X25" i="1"/>
  <c r="X17" i="1"/>
  <c r="X9" i="1"/>
  <c r="X24" i="1"/>
  <c r="X16" i="1"/>
  <c r="X8" i="1"/>
  <c r="X23" i="1"/>
  <c r="X15" i="1"/>
  <c r="X7" i="1"/>
  <c r="X22" i="1"/>
  <c r="X14" i="1"/>
  <c r="X6" i="1"/>
  <c r="X20" i="1"/>
  <c r="X12" i="1"/>
  <c r="X21" i="1"/>
  <c r="X13" i="1"/>
  <c r="X27" i="1"/>
  <c r="X19" i="1"/>
  <c r="X11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V28" i="1" s="1"/>
  <c r="X28" i="1" s="1"/>
  <c r="U29" i="1"/>
  <c r="V29" i="1" s="1"/>
  <c r="X29" i="1" s="1"/>
  <c r="U6" i="1"/>
  <c r="Y6" i="1" l="1"/>
  <c r="W20" i="1"/>
  <c r="W12" i="1"/>
  <c r="Y12" i="1" s="1"/>
  <c r="P12" i="1" s="1"/>
  <c r="W23" i="1"/>
  <c r="W15" i="1"/>
  <c r="W7" i="1"/>
  <c r="W22" i="1"/>
  <c r="W14" i="1"/>
  <c r="W28" i="1"/>
  <c r="W16" i="1"/>
  <c r="W27" i="1"/>
  <c r="W11" i="1"/>
  <c r="W21" i="1"/>
  <c r="W25" i="1"/>
  <c r="W17" i="1"/>
  <c r="W9" i="1"/>
  <c r="W19" i="1"/>
  <c r="W26" i="1"/>
  <c r="W24" i="1"/>
  <c r="W8" i="1"/>
  <c r="W10" i="1"/>
  <c r="Y10" i="1" s="1"/>
  <c r="P10" i="1" s="1"/>
  <c r="W29" i="1"/>
  <c r="W18" i="1"/>
  <c r="Y18" i="1" s="1"/>
  <c r="P18" i="1" s="1"/>
  <c r="W13" i="1"/>
  <c r="Q6" i="1" l="1"/>
  <c r="P6" i="1"/>
  <c r="Q10" i="1"/>
  <c r="Q12" i="1"/>
  <c r="Q18" i="1"/>
  <c r="Y25" i="1"/>
  <c r="P25" i="1" s="1"/>
  <c r="Y9" i="1"/>
  <c r="P9" i="1" s="1"/>
  <c r="Y17" i="1"/>
  <c r="P17" i="1" s="1"/>
  <c r="Y28" i="1"/>
  <c r="Y24" i="1"/>
  <c r="P24" i="1" s="1"/>
  <c r="Y20" i="1"/>
  <c r="P20" i="1" s="1"/>
  <c r="Y8" i="1"/>
  <c r="P8" i="1" s="1"/>
  <c r="Y16" i="1"/>
  <c r="P16" i="1" s="1"/>
  <c r="Y11" i="1"/>
  <c r="P11" i="1" s="1"/>
  <c r="Y26" i="1"/>
  <c r="P26" i="1" s="1"/>
  <c r="Y7" i="1"/>
  <c r="P7" i="1" s="1"/>
  <c r="Y27" i="1"/>
  <c r="P27" i="1" s="1"/>
  <c r="Y22" i="1"/>
  <c r="P22" i="1" s="1"/>
  <c r="Y23" i="1"/>
  <c r="P23" i="1" s="1"/>
  <c r="Y19" i="1"/>
  <c r="P19" i="1" s="1"/>
  <c r="Y14" i="1"/>
  <c r="P14" i="1" s="1"/>
  <c r="Y15" i="1"/>
  <c r="P15" i="1" s="1"/>
  <c r="Y21" i="1"/>
  <c r="P21" i="1" s="1"/>
  <c r="Y13" i="1"/>
  <c r="P13" i="1" s="1"/>
  <c r="Y29" i="1"/>
  <c r="P29" i="1" l="1"/>
  <c r="P28" i="1"/>
  <c r="S6" i="1"/>
  <c r="T6" i="1" s="1"/>
  <c r="Z6" i="1" s="1"/>
  <c r="R6" i="1"/>
  <c r="R18" i="1"/>
  <c r="S18" i="1"/>
  <c r="T18" i="1" s="1"/>
  <c r="Z18" i="1" s="1"/>
  <c r="R10" i="1"/>
  <c r="S10" i="1"/>
  <c r="T10" i="1" s="1"/>
  <c r="Z10" i="1" s="1"/>
  <c r="R12" i="1"/>
  <c r="S12" i="1"/>
  <c r="T12" i="1" s="1"/>
  <c r="Z12" i="1" s="1"/>
  <c r="Q9" i="1"/>
  <c r="Q25" i="1"/>
  <c r="Q16" i="1"/>
  <c r="Q26" i="1"/>
  <c r="Q11" i="1"/>
  <c r="Q19" i="1"/>
  <c r="Q8" i="1"/>
  <c r="Q23" i="1"/>
  <c r="Q27" i="1"/>
  <c r="Q21" i="1"/>
  <c r="Q15" i="1"/>
  <c r="Q14" i="1"/>
  <c r="Q20" i="1"/>
  <c r="Q22" i="1"/>
  <c r="Q24" i="1"/>
  <c r="Q13" i="1"/>
  <c r="Q7" i="1"/>
  <c r="Q17" i="1"/>
  <c r="Q29" i="1"/>
  <c r="Q28" i="1"/>
  <c r="H15" i="2" l="1"/>
  <c r="J15" i="2"/>
  <c r="I15" i="2"/>
  <c r="G15" i="2"/>
  <c r="H17" i="2"/>
  <c r="I17" i="2"/>
  <c r="J17" i="2"/>
  <c r="G17" i="2"/>
  <c r="H23" i="2"/>
  <c r="J23" i="2"/>
  <c r="I23" i="2"/>
  <c r="G23" i="2"/>
  <c r="H11" i="2"/>
  <c r="I11" i="2"/>
  <c r="J11" i="2"/>
  <c r="G11" i="2"/>
  <c r="R21" i="1"/>
  <c r="S21" i="1"/>
  <c r="T21" i="1" s="1"/>
  <c r="Z21" i="1" s="1"/>
  <c r="R7" i="1"/>
  <c r="S7" i="1"/>
  <c r="T7" i="1" s="1"/>
  <c r="Z7" i="1" s="1"/>
  <c r="R20" i="1"/>
  <c r="S20" i="1"/>
  <c r="T20" i="1" s="1"/>
  <c r="Z20" i="1" s="1"/>
  <c r="R9" i="1"/>
  <c r="S9" i="1"/>
  <c r="T9" i="1" s="1"/>
  <c r="Z9" i="1" s="1"/>
  <c r="R14" i="1"/>
  <c r="S14" i="1"/>
  <c r="T14" i="1" s="1"/>
  <c r="Z14" i="1" s="1"/>
  <c r="R23" i="1"/>
  <c r="S23" i="1"/>
  <c r="T23" i="1" s="1"/>
  <c r="Z23" i="1" s="1"/>
  <c r="R26" i="1"/>
  <c r="S26" i="1"/>
  <c r="T26" i="1" s="1"/>
  <c r="Z26" i="1" s="1"/>
  <c r="R16" i="1"/>
  <c r="S16" i="1"/>
  <c r="T16" i="1" s="1"/>
  <c r="Z16" i="1" s="1"/>
  <c r="R8" i="1"/>
  <c r="S8" i="1"/>
  <c r="T8" i="1" s="1"/>
  <c r="Z8" i="1" s="1"/>
  <c r="R17" i="1"/>
  <c r="S17" i="1"/>
  <c r="T17" i="1" s="1"/>
  <c r="Z17" i="1" s="1"/>
  <c r="R19" i="1"/>
  <c r="S19" i="1"/>
  <c r="T19" i="1" s="1"/>
  <c r="Z19" i="1" s="1"/>
  <c r="R25" i="1"/>
  <c r="S25" i="1"/>
  <c r="T25" i="1" s="1"/>
  <c r="Z25" i="1" s="1"/>
  <c r="R27" i="1"/>
  <c r="S27" i="1"/>
  <c r="T27" i="1" s="1"/>
  <c r="Z27" i="1" s="1"/>
  <c r="R11" i="1"/>
  <c r="S11" i="1"/>
  <c r="T11" i="1" s="1"/>
  <c r="Z11" i="1" s="1"/>
  <c r="R13" i="1"/>
  <c r="S13" i="1"/>
  <c r="T13" i="1" s="1"/>
  <c r="Z13" i="1" s="1"/>
  <c r="R24" i="1"/>
  <c r="S24" i="1"/>
  <c r="T24" i="1" s="1"/>
  <c r="Z24" i="1" s="1"/>
  <c r="R22" i="1"/>
  <c r="S22" i="1"/>
  <c r="T22" i="1" s="1"/>
  <c r="Z22" i="1" s="1"/>
  <c r="R15" i="1"/>
  <c r="S15" i="1"/>
  <c r="T15" i="1" s="1"/>
  <c r="Z15" i="1" s="1"/>
  <c r="R28" i="1"/>
  <c r="S28" i="1"/>
  <c r="R29" i="1"/>
  <c r="S29" i="1"/>
  <c r="H27" i="2" l="1"/>
  <c r="J27" i="2"/>
  <c r="I27" i="2"/>
  <c r="G27" i="2"/>
  <c r="H19" i="2"/>
  <c r="J19" i="2"/>
  <c r="I19" i="2"/>
  <c r="G19" i="2"/>
  <c r="H29" i="2"/>
  <c r="J29" i="2"/>
  <c r="I29" i="2"/>
  <c r="G29" i="2"/>
  <c r="H21" i="2"/>
  <c r="I21" i="2"/>
  <c r="J21" i="2"/>
  <c r="G21" i="2"/>
  <c r="H14" i="2"/>
  <c r="G14" i="2"/>
  <c r="I14" i="2"/>
  <c r="J14" i="2"/>
  <c r="H20" i="2"/>
  <c r="G20" i="2"/>
  <c r="I20" i="2"/>
  <c r="J20" i="2"/>
  <c r="H13" i="2"/>
  <c r="J13" i="2"/>
  <c r="G13" i="2"/>
  <c r="I13" i="2"/>
  <c r="H30" i="2"/>
  <c r="G30" i="2"/>
  <c r="I30" i="2"/>
  <c r="J30" i="2"/>
  <c r="G32" i="2"/>
  <c r="H32" i="2"/>
  <c r="I32" i="2"/>
  <c r="J32" i="2"/>
  <c r="H26" i="2"/>
  <c r="G26" i="2"/>
  <c r="I26" i="2"/>
  <c r="J26" i="2"/>
  <c r="G18" i="2"/>
  <c r="H18" i="2"/>
  <c r="I18" i="2"/>
  <c r="J18" i="2"/>
  <c r="H24" i="2"/>
  <c r="G24" i="2"/>
  <c r="I24" i="2"/>
  <c r="J24" i="2"/>
  <c r="H31" i="2"/>
  <c r="G31" i="2"/>
  <c r="I31" i="2"/>
  <c r="J31" i="2"/>
  <c r="H25" i="2"/>
  <c r="I25" i="2"/>
  <c r="J25" i="2"/>
  <c r="G25" i="2"/>
  <c r="H16" i="2"/>
  <c r="G16" i="2"/>
  <c r="I16" i="2"/>
  <c r="J16" i="2"/>
  <c r="H22" i="2"/>
  <c r="G22" i="2"/>
  <c r="I22" i="2"/>
  <c r="J22" i="2"/>
  <c r="H28" i="2"/>
  <c r="G28" i="2"/>
  <c r="I28" i="2"/>
  <c r="J28" i="2"/>
  <c r="H12" i="2"/>
  <c r="G12" i="2"/>
  <c r="I12" i="2"/>
  <c r="J12" i="2"/>
  <c r="T28" i="1"/>
  <c r="Z28" i="1" s="1"/>
  <c r="T29" i="1"/>
  <c r="Z29" i="1" s="1"/>
  <c r="H34" i="2" l="1"/>
  <c r="G34" i="2"/>
  <c r="I34" i="2"/>
  <c r="J34" i="2"/>
  <c r="H33" i="2"/>
  <c r="J33" i="2"/>
  <c r="I33" i="2"/>
  <c r="G33" i="2"/>
</calcChain>
</file>

<file path=xl/sharedStrings.xml><?xml version="1.0" encoding="utf-8"?>
<sst xmlns="http://schemas.openxmlformats.org/spreadsheetml/2006/main" count="77" uniqueCount="62">
  <si>
    <t>Basic P/N</t>
  </si>
  <si>
    <t>Ball Component</t>
  </si>
  <si>
    <t>No. Z</t>
  </si>
  <si>
    <t>Load Ratings (LBS)</t>
  </si>
  <si>
    <t>DYN C</t>
  </si>
  <si>
    <t>SSRIF-2</t>
  </si>
  <si>
    <t>SSRIF-2 1/2</t>
  </si>
  <si>
    <t>SSRIF-3</t>
  </si>
  <si>
    <t>SSRIF-4</t>
  </si>
  <si>
    <t>SSRIF-3332</t>
  </si>
  <si>
    <t>SSRIF-5</t>
  </si>
  <si>
    <t>SSRIF-418</t>
  </si>
  <si>
    <t>SSRIF-518</t>
  </si>
  <si>
    <t>SSRIF-618</t>
  </si>
  <si>
    <t>SSRIF-5532</t>
  </si>
  <si>
    <t>SSRIF-5632</t>
  </si>
  <si>
    <t>SSRIF-6632</t>
  </si>
  <si>
    <t>SSRIF-614</t>
  </si>
  <si>
    <t>SSRIF-814</t>
  </si>
  <si>
    <t>SSRIF-8516</t>
  </si>
  <si>
    <t>SSRIF-1438</t>
  </si>
  <si>
    <t>SSRIF-1812</t>
  </si>
  <si>
    <t>O.D D Inch</t>
  </si>
  <si>
    <t>Bearing type</t>
  </si>
  <si>
    <t>Fa/ZD^2 Units lb, in</t>
  </si>
  <si>
    <t>In relation to the load the inner ring is:</t>
  </si>
  <si>
    <t>Single row bearings Fa/VFr &gt; e</t>
  </si>
  <si>
    <t>X</t>
  </si>
  <si>
    <t>Y</t>
  </si>
  <si>
    <t>e</t>
  </si>
  <si>
    <t>Radial deep groove ball bearings</t>
  </si>
  <si>
    <t>Rotating V</t>
  </si>
  <si>
    <t>Stationary V</t>
  </si>
  <si>
    <t>Safety Factor fs</t>
  </si>
  <si>
    <t>Speed rpm</t>
  </si>
  <si>
    <t>yes = 1</t>
  </si>
  <si>
    <t>no = 0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</si>
  <si>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/VF</t>
    </r>
    <r>
      <rPr>
        <vertAlign val="subscript"/>
        <sz val="11"/>
        <color theme="1"/>
        <rFont val="Calibri"/>
        <family val="2"/>
        <scheme val="minor"/>
      </rPr>
      <t>r</t>
    </r>
  </si>
  <si>
    <t>P</t>
  </si>
  <si>
    <t>Yes or No: Is the inner ring rotating in relation to the load?</t>
  </si>
  <si>
    <t>V</t>
  </si>
  <si>
    <r>
      <t>Size D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</si>
  <si>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STATIC 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</si>
  <si>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Table 1</t>
  </si>
  <si>
    <t>Relative Axial Load, h lb., in</t>
  </si>
  <si>
    <t>Single row bearings Fa/VFr &lt; e</t>
  </si>
  <si>
    <t>Fa/VFr</t>
  </si>
  <si>
    <t>Bearing Rating Life L10 (in millions of revolutions)</t>
  </si>
  <si>
    <r>
      <t>Bearing Rating Life L10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(hours)</t>
    </r>
  </si>
  <si>
    <r>
      <t>Adjusted Bearing Rating Life, 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 millions of revolutions)</t>
    </r>
  </si>
  <si>
    <t>Adjusted Bearing Rating Life, L1h (hours)</t>
  </si>
  <si>
    <t>a1=0.21(Universal) (Reliability Factor)</t>
  </si>
  <si>
    <t>a2=0.11(SS) HBB (Bearing Material Factor)</t>
  </si>
  <si>
    <t>a3= 1 (More Information Needed) (Bearing Operating Conditions Factor)</t>
  </si>
  <si>
    <t>Does it work? Yes or No</t>
  </si>
  <si>
    <t>Part Number</t>
  </si>
  <si>
    <t>Bearing Rating Life L10h (hours)</t>
  </si>
  <si>
    <t>Input</t>
  </si>
  <si>
    <t>Available Bearings</t>
  </si>
  <si>
    <r>
      <t>Radial Load, F</t>
    </r>
    <r>
      <rPr>
        <b/>
        <vertAlign val="subscript"/>
        <sz val="11"/>
        <color theme="0"/>
        <rFont val="Calibri"/>
        <family val="2"/>
        <scheme val="minor"/>
      </rPr>
      <t>r</t>
    </r>
    <r>
      <rPr>
        <b/>
        <sz val="11"/>
        <color theme="0"/>
        <rFont val="Calibri"/>
        <family val="2"/>
        <scheme val="minor"/>
      </rPr>
      <t xml:space="preserve"> lbs</t>
    </r>
  </si>
  <si>
    <r>
      <t>Axial Load, F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 xml:space="preserve"> lbs</t>
    </r>
  </si>
  <si>
    <t>Rotation Factor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</si>
</sst>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 vertical="center" wrapText="1"/>
    </xf>
    <xf numFmtId="2" fontId="0" fillId="0" borderId="1" xfId="0" quotePrefix="1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6" fontId="0" fillId="0" borderId="1" xfId="0" applyNumberFormat="1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3145-21AA-4242-80CE-E595A792DF24}">
  <dimension ref="G4:N34"/>
  <sheetViews>
    <sheetView tabSelected="1" workbookViewId="0">
      <selection activeCell="H10" sqref="H10"/>
    </sheetView>
  </sheetViews>
  <sheetFormatPr defaultRowHeight="14.4" x14ac:dyDescent="0.55000000000000004"/>
  <cols>
    <col min="7" max="7" width="13.41796875" customWidth="1"/>
    <col min="8" max="8" width="21.62890625" customWidth="1"/>
    <col min="9" max="9" width="23.578125" customWidth="1"/>
    <col min="11" max="11" width="25.7890625" customWidth="1"/>
  </cols>
  <sheetData>
    <row r="4" spans="7:14" ht="43.2" x14ac:dyDescent="0.55000000000000004">
      <c r="G4" s="22"/>
      <c r="H4" s="23" t="s">
        <v>59</v>
      </c>
      <c r="I4" s="23" t="s">
        <v>60</v>
      </c>
      <c r="J4" s="23" t="s">
        <v>34</v>
      </c>
      <c r="K4" s="23" t="s">
        <v>39</v>
      </c>
      <c r="M4" s="26" t="s">
        <v>61</v>
      </c>
      <c r="N4" s="24" t="s">
        <v>46</v>
      </c>
    </row>
    <row r="5" spans="7:14" x14ac:dyDescent="0.55000000000000004">
      <c r="G5" s="19" t="s">
        <v>57</v>
      </c>
      <c r="H5" s="20">
        <v>25</v>
      </c>
      <c r="I5" s="20">
        <v>3</v>
      </c>
      <c r="J5" s="21">
        <v>300</v>
      </c>
      <c r="K5" s="20">
        <v>1</v>
      </c>
      <c r="M5" s="6">
        <f>IF('User Interface'!K5 = 1,1,1.2)</f>
        <v>1</v>
      </c>
      <c r="N5" s="2">
        <f>'User Interface'!I5/(M5*'User Interface'!H5)</f>
        <v>0.12</v>
      </c>
    </row>
    <row r="6" spans="7:14" x14ac:dyDescent="0.55000000000000004">
      <c r="K6" s="1" t="s">
        <v>35</v>
      </c>
    </row>
    <row r="7" spans="7:14" x14ac:dyDescent="0.55000000000000004">
      <c r="K7" s="1" t="s">
        <v>36</v>
      </c>
    </row>
    <row r="9" spans="7:14" x14ac:dyDescent="0.55000000000000004">
      <c r="G9" s="25" t="s">
        <v>58</v>
      </c>
      <c r="H9" s="25"/>
      <c r="I9" s="25"/>
      <c r="J9" s="25"/>
    </row>
    <row r="10" spans="7:14" ht="72" x14ac:dyDescent="0.55000000000000004">
      <c r="G10" s="23" t="s">
        <v>55</v>
      </c>
      <c r="H10" s="23" t="s">
        <v>33</v>
      </c>
      <c r="I10" s="23" t="s">
        <v>56</v>
      </c>
      <c r="J10" s="23" t="s">
        <v>50</v>
      </c>
    </row>
    <row r="11" spans="7:14" x14ac:dyDescent="0.55000000000000004">
      <c r="G11" s="4" t="str">
        <f>IF('Working Catalog'!Z6=FALSE,"",'Working Catalog'!J6)</f>
        <v/>
      </c>
      <c r="H11" s="2" t="str">
        <f>IF('Working Catalog'!Z6 = FALSE,"",'Working Catalog'!O6/'Working Catalog'!Y6)</f>
        <v/>
      </c>
      <c r="I11" s="9" t="str">
        <f>IF('Working Catalog'!Z6 = FALSE,"",'Working Catalog'!R6)</f>
        <v/>
      </c>
      <c r="J11" s="9" t="str">
        <f>IF('Working Catalog'!Z6 = FALSE,"",'Working Catalog'!T6)</f>
        <v/>
      </c>
    </row>
    <row r="12" spans="7:14" x14ac:dyDescent="0.55000000000000004">
      <c r="G12" s="4" t="str">
        <f>IF('Working Catalog'!Z7=FALSE,"",'Working Catalog'!J7)</f>
        <v/>
      </c>
      <c r="H12" s="2" t="str">
        <f>IF('Working Catalog'!Z7 = FALSE,"",'Working Catalog'!O7/'Working Catalog'!Y7)</f>
        <v/>
      </c>
      <c r="I12" s="9" t="str">
        <f>IF('Working Catalog'!Z7 = FALSE,"",'Working Catalog'!R7)</f>
        <v/>
      </c>
      <c r="J12" s="9" t="str">
        <f>IF('Working Catalog'!Z7 = FALSE,"",'Working Catalog'!T7)</f>
        <v/>
      </c>
    </row>
    <row r="13" spans="7:14" x14ac:dyDescent="0.55000000000000004">
      <c r="G13" s="4" t="str">
        <f>IF('Working Catalog'!Z8=FALSE,"",'Working Catalog'!J8)</f>
        <v/>
      </c>
      <c r="H13" s="2" t="str">
        <f>IF('Working Catalog'!Z8 = FALSE,"",'Working Catalog'!O8/'Working Catalog'!Y8)</f>
        <v/>
      </c>
      <c r="I13" s="9" t="str">
        <f>IF('Working Catalog'!Z8 = FALSE,"",'Working Catalog'!R8)</f>
        <v/>
      </c>
      <c r="J13" s="9" t="str">
        <f>IF('Working Catalog'!Z8 = FALSE,"",'Working Catalog'!T8)</f>
        <v/>
      </c>
    </row>
    <row r="14" spans="7:14" x14ac:dyDescent="0.55000000000000004">
      <c r="G14" s="4" t="str">
        <f>IF('Working Catalog'!Z9=FALSE,"",'Working Catalog'!J9)</f>
        <v/>
      </c>
      <c r="H14" s="2" t="str">
        <f>IF('Working Catalog'!Z9 = FALSE,"",'Working Catalog'!O9/'Working Catalog'!Y9)</f>
        <v/>
      </c>
      <c r="I14" s="9" t="str">
        <f>IF('Working Catalog'!Z9 = FALSE,"",'Working Catalog'!R9)</f>
        <v/>
      </c>
      <c r="J14" s="9" t="str">
        <f>IF('Working Catalog'!Z9 = FALSE,"",'Working Catalog'!T9)</f>
        <v/>
      </c>
    </row>
    <row r="15" spans="7:14" x14ac:dyDescent="0.55000000000000004">
      <c r="G15" s="4" t="str">
        <f>IF('Working Catalog'!Z10=FALSE,"",'Working Catalog'!J10)</f>
        <v/>
      </c>
      <c r="H15" s="2" t="str">
        <f>IF('Working Catalog'!Z10 = FALSE,"",'Working Catalog'!O10/'Working Catalog'!Y10)</f>
        <v/>
      </c>
      <c r="I15" s="9" t="str">
        <f>IF('Working Catalog'!Z10 = FALSE,"",'Working Catalog'!R10)</f>
        <v/>
      </c>
      <c r="J15" s="9" t="str">
        <f>IF('Working Catalog'!Z10 = FALSE,"",'Working Catalog'!T10)</f>
        <v/>
      </c>
    </row>
    <row r="16" spans="7:14" x14ac:dyDescent="0.55000000000000004">
      <c r="G16" s="4" t="str">
        <f>IF('Working Catalog'!Z11=FALSE,"",'Working Catalog'!J11)</f>
        <v/>
      </c>
      <c r="H16" s="2" t="str">
        <f>IF('Working Catalog'!Z11 = FALSE,"",'Working Catalog'!O11/'Working Catalog'!Y11)</f>
        <v/>
      </c>
      <c r="I16" s="9" t="str">
        <f>IF('Working Catalog'!Z11 = FALSE,"",'Working Catalog'!R11)</f>
        <v/>
      </c>
      <c r="J16" s="9" t="str">
        <f>IF('Working Catalog'!Z11 = FALSE,"",'Working Catalog'!T11)</f>
        <v/>
      </c>
    </row>
    <row r="17" spans="7:10" x14ac:dyDescent="0.55000000000000004">
      <c r="G17" s="4" t="str">
        <f>IF('Working Catalog'!Z12=FALSE,"",'Working Catalog'!J12)</f>
        <v/>
      </c>
      <c r="H17" s="2" t="str">
        <f>IF('Working Catalog'!Z12 = FALSE,"",'Working Catalog'!O12/'Working Catalog'!Y12)</f>
        <v/>
      </c>
      <c r="I17" s="9" t="str">
        <f>IF('Working Catalog'!Z12 = FALSE,"",'Working Catalog'!R12)</f>
        <v/>
      </c>
      <c r="J17" s="9" t="str">
        <f>IF('Working Catalog'!Z12 = FALSE,"",'Working Catalog'!T12)</f>
        <v/>
      </c>
    </row>
    <row r="18" spans="7:10" x14ac:dyDescent="0.55000000000000004">
      <c r="G18" s="4" t="str">
        <f>IF('Working Catalog'!Z13=FALSE,"",'Working Catalog'!J13)</f>
        <v/>
      </c>
      <c r="H18" s="2" t="str">
        <f>IF('Working Catalog'!Z13 = FALSE,"",'Working Catalog'!O13/'Working Catalog'!Y13)</f>
        <v/>
      </c>
      <c r="I18" s="9" t="str">
        <f>IF('Working Catalog'!Z13 = FALSE,"",'Working Catalog'!R13)</f>
        <v/>
      </c>
      <c r="J18" s="9" t="str">
        <f>IF('Working Catalog'!Z13 = FALSE,"",'Working Catalog'!T13)</f>
        <v/>
      </c>
    </row>
    <row r="19" spans="7:10" x14ac:dyDescent="0.55000000000000004">
      <c r="G19" s="4" t="str">
        <f>IF('Working Catalog'!Z14=FALSE,"",'Working Catalog'!J14)</f>
        <v/>
      </c>
      <c r="H19" s="2" t="str">
        <f>IF('Working Catalog'!Z14 = FALSE,"",'Working Catalog'!O14/'Working Catalog'!Y14)</f>
        <v/>
      </c>
      <c r="I19" s="9" t="str">
        <f>IF('Working Catalog'!Z14 = FALSE,"",'Working Catalog'!R14)</f>
        <v/>
      </c>
      <c r="J19" s="9" t="str">
        <f>IF('Working Catalog'!Z14 = FALSE,"",'Working Catalog'!T14)</f>
        <v/>
      </c>
    </row>
    <row r="20" spans="7:10" x14ac:dyDescent="0.55000000000000004">
      <c r="G20" s="4" t="str">
        <f>IF('Working Catalog'!Z15=FALSE,"",'Working Catalog'!J15)</f>
        <v/>
      </c>
      <c r="H20" s="2" t="str">
        <f>IF('Working Catalog'!Z15 = FALSE,"",'Working Catalog'!O15/'Working Catalog'!Y15)</f>
        <v/>
      </c>
      <c r="I20" s="9" t="str">
        <f>IF('Working Catalog'!Z15 = FALSE,"",'Working Catalog'!R15)</f>
        <v/>
      </c>
      <c r="J20" s="9" t="str">
        <f>IF('Working Catalog'!Z15 = FALSE,"",'Working Catalog'!T15)</f>
        <v/>
      </c>
    </row>
    <row r="21" spans="7:10" x14ac:dyDescent="0.55000000000000004">
      <c r="G21" s="4" t="str">
        <f>IF('Working Catalog'!Z16=FALSE,"",'Working Catalog'!J16)</f>
        <v/>
      </c>
      <c r="H21" s="2" t="str">
        <f>IF('Working Catalog'!Z16 = FALSE,"",'Working Catalog'!O16/'Working Catalog'!Y16)</f>
        <v/>
      </c>
      <c r="I21" s="9" t="str">
        <f>IF('Working Catalog'!Z16 = FALSE,"",'Working Catalog'!R16)</f>
        <v/>
      </c>
      <c r="J21" s="9" t="str">
        <f>IF('Working Catalog'!Z16 = FALSE,"",'Working Catalog'!T16)</f>
        <v/>
      </c>
    </row>
    <row r="22" spans="7:10" x14ac:dyDescent="0.55000000000000004">
      <c r="G22" s="4" t="str">
        <f>IF('Working Catalog'!Z17=FALSE,"",'Working Catalog'!J17)</f>
        <v>SSRIF-2</v>
      </c>
      <c r="H22" s="2">
        <f>IF('Working Catalog'!Z17 = FALSE,"",'Working Catalog'!O17/'Working Catalog'!Y17)</f>
        <v>1.04</v>
      </c>
      <c r="I22" s="9">
        <f>IF('Working Catalog'!Z17 = FALSE,"",'Working Catalog'!R17)</f>
        <v>1022.2080000000002</v>
      </c>
      <c r="J22" s="9">
        <f>IF('Working Catalog'!Z17 = FALSE,"",'Working Catalog'!T17)</f>
        <v>23.613004800000002</v>
      </c>
    </row>
    <row r="23" spans="7:10" x14ac:dyDescent="0.55000000000000004">
      <c r="G23" s="4" t="str">
        <f>IF('Working Catalog'!Z18=FALSE,"",'Working Catalog'!J18)</f>
        <v/>
      </c>
      <c r="H23" s="2" t="str">
        <f>IF('Working Catalog'!Z18 = FALSE,"",'Working Catalog'!O18/'Working Catalog'!Y18)</f>
        <v/>
      </c>
      <c r="I23" s="9" t="str">
        <f>IF('Working Catalog'!Z18 = FALSE,"",'Working Catalog'!R18)</f>
        <v/>
      </c>
      <c r="J23" s="9" t="str">
        <f>IF('Working Catalog'!Z18 = FALSE,"",'Working Catalog'!T18)</f>
        <v/>
      </c>
    </row>
    <row r="24" spans="7:10" x14ac:dyDescent="0.55000000000000004">
      <c r="G24" s="4" t="str">
        <f>IF('Working Catalog'!Z19=FALSE,"",'Working Catalog'!J19)</f>
        <v/>
      </c>
      <c r="H24" s="2" t="str">
        <f>IF('Working Catalog'!Z19 = FALSE,"",'Working Catalog'!O19/'Working Catalog'!Y19)</f>
        <v/>
      </c>
      <c r="I24" s="9" t="str">
        <f>IF('Working Catalog'!Z19 = FALSE,"",'Working Catalog'!R19)</f>
        <v/>
      </c>
      <c r="J24" s="9" t="str">
        <f>IF('Working Catalog'!Z19 = FALSE,"",'Working Catalog'!T19)</f>
        <v/>
      </c>
    </row>
    <row r="25" spans="7:10" x14ac:dyDescent="0.55000000000000004">
      <c r="G25" s="4" t="str">
        <f>IF('Working Catalog'!Z20=FALSE,"",'Working Catalog'!J20)</f>
        <v/>
      </c>
      <c r="H25" s="2" t="str">
        <f>IF('Working Catalog'!Z20 = FALSE,"",'Working Catalog'!O20/'Working Catalog'!Y20)</f>
        <v/>
      </c>
      <c r="I25" s="9" t="str">
        <f>IF('Working Catalog'!Z20 = FALSE,"",'Working Catalog'!R20)</f>
        <v/>
      </c>
      <c r="J25" s="9" t="str">
        <f>IF('Working Catalog'!Z20 = FALSE,"",'Working Catalog'!T20)</f>
        <v/>
      </c>
    </row>
    <row r="26" spans="7:10" x14ac:dyDescent="0.55000000000000004">
      <c r="G26" s="4" t="str">
        <f>IF('Working Catalog'!Z21=FALSE,"",'Working Catalog'!J21)</f>
        <v/>
      </c>
      <c r="H26" s="2" t="str">
        <f>IF('Working Catalog'!Z21 = FALSE,"",'Working Catalog'!O21/'Working Catalog'!Y21)</f>
        <v/>
      </c>
      <c r="I26" s="9" t="str">
        <f>IF('Working Catalog'!Z21 = FALSE,"",'Working Catalog'!R21)</f>
        <v/>
      </c>
      <c r="J26" s="9" t="str">
        <f>IF('Working Catalog'!Z21 = FALSE,"",'Working Catalog'!T21)</f>
        <v/>
      </c>
    </row>
    <row r="27" spans="7:10" x14ac:dyDescent="0.55000000000000004">
      <c r="G27" s="4" t="str">
        <f>IF('Working Catalog'!Z22=FALSE,"",'Working Catalog'!J22)</f>
        <v>SSRIF-6632</v>
      </c>
      <c r="H27" s="2">
        <f>IF('Working Catalog'!Z22 = FALSE,"",'Working Catalog'!O22/'Working Catalog'!Y22)</f>
        <v>1.24</v>
      </c>
      <c r="I27" s="9">
        <f>IF('Working Catalog'!Z22 = FALSE,"",'Working Catalog'!R22)</f>
        <v>1560.8035555555557</v>
      </c>
      <c r="J27" s="9">
        <f>IF('Working Catalog'!Z22 = FALSE,"",'Working Catalog'!T22)</f>
        <v>36.054562133333334</v>
      </c>
    </row>
    <row r="28" spans="7:10" x14ac:dyDescent="0.55000000000000004">
      <c r="G28" s="4" t="str">
        <f>IF('Working Catalog'!Z23=FALSE,"",'Working Catalog'!J23)</f>
        <v>SSRIF-3</v>
      </c>
      <c r="H28" s="2">
        <f>IF('Working Catalog'!Z23 = FALSE,"",'Working Catalog'!O23/'Working Catalog'!Y23)</f>
        <v>2.36</v>
      </c>
      <c r="I28" s="9">
        <f>IF('Working Catalog'!Z23 = FALSE,"",'Working Catalog'!R23)</f>
        <v>9756.4444444444434</v>
      </c>
      <c r="J28" s="9">
        <f>IF('Working Catalog'!Z23 = FALSE,"",'Working Catalog'!T23)</f>
        <v>225.3738666666666</v>
      </c>
    </row>
    <row r="29" spans="7:10" x14ac:dyDescent="0.55000000000000004">
      <c r="G29" s="4" t="str">
        <f>IF('Working Catalog'!Z24=FALSE,"",'Working Catalog'!J24)</f>
        <v/>
      </c>
      <c r="H29" s="2" t="str">
        <f>IF('Working Catalog'!Z24 = FALSE,"",'Working Catalog'!O24/'Working Catalog'!Y24)</f>
        <v/>
      </c>
      <c r="I29" s="9" t="str">
        <f>IF('Working Catalog'!Z24 = FALSE,"",'Working Catalog'!R24)</f>
        <v/>
      </c>
      <c r="J29" s="9" t="str">
        <f>IF('Working Catalog'!Z24 = FALSE,"",'Working Catalog'!T24)</f>
        <v/>
      </c>
    </row>
    <row r="30" spans="7:10" x14ac:dyDescent="0.55000000000000004">
      <c r="G30" s="4" t="str">
        <f>IF('Working Catalog'!Z25=FALSE,"",'Working Catalog'!J25)</f>
        <v>SSRIF-814</v>
      </c>
      <c r="H30" s="2">
        <f>IF('Working Catalog'!Z25 = FALSE,"",'Working Catalog'!O25/'Working Catalog'!Y25)</f>
        <v>1.6</v>
      </c>
      <c r="I30" s="9">
        <f>IF('Working Catalog'!Z25 = FALSE,"",'Working Catalog'!R25)</f>
        <v>2423.0115555555553</v>
      </c>
      <c r="J30" s="9">
        <f>IF('Working Catalog'!Z25 = FALSE,"",'Working Catalog'!T25)</f>
        <v>55.971566933333321</v>
      </c>
    </row>
    <row r="31" spans="7:10" x14ac:dyDescent="0.55000000000000004">
      <c r="G31" s="4" t="str">
        <f>IF('Working Catalog'!Z26=FALSE,"",'Working Catalog'!J26)</f>
        <v>SSRIF-4</v>
      </c>
      <c r="H31" s="2">
        <f>IF('Working Catalog'!Z26 = FALSE,"",'Working Catalog'!O26/'Working Catalog'!Y26)</f>
        <v>2.8</v>
      </c>
      <c r="I31" s="9">
        <f>IF('Working Catalog'!Z26 = FALSE,"",'Working Catalog'!R26)</f>
        <v>14292.192000000003</v>
      </c>
      <c r="J31" s="9">
        <f>IF('Working Catalog'!Z26 = FALSE,"",'Working Catalog'!T26)</f>
        <v>330.14963520000003</v>
      </c>
    </row>
    <row r="32" spans="7:10" x14ac:dyDescent="0.55000000000000004">
      <c r="G32" s="4" t="str">
        <f>IF('Working Catalog'!Z27=FALSE,"",'Working Catalog'!J27)</f>
        <v>SSRIF-8516</v>
      </c>
      <c r="H32" s="2">
        <f>IF('Working Catalog'!Z27 = FALSE,"",'Working Catalog'!O27/'Working Catalog'!Y27)</f>
        <v>1.72</v>
      </c>
      <c r="I32" s="9">
        <f>IF('Working Catalog'!Z27 = FALSE,"",'Working Catalog'!R27)</f>
        <v>2859.9360000000006</v>
      </c>
      <c r="J32" s="9">
        <f>IF('Working Catalog'!Z27 = FALSE,"",'Working Catalog'!T27)</f>
        <v>66.064521600000006</v>
      </c>
    </row>
    <row r="33" spans="7:10" ht="28.8" x14ac:dyDescent="0.55000000000000004">
      <c r="G33" s="4" t="str">
        <f ca="1">IF('Working Catalog'!Z28=FALSE,"",'Working Catalog'!J28)</f>
        <v>SSRIF-1438</v>
      </c>
      <c r="H33" s="2">
        <f ca="1">IF('Working Catalog'!Z28 = FALSE,"",'Working Catalog'!O28/'Working Catalog'!Y28)</f>
        <v>10.92</v>
      </c>
      <c r="I33" s="9">
        <f ca="1">IF('Working Catalog'!Z28 = FALSE,"",'Working Catalog'!R28)</f>
        <v>655004.47644444439</v>
      </c>
      <c r="J33" s="9">
        <f ca="1">IF('Working Catalog'!Z28 = FALSE,"",'Working Catalog'!T28)</f>
        <v>15130.603405866666</v>
      </c>
    </row>
    <row r="34" spans="7:10" ht="28.8" x14ac:dyDescent="0.55000000000000004">
      <c r="G34" s="4" t="str">
        <f ca="1">IF('Working Catalog'!Z29=FALSE,"",'Working Catalog'!J29)</f>
        <v>SSRIF-1812</v>
      </c>
      <c r="H34" s="2">
        <f ca="1">IF('Working Catalog'!Z29 = FALSE,"",'Working Catalog'!O29/'Working Catalog'!Y29)</f>
        <v>13.76</v>
      </c>
      <c r="I34" s="9">
        <f ca="1">IF('Working Catalog'!Z29 = FALSE,"",'Working Catalog'!R29)</f>
        <v>1137825.7919999999</v>
      </c>
      <c r="J34" s="9">
        <f ca="1">IF('Working Catalog'!Z29 = FALSE,"",'Working Catalog'!T29)</f>
        <v>26283.775795199996</v>
      </c>
    </row>
  </sheetData>
  <mergeCells count="1"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AJ33"/>
  <sheetViews>
    <sheetView topLeftCell="L1" zoomScale="75" zoomScaleNormal="70" workbookViewId="0">
      <selection activeCell="AB8" sqref="AB8:AJ8"/>
    </sheetView>
  </sheetViews>
  <sheetFormatPr defaultRowHeight="14.4" x14ac:dyDescent="0.55000000000000004"/>
  <cols>
    <col min="1" max="1" width="13.68359375" customWidth="1"/>
    <col min="2" max="2" width="8.83984375" customWidth="1"/>
    <col min="3" max="3" width="18" customWidth="1"/>
    <col min="4" max="4" width="15.5234375" customWidth="1"/>
    <col min="5" max="5" width="13.26171875" customWidth="1"/>
    <col min="6" max="6" width="19.1015625" customWidth="1"/>
    <col min="8" max="8" width="18.7890625" customWidth="1"/>
    <col min="10" max="10" width="11.62890625" customWidth="1"/>
    <col min="13" max="13" width="12.47265625" customWidth="1"/>
    <col min="15" max="15" width="14" customWidth="1"/>
    <col min="17" max="17" width="13.5234375" customWidth="1"/>
    <col min="18" max="18" width="11.734375" customWidth="1"/>
    <col min="19" max="19" width="10.578125" customWidth="1"/>
    <col min="20" max="20" width="13.20703125" bestFit="1" customWidth="1"/>
    <col min="28" max="28" width="11.83984375" customWidth="1"/>
    <col min="29" max="29" width="11.15625" bestFit="1" customWidth="1"/>
    <col min="30" max="30" width="12.05078125" customWidth="1"/>
    <col min="31" max="31" width="14.83984375" customWidth="1"/>
  </cols>
  <sheetData>
    <row r="4" spans="3:36" ht="51.9" customHeight="1" x14ac:dyDescent="0.55000000000000004">
      <c r="J4" s="14" t="s">
        <v>0</v>
      </c>
      <c r="K4" s="14" t="s">
        <v>22</v>
      </c>
      <c r="L4" s="16" t="s">
        <v>1</v>
      </c>
      <c r="M4" s="17"/>
      <c r="N4" s="14" t="s">
        <v>3</v>
      </c>
      <c r="O4" s="14"/>
      <c r="P4" s="14" t="s">
        <v>33</v>
      </c>
      <c r="Q4" s="14" t="s">
        <v>47</v>
      </c>
      <c r="R4" s="14" t="s">
        <v>48</v>
      </c>
      <c r="S4" s="13" t="s">
        <v>49</v>
      </c>
      <c r="T4" s="14" t="s">
        <v>50</v>
      </c>
      <c r="U4" s="14" t="s">
        <v>44</v>
      </c>
      <c r="V4" s="15" t="s">
        <v>29</v>
      </c>
      <c r="W4" s="11" t="s">
        <v>27</v>
      </c>
      <c r="X4" s="11" t="s">
        <v>28</v>
      </c>
      <c r="Y4" s="11" t="s">
        <v>38</v>
      </c>
      <c r="Z4" s="10" t="s">
        <v>54</v>
      </c>
    </row>
    <row r="5" spans="3:36" ht="49.5" customHeight="1" x14ac:dyDescent="0.55000000000000004">
      <c r="J5" s="14"/>
      <c r="K5" s="14"/>
      <c r="L5" s="3" t="s">
        <v>2</v>
      </c>
      <c r="M5" s="3" t="s">
        <v>41</v>
      </c>
      <c r="N5" s="3" t="s">
        <v>4</v>
      </c>
      <c r="O5" s="3" t="s">
        <v>42</v>
      </c>
      <c r="P5" s="14"/>
      <c r="Q5" s="14"/>
      <c r="R5" s="14"/>
      <c r="S5" s="13"/>
      <c r="T5" s="14"/>
      <c r="U5" s="14"/>
      <c r="V5" s="15"/>
      <c r="W5" s="11"/>
      <c r="X5" s="11"/>
      <c r="Y5" s="11"/>
      <c r="Z5" s="10"/>
    </row>
    <row r="6" spans="3:36" x14ac:dyDescent="0.55000000000000004">
      <c r="J6" s="1" t="s">
        <v>5</v>
      </c>
      <c r="K6" s="1">
        <v>0.125</v>
      </c>
      <c r="L6" s="1">
        <v>5</v>
      </c>
      <c r="M6" s="2">
        <v>2.5000000000000001E-2</v>
      </c>
      <c r="N6" s="1">
        <v>9</v>
      </c>
      <c r="O6" s="1">
        <v>3</v>
      </c>
      <c r="P6" s="2">
        <f>O6/Y6</f>
        <v>0.12</v>
      </c>
      <c r="Q6" s="18">
        <f>(N6/Y6)^3</f>
        <v>4.6655999999999996E-2</v>
      </c>
      <c r="R6" s="9">
        <f>(10^6*Q6)/(60*'User Interface'!$J$5)</f>
        <v>2.5919999999999996</v>
      </c>
      <c r="S6" s="18">
        <f t="shared" ref="S6:S29" si="0">Q6*0.21*0.11*1</f>
        <v>1.0777535999999999E-3</v>
      </c>
      <c r="T6" s="9">
        <f>(10^6*S6)/(60*'User Interface'!$J$5)</f>
        <v>5.987519999999999E-2</v>
      </c>
      <c r="U6" s="9">
        <f>'User Interface'!$I$5/(L6*(M6^2))</f>
        <v>959.99999999999977</v>
      </c>
      <c r="V6" s="2">
        <v>0.16</v>
      </c>
      <c r="W6" s="1">
        <f>IF('User Interface'!$N$5 &gt; V6,0.56,1)</f>
        <v>1</v>
      </c>
      <c r="X6" s="8">
        <f>IF('User Interface'!$N$5&gt;V6,2.1,$AI$11)</f>
        <v>0</v>
      </c>
      <c r="Y6" s="2">
        <f>('User Interface'!$M$5*W6*'User Interface'!$H$5) + (X6*'User Interface'!$I$5)</f>
        <v>25</v>
      </c>
      <c r="Z6" s="1" t="b">
        <f>AND(P6&gt;1,U6&lt;1000,T6&gt;0.49)</f>
        <v>0</v>
      </c>
    </row>
    <row r="7" spans="3:36" x14ac:dyDescent="0.55000000000000004">
      <c r="J7" s="1" t="s">
        <v>6</v>
      </c>
      <c r="K7" s="1">
        <v>0.15620000000000001</v>
      </c>
      <c r="L7" s="1">
        <v>6</v>
      </c>
      <c r="M7" s="2">
        <v>3.125E-2</v>
      </c>
      <c r="N7" s="1">
        <v>16</v>
      </c>
      <c r="O7" s="1">
        <v>5</v>
      </c>
      <c r="P7" s="2">
        <f t="shared" ref="P7:P27" si="1">O7/Y7</f>
        <v>0.2</v>
      </c>
      <c r="Q7" s="18">
        <f t="shared" ref="Q7:Q29" si="2">(N7/Y7)^3</f>
        <v>0.26214400000000004</v>
      </c>
      <c r="R7" s="9">
        <f>(10^6*Q7)/(60*'User Interface'!$J$5)</f>
        <v>14.563555555555558</v>
      </c>
      <c r="S7" s="18">
        <f t="shared" si="0"/>
        <v>6.0555264000000004E-3</v>
      </c>
      <c r="T7" s="9">
        <f>(10^6*S7)/(60*'User Interface'!$J$5)</f>
        <v>0.33641813333333337</v>
      </c>
      <c r="U7" s="9">
        <f>'User Interface'!$I$5/(L7*(M7^2))</f>
        <v>512</v>
      </c>
      <c r="V7" s="2">
        <v>0.16</v>
      </c>
      <c r="W7" s="1">
        <f>IF('User Interface'!$N$5 &gt; V7,0.56,1)</f>
        <v>1</v>
      </c>
      <c r="X7" s="8">
        <f>IF('User Interface'!$N$5&gt;V7,2.1,$AI$11)</f>
        <v>0</v>
      </c>
      <c r="Y7" s="2">
        <f>('User Interface'!$M$5*W7*'User Interface'!$H$5) + (X7*'User Interface'!$I$5)</f>
        <v>25</v>
      </c>
      <c r="Z7" s="1" t="b">
        <f t="shared" ref="Z7:Z29" si="3">AND(P7&gt;1,U7&lt;1000,T7&gt;0.49)</f>
        <v>0</v>
      </c>
    </row>
    <row r="8" spans="3:36" x14ac:dyDescent="0.55000000000000004">
      <c r="J8" s="1" t="s">
        <v>7</v>
      </c>
      <c r="K8" s="1">
        <v>0.1875</v>
      </c>
      <c r="L8" s="1">
        <v>5</v>
      </c>
      <c r="M8" s="2">
        <v>4.6875E-2</v>
      </c>
      <c r="N8" s="1">
        <v>28</v>
      </c>
      <c r="O8" s="1">
        <v>10</v>
      </c>
      <c r="P8" s="2">
        <f t="shared" si="1"/>
        <v>0.4</v>
      </c>
      <c r="Q8" s="18">
        <f t="shared" si="2"/>
        <v>1.4049280000000004</v>
      </c>
      <c r="R8" s="9">
        <f>(10^6*Q8)/(60*'User Interface'!$J$5)</f>
        <v>78.051555555555581</v>
      </c>
      <c r="S8" s="18">
        <f t="shared" si="0"/>
        <v>3.2453836800000004E-2</v>
      </c>
      <c r="T8" s="9">
        <f>(10^6*S8)/(60*'User Interface'!$J$5)</f>
        <v>1.8029909333333336</v>
      </c>
      <c r="U8" s="9">
        <f>'User Interface'!$I$5/(L8*(M8^2))</f>
        <v>273.06666666666666</v>
      </c>
      <c r="V8" s="2">
        <v>0.16</v>
      </c>
      <c r="W8" s="1">
        <f>IF('User Interface'!$N$5 &gt; V8,0.56,1)</f>
        <v>1</v>
      </c>
      <c r="X8" s="8">
        <f>IF('User Interface'!$N$5&gt;V8,2.1,$AI$11)</f>
        <v>0</v>
      </c>
      <c r="Y8" s="2">
        <f>('User Interface'!$M$5*W8*'User Interface'!$H$5) + (X8*'User Interface'!$I$5)</f>
        <v>25</v>
      </c>
      <c r="Z8" s="1" t="b">
        <f t="shared" si="3"/>
        <v>0</v>
      </c>
      <c r="AB8" s="12" t="s">
        <v>43</v>
      </c>
      <c r="AC8" s="12"/>
      <c r="AD8" s="12"/>
      <c r="AE8" s="12"/>
      <c r="AF8" s="12"/>
      <c r="AG8" s="12"/>
      <c r="AH8" s="12"/>
      <c r="AI8" s="12"/>
      <c r="AJ8" s="12"/>
    </row>
    <row r="9" spans="3:36" ht="36.9" customHeight="1" x14ac:dyDescent="0.75">
      <c r="C9" t="s">
        <v>37</v>
      </c>
      <c r="D9" t="s">
        <v>38</v>
      </c>
      <c r="E9" t="s">
        <v>40</v>
      </c>
      <c r="J9" s="1" t="s">
        <v>8</v>
      </c>
      <c r="K9" s="1">
        <v>0.25</v>
      </c>
      <c r="L9" s="1">
        <v>6</v>
      </c>
      <c r="M9" s="2">
        <v>4.6875E-2</v>
      </c>
      <c r="N9" s="1">
        <v>35</v>
      </c>
      <c r="O9" s="1">
        <v>12</v>
      </c>
      <c r="P9" s="2">
        <f t="shared" si="1"/>
        <v>0.48</v>
      </c>
      <c r="Q9" s="18">
        <f t="shared" si="2"/>
        <v>2.7439999999999993</v>
      </c>
      <c r="R9" s="9">
        <f>(10^6*Q9)/(60*'User Interface'!$J$5)</f>
        <v>152.44444444444443</v>
      </c>
      <c r="S9" s="18">
        <f t="shared" si="0"/>
        <v>6.3386399999999982E-2</v>
      </c>
      <c r="T9" s="9">
        <f>(10^6*S9)/(60*'User Interface'!$J$5)</f>
        <v>3.5214666666666656</v>
      </c>
      <c r="U9" s="9">
        <f>'User Interface'!$I$5/(L9*(M9^2))</f>
        <v>227.55555555555554</v>
      </c>
      <c r="V9" s="2">
        <v>0.16</v>
      </c>
      <c r="W9" s="1">
        <f>IF('User Interface'!$N$5 &gt; V9,0.56,1)</f>
        <v>1</v>
      </c>
      <c r="X9" s="8">
        <f>IF('User Interface'!$N$5&gt;V9,2.1,$AI$11)</f>
        <v>0</v>
      </c>
      <c r="Y9" s="2">
        <f>('User Interface'!$M$5*W9*'User Interface'!$H$5) + (X9*'User Interface'!$I$5)</f>
        <v>25</v>
      </c>
      <c r="Z9" s="1" t="b">
        <f t="shared" si="3"/>
        <v>0</v>
      </c>
      <c r="AB9" s="10" t="s">
        <v>23</v>
      </c>
      <c r="AC9" s="10" t="s">
        <v>24</v>
      </c>
      <c r="AD9" s="10" t="s">
        <v>25</v>
      </c>
      <c r="AE9" s="10"/>
      <c r="AF9" s="10" t="s">
        <v>26</v>
      </c>
      <c r="AG9" s="10"/>
      <c r="AH9" s="10" t="s">
        <v>45</v>
      </c>
      <c r="AI9" s="10"/>
      <c r="AJ9" s="10" t="s">
        <v>29</v>
      </c>
    </row>
    <row r="10" spans="3:36" x14ac:dyDescent="0.55000000000000004">
      <c r="J10" s="1" t="s">
        <v>9</v>
      </c>
      <c r="K10" s="1">
        <v>0.1875</v>
      </c>
      <c r="L10" s="1">
        <v>7</v>
      </c>
      <c r="M10" s="2">
        <v>3.125E-2</v>
      </c>
      <c r="N10" s="1">
        <v>19</v>
      </c>
      <c r="O10" s="1">
        <v>6</v>
      </c>
      <c r="P10" s="2">
        <f t="shared" si="1"/>
        <v>0.24</v>
      </c>
      <c r="Q10" s="18">
        <f t="shared" si="2"/>
        <v>0.43897600000000003</v>
      </c>
      <c r="R10" s="9">
        <f>(10^6*Q10)/(60*'User Interface'!$J$5)</f>
        <v>24.387555555555558</v>
      </c>
      <c r="S10" s="18">
        <f t="shared" si="0"/>
        <v>1.0140345600000001E-2</v>
      </c>
      <c r="T10" s="9">
        <f>(10^6*S10)/(60*'User Interface'!$J$5)</f>
        <v>0.56335253333333335</v>
      </c>
      <c r="U10" s="9">
        <f>'User Interface'!$I$5/(L10*(M10^2))</f>
        <v>438.85714285714283</v>
      </c>
      <c r="V10" s="2">
        <v>0.16</v>
      </c>
      <c r="W10" s="1">
        <f>IF('User Interface'!$N$5 &gt; V10,0.56,1)</f>
        <v>1</v>
      </c>
      <c r="X10" s="8">
        <f>IF('User Interface'!$N$5&gt;V10,2.1,$AI$11)</f>
        <v>0</v>
      </c>
      <c r="Y10" s="2">
        <f>('User Interface'!$M$5*W10*'User Interface'!$H$5) + (X10*'User Interface'!$I$5)</f>
        <v>25</v>
      </c>
      <c r="Z10" s="1" t="b">
        <f t="shared" si="3"/>
        <v>0</v>
      </c>
      <c r="AB10" s="10"/>
      <c r="AC10" s="10"/>
      <c r="AD10" s="4" t="s">
        <v>31</v>
      </c>
      <c r="AE10" s="4" t="s">
        <v>32</v>
      </c>
      <c r="AF10" s="4" t="s">
        <v>27</v>
      </c>
      <c r="AG10" s="4" t="s">
        <v>28</v>
      </c>
      <c r="AH10" s="7" t="s">
        <v>27</v>
      </c>
      <c r="AI10" s="7" t="s">
        <v>28</v>
      </c>
      <c r="AJ10" s="10"/>
    </row>
    <row r="11" spans="3:36" x14ac:dyDescent="0.55000000000000004">
      <c r="J11" s="1" t="s">
        <v>9</v>
      </c>
      <c r="K11" s="1">
        <v>0.1875</v>
      </c>
      <c r="L11" s="1">
        <v>8</v>
      </c>
      <c r="M11" s="2">
        <v>3.125E-2</v>
      </c>
      <c r="N11" s="1">
        <v>21</v>
      </c>
      <c r="O11" s="1">
        <v>8</v>
      </c>
      <c r="P11" s="2">
        <f t="shared" si="1"/>
        <v>0.32</v>
      </c>
      <c r="Q11" s="18">
        <f t="shared" si="2"/>
        <v>0.5927039999999999</v>
      </c>
      <c r="R11" s="9">
        <f>(10^6*Q11)/(60*'User Interface'!$J$5)</f>
        <v>32.92799999999999</v>
      </c>
      <c r="S11" s="18">
        <f t="shared" si="0"/>
        <v>1.3691462399999996E-2</v>
      </c>
      <c r="T11" s="9">
        <f>(10^6*S11)/(60*'User Interface'!$J$5)</f>
        <v>0.76063679999999978</v>
      </c>
      <c r="U11" s="9">
        <f>'User Interface'!$I$5/(L11*(M11^2))</f>
        <v>384</v>
      </c>
      <c r="V11" s="2">
        <v>0.16</v>
      </c>
      <c r="W11" s="1">
        <f>IF('User Interface'!$N$5 &gt; V11,0.56,1)</f>
        <v>1</v>
      </c>
      <c r="X11" s="8">
        <f>IF('User Interface'!$N$5&gt;V11,2.1,$AI$11)</f>
        <v>0</v>
      </c>
      <c r="Y11" s="2">
        <f>('User Interface'!$M$5*W11*'User Interface'!$H$5) + (X11*'User Interface'!$I$5)</f>
        <v>25</v>
      </c>
      <c r="Z11" s="1" t="b">
        <f t="shared" si="3"/>
        <v>0</v>
      </c>
      <c r="AB11" s="10" t="s">
        <v>30</v>
      </c>
      <c r="AC11" s="5">
        <v>0</v>
      </c>
      <c r="AD11" s="11">
        <v>1</v>
      </c>
      <c r="AE11" s="11">
        <v>1.2</v>
      </c>
      <c r="AF11" s="11">
        <v>0.56000000000000005</v>
      </c>
      <c r="AG11" s="5">
        <v>2.61</v>
      </c>
      <c r="AH11" s="11">
        <v>1</v>
      </c>
      <c r="AI11" s="11">
        <v>0</v>
      </c>
      <c r="AJ11" s="5">
        <v>0.16</v>
      </c>
    </row>
    <row r="12" spans="3:36" x14ac:dyDescent="0.55000000000000004">
      <c r="J12" s="1" t="s">
        <v>10</v>
      </c>
      <c r="K12" s="1">
        <v>0.3125</v>
      </c>
      <c r="L12" s="1">
        <v>6</v>
      </c>
      <c r="M12" s="2">
        <v>6.25E-2</v>
      </c>
      <c r="N12" s="1">
        <v>60</v>
      </c>
      <c r="O12" s="1">
        <v>22</v>
      </c>
      <c r="P12" s="2">
        <f t="shared" si="1"/>
        <v>0.88</v>
      </c>
      <c r="Q12" s="18">
        <f t="shared" si="2"/>
        <v>13.824</v>
      </c>
      <c r="R12" s="9">
        <f>(10^6*Q12)/(60*'User Interface'!$J$5)</f>
        <v>768</v>
      </c>
      <c r="S12" s="18">
        <f t="shared" si="0"/>
        <v>0.31933439999999996</v>
      </c>
      <c r="T12" s="9">
        <f>(10^6*S12)/(60*'User Interface'!$J$5)</f>
        <v>17.740799999999997</v>
      </c>
      <c r="U12" s="9">
        <f>'User Interface'!$I$5/(L12*(M12^2))</f>
        <v>128</v>
      </c>
      <c r="V12" s="2">
        <v>0.16</v>
      </c>
      <c r="W12" s="1">
        <f>IF('User Interface'!$N$5 &gt; V12,0.56,1)</f>
        <v>1</v>
      </c>
      <c r="X12" s="8">
        <f>IF('User Interface'!$N$5&gt;V12,2.1,$AI$11)</f>
        <v>0</v>
      </c>
      <c r="Y12" s="2">
        <f>('User Interface'!$M$5*W12*'User Interface'!$H$5) + (X12*'User Interface'!$I$5)</f>
        <v>25</v>
      </c>
      <c r="Z12" s="1" t="b">
        <f t="shared" si="3"/>
        <v>0</v>
      </c>
      <c r="AB12" s="10"/>
      <c r="AC12" s="5">
        <v>25</v>
      </c>
      <c r="AD12" s="11"/>
      <c r="AE12" s="11"/>
      <c r="AF12" s="11"/>
      <c r="AG12" s="5">
        <v>2.2999999999999998</v>
      </c>
      <c r="AH12" s="11"/>
      <c r="AI12" s="11"/>
      <c r="AJ12" s="5">
        <v>0.19</v>
      </c>
    </row>
    <row r="13" spans="3:36" x14ac:dyDescent="0.55000000000000004">
      <c r="D13" t="s">
        <v>51</v>
      </c>
      <c r="J13" s="1" t="s">
        <v>11</v>
      </c>
      <c r="K13" s="1">
        <v>0.25</v>
      </c>
      <c r="L13" s="1">
        <v>7</v>
      </c>
      <c r="M13" s="2">
        <v>3.9399999999999998E-2</v>
      </c>
      <c r="N13" s="1">
        <v>30</v>
      </c>
      <c r="O13" s="1">
        <v>11</v>
      </c>
      <c r="P13" s="2">
        <f t="shared" si="1"/>
        <v>0.44</v>
      </c>
      <c r="Q13" s="18">
        <f t="shared" si="2"/>
        <v>1.728</v>
      </c>
      <c r="R13" s="9">
        <f>(10^6*Q13)/(60*'User Interface'!$J$5)</f>
        <v>96</v>
      </c>
      <c r="S13" s="18">
        <f t="shared" si="0"/>
        <v>3.9916799999999995E-2</v>
      </c>
      <c r="T13" s="9">
        <f>(10^6*S13)/(60*'User Interface'!$J$5)</f>
        <v>2.2175999999999996</v>
      </c>
      <c r="U13" s="9">
        <f>'User Interface'!$I$5/(L13*(M13^2))</f>
        <v>276.0773458292075</v>
      </c>
      <c r="V13" s="2">
        <v>0.16</v>
      </c>
      <c r="W13" s="1">
        <f>IF('User Interface'!$N$5 &gt; V13,0.56,1)</f>
        <v>1</v>
      </c>
      <c r="X13" s="8">
        <f>IF('User Interface'!$N$5&gt;V13,2.1,$AI$11)</f>
        <v>0</v>
      </c>
      <c r="Y13" s="2">
        <f>('User Interface'!$M$5*W13*'User Interface'!$H$5) + (X13*'User Interface'!$I$5)</f>
        <v>25</v>
      </c>
      <c r="Z13" s="1" t="b">
        <f t="shared" si="3"/>
        <v>0</v>
      </c>
      <c r="AB13" s="10"/>
      <c r="AC13" s="5">
        <v>50</v>
      </c>
      <c r="AD13" s="11"/>
      <c r="AE13" s="11"/>
      <c r="AF13" s="11"/>
      <c r="AG13" s="5">
        <v>1.99</v>
      </c>
      <c r="AH13" s="11"/>
      <c r="AI13" s="11"/>
      <c r="AJ13" s="5">
        <v>0.22</v>
      </c>
    </row>
    <row r="14" spans="3:36" ht="19.8" customHeight="1" x14ac:dyDescent="0.55000000000000004">
      <c r="D14" t="s">
        <v>52</v>
      </c>
      <c r="J14" s="1" t="s">
        <v>11</v>
      </c>
      <c r="K14" s="1">
        <v>0.25</v>
      </c>
      <c r="L14" s="1">
        <v>8</v>
      </c>
      <c r="M14" s="2">
        <v>3.9399999999999998E-2</v>
      </c>
      <c r="N14" s="1">
        <v>33</v>
      </c>
      <c r="O14" s="1">
        <v>12</v>
      </c>
      <c r="P14" s="2">
        <f t="shared" si="1"/>
        <v>0.48</v>
      </c>
      <c r="Q14" s="18">
        <f t="shared" si="2"/>
        <v>2.2999680000000002</v>
      </c>
      <c r="R14" s="9">
        <f>(10^6*Q14)/(60*'User Interface'!$J$5)</f>
        <v>127.77600000000002</v>
      </c>
      <c r="S14" s="18">
        <f t="shared" si="0"/>
        <v>5.3129260800000001E-2</v>
      </c>
      <c r="T14" s="9">
        <f>(10^6*S14)/(60*'User Interface'!$J$5)</f>
        <v>2.9516256000000003</v>
      </c>
      <c r="U14" s="9">
        <f>'User Interface'!$I$5/(L14*(M14^2))</f>
        <v>241.56767760055661</v>
      </c>
      <c r="V14" s="2">
        <v>0.16</v>
      </c>
      <c r="W14" s="1">
        <f>IF('User Interface'!$N$5 &gt; V14,0.56,1)</f>
        <v>1</v>
      </c>
      <c r="X14" s="8">
        <f>IF('User Interface'!$N$5&gt;V14,2.1,$AI$11)</f>
        <v>0</v>
      </c>
      <c r="Y14" s="2">
        <f>('User Interface'!$M$5*W14*'User Interface'!$H$5) + (X14*'User Interface'!$I$5)</f>
        <v>25</v>
      </c>
      <c r="Z14" s="1" t="b">
        <f t="shared" si="3"/>
        <v>0</v>
      </c>
      <c r="AB14" s="10"/>
      <c r="AC14" s="5">
        <v>100</v>
      </c>
      <c r="AD14" s="11"/>
      <c r="AE14" s="11"/>
      <c r="AF14" s="11"/>
      <c r="AG14" s="5">
        <v>1.71</v>
      </c>
      <c r="AH14" s="11"/>
      <c r="AI14" s="11"/>
      <c r="AJ14" s="5">
        <v>0.26</v>
      </c>
    </row>
    <row r="15" spans="3:36" x14ac:dyDescent="0.55000000000000004">
      <c r="D15" t="s">
        <v>53</v>
      </c>
      <c r="J15" s="1" t="s">
        <v>12</v>
      </c>
      <c r="K15" s="1">
        <v>0.3125</v>
      </c>
      <c r="L15" s="1">
        <v>6</v>
      </c>
      <c r="M15" s="2">
        <v>6.25E-2</v>
      </c>
      <c r="N15" s="1">
        <v>60</v>
      </c>
      <c r="O15" s="1">
        <v>22</v>
      </c>
      <c r="P15" s="2">
        <f t="shared" si="1"/>
        <v>0.88</v>
      </c>
      <c r="Q15" s="18">
        <f t="shared" si="2"/>
        <v>13.824</v>
      </c>
      <c r="R15" s="9">
        <f>(10^6*Q15)/(60*'User Interface'!$J$5)</f>
        <v>768</v>
      </c>
      <c r="S15" s="18">
        <f t="shared" si="0"/>
        <v>0.31933439999999996</v>
      </c>
      <c r="T15" s="9">
        <f>(10^6*S15)/(60*'User Interface'!$J$5)</f>
        <v>17.740799999999997</v>
      </c>
      <c r="U15" s="9">
        <f>'User Interface'!$I$5/(L15*(M15^2))</f>
        <v>128</v>
      </c>
      <c r="V15" s="2">
        <v>0.16</v>
      </c>
      <c r="W15" s="1">
        <f>IF('User Interface'!$N$5 &gt; V15,0.56,1)</f>
        <v>1</v>
      </c>
      <c r="X15" s="8">
        <f>IF('User Interface'!$N$5&gt;V15,2.1,$AI$11)</f>
        <v>0</v>
      </c>
      <c r="Y15" s="2">
        <f>('User Interface'!$M$5*W15*'User Interface'!$H$5) + (X15*'User Interface'!$I$5)</f>
        <v>25</v>
      </c>
      <c r="Z15" s="1" t="b">
        <f t="shared" si="3"/>
        <v>0</v>
      </c>
      <c r="AB15" s="10"/>
      <c r="AC15" s="5">
        <v>150</v>
      </c>
      <c r="AD15" s="11"/>
      <c r="AE15" s="11"/>
      <c r="AF15" s="11"/>
      <c r="AG15" s="5">
        <v>1.55</v>
      </c>
      <c r="AH15" s="11"/>
      <c r="AI15" s="11"/>
      <c r="AJ15" s="5">
        <v>0.28000000000000003</v>
      </c>
    </row>
    <row r="16" spans="3:36" x14ac:dyDescent="0.55000000000000004">
      <c r="J16" s="1" t="s">
        <v>13</v>
      </c>
      <c r="K16" s="1">
        <v>0.375</v>
      </c>
      <c r="L16" s="1">
        <v>6</v>
      </c>
      <c r="M16" s="2">
        <v>6.25E-2</v>
      </c>
      <c r="N16" s="1">
        <v>60</v>
      </c>
      <c r="O16" s="1">
        <v>22</v>
      </c>
      <c r="P16" s="2">
        <f t="shared" si="1"/>
        <v>0.88</v>
      </c>
      <c r="Q16" s="18">
        <f t="shared" si="2"/>
        <v>13.824</v>
      </c>
      <c r="R16" s="9">
        <f>(10^6*Q16)/(60*'User Interface'!$J$5)</f>
        <v>768</v>
      </c>
      <c r="S16" s="18">
        <f t="shared" si="0"/>
        <v>0.31933439999999996</v>
      </c>
      <c r="T16" s="9">
        <f>(10^6*S16)/(60*'User Interface'!$J$5)</f>
        <v>17.740799999999997</v>
      </c>
      <c r="U16" s="9">
        <f>'User Interface'!$I$5/(L16*(M16^2))</f>
        <v>128</v>
      </c>
      <c r="V16" s="2">
        <v>0.16</v>
      </c>
      <c r="W16" s="1">
        <f>IF('User Interface'!$N$5 &gt; V16,0.56,1)</f>
        <v>1</v>
      </c>
      <c r="X16" s="8">
        <f>IF('User Interface'!$N$5&gt;V16,2.1,$AI$11)</f>
        <v>0</v>
      </c>
      <c r="Y16" s="2">
        <f>('User Interface'!$M$5*W16*'User Interface'!$H$5) + (X16*'User Interface'!$I$5)</f>
        <v>25</v>
      </c>
      <c r="Z16" s="1" t="b">
        <f t="shared" si="3"/>
        <v>0</v>
      </c>
      <c r="AB16" s="10"/>
      <c r="AC16" s="5">
        <v>200</v>
      </c>
      <c r="AD16" s="11"/>
      <c r="AE16" s="11"/>
      <c r="AF16" s="11"/>
      <c r="AG16" s="5">
        <v>1.45</v>
      </c>
      <c r="AH16" s="11"/>
      <c r="AI16" s="11"/>
      <c r="AJ16" s="5">
        <v>0.3</v>
      </c>
    </row>
    <row r="17" spans="10:36" x14ac:dyDescent="0.55000000000000004">
      <c r="J17" s="1" t="s">
        <v>5</v>
      </c>
      <c r="K17" s="1">
        <v>0.375</v>
      </c>
      <c r="L17" s="1">
        <v>7</v>
      </c>
      <c r="M17" s="2">
        <v>6.25E-2</v>
      </c>
      <c r="N17" s="1">
        <v>66</v>
      </c>
      <c r="O17" s="1">
        <v>26</v>
      </c>
      <c r="P17" s="2">
        <f t="shared" si="1"/>
        <v>1.04</v>
      </c>
      <c r="Q17" s="18">
        <f t="shared" si="2"/>
        <v>18.399744000000002</v>
      </c>
      <c r="R17" s="9">
        <f>(10^6*Q17)/(60*'User Interface'!$J$5)</f>
        <v>1022.2080000000002</v>
      </c>
      <c r="S17" s="18">
        <f t="shared" si="0"/>
        <v>0.42503408640000001</v>
      </c>
      <c r="T17" s="9">
        <f>(10^6*S17)/(60*'User Interface'!$J$5)</f>
        <v>23.613004800000002</v>
      </c>
      <c r="U17" s="9">
        <f>'User Interface'!$I$5/(L17*(M17^2))</f>
        <v>109.71428571428571</v>
      </c>
      <c r="V17" s="2">
        <v>0.16</v>
      </c>
      <c r="W17" s="1">
        <f>IF('User Interface'!$N$5 &gt; V17,0.56,1)</f>
        <v>1</v>
      </c>
      <c r="X17" s="8">
        <f>IF('User Interface'!$N$5&gt;V17,2.1,$AI$11)</f>
        <v>0</v>
      </c>
      <c r="Y17" s="2">
        <f>('User Interface'!$M$5*W17*'User Interface'!$H$5) + (X17*'User Interface'!$I$5)</f>
        <v>25</v>
      </c>
      <c r="Z17" s="1" t="b">
        <f t="shared" si="3"/>
        <v>1</v>
      </c>
      <c r="AB17" s="10"/>
      <c r="AC17" s="5">
        <v>300</v>
      </c>
      <c r="AD17" s="11"/>
      <c r="AE17" s="11"/>
      <c r="AF17" s="11"/>
      <c r="AG17" s="5">
        <v>1.31</v>
      </c>
      <c r="AH17" s="11"/>
      <c r="AI17" s="11"/>
      <c r="AJ17" s="5">
        <v>0.34</v>
      </c>
    </row>
    <row r="18" spans="10:36" x14ac:dyDescent="0.55000000000000004">
      <c r="J18" s="1" t="s">
        <v>14</v>
      </c>
      <c r="K18" s="1">
        <v>0.3125</v>
      </c>
      <c r="L18" s="1">
        <v>7</v>
      </c>
      <c r="M18" s="2">
        <v>4.6875E-2</v>
      </c>
      <c r="N18" s="1">
        <v>41</v>
      </c>
      <c r="O18" s="1">
        <v>15</v>
      </c>
      <c r="P18" s="2">
        <f t="shared" si="1"/>
        <v>0.6</v>
      </c>
      <c r="Q18" s="18">
        <f t="shared" si="2"/>
        <v>4.4109439999999989</v>
      </c>
      <c r="R18" s="9">
        <f>(10^6*Q18)/(60*'User Interface'!$J$5)</f>
        <v>245.0524444444444</v>
      </c>
      <c r="S18" s="18">
        <f t="shared" si="0"/>
        <v>0.10189280639999997</v>
      </c>
      <c r="T18" s="9">
        <f>(10^6*S18)/(60*'User Interface'!$J$5)</f>
        <v>5.6607114666666654</v>
      </c>
      <c r="U18" s="9">
        <f>'User Interface'!$I$5/(L18*(M18^2))</f>
        <v>195.04761904761904</v>
      </c>
      <c r="V18" s="2">
        <v>0.16</v>
      </c>
      <c r="W18" s="1">
        <f>IF('User Interface'!$N$5 &gt; V18,0.56,1)</f>
        <v>1</v>
      </c>
      <c r="X18" s="8">
        <f>IF('User Interface'!$N$5&gt;V18,2.1,$AI$11)</f>
        <v>0</v>
      </c>
      <c r="Y18" s="2">
        <f>('User Interface'!$M$5*W18*'User Interface'!$H$5) + (X18*'User Interface'!$I$5)</f>
        <v>25</v>
      </c>
      <c r="Z18" s="1" t="b">
        <f t="shared" si="3"/>
        <v>0</v>
      </c>
      <c r="AB18" s="10"/>
      <c r="AC18" s="5">
        <v>500</v>
      </c>
      <c r="AD18" s="11"/>
      <c r="AE18" s="11"/>
      <c r="AF18" s="11"/>
      <c r="AG18" s="5">
        <v>1.1499999999999999</v>
      </c>
      <c r="AH18" s="11"/>
      <c r="AI18" s="11"/>
      <c r="AJ18" s="5">
        <v>0.38</v>
      </c>
    </row>
    <row r="19" spans="10:36" x14ac:dyDescent="0.55000000000000004">
      <c r="J19" s="1" t="s">
        <v>14</v>
      </c>
      <c r="K19" s="1">
        <v>0.3125</v>
      </c>
      <c r="L19" s="1">
        <v>8</v>
      </c>
      <c r="M19" s="2">
        <v>4.6875E-2</v>
      </c>
      <c r="N19" s="1">
        <v>45</v>
      </c>
      <c r="O19" s="1">
        <v>17</v>
      </c>
      <c r="P19" s="2">
        <f t="shared" si="1"/>
        <v>0.68</v>
      </c>
      <c r="Q19" s="18">
        <f t="shared" si="2"/>
        <v>5.8320000000000007</v>
      </c>
      <c r="R19" s="9">
        <f>(10^6*Q19)/(60*'User Interface'!$J$5)</f>
        <v>324.00000000000006</v>
      </c>
      <c r="S19" s="18">
        <f t="shared" si="0"/>
        <v>0.13471920000000001</v>
      </c>
      <c r="T19" s="9">
        <f>(10^6*S19)/(60*'User Interface'!$J$5)</f>
        <v>7.4844000000000008</v>
      </c>
      <c r="U19" s="9">
        <f>'User Interface'!$I$5/(L19*(M19^2))</f>
        <v>170.66666666666666</v>
      </c>
      <c r="V19" s="2">
        <v>0.16</v>
      </c>
      <c r="W19" s="1">
        <f>IF('User Interface'!$N$5 &gt; V19,0.56,1)</f>
        <v>1</v>
      </c>
      <c r="X19" s="8">
        <f>IF('User Interface'!$N$5&gt;V19,2.1,$AI$11)</f>
        <v>0</v>
      </c>
      <c r="Y19" s="2">
        <f>('User Interface'!$M$5*W19*'User Interface'!$H$5) + (X19*'User Interface'!$I$5)</f>
        <v>25</v>
      </c>
      <c r="Z19" s="1" t="b">
        <f t="shared" si="3"/>
        <v>0</v>
      </c>
      <c r="AB19" s="10"/>
      <c r="AC19" s="5">
        <v>750</v>
      </c>
      <c r="AD19" s="11"/>
      <c r="AE19" s="11"/>
      <c r="AF19" s="11"/>
      <c r="AG19" s="5">
        <v>1.04</v>
      </c>
      <c r="AH19" s="11"/>
      <c r="AI19" s="11"/>
      <c r="AJ19" s="5">
        <v>0.42</v>
      </c>
    </row>
    <row r="20" spans="10:36" x14ac:dyDescent="0.55000000000000004">
      <c r="J20" s="1" t="s">
        <v>15</v>
      </c>
      <c r="K20" s="1">
        <v>0.3125</v>
      </c>
      <c r="L20" s="1">
        <v>7</v>
      </c>
      <c r="M20" s="2">
        <v>4.6875E-2</v>
      </c>
      <c r="N20" s="1">
        <v>41</v>
      </c>
      <c r="O20" s="1">
        <v>15</v>
      </c>
      <c r="P20" s="2">
        <f t="shared" si="1"/>
        <v>0.6</v>
      </c>
      <c r="Q20" s="18">
        <f t="shared" si="2"/>
        <v>4.4109439999999989</v>
      </c>
      <c r="R20" s="9">
        <f>(10^6*Q20)/(60*'User Interface'!$J$5)</f>
        <v>245.0524444444444</v>
      </c>
      <c r="S20" s="18">
        <f t="shared" si="0"/>
        <v>0.10189280639999997</v>
      </c>
      <c r="T20" s="9">
        <f>(10^6*S20)/(60*'User Interface'!$J$5)</f>
        <v>5.6607114666666654</v>
      </c>
      <c r="U20" s="9">
        <f>'User Interface'!$I$5/(L20*(M20^2))</f>
        <v>195.04761904761904</v>
      </c>
      <c r="V20" s="2">
        <v>0.16</v>
      </c>
      <c r="W20" s="1">
        <f>IF('User Interface'!$N$5 &gt; V20,0.56,1)</f>
        <v>1</v>
      </c>
      <c r="X20" s="8">
        <f>IF('User Interface'!$N$5&gt;V20,2.1,$AI$11)</f>
        <v>0</v>
      </c>
      <c r="Y20" s="2">
        <f>('User Interface'!$M$5*W20*'User Interface'!$H$5) + (X20*'User Interface'!$I$5)</f>
        <v>25</v>
      </c>
      <c r="Z20" s="1" t="b">
        <f t="shared" si="3"/>
        <v>0</v>
      </c>
      <c r="AB20" s="10"/>
      <c r="AC20" s="5">
        <v>1000</v>
      </c>
      <c r="AD20" s="11"/>
      <c r="AE20" s="11"/>
      <c r="AF20" s="11"/>
      <c r="AG20" s="5">
        <v>1</v>
      </c>
      <c r="AH20" s="11"/>
      <c r="AI20" s="11"/>
      <c r="AJ20" s="5">
        <v>0.44</v>
      </c>
    </row>
    <row r="21" spans="10:36" x14ac:dyDescent="0.55000000000000004">
      <c r="J21" s="1" t="s">
        <v>15</v>
      </c>
      <c r="K21" s="1">
        <v>0.3125</v>
      </c>
      <c r="L21" s="1">
        <v>8</v>
      </c>
      <c r="M21" s="2">
        <v>4.6875E-2</v>
      </c>
      <c r="N21" s="1">
        <v>45</v>
      </c>
      <c r="O21" s="1">
        <v>17</v>
      </c>
      <c r="P21" s="2">
        <f t="shared" si="1"/>
        <v>0.68</v>
      </c>
      <c r="Q21" s="18">
        <f t="shared" si="2"/>
        <v>5.8320000000000007</v>
      </c>
      <c r="R21" s="9">
        <f>(10^6*Q21)/(60*'User Interface'!$J$5)</f>
        <v>324.00000000000006</v>
      </c>
      <c r="S21" s="18">
        <f t="shared" si="0"/>
        <v>0.13471920000000001</v>
      </c>
      <c r="T21" s="9">
        <f>(10^6*S21)/(60*'User Interface'!$J$5)</f>
        <v>7.4844000000000008</v>
      </c>
      <c r="U21" s="9">
        <f>'User Interface'!$I$5/(L21*(M21^2))</f>
        <v>170.66666666666666</v>
      </c>
      <c r="V21" s="2">
        <v>0.16</v>
      </c>
      <c r="W21" s="1">
        <f>IF('User Interface'!$N$5 &gt; V21,0.56,1)</f>
        <v>1</v>
      </c>
      <c r="X21" s="8">
        <f>IF('User Interface'!$N$5&gt;V21,2.1,$AI$11)</f>
        <v>0</v>
      </c>
      <c r="Y21" s="2">
        <f>('User Interface'!$M$5*W21*'User Interface'!$H$5) + (X21*'User Interface'!$I$5)</f>
        <v>25</v>
      </c>
      <c r="Z21" s="1" t="b">
        <f t="shared" si="3"/>
        <v>0</v>
      </c>
    </row>
    <row r="22" spans="10:36" x14ac:dyDescent="0.55000000000000004">
      <c r="J22" s="1" t="s">
        <v>16</v>
      </c>
      <c r="K22" s="1">
        <v>0.375</v>
      </c>
      <c r="L22" s="1">
        <v>8</v>
      </c>
      <c r="M22" s="2">
        <v>6.25E-2</v>
      </c>
      <c r="N22" s="1">
        <v>76</v>
      </c>
      <c r="O22" s="1">
        <v>31</v>
      </c>
      <c r="P22" s="2">
        <f t="shared" si="1"/>
        <v>1.24</v>
      </c>
      <c r="Q22" s="18">
        <f t="shared" si="2"/>
        <v>28.094464000000002</v>
      </c>
      <c r="R22" s="9">
        <f>(10^6*Q22)/(60*'User Interface'!$J$5)</f>
        <v>1560.8035555555557</v>
      </c>
      <c r="S22" s="18">
        <f t="shared" si="0"/>
        <v>0.64898211840000009</v>
      </c>
      <c r="T22" s="9">
        <f>(10^6*S22)/(60*'User Interface'!$J$5)</f>
        <v>36.054562133333334</v>
      </c>
      <c r="U22" s="9">
        <f>'User Interface'!$I$5/(L22*(M22^2))</f>
        <v>96</v>
      </c>
      <c r="V22" s="2">
        <v>0.16</v>
      </c>
      <c r="W22" s="1">
        <f>IF('User Interface'!$N$5 &gt; V22,0.56,1)</f>
        <v>1</v>
      </c>
      <c r="X22" s="8">
        <f>IF('User Interface'!$N$5&gt;V22,2.1,$AI$11)</f>
        <v>0</v>
      </c>
      <c r="Y22" s="2">
        <f>('User Interface'!$M$5*W22*'User Interface'!$H$5) + (X22*'User Interface'!$I$5)</f>
        <v>25</v>
      </c>
      <c r="Z22" s="1" t="b">
        <f t="shared" si="3"/>
        <v>1</v>
      </c>
    </row>
    <row r="23" spans="10:36" x14ac:dyDescent="0.55000000000000004">
      <c r="J23" s="1" t="s">
        <v>7</v>
      </c>
      <c r="K23" s="1">
        <v>0.5</v>
      </c>
      <c r="L23" s="1">
        <v>7</v>
      </c>
      <c r="M23" s="2">
        <v>9.375E-2</v>
      </c>
      <c r="N23" s="1">
        <v>140</v>
      </c>
      <c r="O23" s="1">
        <v>59</v>
      </c>
      <c r="P23" s="2">
        <f t="shared" si="1"/>
        <v>2.36</v>
      </c>
      <c r="Q23" s="18">
        <f t="shared" si="2"/>
        <v>175.61599999999996</v>
      </c>
      <c r="R23" s="9">
        <f>(10^6*Q23)/(60*'User Interface'!$J$5)</f>
        <v>9756.4444444444434</v>
      </c>
      <c r="S23" s="18">
        <f t="shared" si="0"/>
        <v>4.0567295999999988</v>
      </c>
      <c r="T23" s="9">
        <f>(10^6*S23)/(60*'User Interface'!$J$5)</f>
        <v>225.3738666666666</v>
      </c>
      <c r="U23" s="9">
        <f>'User Interface'!$I$5/(L23*(M23^2))</f>
        <v>48.761904761904759</v>
      </c>
      <c r="V23" s="2">
        <v>0.16</v>
      </c>
      <c r="W23" s="1">
        <f>IF('User Interface'!$N$5 &gt; V23,0.56,1)</f>
        <v>1</v>
      </c>
      <c r="X23" s="8">
        <f>IF('User Interface'!$N$5&gt;V23,2.1,$AI$11)</f>
        <v>0</v>
      </c>
      <c r="Y23" s="2">
        <f>('User Interface'!$M$5*W23*'User Interface'!$H$5) + (X23*'User Interface'!$I$5)</f>
        <v>25</v>
      </c>
      <c r="Z23" s="1" t="b">
        <f t="shared" si="3"/>
        <v>1</v>
      </c>
    </row>
    <row r="24" spans="10:36" x14ac:dyDescent="0.55000000000000004">
      <c r="J24" s="1" t="s">
        <v>17</v>
      </c>
      <c r="K24" s="1">
        <v>0.375</v>
      </c>
      <c r="L24" s="1">
        <v>13</v>
      </c>
      <c r="M24" s="2">
        <v>3.9399999999999998E-2</v>
      </c>
      <c r="N24" s="1">
        <v>43</v>
      </c>
      <c r="O24" s="1">
        <v>21</v>
      </c>
      <c r="P24" s="2">
        <f t="shared" si="1"/>
        <v>0.84</v>
      </c>
      <c r="Q24" s="18">
        <f t="shared" si="2"/>
        <v>5.0884479999999996</v>
      </c>
      <c r="R24" s="9">
        <f>(10^6*Q24)/(60*'User Interface'!$J$5)</f>
        <v>282.69155555555557</v>
      </c>
      <c r="S24" s="18">
        <f t="shared" si="0"/>
        <v>0.11754314879999998</v>
      </c>
      <c r="T24" s="9">
        <f>(10^6*S24)/(60*'User Interface'!$J$5)</f>
        <v>6.5301749333333321</v>
      </c>
      <c r="U24" s="9">
        <f>'User Interface'!$I$5/(L24*(M24^2))</f>
        <v>148.6570323695733</v>
      </c>
      <c r="V24" s="2">
        <v>0.16</v>
      </c>
      <c r="W24" s="1">
        <f>IF('User Interface'!$N$5 &gt; V24,0.56,1)</f>
        <v>1</v>
      </c>
      <c r="X24" s="8">
        <f>IF('User Interface'!$N$5&gt;V24,2.1,$AI$11)</f>
        <v>0</v>
      </c>
      <c r="Y24" s="2">
        <f>('User Interface'!$M$5*W24*'User Interface'!$H$5) + (X24*'User Interface'!$I$5)</f>
        <v>25</v>
      </c>
      <c r="Z24" s="1" t="b">
        <f t="shared" si="3"/>
        <v>0</v>
      </c>
    </row>
    <row r="25" spans="10:36" x14ac:dyDescent="0.55000000000000004">
      <c r="J25" s="1" t="s">
        <v>18</v>
      </c>
      <c r="K25" s="1">
        <v>0.5</v>
      </c>
      <c r="L25" s="1">
        <v>10</v>
      </c>
      <c r="M25" s="2">
        <v>6.25E-2</v>
      </c>
      <c r="N25" s="1">
        <v>88</v>
      </c>
      <c r="O25" s="1">
        <v>40</v>
      </c>
      <c r="P25" s="2">
        <f t="shared" si="1"/>
        <v>1.6</v>
      </c>
      <c r="Q25" s="18">
        <f t="shared" si="2"/>
        <v>43.614207999999998</v>
      </c>
      <c r="R25" s="9">
        <f>(10^6*Q25)/(60*'User Interface'!$J$5)</f>
        <v>2423.0115555555553</v>
      </c>
      <c r="S25" s="18">
        <f t="shared" si="0"/>
        <v>1.0074882047999998</v>
      </c>
      <c r="T25" s="9">
        <f>(10^6*S25)/(60*'User Interface'!$J$5)</f>
        <v>55.971566933333321</v>
      </c>
      <c r="U25" s="9">
        <f>'User Interface'!$I$5/(L25*(M25^2))</f>
        <v>76.8</v>
      </c>
      <c r="V25" s="2">
        <v>0.16</v>
      </c>
      <c r="W25" s="1">
        <f>IF('User Interface'!$N$5 &gt; V25,0.56,1)</f>
        <v>1</v>
      </c>
      <c r="X25" s="8">
        <f>IF('User Interface'!$N$5&gt;V25,2.1,$AI$11)</f>
        <v>0</v>
      </c>
      <c r="Y25" s="2">
        <f>('User Interface'!$M$5*W25*'User Interface'!$H$5) + (X25*'User Interface'!$I$5)</f>
        <v>25</v>
      </c>
      <c r="Z25" s="1" t="b">
        <f t="shared" si="3"/>
        <v>1</v>
      </c>
    </row>
    <row r="26" spans="10:36" x14ac:dyDescent="0.55000000000000004">
      <c r="J26" s="1" t="s">
        <v>8</v>
      </c>
      <c r="K26" s="1">
        <v>0.625</v>
      </c>
      <c r="L26" s="1">
        <v>8</v>
      </c>
      <c r="M26" s="2">
        <v>9.375E-2</v>
      </c>
      <c r="N26" s="1">
        <v>159</v>
      </c>
      <c r="O26" s="1">
        <v>70</v>
      </c>
      <c r="P26" s="2">
        <f t="shared" si="1"/>
        <v>2.8</v>
      </c>
      <c r="Q26" s="18">
        <f t="shared" si="2"/>
        <v>257.25945600000006</v>
      </c>
      <c r="R26" s="9">
        <f>(10^6*Q26)/(60*'User Interface'!$J$5)</f>
        <v>14292.192000000003</v>
      </c>
      <c r="S26" s="18">
        <f t="shared" si="0"/>
        <v>5.9426934336000015</v>
      </c>
      <c r="T26" s="9">
        <f>(10^6*S26)/(60*'User Interface'!$J$5)</f>
        <v>330.14963520000003</v>
      </c>
      <c r="U26" s="9">
        <f>'User Interface'!$I$5/(L26*(M26^2))</f>
        <v>42.666666666666664</v>
      </c>
      <c r="V26" s="2">
        <v>0.16</v>
      </c>
      <c r="W26" s="1">
        <f>IF('User Interface'!$N$5 &gt; V26,0.56,1)</f>
        <v>1</v>
      </c>
      <c r="X26" s="8">
        <f>IF('User Interface'!$N$5&gt;V26,2.1,$AI$11)</f>
        <v>0</v>
      </c>
      <c r="Y26" s="2">
        <f>('User Interface'!$M$5*W26*'User Interface'!$H$5) + (X26*'User Interface'!$I$5)</f>
        <v>25</v>
      </c>
      <c r="Z26" s="1" t="b">
        <f t="shared" si="3"/>
        <v>1</v>
      </c>
    </row>
    <row r="27" spans="10:36" x14ac:dyDescent="0.55000000000000004">
      <c r="J27" s="1" t="s">
        <v>19</v>
      </c>
      <c r="K27" s="1">
        <v>0.5</v>
      </c>
      <c r="L27" s="1">
        <v>11</v>
      </c>
      <c r="M27" s="2">
        <v>6.25E-2</v>
      </c>
      <c r="N27" s="1">
        <v>93</v>
      </c>
      <c r="O27" s="1">
        <v>43</v>
      </c>
      <c r="P27" s="2">
        <f t="shared" si="1"/>
        <v>1.72</v>
      </c>
      <c r="Q27" s="18">
        <f t="shared" si="2"/>
        <v>51.478848000000006</v>
      </c>
      <c r="R27" s="9">
        <f>(10^6*Q27)/(60*'User Interface'!$J$5)</f>
        <v>2859.9360000000006</v>
      </c>
      <c r="S27" s="18">
        <f t="shared" si="0"/>
        <v>1.1891613888000001</v>
      </c>
      <c r="T27" s="9">
        <f>(10^6*S27)/(60*'User Interface'!$J$5)</f>
        <v>66.064521600000006</v>
      </c>
      <c r="U27" s="9">
        <f>'User Interface'!$I$5/(L27*(M27^2))</f>
        <v>69.818181818181813</v>
      </c>
      <c r="V27" s="2">
        <v>0.16</v>
      </c>
      <c r="W27" s="1">
        <f>IF('User Interface'!$N$5 &gt; V27,0.56,1)</f>
        <v>1</v>
      </c>
      <c r="X27" s="8">
        <f>IF('User Interface'!$N$5&gt;V27,2.1,$AI$11)</f>
        <v>0</v>
      </c>
      <c r="Y27" s="2">
        <f>('User Interface'!$M$5*W27*'User Interface'!$H$5) + (X27*'User Interface'!$I$5)</f>
        <v>25</v>
      </c>
      <c r="Z27" s="1" t="b">
        <f t="shared" si="3"/>
        <v>1</v>
      </c>
    </row>
    <row r="28" spans="10:36" x14ac:dyDescent="0.55000000000000004">
      <c r="J28" s="1" t="s">
        <v>20</v>
      </c>
      <c r="K28" s="1">
        <v>0.875</v>
      </c>
      <c r="L28" s="1">
        <v>7</v>
      </c>
      <c r="M28" s="2">
        <v>0.15625</v>
      </c>
      <c r="N28" s="1">
        <v>569</v>
      </c>
      <c r="O28" s="1">
        <v>273</v>
      </c>
      <c r="P28" s="2">
        <f ca="1">O28/Y28</f>
        <v>10.92</v>
      </c>
      <c r="Q28" s="18">
        <f ca="1">(N28/Y28)^3</f>
        <v>11790.080576</v>
      </c>
      <c r="R28" s="9">
        <f ca="1">(10^6*Q28)/(60*'User Interface'!$J$5)</f>
        <v>655004.47644444439</v>
      </c>
      <c r="S28" s="18">
        <f ca="1">Q28*0.21*0.11*1</f>
        <v>272.35086130560001</v>
      </c>
      <c r="T28" s="9">
        <f ca="1">(10^6*S28)/(60*'User Interface'!$J$5)</f>
        <v>15130.603405866666</v>
      </c>
      <c r="U28" s="9">
        <f>'User Interface'!$I$5/(L28*(M28^2))</f>
        <v>17.554285714285715</v>
      </c>
      <c r="V28" s="2">
        <f ca="1">FORECAST(U28, OFFSET($AJ$11:$AJ$20, MATCH(U28,$AC$11:$AC$20,1)-1,0,2), OFFSET($AC$11:$AC$20, MATCH(U28,$AC$11:$AC$20,1)-1,0,2))</f>
        <v>0.18106514285714284</v>
      </c>
      <c r="W28" s="1">
        <f ca="1">IF('User Interface'!$N$5 &gt; V28,0.56,1)</f>
        <v>1</v>
      </c>
      <c r="X28" s="8">
        <f ca="1">IF('User Interface'!$N$5&gt;V6,FORECAST(V28, OFFSET($AG$11:$AG$20, MATCH(V28,$AJ$11:$AJ$20,1)-1,0,2), OFFSET($AJ$11:$AJ$20,MATCH(V28,$AJ$11:$AJ$20,1)-1,0,2)),0)</f>
        <v>0</v>
      </c>
      <c r="Y28" s="2">
        <f ca="1">('User Interface'!$M$5*W28*'User Interface'!$H$5) + (X28*'User Interface'!$I$5)</f>
        <v>25</v>
      </c>
      <c r="Z28" s="1" t="b">
        <f ca="1">AND(P28&gt;1,U28&lt;1000,T28&gt;0.49)</f>
        <v>1</v>
      </c>
    </row>
    <row r="29" spans="10:36" x14ac:dyDescent="0.55000000000000004">
      <c r="J29" s="1" t="s">
        <v>21</v>
      </c>
      <c r="K29" s="1">
        <v>1.125</v>
      </c>
      <c r="L29" s="1">
        <v>9</v>
      </c>
      <c r="M29" s="2">
        <v>0.15625</v>
      </c>
      <c r="N29" s="1">
        <v>684</v>
      </c>
      <c r="O29" s="1">
        <v>344</v>
      </c>
      <c r="P29" s="2">
        <f ca="1">O29/Y29</f>
        <v>13.76</v>
      </c>
      <c r="Q29" s="18">
        <f ca="1">(N29/Y29)^3</f>
        <v>20480.864255999997</v>
      </c>
      <c r="R29" s="9">
        <f ca="1">(10^6*Q29)/(60*'User Interface'!$J$5)</f>
        <v>1137825.7919999999</v>
      </c>
      <c r="S29" s="18">
        <f ca="1">Q29*0.21*0.11*1</f>
        <v>473.10796431359995</v>
      </c>
      <c r="T29" s="9">
        <f ca="1">(10^6*S29)/(60*'User Interface'!$J$5)</f>
        <v>26283.775795199996</v>
      </c>
      <c r="U29" s="9">
        <f>'User Interface'!$I$5/(L29*(M29^2))</f>
        <v>13.653333333333334</v>
      </c>
      <c r="V29" s="2">
        <f ca="1">FORECAST(U29, OFFSET($AJ$11:$AJ$20, MATCH(U29,$AC$11:$AC$20,1)-1,0,2), OFFSET($AC$11:$AC$20, MATCH(U29,$AC$11:$AC$20,1)-1,0,2))</f>
        <v>0.17638399999999999</v>
      </c>
      <c r="W29" s="1">
        <f ca="1">IF('User Interface'!$N$5 &gt; V29,0.56,1)</f>
        <v>1</v>
      </c>
      <c r="X29" s="8">
        <f ca="1">IF('User Interface'!$N$5&gt;V7,FORECAST(V29, OFFSET($AG$11:$AG$20, MATCH(V29,$AJ$11:$AJ$20,1)-1,0,2), OFFSET($AJ$11:$AJ$20,MATCH(V29,$AJ$11:$AJ$20,1)-1,0,2)),0)</f>
        <v>0</v>
      </c>
      <c r="Y29" s="2">
        <f ca="1">('User Interface'!$M$5*W29*'User Interface'!$H$5) + (X29*'User Interface'!$I$5)</f>
        <v>25</v>
      </c>
      <c r="Z29" s="1" t="b">
        <f ca="1">AND(P29&gt;1,U29&lt;1000,T29&gt;0.49)</f>
        <v>1</v>
      </c>
    </row>
    <row r="31" spans="10:36" ht="46.8" customHeight="1" x14ac:dyDescent="0.55000000000000004"/>
    <row r="33" ht="21" customHeight="1" x14ac:dyDescent="0.55000000000000004"/>
  </sheetData>
  <mergeCells count="28">
    <mergeCell ref="J4:J5"/>
    <mergeCell ref="K4:K5"/>
    <mergeCell ref="N4:O4"/>
    <mergeCell ref="L4:M4"/>
    <mergeCell ref="AC9:AC10"/>
    <mergeCell ref="P4:P5"/>
    <mergeCell ref="Q4:Q5"/>
    <mergeCell ref="R4:R5"/>
    <mergeCell ref="Z4:Z5"/>
    <mergeCell ref="W4:W5"/>
    <mergeCell ref="S4:S5"/>
    <mergeCell ref="T4:T5"/>
    <mergeCell ref="U4:U5"/>
    <mergeCell ref="V4:V5"/>
    <mergeCell ref="AH9:AI9"/>
    <mergeCell ref="AH11:AH20"/>
    <mergeCell ref="AI11:AI20"/>
    <mergeCell ref="AB8:AJ8"/>
    <mergeCell ref="X4:X5"/>
    <mergeCell ref="Y4:Y5"/>
    <mergeCell ref="AJ9:AJ10"/>
    <mergeCell ref="AB9:AB10"/>
    <mergeCell ref="AB11:AB20"/>
    <mergeCell ref="AF9:AG9"/>
    <mergeCell ref="AD11:AD20"/>
    <mergeCell ref="AE11:AE20"/>
    <mergeCell ref="AF11:AF20"/>
    <mergeCell ref="AD9:AE9"/>
  </mergeCells>
  <conditionalFormatting sqref="K6:K29">
    <cfRule type="cellIs" priority="3" operator="greaterThanOrEqual">
      <formula>0.625</formula>
    </cfRule>
  </conditionalFormatting>
  <conditionalFormatting sqref="P6:P29">
    <cfRule type="cellIs" dxfId="1" priority="2" operator="lessThan">
      <formula>1</formula>
    </cfRule>
  </conditionalFormatting>
  <conditionalFormatting sqref="U6:U29">
    <cfRule type="cellIs" dxfId="0" priority="1" operator="greaterThan">
      <formula>1000</formula>
    </cfRule>
  </conditionalFormatting>
  <pageMargins left="0.7" right="0.7" top="0.75" bottom="0.75" header="0.3" footer="0.3"/>
  <pageSetup orientation="portrait" r:id="rId1"/>
  <ignoredErrors>
    <ignoredError sqref="S6:S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Interface</vt:lpstr>
      <vt:lpstr>Working Catalog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</dc:creator>
  <cp:lastModifiedBy>Suraj</cp:lastModifiedBy>
  <dcterms:created xsi:type="dcterms:W3CDTF">2018-01-06T19:56:36Z</dcterms:created>
  <dcterms:modified xsi:type="dcterms:W3CDTF">2018-01-07T06:48:47Z</dcterms:modified>
</cp:coreProperties>
</file>