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Elastic Run\Certificate\Growth Prod Man\Copy of [Blank Template] Retention Analysis_Activation Analysis\"/>
    </mc:Choice>
  </mc:AlternateContent>
  <xr:revisionPtr revIDLastSave="0" documentId="13_ncr:1_{5311B7A6-F35A-499B-AEB6-DD50862A962B}" xr6:coauthVersionLast="47" xr6:coauthVersionMax="47" xr10:uidLastSave="{00000000-0000-0000-0000-000000000000}"/>
  <bookViews>
    <workbookView xWindow="-110" yWindow="-110" windowWidth="19420" windowHeight="10420" tabRatio="978" firstSheet="4" activeTab="8" xr2:uid="{00000000-000D-0000-FFFF-FFFF00000000}"/>
  </bookViews>
  <sheets>
    <sheet name="Deliverables" sheetId="1" r:id="rId1"/>
    <sheet name="Tab 1 - Measure drop-offs" sheetId="2" r:id="rId2"/>
    <sheet name="Tab 2 - Signup Experiments" sheetId="3" r:id="rId3"/>
    <sheet name="Tab 3 - Activation Hypothesis" sheetId="4" r:id="rId4"/>
    <sheet name="Tab 4 - Habit Moment and Metric" sheetId="5" r:id="rId5"/>
    <sheet name="Tab 5 - Aha Moment and Metric A" sheetId="6" r:id="rId6"/>
    <sheet name="Tab 6 - Setup Moment and Metric" sheetId="7" r:id="rId7"/>
    <sheet name="Tab 7 - Activation Funnel" sheetId="8" r:id="rId8"/>
    <sheet name="Tab 8 - Segment Analys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9" i="9" l="1"/>
  <c r="F89" i="9" s="1"/>
  <c r="E89" i="9"/>
  <c r="C89" i="9"/>
  <c r="D89" i="9" s="1"/>
  <c r="B89" i="9"/>
  <c r="H89" i="9" s="1"/>
  <c r="I89" i="9" s="1"/>
  <c r="H88" i="9"/>
  <c r="I88" i="9" s="1"/>
  <c r="F88" i="9"/>
  <c r="D88" i="9"/>
  <c r="H87" i="9"/>
  <c r="I87" i="9" s="1"/>
  <c r="F87" i="9"/>
  <c r="D87" i="9"/>
  <c r="H86" i="9"/>
  <c r="I86" i="9" s="1"/>
  <c r="F86" i="9"/>
  <c r="D86" i="9"/>
  <c r="H85" i="9"/>
  <c r="I85" i="9" s="1"/>
  <c r="F85" i="9"/>
  <c r="D85" i="9"/>
  <c r="H84" i="9"/>
  <c r="I84" i="9" s="1"/>
  <c r="F84" i="9"/>
  <c r="D84" i="9"/>
  <c r="B83" i="9"/>
  <c r="H70" i="9"/>
  <c r="I70" i="9" s="1"/>
  <c r="G70" i="9"/>
  <c r="F70" i="9" s="1"/>
  <c r="E70" i="9"/>
  <c r="D70" i="9" s="1"/>
  <c r="C70" i="9"/>
  <c r="B70" i="9"/>
  <c r="H69" i="9"/>
  <c r="I69" i="9" s="1"/>
  <c r="F69" i="9"/>
  <c r="D69" i="9"/>
  <c r="H68" i="9"/>
  <c r="I68" i="9" s="1"/>
  <c r="F68" i="9"/>
  <c r="D68" i="9"/>
  <c r="H67" i="9"/>
  <c r="I67" i="9" s="1"/>
  <c r="F67" i="9"/>
  <c r="D67" i="9"/>
  <c r="H66" i="9"/>
  <c r="I66" i="9" s="1"/>
  <c r="F66" i="9"/>
  <c r="D66" i="9"/>
  <c r="H65" i="9"/>
  <c r="I65" i="9" s="1"/>
  <c r="F65" i="9"/>
  <c r="D65" i="9"/>
  <c r="H64" i="9"/>
  <c r="I64" i="9" s="1"/>
  <c r="F64" i="9"/>
  <c r="D64" i="9"/>
  <c r="H63" i="9"/>
  <c r="I63" i="9" s="1"/>
  <c r="F63" i="9"/>
  <c r="D63" i="9"/>
  <c r="B62" i="9"/>
  <c r="G49" i="9"/>
  <c r="E49" i="9"/>
  <c r="F49" i="9" s="1"/>
  <c r="C49" i="9"/>
  <c r="B49" i="9"/>
  <c r="H49" i="9" s="1"/>
  <c r="I49" i="9" s="1"/>
  <c r="H48" i="9"/>
  <c r="I48" i="9" s="1"/>
  <c r="F48" i="9"/>
  <c r="D48" i="9"/>
  <c r="I47" i="9"/>
  <c r="H47" i="9"/>
  <c r="F47" i="9"/>
  <c r="D47" i="9"/>
  <c r="H46" i="9"/>
  <c r="I46" i="9" s="1"/>
  <c r="F46" i="9"/>
  <c r="D46" i="9"/>
  <c r="I45" i="9"/>
  <c r="H45" i="9"/>
  <c r="F45" i="9"/>
  <c r="D45" i="9"/>
  <c r="H44" i="9"/>
  <c r="I44" i="9" s="1"/>
  <c r="F44" i="9"/>
  <c r="D44" i="9"/>
  <c r="I43" i="9"/>
  <c r="H43" i="9"/>
  <c r="F43" i="9"/>
  <c r="D43" i="9"/>
  <c r="H42" i="9"/>
  <c r="I42" i="9" s="1"/>
  <c r="F42" i="9"/>
  <c r="D42" i="9"/>
  <c r="I41" i="9"/>
  <c r="H41" i="9"/>
  <c r="F41" i="9"/>
  <c r="D41" i="9"/>
  <c r="B40" i="9"/>
  <c r="G27" i="9"/>
  <c r="F27" i="9"/>
  <c r="E27" i="9"/>
  <c r="D27" i="9" s="1"/>
  <c r="C27" i="9"/>
  <c r="F26" i="9"/>
  <c r="D26" i="9"/>
  <c r="B26" i="9"/>
  <c r="H26" i="9" s="1"/>
  <c r="I26" i="9" s="1"/>
  <c r="F25" i="9"/>
  <c r="D25" i="9"/>
  <c r="B25" i="9"/>
  <c r="H25" i="9" s="1"/>
  <c r="I25" i="9" s="1"/>
  <c r="H24" i="9"/>
  <c r="I24" i="9" s="1"/>
  <c r="F24" i="9"/>
  <c r="D24" i="9"/>
  <c r="B24" i="9"/>
  <c r="F23" i="9"/>
  <c r="D23" i="9"/>
  <c r="B23" i="9"/>
  <c r="H23" i="9" s="1"/>
  <c r="I23" i="9" s="1"/>
  <c r="F22" i="9"/>
  <c r="D22" i="9"/>
  <c r="B22" i="9"/>
  <c r="H22" i="9" s="1"/>
  <c r="I22" i="9" s="1"/>
  <c r="H21" i="9"/>
  <c r="I21" i="9" s="1"/>
  <c r="F21" i="9"/>
  <c r="D21" i="9"/>
  <c r="B21" i="9"/>
  <c r="F20" i="9"/>
  <c r="D20" i="9"/>
  <c r="B20" i="9"/>
  <c r="H20" i="9" s="1"/>
  <c r="I20" i="9" s="1"/>
  <c r="B19" i="9"/>
  <c r="B27" i="9" s="1"/>
  <c r="H27" i="9" s="1"/>
  <c r="I27" i="9" s="1"/>
  <c r="D19" i="8"/>
  <c r="D18" i="8"/>
  <c r="D17" i="8"/>
  <c r="D16" i="8"/>
  <c r="B16" i="8"/>
  <c r="A16" i="8"/>
  <c r="D15" i="8"/>
  <c r="D14" i="8"/>
  <c r="B14" i="8"/>
  <c r="A14" i="8"/>
  <c r="D13" i="8"/>
  <c r="D12" i="8"/>
  <c r="B12" i="8"/>
  <c r="A12" i="8"/>
  <c r="D11" i="8"/>
  <c r="D10" i="8"/>
  <c r="D9" i="8"/>
  <c r="D8" i="8"/>
  <c r="D7" i="8"/>
  <c r="D6" i="8"/>
  <c r="D5" i="8"/>
  <c r="D4" i="8"/>
  <c r="D3" i="8"/>
  <c r="D2" i="8"/>
  <c r="D46" i="7"/>
  <c r="B46" i="7"/>
  <c r="E46" i="7" s="1"/>
  <c r="D45" i="7"/>
  <c r="B45" i="7"/>
  <c r="E45" i="7" s="1"/>
  <c r="D44" i="7"/>
  <c r="B44" i="7"/>
  <c r="E44" i="7" s="1"/>
  <c r="D43" i="7"/>
  <c r="B43" i="7"/>
  <c r="E43" i="7" s="1"/>
  <c r="D42" i="7"/>
  <c r="B42" i="7"/>
  <c r="E42" i="7" s="1"/>
  <c r="D41" i="7"/>
  <c r="B41" i="7"/>
  <c r="E41" i="7" s="1"/>
  <c r="D40" i="7"/>
  <c r="C40" i="7"/>
  <c r="B40" i="7"/>
  <c r="E40" i="7" s="1"/>
  <c r="E34" i="7"/>
  <c r="F34" i="7" s="1"/>
  <c r="D33" i="7"/>
  <c r="C33" i="7"/>
  <c r="E33" i="7" s="1"/>
  <c r="F33" i="7" s="1"/>
  <c r="D32" i="7"/>
  <c r="C32" i="7"/>
  <c r="E32" i="7" s="1"/>
  <c r="F32" i="7" s="1"/>
  <c r="D31" i="7"/>
  <c r="C31" i="7"/>
  <c r="E31" i="7" s="1"/>
  <c r="F31" i="7" s="1"/>
  <c r="D30" i="7"/>
  <c r="C30" i="7"/>
  <c r="E30" i="7" s="1"/>
  <c r="F30" i="7" s="1"/>
  <c r="D29" i="7"/>
  <c r="C29" i="7"/>
  <c r="B29" i="7"/>
  <c r="E29" i="7" s="1"/>
  <c r="F29" i="7" s="1"/>
  <c r="B28" i="7"/>
  <c r="E28" i="7" s="1"/>
  <c r="F28" i="7" s="1"/>
  <c r="D22" i="7"/>
  <c r="C22" i="7"/>
  <c r="B22" i="7"/>
  <c r="E22" i="7" s="1"/>
  <c r="F22" i="7" s="1"/>
  <c r="D21" i="7"/>
  <c r="C21" i="7"/>
  <c r="B21" i="7"/>
  <c r="E21" i="7" s="1"/>
  <c r="D20" i="7"/>
  <c r="C20" i="7"/>
  <c r="E20" i="7" s="1"/>
  <c r="B20" i="7"/>
  <c r="E19" i="7"/>
  <c r="F19" i="7" s="1"/>
  <c r="D19" i="7"/>
  <c r="C19" i="7"/>
  <c r="B19" i="7"/>
  <c r="D18" i="7"/>
  <c r="C18" i="7"/>
  <c r="B18" i="7"/>
  <c r="E18" i="7" s="1"/>
  <c r="F18" i="7" s="1"/>
  <c r="D17" i="7"/>
  <c r="C17" i="7"/>
  <c r="B17" i="7"/>
  <c r="E17" i="7" s="1"/>
  <c r="D16" i="7"/>
  <c r="C16" i="7"/>
  <c r="B16" i="7"/>
  <c r="E16" i="7" s="1"/>
  <c r="D47" i="6"/>
  <c r="C47" i="6"/>
  <c r="E47" i="6" s="1"/>
  <c r="B47" i="6"/>
  <c r="E46" i="6"/>
  <c r="F46" i="6" s="1"/>
  <c r="D46" i="6"/>
  <c r="C46" i="6"/>
  <c r="B46" i="6"/>
  <c r="D45" i="6"/>
  <c r="C45" i="6"/>
  <c r="B45" i="6"/>
  <c r="E45" i="6" s="1"/>
  <c r="F45" i="6" s="1"/>
  <c r="D44" i="6"/>
  <c r="F44" i="6" s="1"/>
  <c r="C44" i="6"/>
  <c r="B44" i="6"/>
  <c r="E44" i="6" s="1"/>
  <c r="E43" i="6"/>
  <c r="D43" i="6"/>
  <c r="F43" i="6" s="1"/>
  <c r="C43" i="6"/>
  <c r="B43" i="6"/>
  <c r="D42" i="6"/>
  <c r="F42" i="6" s="1"/>
  <c r="C42" i="6"/>
  <c r="B42" i="6"/>
  <c r="E42" i="6" s="1"/>
  <c r="D41" i="6"/>
  <c r="C41" i="6"/>
  <c r="B41" i="6"/>
  <c r="E41" i="6" s="1"/>
  <c r="F41" i="6" s="1"/>
  <c r="D35" i="6"/>
  <c r="C35" i="6"/>
  <c r="B35" i="6"/>
  <c r="E35" i="6" s="1"/>
  <c r="D34" i="6"/>
  <c r="F34" i="6" s="1"/>
  <c r="C34" i="6"/>
  <c r="E34" i="6" s="1"/>
  <c r="B34" i="6"/>
  <c r="E33" i="6"/>
  <c r="F33" i="6" s="1"/>
  <c r="D33" i="6"/>
  <c r="C33" i="6"/>
  <c r="B33" i="6"/>
  <c r="D32" i="6"/>
  <c r="C32" i="6"/>
  <c r="B32" i="6"/>
  <c r="E32" i="6" s="1"/>
  <c r="F32" i="6" s="1"/>
  <c r="D31" i="6"/>
  <c r="F31" i="6" s="1"/>
  <c r="C31" i="6"/>
  <c r="B31" i="6"/>
  <c r="E31" i="6" s="1"/>
  <c r="E30" i="6"/>
  <c r="D30" i="6"/>
  <c r="F30" i="6" s="1"/>
  <c r="C30" i="6"/>
  <c r="B30" i="6"/>
  <c r="B29" i="6"/>
  <c r="E29" i="6" s="1"/>
  <c r="F29" i="6" s="1"/>
  <c r="E23" i="6"/>
  <c r="D23" i="6"/>
  <c r="F23" i="6" s="1"/>
  <c r="E22" i="6"/>
  <c r="D22" i="6"/>
  <c r="F22" i="6" s="1"/>
  <c r="E21" i="6"/>
  <c r="F21" i="6" s="1"/>
  <c r="D21" i="6"/>
  <c r="E20" i="6"/>
  <c r="F20" i="6" s="1"/>
  <c r="D20" i="6"/>
  <c r="B20" i="6"/>
  <c r="E19" i="6"/>
  <c r="D19" i="6"/>
  <c r="F19" i="6" s="1"/>
  <c r="B19" i="6"/>
  <c r="E18" i="6"/>
  <c r="F18" i="6" s="1"/>
  <c r="D18" i="6"/>
  <c r="B18" i="6"/>
  <c r="D17" i="6"/>
  <c r="C17" i="6"/>
  <c r="E17" i="6" s="1"/>
  <c r="B17" i="6"/>
  <c r="E48" i="5"/>
  <c r="F48" i="5" s="1"/>
  <c r="B48" i="5"/>
  <c r="E47" i="5"/>
  <c r="F47" i="5" s="1"/>
  <c r="B47" i="5"/>
  <c r="B46" i="5"/>
  <c r="E46" i="5" s="1"/>
  <c r="F46" i="5" s="1"/>
  <c r="B45" i="5"/>
  <c r="E45" i="5" s="1"/>
  <c r="F45" i="5" s="1"/>
  <c r="B44" i="5"/>
  <c r="E44" i="5" s="1"/>
  <c r="F44" i="5" s="1"/>
  <c r="B43" i="5"/>
  <c r="E43" i="5" s="1"/>
  <c r="F43" i="5" s="1"/>
  <c r="B42" i="5"/>
  <c r="E42" i="5" s="1"/>
  <c r="F42" i="5" s="1"/>
  <c r="D36" i="5"/>
  <c r="C36" i="5"/>
  <c r="B36" i="5"/>
  <c r="E36" i="5" s="1"/>
  <c r="F36" i="5" s="1"/>
  <c r="D35" i="5"/>
  <c r="C35" i="5"/>
  <c r="B35" i="5"/>
  <c r="E35" i="5" s="1"/>
  <c r="E34" i="5"/>
  <c r="D34" i="5"/>
  <c r="F34" i="5" s="1"/>
  <c r="C34" i="5"/>
  <c r="B34" i="5"/>
  <c r="D33" i="5"/>
  <c r="F33" i="5" s="1"/>
  <c r="C33" i="5"/>
  <c r="B33" i="5"/>
  <c r="E33" i="5" s="1"/>
  <c r="D32" i="5"/>
  <c r="C32" i="5"/>
  <c r="B32" i="5"/>
  <c r="E32" i="5" s="1"/>
  <c r="F32" i="5" s="1"/>
  <c r="D31" i="5"/>
  <c r="C31" i="5"/>
  <c r="B31" i="5"/>
  <c r="E31" i="5" s="1"/>
  <c r="D30" i="5"/>
  <c r="F30" i="5" s="1"/>
  <c r="C30" i="5"/>
  <c r="E30" i="5" s="1"/>
  <c r="B30" i="5"/>
  <c r="E24" i="5"/>
  <c r="F24" i="5" s="1"/>
  <c r="E23" i="5"/>
  <c r="F23" i="5" s="1"/>
  <c r="F22" i="5"/>
  <c r="E22" i="5"/>
  <c r="B21" i="5"/>
  <c r="E21" i="5" s="1"/>
  <c r="F21" i="5" s="1"/>
  <c r="B20" i="5"/>
  <c r="E20" i="5" s="1"/>
  <c r="F20" i="5" s="1"/>
  <c r="B19" i="5"/>
  <c r="E19" i="5" s="1"/>
  <c r="F19" i="5" s="1"/>
  <c r="D18" i="5"/>
  <c r="C18" i="5"/>
  <c r="B18" i="5"/>
  <c r="E18" i="5" s="1"/>
  <c r="A6" i="4"/>
  <c r="P19" i="3"/>
  <c r="H32" i="2"/>
  <c r="G32" i="2"/>
  <c r="C30" i="2"/>
  <c r="D29" i="2" s="1"/>
  <c r="E29" i="2" s="1"/>
  <c r="F29" i="2"/>
  <c r="C29" i="2"/>
  <c r="D28" i="2" s="1"/>
  <c r="E28" i="2" s="1"/>
  <c r="C28" i="2"/>
  <c r="D27" i="2" s="1"/>
  <c r="E27" i="2" s="1"/>
  <c r="F27" i="2"/>
  <c r="C27" i="2"/>
  <c r="D26" i="2" s="1"/>
  <c r="E26" i="2" s="1"/>
  <c r="C26" i="2"/>
  <c r="D25" i="2" s="1"/>
  <c r="E25" i="2" s="1"/>
  <c r="F25" i="2"/>
  <c r="C25" i="2"/>
  <c r="D24" i="2" s="1"/>
  <c r="E24" i="2" s="1"/>
  <c r="C24" i="2"/>
  <c r="D23" i="2" s="1"/>
  <c r="E23" i="2" s="1"/>
  <c r="F23" i="2"/>
  <c r="C23" i="2"/>
  <c r="D22" i="2" s="1"/>
  <c r="E22" i="2" s="1"/>
  <c r="C22" i="2"/>
  <c r="F22" i="2" s="1"/>
  <c r="E21" i="2"/>
  <c r="C21" i="2"/>
  <c r="A4" i="1"/>
  <c r="F42" i="7" l="1"/>
  <c r="F46" i="7"/>
  <c r="F47" i="6"/>
  <c r="F20" i="7"/>
  <c r="F41" i="7"/>
  <c r="F21" i="7"/>
  <c r="F32" i="2"/>
  <c r="F31" i="5"/>
  <c r="F43" i="7"/>
  <c r="F35" i="6"/>
  <c r="F45" i="7"/>
  <c r="F35" i="5"/>
  <c r="F17" i="7"/>
  <c r="F40" i="7"/>
  <c r="F44" i="7"/>
  <c r="B18" i="9"/>
  <c r="D49" i="9"/>
  <c r="F24" i="2"/>
  <c r="F26" i="2"/>
  <c r="F28" i="2"/>
</calcChain>
</file>

<file path=xl/sharedStrings.xml><?xml version="1.0" encoding="utf-8"?>
<sst xmlns="http://schemas.openxmlformats.org/spreadsheetml/2006/main" count="729" uniqueCount="472">
  <si>
    <t>Activation Analysis</t>
  </si>
  <si>
    <r>
      <rPr>
        <b/>
        <sz val="10"/>
        <color theme="1"/>
        <rFont val="Arial"/>
      </rPr>
      <t>Instructions:</t>
    </r>
    <r>
      <rPr>
        <sz val="10"/>
        <color theme="1"/>
        <rFont val="Arial"/>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</si>
  <si>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</si>
  <si>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</si>
  <si>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</si>
  <si>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</si>
  <si>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b/>
        <sz val="10"/>
        <color theme="1"/>
        <rFont val="Arial"/>
      </rPr>
      <t>Note:</t>
    </r>
    <r>
      <rPr>
        <sz val="10"/>
        <color theme="1"/>
        <rFont val="Arial"/>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</si>
  <si>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</si>
  <si>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</si>
  <si>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</si>
  <si>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</si>
  <si>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</si>
  <si>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</si>
  <si>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</si>
  <si>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</si>
  <si>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</si>
  <si>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</si>
  <si>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</si>
  <si>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</si>
  <si>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</si>
  <si>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</si>
  <si>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</si>
  <si>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</si>
  <si>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b/>
        <sz val="10"/>
        <color theme="1"/>
        <rFont val="Arial"/>
      </rPr>
      <t xml:space="preserve">Scenario: </t>
    </r>
    <r>
      <rPr>
        <sz val="10"/>
        <color theme="1"/>
        <rFont val="Arial"/>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</si>
  <si>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</si>
  <si>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</si>
  <si>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</si>
  <si>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</si>
  <si>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b/>
        <sz val="10"/>
        <color theme="1"/>
        <rFont val="Arial"/>
      </rPr>
      <t xml:space="preserve">Skill: </t>
    </r>
    <r>
      <rPr>
        <sz val="10"/>
        <color theme="1"/>
        <rFont val="Arial"/>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</si>
  <si>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b/>
        <sz val="10"/>
        <color theme="1"/>
        <rFont val="Arial"/>
      </rPr>
      <t xml:space="preserve">Instructions: </t>
    </r>
    <r>
      <rPr>
        <sz val="10"/>
        <color theme="1"/>
        <rFont val="Arial"/>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</si>
  <si>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b/>
        <sz val="10"/>
        <color theme="1"/>
        <rFont val="Arial"/>
      </rPr>
      <t xml:space="preserve">1. </t>
    </r>
    <r>
      <rPr>
        <sz val="10"/>
        <color theme="1"/>
        <rFont val="Arial"/>
      </rPr>
      <t>Take the Click Through # and calculate the fields on Column D, E, and F.</t>
    </r>
  </si>
  <si>
    <r>
      <rPr>
        <b/>
        <sz val="10"/>
        <color theme="1"/>
        <rFont val="Arial"/>
      </rPr>
      <t xml:space="preserve">2. </t>
    </r>
    <r>
      <rPr>
        <sz val="10"/>
        <color theme="1"/>
        <rFont val="Arial"/>
      </rPr>
      <t>Fill in the # of clicks and fields in Column G and H as you go through each step of the sign up flow.</t>
    </r>
  </si>
  <si>
    <t>3. In Column M and N, take the CTA directly from the sign-up flow and document the CTA and an explanation of the information that is being asked</t>
  </si>
  <si>
    <r>
      <rPr>
        <b/>
        <sz val="10"/>
        <color theme="1"/>
        <rFont val="Arial"/>
      </rPr>
      <t xml:space="preserve">4. </t>
    </r>
    <r>
      <rPr>
        <sz val="10"/>
        <color theme="1"/>
        <rFont val="Arial"/>
      </rPr>
      <t>In Column O explain your understanding of the value extracted from the information collected.</t>
    </r>
  </si>
  <si>
    <r>
      <rPr>
        <b/>
        <sz val="10"/>
        <color theme="1"/>
        <rFont val="Arial"/>
      </rPr>
      <t xml:space="preserve">5. </t>
    </r>
    <r>
      <rPr>
        <sz val="10"/>
        <color theme="1"/>
        <rFont val="Arial"/>
      </rPr>
      <t>In Column P, Q, and R, reply with a binary yes/no; If no, then explain your reasoning.</t>
    </r>
  </si>
  <si>
    <r>
      <rPr>
        <b/>
        <sz val="10"/>
        <color theme="1"/>
        <rFont val="Arial"/>
      </rPr>
      <t xml:space="preserve">6. </t>
    </r>
    <r>
      <rPr>
        <sz val="10"/>
        <color theme="1"/>
        <rFont val="Arial"/>
      </rPr>
      <t>Demonstrate your understanding of good and bad friction in Columns S to V by applying the concept of friction to this specific sign up flow.</t>
    </r>
  </si>
  <si>
    <r>
      <rPr>
        <b/>
        <sz val="10"/>
        <color theme="1"/>
        <rFont val="Arial"/>
      </rPr>
      <t xml:space="preserve">7. </t>
    </r>
    <r>
      <rPr>
        <sz val="10"/>
        <color theme="1"/>
        <rFont val="Arial"/>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</si>
  <si>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</si>
  <si>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</si>
  <si>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</si>
  <si>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</si>
  <si>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</si>
  <si>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</si>
  <si>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</si>
  <si>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</si>
  <si>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</si>
  <si>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</si>
  <si>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</si>
  <si>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</si>
  <si>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</si>
  <si>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</si>
  <si>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</si>
  <si>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</si>
  <si>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</si>
  <si>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</si>
  <si>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</si>
  <si>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</si>
  <si>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</si>
  <si>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</si>
  <si>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</si>
  <si>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</si>
  <si>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</si>
  <si>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</si>
  <si>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</si>
  <si>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</si>
  <si>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</si>
  <si>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b/>
        <sz val="10"/>
        <color theme="1"/>
        <rFont val="Arial"/>
      </rPr>
      <t xml:space="preserve">Drop-off % through funnel </t>
    </r>
    <r>
      <rPr>
        <sz val="10"/>
        <color theme="1"/>
        <rFont val="Arial"/>
      </rPr>
      <t>(starting signup)</t>
    </r>
  </si>
  <si>
    <r>
      <rPr>
        <b/>
        <sz val="10"/>
        <color theme="1"/>
        <rFont val="Arial"/>
      </rPr>
      <t>How many total clicks to get to next step?</t>
    </r>
    <r>
      <rPr>
        <sz val="10"/>
        <color theme="1"/>
        <rFont val="Arial"/>
      </rPr>
      <t xml:space="preserve"> (including optional fields)</t>
    </r>
  </si>
  <si>
    <r>
      <rPr>
        <b/>
        <sz val="10"/>
        <color theme="1"/>
        <rFont val="Arial"/>
      </rPr>
      <t xml:space="preserve">How many fields to fill out? </t>
    </r>
    <r>
      <rPr>
        <sz val="10"/>
        <color theme="1"/>
        <rFont val="Arial"/>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</si>
  <si>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</si>
  <si>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</si>
  <si>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</si>
  <si>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</si>
  <si>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</si>
  <si>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</si>
  <si>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</si>
  <si>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</si>
  <si>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</si>
  <si>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</si>
  <si>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</si>
  <si>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</si>
  <si>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</si>
  <si>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</si>
  <si>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</si>
  <si>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</si>
  <si>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</si>
  <si>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</si>
  <si>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</si>
  <si>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</si>
  <si>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</si>
  <si>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</si>
  <si>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</si>
  <si>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Sign up page with email field and 2 CTAs</t>
  </si>
  <si>
    <t>Submit Button</t>
  </si>
  <si>
    <t>Submit the email id and begin with the process</t>
  </si>
  <si>
    <t>To get the email address and send promotional mails</t>
  </si>
  <si>
    <t>-</t>
  </si>
  <si>
    <t>[ACTION] Conducting an A/B experiment where the agreement checkbox is replaced with the text "By signing up, I agree..." will allow us to assess if there is an increase in click-throughs to the next sign-up stage. [OUTCOME] This change aims to reduce friction on the sign-up page by minimizing the number of fields, potentially enhancing user engagement. [Theory]
[ACTION] Implementing an A/B experiment involving the addition of a clear message stating that the email will solely serve as a login and won't be shared with third-party organizations will help us gauge if this alteration boosts sign-ups at this stage of the funnel. [OUTCOME] This adjustment is expected to foster trust in our product, potentially leading to increased user confidence and higher sign-up rates. [Theory]</t>
  </si>
  <si>
    <t>Verification Email</t>
  </si>
  <si>
    <t>Verification done in 2 simple steps with 1 CTAs</t>
  </si>
  <si>
    <t>Gmail, Yahoo &amp; Outlook logo buttons</t>
  </si>
  <si>
    <t>Choose the email account logo for verification by clicking the CTA</t>
  </si>
  <si>
    <t>Email Verification adds an extra layer of security to the login process</t>
  </si>
  <si>
    <t xml:space="preserve">The system may detect the email ending and for some popular email providers launch the email provider page without asking a user doing this. E.g. if the email is @gmail.com, then instead of this page the gmail page could be lauched. </t>
  </si>
  <si>
    <t>[ACTION] Conducting an A/B experiment where we replace the email verification step with a confirm email field will allow us to assess if there is an improvement in the conversion rate at this stage. [OUTCOME] This change aims to create a smoother sign-up flow, keeping the lead within ProductBoard without requiring them to switch between pages or applications. [Theory]</t>
  </si>
  <si>
    <t>Activate account in email</t>
  </si>
  <si>
    <t>Just need to click on Activate account button with 1 CTA</t>
  </si>
  <si>
    <t xml:space="preserve">Activate Account </t>
  </si>
  <si>
    <t>Activate your account by clicking the CTA</t>
  </si>
  <si>
    <t>To assess that the account belongs to the rightful owner</t>
  </si>
  <si>
    <t>No</t>
  </si>
  <si>
    <t>[ACTION] Conducting an A/B experiment where we alter the CTA text from "Activate account" to "Let's set up your ProductBoard" will enable us to assess if there is an increase in click-throughs to account activation. [OUTCOME] This change is intended to establish a stronger association with the product, while the inclusion of "your" aims to foster a deeper emotional connection. [Theory]</t>
  </si>
  <si>
    <t>Submit personal info</t>
  </si>
  <si>
    <t>Welcome page with 3 fields to fill (Name, Password and Phone Number optional)</t>
  </si>
  <si>
    <t xml:space="preserve">Continue </t>
  </si>
  <si>
    <t>Fill the details asked by the company and click on Continue CTA</t>
  </si>
  <si>
    <t>This helps to personalize the user experience and helps the company to provide with the relevant services</t>
  </si>
  <si>
    <t>Yes, a phone number is not necessary information and can be asked after signing up or be set via the account settings in the ProductBoard. It is optional anyway.</t>
  </si>
  <si>
    <t>[ACTION] Implementing an A/B experiment where we include explanatory text regarding the use of phone numbers, assuring users that their information won't be shared with third-party companies, will allow us to assess if more leads are willing to provide their phone numbers. [OUTCOME] This adjustment aims to enhance trust in how personal data is handled, potentially encouraging more users to share their phone numbers. [Theory]
[ACTION] Conducting an A/B experiment where we introduce a smart phone field that automatically adds special symbols like +, (), and - when users type numbers will help us determine if simplifying the phone field leads to increased user willingness to fill it out. [OUTCOME] This modification seeks to reduce friction and user errors by eliminating the need for users to manually input symbols, potentially resulting in higher completion rates for the phone field. [Theory]</t>
  </si>
  <si>
    <t>Name your workspace</t>
  </si>
  <si>
    <t>Single field to fill in any name of your choice with 2 CTAs</t>
  </si>
  <si>
    <t>Fill in the workspace name of your choice and click on Continue CTA</t>
  </si>
  <si>
    <t>This will help you in organising the accounts or projects more effectively</t>
  </si>
  <si>
    <t>Yes, the company name is a helpful field but not a necessary one</t>
  </si>
  <si>
    <t>[ACTION] Conducting an A/B experiment where we exchange the Personal Information and Create Your Workspace steps will enable us to assess if there is an increase in sign-ups to ProductBoard. [OUTCOME] This adjustment aims to expedite users' introduction to key features, potentially accelerating their journey to one of the Aha! moments. [Theory]</t>
  </si>
  <si>
    <t>Invite Team</t>
  </si>
  <si>
    <t xml:space="preserve">3 Fields to fill in for the team email id </t>
  </si>
  <si>
    <t>Invite or Skip This</t>
  </si>
  <si>
    <t>Fill in the details of the invites and click on Invite or Skip this CTA</t>
  </si>
  <si>
    <t>This help you in working with your teammates in a collaborative manner</t>
  </si>
  <si>
    <t xml:space="preserve">
[ACTION] Implementing an A/B experiment where the step of inviting teammates occurs after a user completes setting up initial values in ProductBoard via a guided tour, rather than before sign-up completion, will allow us to assess if there is an increase in both sign-ups and user retention. [OUTCOME] This change aims to introduce users to key product features earlier, potentially expediting their journey to the Aha! moment. [Theory]</t>
  </si>
  <si>
    <t>Password</t>
  </si>
  <si>
    <t xml:space="preserve">1 Field to fill in the password of your choice </t>
  </si>
  <si>
    <t>Fill in the password</t>
  </si>
  <si>
    <t>This will help you to secure the account and your work as well for security purposes</t>
  </si>
  <si>
    <t xml:space="preserve">
[ACTION] Conducting an A/B experiment where we implement ProductBoard templates tailored to customer survey responses will allow us to assess if we achieve improved retention rates. [OUTCOME] This adjustment aims to expedite users' realization of the Aha! moment by providing relevant examples aligned with their survey answers. [Theory]</t>
  </si>
  <si>
    <t>Survey</t>
  </si>
  <si>
    <t>3 Fields with dropdown of various choices and 7 CTAs</t>
  </si>
  <si>
    <t>Next Button</t>
  </si>
  <si>
    <t>Dropdowns with various options to be filled by clicking the CTA</t>
  </si>
  <si>
    <t>Survery fields will help the company to understand you better</t>
  </si>
  <si>
    <t>User in-product</t>
  </si>
  <si>
    <t>Average</t>
  </si>
  <si>
    <t>Sum</t>
  </si>
  <si>
    <r>
      <rPr>
        <b/>
        <sz val="10"/>
        <color theme="1"/>
        <rFont val="Arial"/>
      </rPr>
      <t>Scenario:</t>
    </r>
    <r>
      <rPr>
        <sz val="10"/>
        <color theme="1"/>
        <rFont val="Arial"/>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</si>
  <si>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b/>
        <sz val="10"/>
        <color theme="1"/>
        <rFont val="Arial"/>
      </rPr>
      <t xml:space="preserve">Skill: </t>
    </r>
    <r>
      <rPr>
        <sz val="10"/>
        <color theme="1"/>
        <rFont val="Arial"/>
      </rPr>
      <t>You will implement the ICE framework to prioritize your experiments by giving them a growth score. Note: Further analysis and input from engineering and design does occur in the wild, which is removed from the scope of this exercise.</t>
    </r>
  </si>
  <si>
    <r>
      <rPr>
        <b/>
        <sz val="10"/>
        <color theme="1"/>
        <rFont val="Arial"/>
      </rPr>
      <t xml:space="preserve">Instructions: </t>
    </r>
    <r>
      <rPr>
        <sz val="10"/>
        <color theme="1"/>
        <rFont val="Arial"/>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</si>
  <si>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</si>
  <si>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</si>
  <si>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</si>
  <si>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</si>
  <si>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</si>
  <si>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</si>
  <si>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</si>
  <si>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</si>
  <si>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</si>
  <si>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</si>
  <si>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</si>
  <si>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</si>
  <si>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b/>
        <sz val="10"/>
        <color theme="1"/>
        <rFont val="Arial"/>
      </rPr>
      <t xml:space="preserve">Experiment Brief </t>
    </r>
    <r>
      <rPr>
        <b/>
        <sz val="10"/>
        <color theme="1"/>
        <rFont val="Arial"/>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</si>
  <si>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</si>
  <si>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</si>
  <si>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</si>
  <si>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</si>
  <si>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</si>
  <si>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</si>
  <si>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</si>
  <si>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</si>
  <si>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</si>
  <si>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</si>
  <si>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</si>
  <si>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</si>
  <si>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</si>
  <si>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</si>
  <si>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</si>
  <si>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</si>
  <si>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</si>
  <si>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</si>
  <si>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</si>
  <si>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</si>
  <si>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</si>
  <si>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</si>
  <si>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</si>
  <si>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</si>
  <si>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t>[ACTION] Conduct an A/B experiment by interchanging the Personal Information and Name Your Workspace steps. [OUTCOME] This change could potentially elevate sign-ups to ProductBoard by more than 90%. [THEORY] This adjustment aims to introduce leads to a key feature earlier, expediting their journey to one of the Aha! moments.</t>
  </si>
  <si>
    <t>6 - Name your workspace</t>
  </si>
  <si>
    <t>By rearranging the signup workflow, we can introduce users to the product-specific feature, Workspace, earlier, thus accelerating their journey to the "aha" moment. This adjustment would result in a more logical sequence where users set up the product after activating their account.</t>
  </si>
  <si>
    <t xml:space="preserve">By integrating the product feature into the signup flow earlier, users are guided more swiftly to the "Aha" moment, potentially elevating the conversion rate from 90% to 92%.
</t>
  </si>
  <si>
    <t xml:space="preserve">In our current sign-up process, we prompt users to name their workspace seemingly out of nowhere. There's no clear connection between providing personal information in the previous step and setting up the workspace in the current one.
</t>
  </si>
  <si>
    <t>The design team is tasked with enhancing the signup flow for better logical coherence, while ensuring each step is seamlessly connected. The engineering team will then implement these changes, with the marketing and sales teams determining potential impacts if leads drop out before providing personal data.</t>
  </si>
  <si>
    <t>What is the significance of collecting personal details before workspace creation?</t>
  </si>
  <si>
    <t>Higher total conversion of the funnel and the follow up retention.</t>
  </si>
  <si>
    <t>Cognitive burden arises from the multitude of steps and the absence of logical coherence between them.</t>
  </si>
  <si>
    <t xml:space="preserve">
[ACTION] Consider eliminating the Invite Team step from the signup process. [OUTCOME] This adjustment may potentially boost the overall sign-up rate by around 1%. [THEORY] By reducing the steps and clicks in the signup workflow, we anticipate streamlining the process for leads, thus potentially increasing conversions.</t>
  </si>
  <si>
    <t>7 - Invite Team</t>
  </si>
  <si>
    <t>Consider eliminating the Invite Team step from the signup process and possibly integrating it into the product's onboarding tutorial post-registration.</t>
  </si>
  <si>
    <t>Eliminating this step reduces lead clicks during signup, reducing the process time and potentially expediting users' journey to their "Aha!" moments. This could result in an overall conversion increase of up to 1%.</t>
  </si>
  <si>
    <t>Our sign-up workflow includes too many steps, causing unnecessary delays in users reaching the Aha moment. Requesting this information isn't essential at the sign-up stage and could be postponed until users have content to share with their teammates.</t>
  </si>
  <si>
    <t>The sales team will assess whether they utilize these collected emails to contact members within the same team, while the marketing team will consider if these emails are used for promotional engagement. Concurrently, the design team will analyze potential UX impacts and how to integrate these steps into the onboarding tutorial. The engineering team will handle the removal of this step from the signup flow and assess the effort required to incorporate it into the tutorial.</t>
  </si>
  <si>
    <t>In what manner do sales and marketing teams utilize these emails?</t>
  </si>
  <si>
    <t>Higher total conversion of the funnel.</t>
  </si>
  <si>
    <t>1-month</t>
  </si>
  <si>
    <t xml:space="preserve">
By trimming excess and minimizing steps, we expedite customers' progress towards their objectives, thus eliminating cognitive overload friction.</t>
  </si>
  <si>
    <t>[ACTION] Implement a prominently displayed message reassuring users that their email will solely serve as a login for the product and won't be shared with third-party organizations. [OUTCOME] This adjustment aims to elevate the step completion rate from its current 93%. [THEORY] By enhancing transparency and building trust in our product, we anticipate an increase in user confidence and subsequent engagement.</t>
  </si>
  <si>
    <t>2 - Free Trial Sign Up</t>
  </si>
  <si>
    <t>We plan to include a clear message above or below the email field, informing users that their email will primarily serve as their account name.</t>
  </si>
  <si>
    <t>By providing clear explanations about how user-provided information is used, we mitigate uncertainty and enhance trust in the product, potentially increasing the click-through rate from 93% to 95%.</t>
  </si>
  <si>
    <t>Many leads are hesitant to provide their email addresses due to concerns about spam. Assuring them that their information won't be misused and clearly stating the purpose of collecting emails can increase trust and encourage more users to proceed through this step.</t>
  </si>
  <si>
    <t>The design team will evaluate different approaches and develop appropriate designs for this change. The legal team will ensure the wording does not pose legal risks in case of email leaks, while the sales and marketing teams will understand the intended use of the provided emails. Simultaneously, the engineering team will assess the implementation complexity.</t>
  </si>
  <si>
    <t>Could the usage of emails by sales or marketing teams deter leads from signing up if this information is disclosed to them? Are there any legal concerns regarding the wording of the message?</t>
  </si>
  <si>
    <t>Higher step 2 conversions and higher total conversions of the funnel.</t>
  </si>
  <si>
    <t>1-week</t>
  </si>
  <si>
    <t>Removing uncertainty</t>
  </si>
  <si>
    <t>[ACTION] Consider eliminating the agreement checkbox and instead display the text "By signing up, I agree...". [OUTCOME] This adjustment aims to boost the click-through rate at this step from its current 93%. [THEORY] By reducing the number of clicks by 20%, we anticipate a smoother user experience and potentially increased engagement.</t>
  </si>
  <si>
    <t>5 - Submit personal info</t>
  </si>
  <si>
    <t xml:space="preserve">We propose removing the agreement checkbox and replacing it with a text informing users that by clicking the Sign Up button, they implicitly agree to the terms of the agreement and privacy policy.
</t>
  </si>
  <si>
    <t>Removing a single field reduces clicks by 20%, while replacing the checkbox with explanatory text maintains the legal aspect. This adjustment could boost click-through rates from 93% to 94%.</t>
  </si>
  <si>
    <t>Streamlining this step will expedite the user's journey to the product.</t>
  </si>
  <si>
    <t>The legal team will review the new text to ensure the agreement remains valid. The design team will create a mockup of the revised signup step, and the engineering team will reconfigure the agreement from a checkbox to the signup button.</t>
  </si>
  <si>
    <t>Are there any legal implications associated with substituting the checkbox with text and linking the agreement to the sign-up button? Are there any technical hurdles hindering the mapping of the agreement to the sign-up button?</t>
  </si>
  <si>
    <t>Extra clicks that slows down the user</t>
  </si>
  <si>
    <r>
      <rPr>
        <b/>
        <sz val="10"/>
        <color theme="1"/>
        <rFont val="Arial"/>
      </rPr>
      <t xml:space="preserve">Scenario: </t>
    </r>
    <r>
      <rPr>
        <sz val="10"/>
        <color theme="1"/>
        <rFont val="Arial"/>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</si>
  <si>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</si>
  <si>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sz val="10"/>
        <color rgb="FF000000"/>
        <rFont val="Arial"/>
      </rPr>
      <t xml:space="preserve">You will 
(1) be able to tell Marketing and Growth PM focusing on acquisition which segment of our users are performing these actions best
(2) determine what moments and metrics we should be driving our users towards. 
</t>
    </r>
    <r>
      <rPr>
        <b/>
        <sz val="10"/>
        <color rgb="FF000000"/>
        <rFont val="Arial"/>
      </rPr>
      <t>NOTE</t>
    </r>
    <r>
      <rPr>
        <sz val="10"/>
        <color rgb="FF000000"/>
        <rFont val="Arial"/>
      </rPr>
      <t>: The rest of the project relates entirely to Slack or a realtime messaging service like Slack.</t>
    </r>
  </si>
  <si>
    <r>
      <rPr>
        <b/>
        <sz val="10"/>
        <color theme="1"/>
        <rFont val="Arial"/>
      </rPr>
      <t xml:space="preserve">Skill: </t>
    </r>
    <r>
      <rPr>
        <sz val="10"/>
        <color theme="1"/>
        <rFont val="Arial"/>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</si>
  <si>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</si>
  <si>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</si>
  <si>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</si>
  <si>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</si>
  <si>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</si>
  <si>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sz val="10"/>
        <color theme="1"/>
        <rFont val="Arial"/>
      </rPr>
      <t xml:space="preserve">1. List 4 in-product moments you think that if done often would lead a </t>
    </r>
    <r>
      <rPr>
        <b/>
        <sz val="10"/>
        <color rgb="FF4285F4"/>
        <rFont val="Arial"/>
      </rPr>
      <t>Slack</t>
    </r>
    <r>
      <rPr>
        <sz val="10"/>
        <color theme="1"/>
        <rFont val="Arial"/>
      </rPr>
      <t xml:space="preserve"> user to build a habit in Row 18-21</t>
    </r>
  </si>
  <si>
    <r>
      <rPr>
        <sz val="10"/>
        <color theme="1"/>
        <rFont val="Arial"/>
      </rP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15-19</t>
    </r>
  </si>
  <si>
    <r>
      <rPr>
        <sz val="10"/>
        <color theme="1"/>
        <rFont val="Arial"/>
      </rP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31-34.</t>
    </r>
  </si>
  <si>
    <t>Moment that lead to Habit:</t>
  </si>
  <si>
    <t>Only use Slack, not email, for internal messages</t>
  </si>
  <si>
    <t xml:space="preserve">Using slack for real time communications &amp; collaboration on ongoing projects </t>
  </si>
  <si>
    <t>Schedule daily stand up meetings where team members can share the progress</t>
  </si>
  <si>
    <t>Hosting regular knowledge sharing sessions with the team</t>
  </si>
  <si>
    <t>Integrate task management and track progress</t>
  </si>
  <si>
    <t>Moment that lead to Aha:</t>
  </si>
  <si>
    <t>Getting notifications from team on a group channel</t>
  </si>
  <si>
    <t>Users can instantly communicate with the team members, share files can collaborate in real time</t>
  </si>
  <si>
    <t>Users can access their past history of conversations, files and any shared resources</t>
  </si>
  <si>
    <t xml:space="preserve">Slack helps you to connect your favorite tools seamlessly </t>
  </si>
  <si>
    <t>Can customize notification settings and preferences which can lead to improving productivity</t>
  </si>
  <si>
    <t>Moment that lead to Setup:</t>
  </si>
  <si>
    <t>Engage in a frequency faster than email while being mobile</t>
  </si>
  <si>
    <t>Users undergo seamless onboarding process including tutorials, guided tours and resources</t>
  </si>
  <si>
    <t>Slack can help in integration with other tools and services for seamless data sharing, automation etc</t>
  </si>
  <si>
    <t xml:space="preserve">Users can setup their workspace with personalised channels, user groups </t>
  </si>
  <si>
    <t>Users can create organised channels based on projects, teams etc</t>
  </si>
  <si>
    <r>
      <rPr>
        <b/>
        <sz val="10"/>
        <color theme="1"/>
        <rFont val="Arial"/>
      </rPr>
      <t xml:space="preserve">Scenario: </t>
    </r>
    <r>
      <rPr>
        <sz val="10"/>
        <color theme="1"/>
        <rFont val="Arial"/>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</si>
  <si>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</si>
  <si>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</si>
  <si>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</si>
  <si>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b/>
        <sz val="10"/>
        <color theme="1"/>
        <rFont val="Arial"/>
      </rPr>
      <t xml:space="preserve">Skills: 
</t>
    </r>
    <r>
      <rPr>
        <sz val="10"/>
        <color theme="1"/>
        <rFont val="Arial"/>
      </rPr>
      <t>(1) calculate % overlap to measure the relationship of % overlap to habit metric
(2) create line charts to visualize the relationship of the metric
(3) analyze which are the primary habit moments and metric that lead to long-term activation.</t>
    </r>
  </si>
  <si>
    <r>
      <rPr>
        <b/>
        <sz val="10"/>
        <color theme="1"/>
        <rFont val="Arial"/>
      </rPr>
      <t xml:space="preserve">Instructions: </t>
    </r>
    <r>
      <rPr>
        <sz val="10"/>
        <color theme="1"/>
        <rFont val="Arial"/>
      </rPr>
      <t>Place any notes, thoughts, comments in the "Observations (Personal Notes)" box in column M -O for yourself as you may want them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</si>
  <si>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</si>
  <si>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Habit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</si>
  <si>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</si>
  <si>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Habit Moment and Metric and explain why in the 2 boxes on the bottom right of this Tab in Row  51.</t>
    </r>
  </si>
  <si>
    <r>
      <rPr>
        <b/>
        <sz val="10"/>
        <color theme="1"/>
        <rFont val="Arial"/>
      </rPr>
      <t xml:space="preserve">Habit Moment 1: </t>
    </r>
    <r>
      <rPr>
        <sz val="10"/>
        <color theme="1"/>
        <rFont val="Arial"/>
      </rPr>
      <t xml:space="preserve">look for a communication tool outside of email to engage with teammates   </t>
    </r>
    <r>
      <rPr>
        <b/>
        <sz val="10"/>
        <color theme="1"/>
        <rFont val="Arial"/>
      </rPr>
      <t xml:space="preserve">                                     </t>
    </r>
  </si>
  <si>
    <r>
      <rPr>
        <b/>
        <sz val="10"/>
        <color theme="1"/>
        <rFont val="Arial"/>
      </rPr>
      <t xml:space="preserve">Habit Metric 1: </t>
    </r>
    <r>
      <rPr>
        <sz val="10"/>
        <color theme="1"/>
        <rFont val="Arial"/>
      </rPr>
      <t># of Team Slack Messages Sent in 7-days</t>
    </r>
  </si>
  <si>
    <r>
      <rPr>
        <b/>
        <sz val="10"/>
        <color theme="1"/>
        <rFont val="Arial"/>
      </rPr>
      <t xml:space="preserve">Observations (Personal Notes): </t>
    </r>
    <r>
      <rPr>
        <sz val="10"/>
        <color theme="1"/>
        <rFont val="Arial"/>
      </rPr>
      <t>There is a noticeable upward trend, particularly between users who sent 1000 and 2000 messages, indicating a significant leap. Subsequently, growth appears to overlap gradually, suggesting that as the number of sent messages increases, more users reach the habit point.</t>
    </r>
  </si>
  <si>
    <t>Does doing this Habit Metric affect activation? If yes, what is the ideal metric?</t>
  </si>
  <si>
    <t>Yes. The ideal metric is 2000+ messages</t>
  </si>
  <si>
    <t># of</t>
  </si>
  <si>
    <t>User</t>
  </si>
  <si>
    <t>Messages Sent</t>
  </si>
  <si>
    <t>Action Completed</t>
  </si>
  <si>
    <t>Retained + Action NOT completed</t>
  </si>
  <si>
    <t>Retained + Action completed</t>
  </si>
  <si>
    <t>Total Users</t>
  </si>
  <si>
    <t>% Overlap</t>
  </si>
  <si>
    <t>Why?</t>
  </si>
  <si>
    <t xml:space="preserve">As the number of messages sent in 7 days increases % overlap increases </t>
  </si>
  <si>
    <r>
      <rPr>
        <b/>
        <sz val="10"/>
        <color theme="1"/>
        <rFont val="Arial"/>
      </rPr>
      <t xml:space="preserve">Habit Moment 2: </t>
    </r>
    <r>
      <rPr>
        <sz val="10"/>
        <color theme="1"/>
        <rFont val="Arial"/>
      </rPr>
      <t xml:space="preserve">Only use Slack for internal messages, not email   </t>
    </r>
    <r>
      <rPr>
        <b/>
        <sz val="10"/>
        <color theme="1"/>
        <rFont val="Arial"/>
      </rPr>
      <t xml:space="preserve">                                     </t>
    </r>
  </si>
  <si>
    <r>
      <rPr>
        <b/>
        <sz val="10"/>
        <color theme="1"/>
        <rFont val="Arial"/>
      </rPr>
      <t xml:space="preserve">Habit Metric 2: </t>
    </r>
    <r>
      <rPr>
        <sz val="10"/>
        <color theme="1"/>
        <rFont val="Arial"/>
      </rPr>
      <t># of sessions (log-ins) per day</t>
    </r>
  </si>
  <si>
    <r>
      <rPr>
        <b/>
        <sz val="10"/>
        <color theme="1"/>
        <rFont val="Arial"/>
      </rPr>
      <t xml:space="preserve">Observations (Personal Notes):  </t>
    </r>
    <r>
      <rPr>
        <sz val="10"/>
        <color theme="1"/>
        <rFont val="Arial"/>
      </rPr>
      <t>The graph indicates that overlap steadily increases up to the point of 3+ sessions. Beyond this threshold, both overlap and habit begin to decline gradually. This suggests that the majority of users reach the habit moment by their third weekly session.</t>
    </r>
  </si>
  <si>
    <t xml:space="preserve">Yes. The ideal metric is 3+ sessions. 
</t>
  </si>
  <si>
    <t>Session</t>
  </si>
  <si>
    <t>(log-ins)</t>
  </si>
  <si>
    <t>1+</t>
  </si>
  <si>
    <t>2+</t>
  </si>
  <si>
    <t>As the number of messages increase the % overlap remains constant and somewhat decreases as well.</t>
  </si>
  <si>
    <t>3+</t>
  </si>
  <si>
    <t>4+</t>
  </si>
  <si>
    <t>5+</t>
  </si>
  <si>
    <t>6+</t>
  </si>
  <si>
    <t>7+</t>
  </si>
  <si>
    <r>
      <rPr>
        <b/>
        <sz val="10"/>
        <color theme="1"/>
        <rFont val="Arial"/>
      </rPr>
      <t xml:space="preserve">Habit Moment 3: </t>
    </r>
    <r>
      <rPr>
        <sz val="10"/>
        <color theme="1"/>
        <rFont val="Arial"/>
      </rPr>
      <t xml:space="preserve">Checking a notification when something is addressed to me                      </t>
    </r>
  </si>
  <si>
    <r>
      <rPr>
        <b/>
        <sz val="10"/>
        <color theme="1"/>
        <rFont val="Arial"/>
      </rPr>
      <t xml:space="preserve">Habit Metric 3: </t>
    </r>
    <r>
      <rPr>
        <sz val="10"/>
        <color theme="1"/>
        <rFont val="Arial"/>
      </rPr>
      <t># of messages they were linked to (with an @) that brought them back to Slack</t>
    </r>
  </si>
  <si>
    <r>
      <rPr>
        <b/>
        <sz val="10"/>
        <color theme="1"/>
        <rFont val="Arial"/>
      </rPr>
      <t xml:space="preserve">Observations (Personal Notes): </t>
    </r>
    <r>
      <rPr>
        <sz val="10"/>
        <color theme="1"/>
        <rFont val="Arial"/>
      </rPr>
      <t>The line shows the declining tendency.</t>
    </r>
  </si>
  <si>
    <t xml:space="preserve">Yes. The ideal metric is 1+ messages with mentioning (linking) a user.
</t>
  </si>
  <si>
    <t>Messages</t>
  </si>
  <si>
    <t xml:space="preserve">As the number of messages linked to @ increases, the % overlap decreases. </t>
  </si>
  <si>
    <t>Moment</t>
  </si>
  <si>
    <t>Metric</t>
  </si>
  <si>
    <r>
      <rPr>
        <b/>
        <sz val="10"/>
        <color rgb="FF000000"/>
        <rFont val="Arial"/>
      </rPr>
      <t>What is the best Primary Habit Moment and Metric to select for Slack?</t>
    </r>
    <r>
      <rPr>
        <sz val="10"/>
        <color rgb="FF000000"/>
        <rFont val="Arial"/>
      </rPr>
      <t xml:space="preserve"> (hint: what did you confirm as a Habit Action in this exercise and which action had the highest overlap - probability to positively affect activation)</t>
    </r>
  </si>
  <si>
    <t xml:space="preserve">look for a communication tool outside of email to engage with teammates      </t>
  </si>
  <si>
    <t>number of Team Slack Messages Sent in 7-days</t>
  </si>
  <si>
    <t>Without using the data analysis, why do you think that this Habit would be the best for Slack?</t>
  </si>
  <si>
    <t>Primarily, Slack serves as a communication tool, with messaging being its core functionality. This feature not only facilitates reaching out to others but also fosters habit formation. As more messages are sent to a wider network of individuals, users gradually establish a habitual pattern of interaction.</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</si>
  <si>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</si>
  <si>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</si>
  <si>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</si>
  <si>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b/>
        <sz val="10"/>
        <color theme="1"/>
        <rFont val="Arial"/>
      </rPr>
      <t xml:space="preserve">Skill: </t>
    </r>
    <r>
      <rPr>
        <sz val="10"/>
        <color theme="1"/>
        <rFont val="Arial"/>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</si>
  <si>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</si>
  <si>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</si>
  <si>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aha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</si>
  <si>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</si>
  <si>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aha Moment and Metric and explain why in the 2 boxes on the bottom right of this Tab in Row 50.</t>
    </r>
  </si>
  <si>
    <t>Aha Moment 1: Engaging with a message in a group channel</t>
  </si>
  <si>
    <r>
      <rPr>
        <b/>
        <sz val="10"/>
        <color theme="1"/>
        <rFont val="Arial"/>
      </rPr>
      <t xml:space="preserve">Aha Metric 1: </t>
    </r>
    <r>
      <rPr>
        <sz val="10"/>
        <color theme="1"/>
        <rFont val="Arial"/>
      </rPr>
      <t>Sending 1st message in a group channel within X days</t>
    </r>
  </si>
  <si>
    <r>
      <rPr>
        <b/>
        <sz val="10"/>
        <color theme="1"/>
        <rFont val="Arial"/>
      </rPr>
      <t xml:space="preserve">Observations (Personal Notes): </t>
    </r>
    <r>
      <rPr>
        <sz val="10"/>
        <color theme="1"/>
        <rFont val="Arial"/>
      </rPr>
      <t>Observations (Personal Notes): The trend indicates that the majority of users experience the Aha! moment when a group message is sent within one day of engagement. However, with each subsequent day of delay, fewer users reach this point. There is a significant decline in overlap when messages are sent within five days.</t>
    </r>
  </si>
  <si>
    <t>Does doing this Aha Metric affect activation? If yes, what is the ideal metric?</t>
  </si>
  <si>
    <t xml:space="preserve">Yes. The ideal metric is 1+ day taken.
</t>
  </si>
  <si>
    <t xml:space="preserve"># of </t>
  </si>
  <si>
    <t>Days Taken</t>
  </si>
  <si>
    <t>The sooner the users sends their first message, higher the likelihood of retention. This suggests that the action of sending the first message in a group channel within the first day has a strong correlation with user retention, indicating that it could be an important factor for long-term activation.</t>
  </si>
  <si>
    <r>
      <rPr>
        <b/>
        <sz val="10"/>
        <color theme="1"/>
        <rFont val="Arial"/>
      </rPr>
      <t xml:space="preserve">Aha Moment 2: </t>
    </r>
    <r>
      <rPr>
        <sz val="10"/>
        <color theme="1"/>
        <rFont val="Arial"/>
      </rPr>
      <t>Messaging with a team member on a direct channel</t>
    </r>
  </si>
  <si>
    <r>
      <rPr>
        <b/>
        <sz val="10"/>
        <color theme="1"/>
        <rFont val="Arial"/>
      </rPr>
      <t xml:space="preserve">Aha Metric 2: </t>
    </r>
    <r>
      <rPr>
        <sz val="10"/>
        <color theme="1"/>
        <rFont val="Arial"/>
      </rPr>
      <t xml:space="preserve">sends 1st direct message within X days </t>
    </r>
  </si>
  <si>
    <r>
      <rPr>
        <b/>
        <sz val="10"/>
        <color theme="1"/>
        <rFont val="Arial"/>
      </rPr>
      <t xml:space="preserve">Observations (Personal Notes): </t>
    </r>
    <r>
      <rPr>
        <sz val="10"/>
        <color theme="1"/>
        <rFont val="Arial"/>
      </rPr>
      <t>The graph illustrates that users who delay sending their first direct message are more likely to drop off. There are two distinct declines, notably at delays of 5 days and 7 days.</t>
    </r>
  </si>
  <si>
    <t xml:space="preserve">Yes. The ideal metric is within 1 day.
</t>
  </si>
  <si>
    <t>Only 61% users sends only one direct message within 1 day and the rest graph declines as the number of days increases.</t>
  </si>
  <si>
    <r>
      <rPr>
        <b/>
        <sz val="10"/>
        <color theme="1"/>
        <rFont val="Arial"/>
      </rPr>
      <t xml:space="preserve">Aha Moment 3: </t>
    </r>
    <r>
      <rPr>
        <sz val="10"/>
        <color theme="1"/>
        <rFont val="Arial"/>
      </rPr>
      <t>Searching for old documents, links, and convos</t>
    </r>
  </si>
  <si>
    <t>Aha Metric 3: 1st search for a file or message within X days</t>
  </si>
  <si>
    <r>
      <rPr>
        <b/>
        <sz val="10"/>
        <color theme="1"/>
        <rFont val="Arial"/>
      </rPr>
      <t xml:space="preserve">Observations (Personal Notes): </t>
    </r>
    <r>
      <rPr>
        <sz val="10"/>
        <color theme="1"/>
        <rFont val="Arial"/>
      </rPr>
      <t>The line exhibits a generally stable trend, with a slight inclination towards decline.</t>
    </r>
  </si>
  <si>
    <t>Yes. The ideal metric 3+ days.</t>
  </si>
  <si>
    <t xml:space="preserve">The urgency of completing this action is not as immediate as sending the first message in a group channel. </t>
  </si>
  <si>
    <r>
      <rPr>
        <b/>
        <sz val="10"/>
        <color rgb="FF000000"/>
        <rFont val="Arial"/>
      </rPr>
      <t>What is the best Primary Aha Moment and Metric to select for Slack?</t>
    </r>
    <r>
      <rPr>
        <sz val="10"/>
        <color rgb="FF000000"/>
        <rFont val="Arial"/>
      </rPr>
      <t xml:space="preserve"> (hint: what did you confirm as a Aha Action in this exercise and which action had the highest overlap - probability to positively affect activation)</t>
    </r>
  </si>
  <si>
    <t>Engaging with a message in a group channel</t>
  </si>
  <si>
    <t>Sending 1st message in a group channel within X days</t>
  </si>
  <si>
    <t>Without using the data analysis, why do you think that this Aha would be the best for Slack?</t>
  </si>
  <si>
    <t>Group chat functionality serves as a fundamental aspect of the product, facilitating communication within groups such as teams, companies, or departments. The sooner users engage with these features, the greater the perceived value of the product.</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</si>
  <si>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</si>
  <si>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</si>
  <si>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</si>
  <si>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b/>
        <sz val="10"/>
        <color theme="1"/>
        <rFont val="Arial"/>
      </rPr>
      <t xml:space="preserve">Skill: </t>
    </r>
    <r>
      <rPr>
        <sz val="10"/>
        <color theme="1"/>
        <rFont val="Arial"/>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</si>
  <si>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</si>
  <si>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</si>
  <si>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setup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</si>
  <si>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</si>
  <si>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setup Moment and Metric and explain why in the 2 boxes on the bottom right of this Tab in Row 50.</t>
    </r>
  </si>
  <si>
    <r>
      <rPr>
        <b/>
        <sz val="10"/>
        <color theme="1"/>
        <rFont val="Arial"/>
      </rPr>
      <t xml:space="preserve">Setup Moment 1: </t>
    </r>
    <r>
      <rPr>
        <sz val="10"/>
        <color theme="1"/>
        <rFont val="Arial"/>
      </rPr>
      <t>Configure settings and profile</t>
    </r>
  </si>
  <si>
    <r>
      <rPr>
        <b/>
        <sz val="10"/>
        <color theme="1"/>
        <rFont val="Arial"/>
      </rPr>
      <t xml:space="preserve">Setup Metric 1: </t>
    </r>
    <r>
      <rPr>
        <sz val="10"/>
        <color theme="1"/>
        <rFont val="Arial"/>
      </rPr>
      <t>Setting up profile pic within X days</t>
    </r>
  </si>
  <si>
    <r>
      <rPr>
        <b/>
        <sz val="10"/>
        <color theme="1"/>
        <rFont val="Arial"/>
      </rPr>
      <t xml:space="preserve">Observations (Personal Notes): </t>
    </r>
    <r>
      <rPr>
        <sz val="10"/>
        <color theme="1"/>
        <rFont val="Arial"/>
      </rPr>
      <t>Generally, overlap remains below 40% and exhibits a decreasing trend as the number of days taken to configure settings increases. However, there is a notable spike observed for settings configured within three days.</t>
    </r>
  </si>
  <si>
    <t>Does doing this Setup Metric affect activation? If yes, what is the ideal metric?</t>
  </si>
  <si>
    <t>No it does not affect the activation</t>
  </si>
  <si>
    <t xml:space="preserve">
The metric indicates that the overlap is below 40%, suggesting that this feature does not have a significant impact on activation.</t>
  </si>
  <si>
    <r>
      <rPr>
        <b/>
        <sz val="10"/>
        <color theme="1"/>
        <rFont val="Arial"/>
      </rPr>
      <t xml:space="preserve">Setup Moment 2: </t>
    </r>
    <r>
      <rPr>
        <sz val="10"/>
        <color theme="1"/>
        <rFont val="Arial"/>
      </rPr>
      <t>Integrate to a 3rd party Slack App</t>
    </r>
  </si>
  <si>
    <r>
      <rPr>
        <b/>
        <sz val="10"/>
        <color theme="1"/>
        <rFont val="Arial"/>
      </rPr>
      <t xml:space="preserve">Setup Metric 2: </t>
    </r>
    <r>
      <rPr>
        <sz val="10"/>
        <color theme="1"/>
        <rFont val="Arial"/>
      </rPr>
      <t>Integrate to a 3rd party app within 7-days</t>
    </r>
  </si>
  <si>
    <r>
      <rPr>
        <b/>
        <sz val="10"/>
        <color theme="1"/>
        <rFont val="Arial"/>
      </rPr>
      <t xml:space="preserve">Observations (Personal Notes): </t>
    </r>
    <r>
      <rPr>
        <sz val="10"/>
        <color theme="1"/>
        <rFont val="Arial"/>
      </rPr>
      <t>The trend line demonstrates a downward trajectory with a peak on the first day. This indicates that the setup moment predominantly occurs for users within the initial day of usage.</t>
    </r>
  </si>
  <si>
    <t>Yes. The ideal metric is the 1st day.</t>
  </si>
  <si>
    <t>The data indicates an overlap exceeding 50% for this setup, with optimal results observed when integration with third-party apps occurs within one day of usage.</t>
  </si>
  <si>
    <r>
      <rPr>
        <b/>
        <sz val="10"/>
        <color theme="1"/>
        <rFont val="Arial"/>
      </rPr>
      <t xml:space="preserve">Setup Moment 3: </t>
    </r>
    <r>
      <rPr>
        <sz val="10"/>
        <color theme="1"/>
        <rFont val="Arial"/>
      </rPr>
      <t>Invite a team mate and had a back-and-forth direct convo</t>
    </r>
  </si>
  <si>
    <r>
      <rPr>
        <b/>
        <sz val="10"/>
        <color theme="1"/>
        <rFont val="Arial"/>
      </rPr>
      <t xml:space="preserve">Setup Metric 3: </t>
    </r>
    <r>
      <rPr>
        <sz val="10"/>
        <color theme="1"/>
        <rFont val="Arial"/>
      </rPr>
      <t># of users invited within 7-days</t>
    </r>
  </si>
  <si>
    <r>
      <rPr>
        <b/>
        <sz val="10"/>
        <color theme="1"/>
        <rFont val="Arial"/>
      </rPr>
      <t xml:space="preserve">Observations (Personal Notes): </t>
    </r>
    <r>
      <rPr>
        <sz val="10"/>
        <color theme="1"/>
        <rFont val="Arial"/>
      </rPr>
      <t>The data reveals significant overlap for this setup, reaching up to 70%. However, there is a noticeable decline in trend, particularly with a sharp drop occurring if the setup occurs after 5 days or more.</t>
    </r>
  </si>
  <si>
    <t xml:space="preserve">Yes. The ideal metric is 1+ user invited.
</t>
  </si>
  <si>
    <t>Users Invited</t>
  </si>
  <si>
    <t xml:space="preserve">The data suggests that initial engagement is strong but diminishes with the number of users is invited. Encouraging users to invite just one or two team members might be a more effective strategy for long term activation. </t>
  </si>
  <si>
    <r>
      <rPr>
        <b/>
        <sz val="10"/>
        <color rgb="FF000000"/>
        <rFont val="Arial"/>
      </rPr>
      <t>What is the best Primary Setup Moment and Metric to select for Slack?</t>
    </r>
    <r>
      <rPr>
        <sz val="10"/>
        <color rgb="FF000000"/>
        <rFont val="Arial"/>
      </rPr>
      <t xml:space="preserve"> (hint: what did you confirm as a Aha Action in this exercise and which action had the highest overlap - probability to positively affect activation)</t>
    </r>
  </si>
  <si>
    <t>Invite a team mate and had a back-and-forth direct convo</t>
  </si>
  <si>
    <t># of users invited within 7 days</t>
  </si>
  <si>
    <t>Without using the data analysis, why do you think that this Setup would be the best for Slack?</t>
  </si>
  <si>
    <t>The primary function of this product is facilitating communication among users, which is meaningful only when multiple users are engaged. Inviting and initiating a two-way chat with at least one user reveals the core value of the product and indicates that users are adequately set up.</t>
  </si>
  <si>
    <t>Suggested Experiments from Tab 3</t>
  </si>
  <si>
    <r>
      <rPr>
        <b/>
        <sz val="10"/>
        <color theme="1"/>
        <rFont val="Arial"/>
      </rPr>
      <t xml:space="preserve">Scenario: </t>
    </r>
    <r>
      <rPr>
        <sz val="10"/>
        <color theme="1"/>
        <rFont val="Arial"/>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</si>
  <si>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</si>
  <si>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b/>
        <sz val="10"/>
        <color theme="1"/>
        <rFont val="Arial"/>
      </rPr>
      <t xml:space="preserve">Skill: </t>
    </r>
    <r>
      <rPr>
        <sz val="10"/>
        <color theme="1"/>
        <rFont val="Arial"/>
      </rPr>
      <t xml:space="preserve">You have determined that many moments and metrics can lead users to activate, but there are only a few </t>
    </r>
    <r>
      <rPr>
        <b/>
        <sz val="10"/>
        <color theme="1"/>
        <rFont val="Arial"/>
      </rPr>
      <t>Primary</t>
    </r>
    <r>
      <rPr>
        <sz val="10"/>
        <color theme="1"/>
        <rFont val="Arial"/>
      </rPr>
      <t xml:space="preserve"> moments and metrics that we should drive users towards as they lead to long-term activation.</t>
    </r>
  </si>
  <si>
    <r>
      <rPr>
        <b/>
        <sz val="10"/>
        <color theme="1"/>
        <rFont val="Arial"/>
      </rPr>
      <t xml:space="preserve">Instructions: </t>
    </r>
    <r>
      <rPr>
        <sz val="10"/>
        <color theme="1"/>
        <rFont val="Arial"/>
      </rPr>
      <t>Compare your hypothesis from Tab 3- Activation Hyopthesis against the post-analysis activation funnel in Tab 7. Please add your thoughts Column C.</t>
    </r>
  </si>
  <si>
    <r>
      <rPr>
        <sz val="10"/>
        <color theme="1"/>
        <rFont val="Arial"/>
      </rPr>
      <t xml:space="preserve">1. </t>
    </r>
    <r>
      <rPr>
        <sz val="10"/>
        <color theme="1"/>
        <rFont val="Arial"/>
      </rPr>
      <t>Your Habit moments and metrics (They should appear here from the relevant tabs, if they do not, please copy them here) for your to reflect on are in A11 and B11</t>
    </r>
    <r>
      <rPr>
        <sz val="10"/>
        <color theme="1"/>
        <rFont val="Arial"/>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</si>
  <si>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</si>
  <si>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</si>
  <si>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</si>
  <si>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</si>
  <si>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</si>
  <si>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 xml:space="preserve">The first five moments focus on specific aspects of communication &amp; collaboration with the team while the post analysis activation takes a step back on the effectiveness of current practices. It acknowledges the need for a more holistic approach to communication beyond the confines of email and Slack, signaling a readiness to explore diverse tools and strategies to enhance team engagement and productivity. </t>
  </si>
  <si>
    <t>Metrics that lead to Aha:</t>
  </si>
  <si>
    <t>The initial moments leading to habit highlight various features and functionalities of Slack that contribute to its adoption as a communication tool, the post-analysis activation moment represents a pivotal realization or breakthrough for the user. It signifies a moment of clarity or insight where the user grasps the significance of engaging with messages in group channels as a fundamental aspect of leveraging Slack effectively for team communication.</t>
  </si>
  <si>
    <t>Moments that lead to Signup:</t>
  </si>
  <si>
    <t>Metrics that lead to Signup:</t>
  </si>
  <si>
    <t xml:space="preserve">While the initial moments leading to habit highlight various aspects of Slack's functionality and customization options that contribute to its adoption as a communication tool, the post-analysis activation moment represents a specific action that triggers the setup process. By inviting a team mate and engaging in a direct conversation, users take the first step towards establishing their workspace and initiating communication within Slack. </t>
  </si>
  <si>
    <r>
      <rPr>
        <b/>
        <sz val="10"/>
        <color theme="1"/>
        <rFont val="Arial"/>
      </rPr>
      <t xml:space="preserve">Scenario: </t>
    </r>
    <r>
      <rPr>
        <sz val="10"/>
        <color theme="1"/>
        <rFont val="Arial"/>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</si>
  <si>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</si>
  <si>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b/>
        <sz val="10"/>
        <color rgb="FF000000"/>
        <rFont val="Arial"/>
      </rPr>
      <t>Remember</t>
    </r>
    <r>
      <rPr>
        <sz val="10"/>
        <color rgb="FF000000"/>
        <rFont val="Arial"/>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</si>
  <si>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</si>
  <si>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</si>
  <si>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b/>
        <sz val="10"/>
        <color theme="1"/>
        <rFont val="Arial"/>
      </rPr>
      <t>Instructions</t>
    </r>
    <r>
      <rPr>
        <sz val="10"/>
        <color theme="1"/>
        <rFont val="Arial"/>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</si>
  <si>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</si>
  <si>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</si>
  <si>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b/>
        <sz val="10"/>
        <color theme="1"/>
        <rFont val="Arial"/>
      </rPr>
      <t xml:space="preserve">1. </t>
    </r>
    <r>
      <rPr>
        <sz val="10"/>
        <color theme="1"/>
        <rFont val="Arial"/>
      </rPr>
      <t xml:space="preserve">Calculate the Delta (Setup to Aha) ratio in Column D     </t>
    </r>
    <r>
      <rPr>
        <b/>
        <sz val="10"/>
        <color theme="1"/>
        <rFont val="Arial"/>
      </rPr>
      <t xml:space="preserve">                                              </t>
    </r>
  </si>
  <si>
    <r>
      <rPr>
        <b/>
        <sz val="10"/>
        <color theme="1"/>
        <rFont val="Arial"/>
      </rPr>
      <t xml:space="preserve">2. </t>
    </r>
    <r>
      <rPr>
        <sz val="10"/>
        <color theme="1"/>
        <rFont val="Arial"/>
      </rPr>
      <t xml:space="preserve">Calculate Delta (Aha to Habit) ratio in Column F,        </t>
    </r>
    <r>
      <rPr>
        <b/>
        <sz val="10"/>
        <color theme="1"/>
        <rFont val="Arial"/>
      </rPr>
      <t xml:space="preserve">                                          </t>
    </r>
  </si>
  <si>
    <t xml:space="preserve">3. Calculate # of users activated in Column H,                                                       </t>
  </si>
  <si>
    <r>
      <rPr>
        <b/>
        <sz val="10"/>
        <color theme="1"/>
        <rFont val="Arial"/>
      </rPr>
      <t xml:space="preserve">4. </t>
    </r>
    <r>
      <rPr>
        <sz val="10"/>
        <color theme="1"/>
        <rFont val="Arial"/>
      </rPr>
      <t>% of Users Activated in Column I,</t>
    </r>
  </si>
  <si>
    <r>
      <rPr>
        <b/>
        <sz val="10"/>
        <color theme="1"/>
        <rFont val="Arial"/>
      </rPr>
      <t xml:space="preserve">5. </t>
    </r>
    <r>
      <rPr>
        <sz val="10"/>
        <color theme="1"/>
        <rFont val="Arial"/>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</si>
  <si>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</si>
  <si>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</si>
  <si>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</si>
  <si>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</si>
  <si>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</si>
  <si>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</si>
  <si>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</si>
  <si>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</si>
  <si>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</si>
  <si>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</si>
  <si>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</si>
  <si>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</si>
  <si>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There isn't a substantial difference in the setup to Aha! moment delta across industries, but there is variation in the Aha! to Habit moment delta. Activation rates overall don't differ significantly between industries, yet there are three notable exceptions.</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</si>
  <si>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</si>
  <si>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</si>
  <si>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</si>
  <si>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</si>
  <si>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</si>
  <si>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</si>
  <si>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</si>
  <si>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</si>
  <si>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</si>
  <si>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</si>
  <si>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</si>
  <si>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</si>
  <si>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 xml:space="preserve">Technology has the best activation funnel. It is because they have the highest number of users activated and % of users activated as well. </t>
  </si>
  <si>
    <t xml:space="preserve">Transportation has the worst activation funnel. It is because they have the lowest % of users activated and their setup, aha and habit moments are also very low than average. </t>
  </si>
  <si>
    <t xml:space="preserve">Develop strategies for industries where the % of users activated is below average % i.e. 33%. Develop experimentation to refine activation strategies. </t>
  </si>
  <si>
    <r>
      <rPr>
        <b/>
        <sz val="10"/>
        <color theme="1"/>
        <rFont val="Arial"/>
      </rPr>
      <t>Action</t>
    </r>
    <r>
      <rPr>
        <sz val="10"/>
        <color theme="1"/>
        <rFont val="Arial"/>
      </rPr>
      <t xml:space="preserve">: Implement targeted onboarding campaign emphasizing key features for Transportation industry users, utilizing personalized emails, in-app messages, and tutorials to guide them from 'Aha' to 'Habit' moments.
</t>
    </r>
    <r>
      <rPr>
        <b/>
        <sz val="10"/>
        <color theme="1"/>
        <rFont val="Arial"/>
      </rPr>
      <t>Outcome</t>
    </r>
    <r>
      <rPr>
        <sz val="10"/>
        <color theme="1"/>
        <rFont val="Arial"/>
      </rPr>
      <t xml:space="preserve">: Expecting a surge in the percentage of Transportation industry users transitioning from 'Aha' to 'Habit' moments, aiming to surpass current 92% delta and elevate overall habit moment percentage above the current 55%.
</t>
    </r>
    <r>
      <rPr>
        <b/>
        <sz val="10"/>
        <color theme="1"/>
        <rFont val="Arial"/>
      </rPr>
      <t>Theory</t>
    </r>
    <r>
      <rPr>
        <sz val="10"/>
        <color theme="1"/>
        <rFont val="Arial"/>
      </rPr>
      <t>: By addressing specific needs of Transportation industry users post-'Aha' moment with tailored support and guidance, we anticipate fostering deeper product integration into their daily workflows, resulting in heightened engagement and long-term retention.</t>
    </r>
  </si>
  <si>
    <t>Segment Analysis by Company Size for June 2019</t>
  </si>
  <si>
    <t>Company Size</t>
  </si>
  <si>
    <t>New Users</t>
  </si>
  <si>
    <t xml:space="preserve">
The 21-50 employee range boasts the highest percentage of activated users, whereas the 6-10 employee range attracts the largest number of users. Conversely, the 1-5 and 500+ employee size categories perform the poorest in terms of activation.</t>
  </si>
  <si>
    <t>1-5</t>
  </si>
  <si>
    <t>6-10</t>
  </si>
  <si>
    <t>11-20</t>
  </si>
  <si>
    <t>21-50</t>
  </si>
  <si>
    <t>51-100</t>
  </si>
  <si>
    <t>101-250</t>
  </si>
  <si>
    <t>251-500</t>
  </si>
  <si>
    <t>501+</t>
  </si>
  <si>
    <t>What company size has the best activation Funnel? Why?</t>
  </si>
  <si>
    <t>What company size has the worst activation Funnel? Why?</t>
  </si>
  <si>
    <t xml:space="preserve">Company size of 21-50 has the best activation funnel. It is because the % of users activated is the highest and all the three moments are above average. </t>
  </si>
  <si>
    <t xml:space="preserve">Company Size of 1-5 has the worst activation funnel. It is because % of users activated is very low and all the three moments are below average. </t>
  </si>
  <si>
    <t xml:space="preserve">% of users activated who are below average i.e. 30% should improve their activation strategies. </t>
  </si>
  <si>
    <r>
      <rPr>
        <b/>
        <sz val="10"/>
        <color theme="1"/>
        <rFont val="Arial"/>
      </rPr>
      <t>Action</t>
    </r>
    <r>
      <rPr>
        <sz val="10"/>
        <color theme="1"/>
        <rFont val="Arial"/>
      </rPr>
      <t xml:space="preserve">: Create a tailored engagement program for companies with 21-50 employees, offering dedicated support, customized onboarding sessions, and targeted communication on advanced features and best practices. The aim is to transition users from the 'Aha' moment to the 'Habit' moment more effectively.
</t>
    </r>
    <r>
      <rPr>
        <b/>
        <sz val="10"/>
        <color theme="1"/>
        <rFont val="Arial"/>
      </rPr>
      <t>Outcome</t>
    </r>
    <r>
      <rPr>
        <sz val="10"/>
        <color theme="1"/>
        <rFont val="Arial"/>
      </rPr>
      <t xml:space="preserve">:Expect to raise the activation rate from the current 43% in the 21-50 employee segment. By providing focused support, anticipate an increase in habit moment percentages and overall user activation.
</t>
    </r>
    <r>
      <rPr>
        <b/>
        <sz val="10"/>
        <color theme="1"/>
        <rFont val="Arial"/>
      </rPr>
      <t>Theory</t>
    </r>
    <r>
      <rPr>
        <sz val="10"/>
        <color theme="1"/>
        <rFont val="Arial"/>
      </rPr>
      <t>:This intervention is based on the premise that companies with 21-50 employees have distinct operational needs that our product can address. Tailoring engagement to this segment should expedite their realization of the product's value, leading to greater usage and integration into daily operations, resulting in a higher activation rate as it becomes habitual.</t>
    </r>
  </si>
  <si>
    <t>Segment Analysis by Account Size for June 2019</t>
  </si>
  <si>
    <t>Account Size</t>
  </si>
  <si>
    <t xml:space="preserve">The best performing are the customers with 50-100 account size, the worst performing are the customers with 1-2 account size.			
			</t>
  </si>
  <si>
    <t>1 - 2</t>
  </si>
  <si>
    <t>2 - 5</t>
  </si>
  <si>
    <t>5 - 10</t>
  </si>
  <si>
    <t>10 - 20</t>
  </si>
  <si>
    <t>20 - 50</t>
  </si>
  <si>
    <t>50 - 100</t>
  </si>
  <si>
    <t>100+</t>
  </si>
  <si>
    <t>What account size has the best activation Funnel? Why?</t>
  </si>
  <si>
    <t>What account size has the worst activation Funnel? Why?</t>
  </si>
  <si>
    <t xml:space="preserve">Account Size of 50 - 100 has the best activation funnel. It is because % of users activated is highest.  </t>
  </si>
  <si>
    <t xml:space="preserve">Account Size of 1 - 2 has the worst activation funnel. It is because % of users activated is lowest.  </t>
  </si>
  <si>
    <t xml:space="preserve">% of users activated who are below average i.e. 34% should improve their activation strategies. </t>
  </si>
  <si>
    <r>
      <rPr>
        <b/>
        <sz val="10"/>
        <color theme="1"/>
        <rFont val="Arial"/>
      </rPr>
      <t>Action</t>
    </r>
    <r>
      <rPr>
        <sz val="10"/>
        <color theme="1"/>
        <rFont val="Arial"/>
      </rPr>
      <t xml:space="preserve">: Implement a personalized onboarding program for accounts with 10-20 users, focusing on quick wins and early value realization through step-by-step guides, video tutorials, and proactive customer support.
</t>
    </r>
    <r>
      <rPr>
        <b/>
        <sz val="10"/>
        <color theme="1"/>
        <rFont val="Arial"/>
      </rPr>
      <t>Outcome</t>
    </r>
    <r>
      <rPr>
        <sz val="10"/>
        <color theme="1"/>
        <rFont val="Arial"/>
      </rPr>
      <t xml:space="preserve">: Expect to increase the setup moment percentage closer to the average (76%) or higher, subsequently elevating the overall activation rate for this segment above the current 44%.
</t>
    </r>
    <r>
      <rPr>
        <b/>
        <sz val="10"/>
        <color theme="1"/>
        <rFont val="Arial"/>
      </rPr>
      <t>Theory</t>
    </r>
    <r>
      <rPr>
        <sz val="10"/>
        <color theme="1"/>
        <rFont val="Arial"/>
      </rPr>
      <t>: Accounts with 10-20 users hold significant potential but may need additional assistance to realize it swiftly. Tailored onboarding should expedite their understanding and utilization of key features, leading to habitual use and higher activation rates.</t>
    </r>
  </si>
  <si>
    <t>Segment Funnel by Sources for June 2019</t>
  </si>
  <si>
    <t>Source</t>
  </si>
  <si>
    <t xml:space="preserve">The best performing are the user who activated through team invitation. The worst performing source - blog page.			
			</t>
  </si>
  <si>
    <t>Pricing Page</t>
  </si>
  <si>
    <t>Free Trial Page</t>
  </si>
  <si>
    <t>Referral link</t>
  </si>
  <si>
    <t>Team Invitation</t>
  </si>
  <si>
    <t>Blog Page</t>
  </si>
  <si>
    <t>What source has the best activation Funnel? Why?</t>
  </si>
  <si>
    <t>What source has the worst activation Funnel? Why?</t>
  </si>
  <si>
    <t xml:space="preserve">Team Invitation has the best activation funnel. It is because % of users activated is highest.  </t>
  </si>
  <si>
    <t xml:space="preserve">Pricing Page has the worst activation funnel. It is because % of users activated is lowest.  </t>
  </si>
  <si>
    <r>
      <rPr>
        <b/>
        <sz val="10"/>
        <color theme="1"/>
        <rFont val="Arial"/>
      </rPr>
      <t>Action</t>
    </r>
    <r>
      <rPr>
        <sz val="10"/>
        <color theme="1"/>
        <rFont val="Arial"/>
      </rPr>
      <t xml:space="preserve">: Introduce a refined Team Invitation program offering incentives for users to invite their team, coupled with enhanced features or recognition. Provide invited members with targeted onboarding and access to dedicated support to expedite their journey to the Aha moment.
</t>
    </r>
    <r>
      <rPr>
        <b/>
        <sz val="10"/>
        <color theme="1"/>
        <rFont val="Arial"/>
      </rPr>
      <t>Outcome</t>
    </r>
    <r>
      <rPr>
        <sz val="10"/>
        <color theme="1"/>
        <rFont val="Arial"/>
      </rPr>
      <t xml:space="preserve">: Expect an increase in activated users from Team Invitations beyond the current 46%, aiming to boost both setup and Habit moment percentages, reinforcing habitual product use.
</t>
    </r>
    <r>
      <rPr>
        <b/>
        <sz val="10"/>
        <color theme="1"/>
        <rFont val="Arial"/>
      </rPr>
      <t>Theory</t>
    </r>
    <r>
      <rPr>
        <sz val="10"/>
        <color theme="1"/>
        <rFont val="Arial"/>
      </rPr>
      <t>: Users from Team Invitations are likely to have higher initial engagement. By incentivizing and facilitating this behavior, we can leverage social dynamics to drive activation. Targeted onboarding for new invitees ensures early understanding of product value, crucial for long-term activation.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</si>
</sst>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yy"/>
  </numFmts>
  <fonts count="26">
    <font>
      <sz val="10"/>
      <color rgb="FF000000"/>
      <name val="Arial"/>
      <scheme val="minor"/>
    </font>
    <font>
      <sz val="31"/>
      <color rgb="FF000000"/>
      <name val="Arial"/>
    </font>
    <font>
      <sz val="10"/>
      <name val="Arial"/>
    </font>
    <font>
      <sz val="10"/>
      <color theme="1"/>
      <name val="Arial"/>
      <scheme val="minor"/>
    </font>
    <font>
      <u/>
      <sz val="10"/>
      <color rgb="FF0000FF"/>
      <name val="Arial"/>
    </font>
    <font>
      <sz val="10"/>
      <color rgb="FF000000"/>
      <name val="Arial"/>
    </font>
    <font>
      <b/>
      <sz val="10"/>
      <color rgb="FF000000"/>
      <name val="Arial"/>
    </font>
    <font>
      <b/>
      <sz val="10"/>
      <color theme="1"/>
      <name val="Arial"/>
    </font>
    <font>
      <sz val="10"/>
      <color theme="1"/>
      <name val="Arial"/>
    </font>
    <font>
      <sz val="11"/>
      <color rgb="FF222222"/>
      <name val="&quot;Google Sans&quot;"/>
    </font>
    <font>
      <b/>
      <sz val="20"/>
      <color theme="1"/>
      <name val="Arial"/>
    </font>
    <font>
      <b/>
      <sz val="30"/>
      <color theme="1"/>
      <name val="Arial"/>
      <scheme val="minor"/>
    </font>
    <font>
      <b/>
      <u/>
      <sz val="10"/>
      <color rgb="FF0000FF"/>
      <name val="Arial"/>
    </font>
    <font>
      <b/>
      <sz val="10"/>
      <color theme="1"/>
      <name val="Arial"/>
      <scheme val="minor"/>
    </font>
    <font>
      <b/>
      <sz val="30"/>
      <color theme="1"/>
      <name val="Arial"/>
    </font>
    <font>
      <b/>
      <sz val="10"/>
      <color rgb="FFB7B7B7"/>
      <name val="Arial"/>
      <scheme val="minor"/>
    </font>
    <font>
      <sz val="10"/>
      <color rgb="FFB7B7B7"/>
      <name val="Arial"/>
      <scheme val="minor"/>
    </font>
    <font>
      <b/>
      <sz val="10"/>
      <color rgb="FFB7B7B7"/>
      <name val="Arial"/>
    </font>
    <font>
      <sz val="11"/>
      <color rgb="FF000000"/>
      <name val="Arial"/>
    </font>
    <font>
      <b/>
      <sz val="18"/>
      <color theme="1"/>
      <name val="Arial"/>
      <scheme val="minor"/>
    </font>
    <font>
      <sz val="10"/>
      <color theme="1"/>
      <name val="Arial"/>
      <scheme val="minor"/>
    </font>
    <font>
      <b/>
      <sz val="10"/>
      <color rgb="FF000000"/>
      <name val="Open Sans"/>
    </font>
    <font>
      <b/>
      <sz val="10"/>
      <color theme="1"/>
      <name val="Arial"/>
      <scheme val="minor"/>
    </font>
    <font>
      <sz val="10"/>
      <color rgb="FF000000"/>
      <name val="Open Sans"/>
    </font>
    <font>
      <b/>
      <sz val="10"/>
      <color theme="1"/>
      <name val="Open Sans"/>
    </font>
    <font>
      <b/>
      <sz val="10"/>
      <color rgb="FF4285F4"/>
      <name val="Arial"/>
    </font>
  </fonts>
  <fills count="2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34">
    <xf numFmtId="0" fontId="0" fillId="0" borderId="0" xfId="0"/>
    <xf numFmtId="0" fontId="5" fillId="3" borderId="0" xfId="0" applyFont="1" applyFill="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2" borderId="10" xfId="0" applyFont="1" applyFill="1" applyBorder="1" applyAlignment="1">
      <alignment horizontal="center"/>
    </xf>
    <xf numFmtId="0" fontId="7" fillId="2" borderId="10" xfId="0" applyFont="1" applyFill="1" applyBorder="1"/>
    <xf numFmtId="0" fontId="8" fillId="2" borderId="10" xfId="0" applyFont="1" applyFill="1" applyBorder="1"/>
    <xf numFmtId="0" fontId="8" fillId="2" borderId="3" xfId="0" applyFont="1" applyFill="1" applyBorder="1"/>
    <xf numFmtId="0" fontId="8" fillId="0" borderId="11" xfId="0" applyFont="1" applyBorder="1" applyAlignment="1">
      <alignment horizontal="center"/>
    </xf>
    <xf numFmtId="0" fontId="8" fillId="4" borderId="10" xfId="0" applyFont="1" applyFill="1" applyBorder="1"/>
    <xf numFmtId="0" fontId="8" fillId="0" borderId="10" xfId="0" applyFont="1" applyBorder="1"/>
    <xf numFmtId="0" fontId="3" fillId="0" borderId="10" xfId="0" applyFont="1" applyBorder="1" applyAlignment="1">
      <alignment horizontal="center"/>
    </xf>
    <xf numFmtId="0" fontId="8" fillId="2" borderId="10" xfId="0" applyFont="1" applyFill="1" applyBorder="1" applyAlignment="1">
      <alignment horizontal="center"/>
    </xf>
    <xf numFmtId="0" fontId="9" fillId="3" borderId="10" xfId="0" applyFont="1" applyFill="1" applyBorder="1"/>
    <xf numFmtId="0" fontId="8" fillId="0" borderId="0" xfId="0" applyFont="1"/>
    <xf numFmtId="0" fontId="7" fillId="0" borderId="0" xfId="0" applyFont="1" applyAlignment="1">
      <alignment wrapText="1"/>
    </xf>
    <xf numFmtId="0" fontId="6" fillId="5" borderId="0" xfId="0" applyFont="1" applyFill="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3" borderId="10" xfId="0" applyFont="1" applyFill="1" applyBorder="1" applyAlignment="1">
      <alignment horizontal="right"/>
    </xf>
    <xf numFmtId="0" fontId="8" fillId="3" borderId="10" xfId="0" applyFont="1" applyFill="1" applyBorder="1"/>
    <xf numFmtId="10" fontId="8" fillId="5" borderId="10" xfId="0" applyNumberFormat="1" applyFont="1" applyFill="1" applyBorder="1" applyAlignment="1">
      <alignment horizontal="right"/>
    </xf>
    <xf numFmtId="0" fontId="8" fillId="5" borderId="10" xfId="0" applyFont="1" applyFill="1" applyBorder="1" applyAlignment="1">
      <alignment horizontal="center"/>
    </xf>
    <xf numFmtId="0" fontId="8" fillId="5" borderId="10" xfId="0" applyFont="1" applyFill="1" applyBorder="1" applyAlignment="1">
      <alignment horizontal="right" wrapText="1"/>
    </xf>
    <xf numFmtId="0" fontId="5" fillId="5" borderId="10" xfId="0" applyFont="1" applyFill="1" applyBorder="1" applyAlignment="1">
      <alignment vertical="top" wrapText="1"/>
    </xf>
    <xf numFmtId="0" fontId="8" fillId="5" borderId="10" xfId="0" applyFont="1" applyFill="1" applyBorder="1" applyAlignment="1">
      <alignment vertical="top"/>
    </xf>
    <xf numFmtId="0" fontId="5" fillId="5" borderId="10" xfId="0" applyFont="1" applyFill="1" applyBorder="1" applyAlignment="1">
      <alignment wrapText="1"/>
    </xf>
    <xf numFmtId="0" fontId="8" fillId="5" borderId="10" xfId="0" applyFont="1" applyFill="1" applyBorder="1" applyAlignment="1">
      <alignment wrapText="1"/>
    </xf>
    <xf numFmtId="0" fontId="8" fillId="5" borderId="10" xfId="0" applyFont="1" applyFill="1" applyBorder="1"/>
    <xf numFmtId="0" fontId="8" fillId="5" borderId="10" xfId="0" applyFont="1" applyFill="1" applyBorder="1" applyAlignment="1">
      <alignment vertical="top" wrapText="1"/>
    </xf>
    <xf numFmtId="0" fontId="8" fillId="0" borderId="10" xfId="0" applyFont="1" applyBorder="1" applyAlignment="1">
      <alignment horizontal="right"/>
    </xf>
    <xf numFmtId="10" fontId="8" fillId="4" borderId="10" xfId="0" applyNumberFormat="1" applyFont="1" applyFill="1" applyBorder="1" applyAlignment="1">
      <alignment horizontal="right"/>
    </xf>
    <xf numFmtId="0" fontId="8" fillId="4" borderId="10" xfId="0" applyFont="1" applyFill="1" applyBorder="1" applyAlignment="1">
      <alignment horizontal="right" wrapText="1"/>
    </xf>
    <xf numFmtId="0" fontId="8" fillId="4" borderId="11" xfId="0" applyFont="1" applyFill="1" applyBorder="1" applyAlignment="1">
      <alignment vertical="top" wrapText="1"/>
    </xf>
    <xf numFmtId="0" fontId="8" fillId="4" borderId="10" xfId="0" applyFont="1" applyFill="1" applyBorder="1" applyAlignment="1">
      <alignment vertical="top"/>
    </xf>
    <xf numFmtId="0" fontId="8" fillId="4" borderId="10" xfId="0" applyFont="1" applyFill="1" applyBorder="1" applyAlignment="1">
      <alignment vertical="top" wrapText="1"/>
    </xf>
    <xf numFmtId="0" fontId="5" fillId="4" borderId="10" xfId="0" applyFont="1" applyFill="1" applyBorder="1" applyAlignment="1">
      <alignment wrapText="1"/>
    </xf>
    <xf numFmtId="0" fontId="8" fillId="4" borderId="10" xfId="0" applyFont="1" applyFill="1" applyBorder="1" applyAlignment="1">
      <alignment wrapText="1"/>
    </xf>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5" fillId="4" borderId="11" xfId="0" applyFont="1" applyFill="1" applyBorder="1" applyAlignment="1">
      <alignment wrapText="1"/>
    </xf>
    <xf numFmtId="10" fontId="8" fillId="3" borderId="10" xfId="0" applyNumberFormat="1" applyFont="1" applyFill="1" applyBorder="1" applyAlignment="1">
      <alignment horizontal="right"/>
    </xf>
    <xf numFmtId="10" fontId="8" fillId="6" borderId="10" xfId="0" applyNumberFormat="1" applyFont="1" applyFill="1" applyBorder="1" applyAlignment="1">
      <alignment horizontal="right"/>
    </xf>
    <xf numFmtId="0" fontId="8" fillId="0" borderId="11" xfId="0" applyFont="1" applyBorder="1" applyAlignment="1">
      <alignment horizontal="right"/>
    </xf>
    <xf numFmtId="0" fontId="8" fillId="0" borderId="9" xfId="0" applyFont="1" applyBorder="1"/>
    <xf numFmtId="0" fontId="8" fillId="0" borderId="9" xfId="0" applyFont="1" applyBorder="1" applyAlignment="1">
      <alignment horizontal="right"/>
    </xf>
    <xf numFmtId="10" fontId="8" fillId="0" borderId="0" xfId="0" applyNumberFormat="1" applyFont="1"/>
    <xf numFmtId="10" fontId="8" fillId="0" borderId="8" xfId="0" applyNumberFormat="1" applyFont="1" applyBorder="1"/>
    <xf numFmtId="0" fontId="8" fillId="0" borderId="8" xfId="0" applyFont="1" applyBorder="1"/>
    <xf numFmtId="0" fontId="8" fillId="0" borderId="13" xfId="0" applyFont="1" applyBorder="1"/>
    <xf numFmtId="10" fontId="8" fillId="4" borderId="9" xfId="0" applyNumberFormat="1" applyFont="1" applyFill="1" applyBorder="1" applyAlignment="1">
      <alignment horizontal="right"/>
    </xf>
    <xf numFmtId="0" fontId="8" fillId="4" borderId="9" xfId="0" applyFont="1" applyFill="1" applyBorder="1" applyAlignment="1">
      <alignment horizontal="right"/>
    </xf>
    <xf numFmtId="0" fontId="8" fillId="0" borderId="7" xfId="0" applyFont="1" applyBorder="1" applyAlignment="1">
      <alignment horizontal="left" vertical="top"/>
    </xf>
    <xf numFmtId="0" fontId="8" fillId="0" borderId="8"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5" borderId="11" xfId="0" applyFont="1" applyFill="1" applyBorder="1" applyAlignment="1">
      <alignment horizontal="right" wrapText="1"/>
    </xf>
    <xf numFmtId="0" fontId="8" fillId="5" borderId="9" xfId="0" applyFont="1" applyFill="1" applyBorder="1" applyAlignment="1">
      <alignment wrapText="1"/>
    </xf>
    <xf numFmtId="9" fontId="8" fillId="5" borderId="9" xfId="0" applyNumberFormat="1" applyFont="1" applyFill="1" applyBorder="1" applyAlignment="1">
      <alignment horizontal="right" wrapText="1"/>
    </xf>
    <xf numFmtId="0" fontId="8" fillId="5" borderId="9" xfId="0" applyFont="1" applyFill="1" applyBorder="1" applyAlignment="1">
      <alignment horizontal="right" wrapText="1"/>
    </xf>
    <xf numFmtId="2" fontId="8" fillId="5" borderId="9" xfId="0" applyNumberFormat="1" applyFont="1" applyFill="1" applyBorder="1" applyAlignment="1">
      <alignment horizontal="right" wrapText="1"/>
    </xf>
    <xf numFmtId="0" fontId="8" fillId="4" borderId="11" xfId="0" applyFont="1" applyFill="1" applyBorder="1" applyAlignment="1">
      <alignment horizontal="right" wrapText="1"/>
    </xf>
    <xf numFmtId="0" fontId="8" fillId="4" borderId="9" xfId="0" applyFont="1" applyFill="1" applyBorder="1" applyAlignment="1">
      <alignment wrapText="1"/>
    </xf>
    <xf numFmtId="0" fontId="5" fillId="4" borderId="9" xfId="0" applyFont="1" applyFill="1" applyBorder="1"/>
    <xf numFmtId="0" fontId="5" fillId="4" borderId="9" xfId="0" applyFont="1" applyFill="1" applyBorder="1" applyAlignment="1">
      <alignment wrapText="1"/>
    </xf>
    <xf numFmtId="9" fontId="5" fillId="4" borderId="9" xfId="0" applyNumberFormat="1" applyFont="1" applyFill="1" applyBorder="1" applyAlignment="1">
      <alignment horizontal="right"/>
    </xf>
    <xf numFmtId="0" fontId="5" fillId="4" borderId="9" xfId="0" applyFont="1" applyFill="1" applyBorder="1" applyAlignment="1">
      <alignment horizontal="right"/>
    </xf>
    <xf numFmtId="2" fontId="5" fillId="4" borderId="9" xfId="0" applyNumberFormat="1" applyFont="1" applyFill="1" applyBorder="1" applyAlignment="1">
      <alignment horizontal="right"/>
    </xf>
    <xf numFmtId="0" fontId="8" fillId="4" borderId="9" xfId="0" applyFont="1" applyFill="1" applyBorder="1" applyAlignment="1">
      <alignment vertical="top" wrapText="1"/>
    </xf>
    <xf numFmtId="0" fontId="5" fillId="3" borderId="0" xfId="0" applyFont="1" applyFill="1" applyAlignment="1">
      <alignment horizontal="left" wrapText="1"/>
    </xf>
    <xf numFmtId="0" fontId="3" fillId="5" borderId="0" xfId="0" applyFont="1" applyFill="1"/>
    <xf numFmtId="0" fontId="3" fillId="0" borderId="10" xfId="0" applyFont="1" applyBorder="1"/>
    <xf numFmtId="0" fontId="3" fillId="5" borderId="10" xfId="0" applyFont="1" applyFill="1" applyBorder="1"/>
    <xf numFmtId="0" fontId="3" fillId="4" borderId="10" xfId="0" applyFont="1" applyFill="1" applyBorder="1"/>
    <xf numFmtId="0" fontId="7" fillId="0" borderId="0" xfId="0" applyFont="1" applyAlignment="1">
      <alignment horizontal="left" vertical="top" wrapText="1"/>
    </xf>
    <xf numFmtId="0" fontId="13" fillId="0" borderId="0" xfId="0" applyFont="1" applyAlignment="1">
      <alignment horizontal="left" vertical="top" wrapText="1"/>
    </xf>
    <xf numFmtId="0" fontId="6" fillId="3" borderId="0" xfId="0" applyFont="1" applyFill="1" applyAlignment="1">
      <alignment horizontal="left" wrapText="1"/>
    </xf>
    <xf numFmtId="0" fontId="13" fillId="0" borderId="0" xfId="0" applyFont="1" applyAlignment="1">
      <alignment wrapText="1"/>
    </xf>
    <xf numFmtId="0" fontId="15" fillId="2" borderId="0" xfId="0" applyFont="1" applyFill="1" applyAlignment="1">
      <alignment horizontal="center"/>
    </xf>
    <xf numFmtId="0" fontId="15" fillId="2" borderId="0" xfId="0" applyFont="1" applyFill="1" applyAlignment="1">
      <alignment horizontal="left" vertical="top" wrapText="1"/>
    </xf>
    <xf numFmtId="0" fontId="16" fillId="2" borderId="0" xfId="0" applyFont="1" applyFill="1"/>
    <xf numFmtId="0" fontId="17" fillId="2" borderId="0" xfId="0" applyFont="1" applyFill="1" applyAlignment="1">
      <alignment horizontal="left" wrapText="1"/>
    </xf>
    <xf numFmtId="0" fontId="13" fillId="0" borderId="0" xfId="0" applyFont="1" applyAlignment="1">
      <alignment horizontal="center"/>
    </xf>
    <xf numFmtId="0" fontId="7" fillId="6" borderId="10" xfId="0" applyFont="1" applyFill="1" applyBorder="1" applyAlignment="1">
      <alignment horizontal="center"/>
    </xf>
    <xf numFmtId="0" fontId="13" fillId="0" borderId="0" xfId="0" applyFont="1"/>
    <xf numFmtId="0" fontId="7" fillId="3" borderId="10" xfId="0" applyFont="1" applyFill="1" applyBorder="1" applyAlignment="1">
      <alignment horizontal="center" wrapText="1"/>
    </xf>
    <xf numFmtId="0" fontId="7" fillId="3" borderId="10" xfId="0" applyFont="1" applyFill="1" applyBorder="1" applyAlignment="1">
      <alignment wrapText="1"/>
    </xf>
    <xf numFmtId="0" fontId="7" fillId="6" borderId="10" xfId="0" applyFont="1" applyFill="1" applyBorder="1" applyAlignment="1">
      <alignment horizontal="right"/>
    </xf>
    <xf numFmtId="0" fontId="8" fillId="6" borderId="10" xfId="0" applyFont="1" applyFill="1" applyBorder="1" applyAlignment="1">
      <alignment horizontal="right"/>
    </xf>
    <xf numFmtId="0" fontId="18" fillId="6" borderId="10" xfId="0" applyFont="1" applyFill="1" applyBorder="1" applyAlignment="1">
      <alignment horizontal="right"/>
    </xf>
    <xf numFmtId="3" fontId="8" fillId="6" borderId="10" xfId="0" applyNumberFormat="1" applyFont="1" applyFill="1" applyBorder="1" applyAlignment="1">
      <alignment horizontal="right"/>
    </xf>
    <xf numFmtId="9" fontId="8" fillId="5" borderId="10" xfId="0" applyNumberFormat="1" applyFont="1" applyFill="1" applyBorder="1" applyAlignment="1">
      <alignment horizontal="right"/>
    </xf>
    <xf numFmtId="0" fontId="18" fillId="3" borderId="0" xfId="0" applyFont="1" applyFill="1" applyAlignment="1">
      <alignment horizontal="right"/>
    </xf>
    <xf numFmtId="0" fontId="6" fillId="3" borderId="12" xfId="0" applyFont="1" applyFill="1" applyBorder="1" applyAlignment="1">
      <alignment horizontal="left" wrapText="1"/>
    </xf>
    <xf numFmtId="0" fontId="6" fillId="3" borderId="13" xfId="0" applyFont="1" applyFill="1" applyBorder="1" applyAlignment="1">
      <alignment horizontal="left" wrapText="1"/>
    </xf>
    <xf numFmtId="0" fontId="7" fillId="3" borderId="10" xfId="0" applyFont="1" applyFill="1" applyBorder="1" applyAlignment="1">
      <alignment horizontal="right"/>
    </xf>
    <xf numFmtId="3" fontId="8" fillId="3" borderId="10" xfId="0" applyNumberFormat="1" applyFont="1" applyFill="1" applyBorder="1" applyAlignment="1">
      <alignment horizontal="right"/>
    </xf>
    <xf numFmtId="9" fontId="8" fillId="4" borderId="10" xfId="0" applyNumberFormat="1" applyFont="1" applyFill="1" applyBorder="1" applyAlignment="1">
      <alignment horizontal="right"/>
    </xf>
    <xf numFmtId="0" fontId="8" fillId="0" borderId="0" xfId="0" applyFont="1" applyAlignment="1">
      <alignment horizontal="right"/>
    </xf>
    <xf numFmtId="0" fontId="13" fillId="0" borderId="0" xfId="0" applyFont="1" applyAlignment="1">
      <alignment horizontal="right"/>
    </xf>
    <xf numFmtId="0" fontId="7" fillId="2" borderId="10" xfId="0" applyFont="1" applyFill="1" applyBorder="1" applyAlignment="1">
      <alignment horizontal="center" wrapText="1"/>
    </xf>
    <xf numFmtId="0" fontId="7" fillId="2" borderId="10" xfId="0" applyFont="1" applyFill="1" applyBorder="1" applyAlignment="1">
      <alignment wrapText="1"/>
    </xf>
    <xf numFmtId="0" fontId="7" fillId="0" borderId="10" xfId="0" applyFont="1" applyBorder="1" applyAlignment="1">
      <alignment horizontal="right"/>
    </xf>
    <xf numFmtId="0" fontId="18" fillId="3" borderId="10" xfId="0" applyFont="1" applyFill="1" applyBorder="1" applyAlignment="1">
      <alignment horizontal="right"/>
    </xf>
    <xf numFmtId="3" fontId="8" fillId="0" borderId="10" xfId="0" applyNumberFormat="1" applyFont="1" applyBorder="1" applyAlignment="1">
      <alignment horizontal="right"/>
    </xf>
    <xf numFmtId="0" fontId="3" fillId="0" borderId="0" xfId="0" applyFont="1" applyAlignment="1">
      <alignment horizontal="right"/>
    </xf>
    <xf numFmtId="0" fontId="3" fillId="0" borderId="0" xfId="0" applyFont="1"/>
    <xf numFmtId="0" fontId="13" fillId="0" borderId="0" xfId="0" applyFont="1" applyAlignment="1">
      <alignment horizontal="center" wrapText="1"/>
    </xf>
    <xf numFmtId="0" fontId="3" fillId="0" borderId="0" xfId="0" applyFont="1" applyAlignment="1">
      <alignment wrapText="1"/>
    </xf>
    <xf numFmtId="9" fontId="7" fillId="5" borderId="10" xfId="0" applyNumberFormat="1" applyFont="1" applyFill="1" applyBorder="1" applyAlignment="1">
      <alignment horizontal="right"/>
    </xf>
    <xf numFmtId="3" fontId="8" fillId="0" borderId="0" xfId="0" applyNumberFormat="1" applyFont="1" applyAlignment="1">
      <alignment horizontal="right"/>
    </xf>
    <xf numFmtId="9" fontId="8" fillId="0" borderId="0" xfId="0" applyNumberFormat="1" applyFont="1" applyAlignment="1">
      <alignment horizontal="right"/>
    </xf>
    <xf numFmtId="0" fontId="11" fillId="2" borderId="0" xfId="0" applyFont="1" applyFill="1" applyAlignment="1">
      <alignment horizontal="center"/>
    </xf>
    <xf numFmtId="0" fontId="19" fillId="2" borderId="0" xfId="0" applyFont="1" applyFill="1" applyAlignment="1">
      <alignment horizontal="center"/>
    </xf>
    <xf numFmtId="0" fontId="7" fillId="5" borderId="0" xfId="0" applyFont="1" applyFill="1" applyAlignment="1">
      <alignment horizontal="left" vertical="top" wrapText="1"/>
    </xf>
    <xf numFmtId="0" fontId="5" fillId="5" borderId="0" xfId="0" applyFont="1" applyFill="1" applyAlignment="1">
      <alignment horizontal="left" wrapText="1"/>
    </xf>
    <xf numFmtId="0" fontId="3" fillId="3" borderId="0" xfId="0" applyFont="1" applyFill="1" applyAlignment="1">
      <alignment horizontal="left" wrapText="1"/>
    </xf>
    <xf numFmtId="0" fontId="13" fillId="2" borderId="0" xfId="0" applyFont="1" applyFill="1" applyAlignment="1">
      <alignment horizontal="center"/>
    </xf>
    <xf numFmtId="0" fontId="8" fillId="5" borderId="0" xfId="0" applyFont="1" applyFill="1" applyAlignment="1">
      <alignment horizontal="center"/>
    </xf>
    <xf numFmtId="0" fontId="8" fillId="4" borderId="0" xfId="0" applyFont="1" applyFill="1" applyAlignment="1">
      <alignment horizontal="left" vertical="top" wrapText="1"/>
    </xf>
    <xf numFmtId="0" fontId="6" fillId="5" borderId="0" xfId="0" applyFont="1" applyFill="1" applyAlignment="1">
      <alignment horizontal="left" wrapText="1"/>
    </xf>
    <xf numFmtId="0" fontId="8" fillId="5" borderId="0" xfId="0" applyFont="1" applyFill="1" applyAlignment="1">
      <alignment horizontal="center" wrapText="1"/>
    </xf>
    <xf numFmtId="0" fontId="8" fillId="3" borderId="0" xfId="0" applyFont="1" applyFill="1" applyAlignment="1">
      <alignment horizontal="center" wrapText="1"/>
    </xf>
    <xf numFmtId="0" fontId="20" fillId="0" borderId="0" xfId="0" applyFont="1"/>
    <xf numFmtId="0" fontId="22" fillId="0" borderId="0" xfId="0" applyFont="1" applyAlignment="1">
      <alignment horizontal="center" vertical="center"/>
    </xf>
    <xf numFmtId="0" fontId="21" fillId="2" borderId="10" xfId="0" applyFont="1" applyFill="1" applyBorder="1" applyAlignment="1">
      <alignment horizontal="center" wrapText="1"/>
    </xf>
    <xf numFmtId="0" fontId="21" fillId="9" borderId="10" xfId="0" applyFont="1" applyFill="1" applyBorder="1" applyAlignment="1">
      <alignment horizontal="center"/>
    </xf>
    <xf numFmtId="3" fontId="21" fillId="9" borderId="10" xfId="0" applyNumberFormat="1" applyFont="1" applyFill="1" applyBorder="1" applyAlignment="1">
      <alignment horizontal="center"/>
    </xf>
    <xf numFmtId="1" fontId="21" fillId="9" borderId="10" xfId="0" applyNumberFormat="1" applyFont="1" applyFill="1" applyBorder="1" applyAlignment="1">
      <alignment horizontal="center"/>
    </xf>
    <xf numFmtId="0" fontId="23" fillId="9" borderId="10" xfId="0" applyFont="1" applyFill="1" applyBorder="1" applyAlignment="1">
      <alignment horizontal="center"/>
    </xf>
    <xf numFmtId="3" fontId="23" fillId="9" borderId="10" xfId="0" applyNumberFormat="1" applyFont="1" applyFill="1" applyBorder="1" applyAlignment="1">
      <alignment horizontal="center"/>
    </xf>
    <xf numFmtId="9" fontId="23" fillId="10" borderId="10" xfId="0" applyNumberFormat="1" applyFont="1" applyFill="1" applyBorder="1" applyAlignment="1">
      <alignment horizontal="center"/>
    </xf>
    <xf numFmtId="9" fontId="23" fillId="8" borderId="10" xfId="0" applyNumberFormat="1" applyFont="1" applyFill="1" applyBorder="1" applyAlignment="1">
      <alignment horizontal="center"/>
    </xf>
    <xf numFmtId="9" fontId="23" fillId="11" borderId="10" xfId="0" applyNumberFormat="1" applyFont="1" applyFill="1" applyBorder="1" applyAlignment="1">
      <alignment horizontal="center"/>
    </xf>
    <xf numFmtId="9" fontId="23" fillId="12" borderId="10" xfId="0" applyNumberFormat="1" applyFont="1" applyFill="1" applyBorder="1" applyAlignment="1">
      <alignment horizontal="center"/>
    </xf>
    <xf numFmtId="1" fontId="20" fillId="8" borderId="10" xfId="0" applyNumberFormat="1" applyFont="1" applyFill="1" applyBorder="1" applyAlignment="1">
      <alignment horizontal="center"/>
    </xf>
    <xf numFmtId="9" fontId="20" fillId="8" borderId="10" xfId="0" applyNumberFormat="1" applyFont="1" applyFill="1" applyBorder="1" applyAlignment="1">
      <alignment horizontal="center"/>
    </xf>
    <xf numFmtId="9" fontId="23" fillId="13" borderId="10" xfId="0" applyNumberFormat="1" applyFont="1" applyFill="1" applyBorder="1" applyAlignment="1">
      <alignment horizontal="center"/>
    </xf>
    <xf numFmtId="9" fontId="20" fillId="4" borderId="10" xfId="0" applyNumberFormat="1" applyFont="1" applyFill="1" applyBorder="1" applyAlignment="1">
      <alignment horizontal="center"/>
    </xf>
    <xf numFmtId="9" fontId="23" fillId="14" borderId="10" xfId="0" applyNumberFormat="1" applyFont="1" applyFill="1" applyBorder="1" applyAlignment="1">
      <alignment horizontal="center"/>
    </xf>
    <xf numFmtId="9" fontId="23" fillId="15" borderId="10" xfId="0" applyNumberFormat="1" applyFont="1" applyFill="1" applyBorder="1" applyAlignment="1">
      <alignment horizontal="center"/>
    </xf>
    <xf numFmtId="1" fontId="20" fillId="4" borderId="10" xfId="0" applyNumberFormat="1" applyFont="1" applyFill="1" applyBorder="1" applyAlignment="1">
      <alignment horizontal="center"/>
    </xf>
    <xf numFmtId="9" fontId="23" fillId="16" borderId="10" xfId="0" applyNumberFormat="1" applyFont="1" applyFill="1" applyBorder="1" applyAlignment="1">
      <alignment horizontal="center"/>
    </xf>
    <xf numFmtId="9" fontId="23" fillId="17" borderId="10" xfId="0" applyNumberFormat="1" applyFont="1" applyFill="1" applyBorder="1" applyAlignment="1">
      <alignment horizontal="center"/>
    </xf>
    <xf numFmtId="9" fontId="23" fillId="18" borderId="10" xfId="0" applyNumberFormat="1" applyFont="1" applyFill="1" applyBorder="1" applyAlignment="1">
      <alignment horizontal="center"/>
    </xf>
    <xf numFmtId="9" fontId="23" fillId="19" borderId="10" xfId="0" applyNumberFormat="1" applyFont="1" applyFill="1" applyBorder="1" applyAlignment="1">
      <alignment horizontal="center"/>
    </xf>
    <xf numFmtId="9" fontId="23" fillId="20" borderId="10" xfId="0" applyNumberFormat="1" applyFont="1" applyFill="1" applyBorder="1" applyAlignment="1">
      <alignment horizontal="center"/>
    </xf>
    <xf numFmtId="9" fontId="23" fillId="21" borderId="10" xfId="0" applyNumberFormat="1" applyFont="1" applyFill="1" applyBorder="1" applyAlignment="1">
      <alignment horizontal="center"/>
    </xf>
    <xf numFmtId="9" fontId="23" fillId="22" borderId="10" xfId="0" applyNumberFormat="1" applyFont="1" applyFill="1" applyBorder="1" applyAlignment="1">
      <alignment horizontal="center"/>
    </xf>
    <xf numFmtId="9" fontId="23" fillId="23" borderId="10" xfId="0" applyNumberFormat="1" applyFont="1" applyFill="1" applyBorder="1" applyAlignment="1">
      <alignment horizontal="center"/>
    </xf>
    <xf numFmtId="9" fontId="23" fillId="24" borderId="10" xfId="0" applyNumberFormat="1" applyFont="1" applyFill="1" applyBorder="1" applyAlignment="1">
      <alignment horizontal="center"/>
    </xf>
    <xf numFmtId="164" fontId="21" fillId="9" borderId="10" xfId="0" applyNumberFormat="1" applyFont="1" applyFill="1" applyBorder="1" applyAlignment="1">
      <alignment horizontal="center"/>
    </xf>
    <xf numFmtId="3" fontId="24" fillId="9" borderId="10" xfId="0" applyNumberFormat="1" applyFont="1" applyFill="1" applyBorder="1" applyAlignment="1">
      <alignment horizontal="center"/>
    </xf>
    <xf numFmtId="9" fontId="24" fillId="9" borderId="10" xfId="0" applyNumberFormat="1" applyFont="1" applyFill="1" applyBorder="1" applyAlignment="1">
      <alignment horizontal="center"/>
    </xf>
    <xf numFmtId="0" fontId="3" fillId="0" borderId="1" xfId="0" applyFont="1" applyBorder="1" applyAlignment="1">
      <alignment vertical="top" wrapText="1"/>
    </xf>
    <xf numFmtId="0" fontId="2" fillId="0" borderId="2" xfId="0" applyFont="1" applyBorder="1"/>
    <xf numFmtId="0" fontId="2" fillId="0" borderId="3" xfId="0" applyFont="1" applyBorder="1"/>
    <xf numFmtId="0" fontId="6" fillId="3" borderId="1" xfId="0" applyFont="1" applyFill="1" applyBorder="1" applyAlignment="1">
      <alignment horizontal="left" wrapText="1"/>
    </xf>
    <xf numFmtId="0" fontId="1" fillId="2" borderId="1" xfId="0" applyFont="1" applyFill="1" applyBorder="1" applyAlignment="1">
      <alignment horizontal="right"/>
    </xf>
    <xf numFmtId="0" fontId="3" fillId="0" borderId="4" xfId="0" applyFont="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1" xfId="0" applyFont="1" applyBorder="1" applyAlignment="1">
      <alignment vertical="top" wrapText="1"/>
    </xf>
    <xf numFmtId="0" fontId="5" fillId="3" borderId="8" xfId="0" applyFont="1" applyFill="1" applyBorder="1" applyAlignment="1">
      <alignment horizontal="left" wrapText="1"/>
    </xf>
    <xf numFmtId="0" fontId="5" fillId="4" borderId="1" xfId="0" applyFont="1" applyFill="1" applyBorder="1" applyAlignment="1">
      <alignment vertical="top" wrapText="1"/>
    </xf>
    <xf numFmtId="0" fontId="7" fillId="0" borderId="7" xfId="0" applyFont="1" applyBorder="1" applyAlignment="1">
      <alignment horizontal="left" vertical="top" wrapText="1"/>
    </xf>
    <xf numFmtId="0" fontId="7" fillId="2" borderId="1" xfId="0" applyFont="1" applyFill="1" applyBorder="1" applyAlignment="1">
      <alignment horizontal="center" vertical="center" wrapText="1"/>
    </xf>
    <xf numFmtId="0" fontId="5" fillId="5" borderId="1" xfId="0" applyFont="1" applyFill="1" applyBorder="1" applyAlignment="1">
      <alignment vertical="top" wrapText="1"/>
    </xf>
    <xf numFmtId="0" fontId="8" fillId="4" borderId="1" xfId="0" applyFont="1" applyFill="1" applyBorder="1" applyAlignment="1">
      <alignment vertical="top" wrapText="1"/>
    </xf>
    <xf numFmtId="0" fontId="8" fillId="0" borderId="12" xfId="0" applyFont="1" applyBorder="1" applyAlignment="1">
      <alignment vertical="top" wrapText="1"/>
    </xf>
    <xf numFmtId="0" fontId="0" fillId="0" borderId="0" xfId="0"/>
    <xf numFmtId="0" fontId="2" fillId="0" borderId="13" xfId="0" applyFont="1" applyBorder="1"/>
    <xf numFmtId="0" fontId="7" fillId="0" borderId="12" xfId="0" applyFont="1" applyBorder="1" applyAlignment="1">
      <alignment vertical="top" wrapText="1"/>
    </xf>
    <xf numFmtId="0" fontId="7" fillId="0" borderId="12" xfId="0" applyFont="1" applyBorder="1" applyAlignment="1">
      <alignment horizontal="left" vertical="top" wrapText="1"/>
    </xf>
    <xf numFmtId="0" fontId="7" fillId="0" borderId="1" xfId="0" applyFont="1" applyBorder="1" applyAlignment="1">
      <alignment vertical="top" wrapText="1"/>
    </xf>
    <xf numFmtId="0" fontId="7" fillId="0" borderId="4" xfId="0" applyFont="1" applyBorder="1" applyAlignment="1">
      <alignment vertical="top" wrapText="1"/>
    </xf>
    <xf numFmtId="0" fontId="10" fillId="2" borderId="4" xfId="0" applyFont="1" applyFill="1" applyBorder="1" applyAlignment="1">
      <alignment horizontal="center"/>
    </xf>
    <xf numFmtId="0" fontId="8" fillId="0" borderId="12" xfId="0" applyFont="1" applyBorder="1" applyAlignment="1">
      <alignment horizontal="left" vertical="top"/>
    </xf>
    <xf numFmtId="0" fontId="7" fillId="0" borderId="4" xfId="0" applyFont="1" applyBorder="1" applyAlignment="1">
      <alignment horizontal="left" vertical="top" wrapText="1"/>
    </xf>
    <xf numFmtId="0" fontId="12" fillId="0" borderId="4" xfId="0" applyFont="1" applyBorder="1" applyAlignment="1">
      <alignment horizontal="left" vertical="top" wrapText="1"/>
    </xf>
    <xf numFmtId="0" fontId="3" fillId="3" borderId="1" xfId="0" applyFont="1" applyFill="1" applyBorder="1" applyAlignment="1">
      <alignment horizontal="left" wrapText="1"/>
    </xf>
    <xf numFmtId="0" fontId="13" fillId="2" borderId="1" xfId="0" applyFont="1" applyFill="1" applyBorder="1" applyAlignment="1">
      <alignment horizontal="center"/>
    </xf>
    <xf numFmtId="0" fontId="5" fillId="3" borderId="0" xfId="0" applyFont="1" applyFill="1" applyAlignment="1">
      <alignment horizontal="left" wrapText="1"/>
    </xf>
    <xf numFmtId="0" fontId="5" fillId="3" borderId="1" xfId="0" applyFont="1" applyFill="1" applyBorder="1" applyAlignment="1">
      <alignment horizontal="left" wrapText="1"/>
    </xf>
    <xf numFmtId="0" fontId="3" fillId="3" borderId="12" xfId="0" applyFont="1" applyFill="1" applyBorder="1" applyAlignment="1">
      <alignment horizontal="left" wrapText="1"/>
    </xf>
    <xf numFmtId="0" fontId="11" fillId="2" borderId="1" xfId="0" applyFont="1" applyFill="1" applyBorder="1" applyAlignment="1">
      <alignment horizontal="center"/>
    </xf>
    <xf numFmtId="0" fontId="7" fillId="0" borderId="1" xfId="0" applyFont="1" applyBorder="1" applyAlignment="1">
      <alignment horizontal="left" vertical="top" wrapText="1"/>
    </xf>
    <xf numFmtId="0" fontId="6" fillId="3" borderId="14" xfId="0" applyFont="1" applyFill="1" applyBorder="1" applyAlignment="1">
      <alignment horizontal="left" wrapText="1"/>
    </xf>
    <xf numFmtId="0" fontId="2" fillId="0" borderId="15" xfId="0" applyFont="1" applyBorder="1"/>
    <xf numFmtId="0" fontId="2" fillId="0" borderId="11" xfId="0" applyFont="1" applyBorder="1"/>
    <xf numFmtId="0" fontId="3" fillId="4" borderId="4" xfId="0" applyFont="1" applyFill="1" applyBorder="1" applyAlignment="1">
      <alignment wrapText="1"/>
    </xf>
    <xf numFmtId="0" fontId="2" fillId="0" borderId="12" xfId="0" applyFont="1" applyBorder="1"/>
    <xf numFmtId="0" fontId="13" fillId="4" borderId="4" xfId="0" applyFont="1" applyFill="1" applyBorder="1" applyAlignment="1">
      <alignment horizontal="left" vertical="top" wrapText="1"/>
    </xf>
    <xf numFmtId="0" fontId="6" fillId="3" borderId="4" xfId="0" applyFont="1" applyFill="1" applyBorder="1" applyAlignment="1">
      <alignment horizontal="left" wrapText="1"/>
    </xf>
    <xf numFmtId="0" fontId="3" fillId="4" borderId="14" xfId="0" applyFont="1" applyFill="1" applyBorder="1" applyAlignment="1">
      <alignment vertical="top" wrapText="1"/>
    </xf>
    <xf numFmtId="0" fontId="3" fillId="4" borderId="4" xfId="0" applyFont="1" applyFill="1" applyBorder="1" applyAlignment="1">
      <alignment vertical="top" wrapText="1"/>
    </xf>
    <xf numFmtId="0" fontId="5" fillId="4" borderId="14" xfId="0" applyFont="1" applyFill="1" applyBorder="1" applyAlignment="1">
      <alignment wrapText="1"/>
    </xf>
    <xf numFmtId="0" fontId="8" fillId="4" borderId="14" xfId="0" applyFont="1" applyFill="1" applyBorder="1" applyAlignment="1">
      <alignment horizontal="left" vertical="top" wrapText="1"/>
    </xf>
    <xf numFmtId="0" fontId="13" fillId="0" borderId="4" xfId="0" applyFont="1" applyBorder="1" applyAlignment="1">
      <alignment horizontal="center"/>
    </xf>
    <xf numFmtId="0" fontId="7" fillId="2" borderId="1" xfId="0" applyFont="1" applyFill="1" applyBorder="1" applyAlignment="1">
      <alignment horizontal="center"/>
    </xf>
    <xf numFmtId="0" fontId="13" fillId="0" borderId="12" xfId="0" applyFont="1" applyBorder="1" applyAlignment="1">
      <alignment wrapText="1"/>
    </xf>
    <xf numFmtId="0" fontId="13" fillId="0" borderId="7" xfId="0" applyFont="1" applyBorder="1" applyAlignment="1">
      <alignment wrapText="1"/>
    </xf>
    <xf numFmtId="0" fontId="13" fillId="5" borderId="0" xfId="0" applyFont="1" applyFill="1" applyAlignment="1">
      <alignment wrapText="1"/>
    </xf>
    <xf numFmtId="0" fontId="2" fillId="7" borderId="2" xfId="0" applyFont="1" applyFill="1" applyBorder="1"/>
    <xf numFmtId="0" fontId="2" fillId="7" borderId="3" xfId="0" applyFont="1" applyFill="1" applyBorder="1"/>
    <xf numFmtId="0" fontId="7"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13" fillId="0" borderId="4" xfId="0" applyFont="1" applyBorder="1" applyAlignment="1">
      <alignment wrapText="1"/>
    </xf>
    <xf numFmtId="0" fontId="7" fillId="6" borderId="1" xfId="0" applyFont="1" applyFill="1" applyBorder="1" applyAlignment="1">
      <alignment horizontal="center"/>
    </xf>
    <xf numFmtId="0" fontId="2" fillId="6" borderId="2" xfId="0" applyFont="1" applyFill="1" applyBorder="1"/>
    <xf numFmtId="0" fontId="2" fillId="6" borderId="3" xfId="0" applyFont="1" applyFill="1" applyBorder="1"/>
    <xf numFmtId="0" fontId="14" fillId="2" borderId="1" xfId="0" applyFont="1" applyFill="1" applyBorder="1" applyAlignment="1">
      <alignment horizontal="center"/>
    </xf>
    <xf numFmtId="0" fontId="8" fillId="4" borderId="4" xfId="0" applyFont="1" applyFill="1" applyBorder="1" applyAlignment="1">
      <alignment vertical="top" wrapText="1"/>
    </xf>
    <xf numFmtId="0" fontId="13" fillId="0" borderId="1" xfId="0" applyFont="1" applyBorder="1" applyAlignment="1">
      <alignment wrapText="1"/>
    </xf>
    <xf numFmtId="0" fontId="7" fillId="0" borderId="4" xfId="0" applyFont="1" applyBorder="1"/>
    <xf numFmtId="0" fontId="3" fillId="0" borderId="1" xfId="0" applyFont="1" applyBorder="1" applyAlignment="1">
      <alignment wrapText="1"/>
    </xf>
    <xf numFmtId="0" fontId="13" fillId="5" borderId="0" xfId="0" applyFont="1" applyFill="1" applyAlignment="1">
      <alignment horizontal="left"/>
    </xf>
    <xf numFmtId="0" fontId="13" fillId="2" borderId="4" xfId="0" applyFont="1" applyFill="1" applyBorder="1" applyAlignment="1">
      <alignment horizontal="center" vertical="center" wrapText="1"/>
    </xf>
    <xf numFmtId="0" fontId="20" fillId="4" borderId="4" xfId="0" applyFont="1" applyFill="1" applyBorder="1" applyAlignment="1">
      <alignment horizontal="left" vertical="top" wrapText="1"/>
    </xf>
    <xf numFmtId="0" fontId="22" fillId="2" borderId="14" xfId="0" applyFont="1" applyFill="1" applyBorder="1" applyAlignment="1">
      <alignment horizontal="center" wrapText="1"/>
    </xf>
    <xf numFmtId="0" fontId="6" fillId="2" borderId="14" xfId="0" applyFont="1" applyFill="1" applyBorder="1" applyAlignment="1">
      <alignment horizontal="center" wrapText="1"/>
    </xf>
    <xf numFmtId="0" fontId="20" fillId="0" borderId="4" xfId="0" applyFont="1" applyBorder="1" applyAlignment="1">
      <alignment vertical="top" wrapText="1"/>
    </xf>
    <xf numFmtId="0" fontId="21" fillId="2" borderId="1" xfId="0" applyFont="1" applyFill="1" applyBorder="1" applyAlignment="1">
      <alignment horizontal="center"/>
    </xf>
    <xf numFmtId="0" fontId="13" fillId="8" borderId="0" xfId="0" applyFont="1" applyFill="1" applyAlignment="1">
      <alignment horizontal="left"/>
    </xf>
    <xf numFmtId="0" fontId="22" fillId="0" borderId="0" xfId="0" applyFont="1" applyAlignment="1">
      <alignment horizontal="center" vertical="center"/>
    </xf>
  </cellXfs>
  <cellStyles count="1">
    <cellStyle name="Normal" xfId="0" builtinId="0"/>
  </cellStyles>
  <dxfs count="3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2">
    <tableStyle name="Tab 8 - Segment Analysis-style" pivot="0" count="3" xr9:uid="{00000000-0011-0000-FFFF-FFFF00000000}">
      <tableStyleElement type="headerRow" dxfId="35"/>
      <tableStyleElement type="firstRowStripe" dxfId="34"/>
      <tableStyleElement type="secondRowStripe" dxfId="33"/>
    </tableStyle>
    <tableStyle name="Tab 8 - Segment Analysis-style 2" pivot="0" count="3" xr9:uid="{00000000-0011-0000-FFFF-FFFF01000000}">
      <tableStyleElement type="headerRow" dxfId="32"/>
      <tableStyleElement type="firstRowStripe" dxfId="31"/>
      <tableStyleElement type="secondRowStripe" dxfId="30"/>
    </tableStyle>
    <tableStyle name="Tab 8 - Segment Analysis-style 3" pivot="0" count="3" xr9:uid="{00000000-0011-0000-FFFF-FFFF02000000}">
      <tableStyleElement type="headerRow" dxfId="29"/>
      <tableStyleElement type="firstRowStripe" dxfId="28"/>
      <tableStyleElement type="secondRowStripe" dxfId="27"/>
    </tableStyle>
    <tableStyle name="Tab 8 - Segment Analysis-style 4" pivot="0" count="3" xr9:uid="{00000000-0011-0000-FFFF-FFFF03000000}">
      <tableStyleElement type="headerRow" dxfId="26"/>
      <tableStyleElement type="firstRowStripe" dxfId="25"/>
      <tableStyleElement type="secondRowStripe" dxfId="24"/>
    </tableStyle>
    <tableStyle name="Tab 8 - Segment Analysis-style 5" pivot="0" count="3" xr9:uid="{00000000-0011-0000-FFFF-FFFF04000000}">
      <tableStyleElement type="headerRow" dxfId="23"/>
      <tableStyleElement type="firstRowStripe" dxfId="22"/>
      <tableStyleElement type="secondRowStripe" dxfId="21"/>
    </tableStyle>
    <tableStyle name="Tab 8 - Segment Analysis-style 6" pivot="0" count="3" xr9:uid="{00000000-0011-0000-FFFF-FFFF05000000}">
      <tableStyleElement type="headerRow" dxfId="20"/>
      <tableStyleElement type="firstRowStripe" dxfId="19"/>
      <tableStyleElement type="secondRowStripe" dxfId="18"/>
    </tableStyle>
    <tableStyle name="Tab 8 - Segment Analysis-style 7" pivot="0" count="3" xr9:uid="{00000000-0011-0000-FFFF-FFFF06000000}">
      <tableStyleElement type="headerRow" dxfId="17"/>
      <tableStyleElement type="firstRowStripe" dxfId="16"/>
      <tableStyleElement type="secondRowStripe" dxfId="15"/>
    </tableStyle>
    <tableStyle name="Tab 8 - Segment Analysis-style 8" pivot="0" count="3" xr9:uid="{00000000-0011-0000-FFFF-FFFF07000000}">
      <tableStyleElement type="headerRow" dxfId="14"/>
      <tableStyleElement type="firstRowStripe" dxfId="13"/>
      <tableStyleElement type="secondRowStripe" dxfId="12"/>
    </tableStyle>
    <tableStyle name="Tab 8 - Segment Analysis-style 9" pivot="0" count="3" xr9:uid="{00000000-0011-0000-FFFF-FFFF08000000}">
      <tableStyleElement type="headerRow" dxfId="11"/>
      <tableStyleElement type="firstRowStripe" dxfId="10"/>
      <tableStyleElement type="secondRowStripe" dxfId="9"/>
    </tableStyle>
    <tableStyle name="Tab 8 - Segment Analysis-style 10" pivot="0" count="3" xr9:uid="{00000000-0011-0000-FFFF-FFFF09000000}">
      <tableStyleElement type="headerRow" dxfId="8"/>
      <tableStyleElement type="firstRowStripe" dxfId="7"/>
      <tableStyleElement type="secondRowStripe" dxfId="6"/>
    </tableStyle>
    <tableStyle name="Tab 8 - Segment Analysis-style 11" pivot="0" count="3" xr9:uid="{00000000-0011-0000-FFFF-FFFF0A000000}">
      <tableStyleElement type="headerRow" dxfId="5"/>
      <tableStyleElement type="firstRowStripe" dxfId="4"/>
      <tableStyleElement type="secondRowStripe" dxfId="3"/>
    </tableStyle>
    <tableStyle name="Tab 8 - Segment Analysis-style 12" pivot="0" count="3" xr9:uid="{00000000-0011-0000-FFFF-FFFF0B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(log-ins)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Metric'!$F$26:$F$29</c:f>
              <c:strCache>
                <c:ptCount val="4"/>
                <c:pt idx="0">
                  <c:v>Habit Moment 2: Only use Slack for internal messages, not email                                        </c:v>
                </c:pt>
                <c:pt idx="1">
                  <c:v>Habit Metric 2: # of sessions (log-ins) per day</c:v>
                </c:pt>
                <c:pt idx="2">
                  <c:v>User</c:v>
                </c:pt>
                <c:pt idx="3">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4 - Habit Moment and Metric'!$A$30:$A$36</c:f>
              <c:strCache>
                <c:ptCount val="7"/>
                <c:pt idx="0">
                  <c:v>1+</c:v>
                </c:pt>
                <c:pt idx="1">
                  <c:v>2+</c:v>
                </c:pt>
                <c:pt idx="2">
                  <c:v>3+</c:v>
                </c:pt>
                <c:pt idx="3">
                  <c:v>4+</c:v>
                </c:pt>
                <c:pt idx="4">
                  <c:v>5+</c:v>
                </c:pt>
                <c:pt idx="5">
                  <c:v>6+</c:v>
                </c:pt>
                <c:pt idx="6">
                  <c:v>7+</c:v>
                </c:pt>
              </c:strCache>
            </c:strRef>
          </c:cat>
          <c:val>
            <c:numRef>
              <c:f>'Tab 4 - Habit Moment and Metric'!$F$30:$F$36</c:f>
              <c:numCache>
                <c:formatCode>0%</c:formatCode>
                <c:ptCount val="7"/>
                <c:pt idx="0">
                  <c:v>0.34953703703703703</c:v>
                </c:pt>
                <c:pt idx="1">
                  <c:v>0.40169332079021636</c:v>
                </c:pt>
                <c:pt idx="2">
                  <c:v>0.45274725274725275</c:v>
                </c:pt>
                <c:pt idx="3">
                  <c:v>0.45432692307692307</c:v>
                </c:pt>
                <c:pt idx="4">
                  <c:v>0.43833943833943834</c:v>
                </c:pt>
                <c:pt idx="5">
                  <c:v>0.44606413994169097</c:v>
                </c:pt>
                <c:pt idx="6">
                  <c:v>0.4264487369985141</c:v>
                </c:pt>
              </c:numCache>
            </c:numRef>
          </c:val>
          <c:smooth val="0"/>
          <c:extLst>
            <c:ext xmlns:c16="http://schemas.microsoft.com/office/drawing/2014/chart" uri="{C3380CC4-5D6E-409C-BE32-E72D297353CC}">
              <c16:uniqueId val="{00000000-CEA5-4694-AB55-4C486E0B40C8}"/>
            </c:ext>
          </c:extLst>
        </c:ser>
        <c:dLbls>
          <c:showLegendKey val="0"/>
          <c:showVal val="0"/>
          <c:showCatName val="0"/>
          <c:showSerName val="0"/>
          <c:showPercent val="0"/>
          <c:showBubbleSize val="0"/>
        </c:dLbls>
        <c:smooth val="0"/>
        <c:axId val="1339457357"/>
        <c:axId val="1900049296"/>
      </c:lineChart>
      <c:catAx>
        <c:axId val="133945735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(log-ins)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049296"/>
        <c:crosses val="autoZero"/>
        <c:auto val="1"/>
        <c:lblAlgn val="ctr"/>
        <c:lblOffset val="100"/>
        <c:noMultiLvlLbl val="1"/>
      </c:catAx>
      <c:valAx>
        <c:axId val="19000492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45735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Messages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4 - Habit Moment and Metric'!$F$38:$F$41</c:f>
              <c:strCache>
                <c:ptCount val="4"/>
                <c:pt idx="0">
                  <c:v>Habit Moment 3: Checking a notification when something is addressed to me                      </c:v>
                </c:pt>
                <c:pt idx="1">
                  <c:v>Habit Metric 3: # of messages they were linked to (with an @) that brought them back to Slack</c:v>
                </c:pt>
                <c:pt idx="2">
                  <c:v>User</c:v>
                </c:pt>
                <c:pt idx="3">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4 - Habit Moment and Metric'!$A$42:$A$48</c:f>
              <c:strCache>
                <c:ptCount val="7"/>
                <c:pt idx="0">
                  <c:v>1+</c:v>
                </c:pt>
                <c:pt idx="1">
                  <c:v>2+</c:v>
                </c:pt>
                <c:pt idx="2">
                  <c:v>3+</c:v>
                </c:pt>
                <c:pt idx="3">
                  <c:v>4+</c:v>
                </c:pt>
                <c:pt idx="4">
                  <c:v>5+</c:v>
                </c:pt>
                <c:pt idx="5">
                  <c:v>6+</c:v>
                </c:pt>
                <c:pt idx="6">
                  <c:v>7+</c:v>
                </c:pt>
              </c:strCache>
            </c:strRef>
          </c:cat>
          <c:val>
            <c:numRef>
              <c:f>'Tab 4 - Habit Moment and Metric'!$F$42:$F$48</c:f>
              <c:numCache>
                <c:formatCode>0%</c:formatCode>
                <c:ptCount val="7"/>
                <c:pt idx="0">
                  <c:v>0.46641791044776121</c:v>
                </c:pt>
                <c:pt idx="1">
                  <c:v>0.45673076923076922</c:v>
                </c:pt>
                <c:pt idx="2">
                  <c:v>0.45576407506702415</c:v>
                </c:pt>
                <c:pt idx="3">
                  <c:v>0.44891640866873067</c:v>
                </c:pt>
                <c:pt idx="4">
                  <c:v>0.43109540636042404</c:v>
                </c:pt>
                <c:pt idx="5">
                  <c:v>0.43426294820717132</c:v>
                </c:pt>
                <c:pt idx="6">
                  <c:v>0.42857142857142855</c:v>
                </c:pt>
              </c:numCache>
            </c:numRef>
          </c:val>
          <c:smooth val="0"/>
          <c:extLst>
            <c:ext xmlns:c16="http://schemas.microsoft.com/office/drawing/2014/chart" uri="{C3380CC4-5D6E-409C-BE32-E72D297353CC}">
              <c16:uniqueId val="{00000000-8121-4254-B72A-A3D1D0E9360F}"/>
            </c:ext>
          </c:extLst>
        </c:ser>
        <c:dLbls>
          <c:showLegendKey val="0"/>
          <c:showVal val="0"/>
          <c:showCatName val="0"/>
          <c:showSerName val="0"/>
          <c:showPercent val="0"/>
          <c:showBubbleSize val="0"/>
        </c:dLbls>
        <c:smooth val="0"/>
        <c:axId val="1216977808"/>
        <c:axId val="889102943"/>
      </c:lineChart>
      <c:catAx>
        <c:axId val="1216977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Messages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102943"/>
        <c:crosses val="autoZero"/>
        <c:auto val="1"/>
        <c:lblAlgn val="ctr"/>
        <c:lblOffset val="100"/>
        <c:noMultiLvlLbl val="1"/>
      </c:catAx>
      <c:valAx>
        <c:axId val="8891029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697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Days Taken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A'!$F$28</c:f>
              <c:strCache>
                <c:ptCount val="1"/>
                <c:pt idx="0">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5 - Aha Moment and Metric A'!$A$29:$A$35</c:f>
              <c:strCache>
                <c:ptCount val="7"/>
                <c:pt idx="0">
                  <c:v>1+</c:v>
                </c:pt>
                <c:pt idx="1">
                  <c:v>2+</c:v>
                </c:pt>
                <c:pt idx="2">
                  <c:v>3+</c:v>
                </c:pt>
                <c:pt idx="3">
                  <c:v>4+</c:v>
                </c:pt>
                <c:pt idx="4">
                  <c:v>5+</c:v>
                </c:pt>
                <c:pt idx="5">
                  <c:v>6+</c:v>
                </c:pt>
                <c:pt idx="6">
                  <c:v>7+</c:v>
                </c:pt>
              </c:strCache>
            </c:strRef>
          </c:cat>
          <c:val>
            <c:numRef>
              <c:f>'Tab 5 - Aha Moment and Metric A'!$F$29:$F$35</c:f>
              <c:numCache>
                <c:formatCode>0%</c:formatCode>
                <c:ptCount val="7"/>
                <c:pt idx="0">
                  <c:v>0.61349693251533743</c:v>
                </c:pt>
                <c:pt idx="1">
                  <c:v>0.58984007525870175</c:v>
                </c:pt>
                <c:pt idx="2">
                  <c:v>0.56595744680851068</c:v>
                </c:pt>
                <c:pt idx="3">
                  <c:v>0.55048076923076927</c:v>
                </c:pt>
                <c:pt idx="4">
                  <c:v>0.41311852704257768</c:v>
                </c:pt>
                <c:pt idx="5">
                  <c:v>0.36602870813397131</c:v>
                </c:pt>
                <c:pt idx="6">
                  <c:v>0.22721749696233293</c:v>
                </c:pt>
              </c:numCache>
            </c:numRef>
          </c:val>
          <c:smooth val="0"/>
          <c:extLst>
            <c:ext xmlns:c16="http://schemas.microsoft.com/office/drawing/2014/chart" uri="{C3380CC4-5D6E-409C-BE32-E72D297353CC}">
              <c16:uniqueId val="{00000000-DC56-4C98-90B4-32FACC3FED71}"/>
            </c:ext>
          </c:extLst>
        </c:ser>
        <c:dLbls>
          <c:showLegendKey val="0"/>
          <c:showVal val="0"/>
          <c:showCatName val="0"/>
          <c:showSerName val="0"/>
          <c:showPercent val="0"/>
          <c:showBubbleSize val="0"/>
        </c:dLbls>
        <c:smooth val="0"/>
        <c:axId val="493759972"/>
        <c:axId val="1289446066"/>
      </c:lineChart>
      <c:catAx>
        <c:axId val="4937599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Taken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9446066"/>
        <c:crosses val="autoZero"/>
        <c:auto val="1"/>
        <c:lblAlgn val="ctr"/>
        <c:lblOffset val="100"/>
        <c:noMultiLvlLbl val="1"/>
      </c:catAx>
      <c:valAx>
        <c:axId val="128944606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7599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Days Taken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5 - Aha Moment and Metric A'!$F$37:$F$40</c:f>
              <c:strCache>
                <c:ptCount val="4"/>
                <c:pt idx="0">
                  <c:v>Aha Moment 3: Searching for old documents, links, and convos</c:v>
                </c:pt>
                <c:pt idx="1">
                  <c:v>Aha Metric 3: 1st search for a file or message within X days</c:v>
                </c:pt>
                <c:pt idx="2">
                  <c:v>User</c:v>
                </c:pt>
                <c:pt idx="3">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5 - Aha Moment and Metric A'!$A$41:$A$47</c:f>
              <c:strCache>
                <c:ptCount val="7"/>
                <c:pt idx="0">
                  <c:v>1+</c:v>
                </c:pt>
                <c:pt idx="1">
                  <c:v>2+</c:v>
                </c:pt>
                <c:pt idx="2">
                  <c:v>3+</c:v>
                </c:pt>
                <c:pt idx="3">
                  <c:v>4+</c:v>
                </c:pt>
                <c:pt idx="4">
                  <c:v>5+</c:v>
                </c:pt>
                <c:pt idx="5">
                  <c:v>6+</c:v>
                </c:pt>
                <c:pt idx="6">
                  <c:v>7+</c:v>
                </c:pt>
              </c:strCache>
            </c:strRef>
          </c:cat>
          <c:val>
            <c:numRef>
              <c:f>'Tab 5 - Aha Moment and Metric A'!$F$41:$F$47</c:f>
              <c:numCache>
                <c:formatCode>0%</c:formatCode>
                <c:ptCount val="7"/>
                <c:pt idx="0">
                  <c:v>0.4170124481327801</c:v>
                </c:pt>
                <c:pt idx="1">
                  <c:v>0.40169332079021636</c:v>
                </c:pt>
                <c:pt idx="2">
                  <c:v>0.43829787234042555</c:v>
                </c:pt>
                <c:pt idx="3">
                  <c:v>0.42857142857142855</c:v>
                </c:pt>
                <c:pt idx="4">
                  <c:v>0.41311852704257768</c:v>
                </c:pt>
                <c:pt idx="5">
                  <c:v>0.36602870813397131</c:v>
                </c:pt>
                <c:pt idx="6">
                  <c:v>0.34872417982989062</c:v>
                </c:pt>
              </c:numCache>
            </c:numRef>
          </c:val>
          <c:smooth val="0"/>
          <c:extLst>
            <c:ext xmlns:c16="http://schemas.microsoft.com/office/drawing/2014/chart" uri="{C3380CC4-5D6E-409C-BE32-E72D297353CC}">
              <c16:uniqueId val="{00000000-A5AC-43B2-82FB-574F0AE54C8F}"/>
            </c:ext>
          </c:extLst>
        </c:ser>
        <c:dLbls>
          <c:showLegendKey val="0"/>
          <c:showVal val="0"/>
          <c:showCatName val="0"/>
          <c:showSerName val="0"/>
          <c:showPercent val="0"/>
          <c:showBubbleSize val="0"/>
        </c:dLbls>
        <c:smooth val="0"/>
        <c:axId val="1963917030"/>
        <c:axId val="425288820"/>
      </c:lineChart>
      <c:catAx>
        <c:axId val="196391703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Taken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88820"/>
        <c:crosses val="autoZero"/>
        <c:auto val="1"/>
        <c:lblAlgn val="ctr"/>
        <c:lblOffset val="100"/>
        <c:noMultiLvlLbl val="1"/>
      </c:catAx>
      <c:valAx>
        <c:axId val="4252888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91703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Days Taken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Metric'!$F$24:$F$27</c:f>
              <c:strCache>
                <c:ptCount val="4"/>
                <c:pt idx="0">
                  <c:v>Setup Moment 2: Integrate to a 3rd party Slack App</c:v>
                </c:pt>
                <c:pt idx="1">
                  <c:v>Setup Metric 2: Integrate to a 3rd party app within 7-days</c:v>
                </c:pt>
                <c:pt idx="2">
                  <c:v>User</c:v>
                </c:pt>
                <c:pt idx="3">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6 - Setup Moment and Metric'!$A$28:$A$34</c:f>
              <c:strCache>
                <c:ptCount val="7"/>
                <c:pt idx="0">
                  <c:v>1+</c:v>
                </c:pt>
                <c:pt idx="1">
                  <c:v>2+</c:v>
                </c:pt>
                <c:pt idx="2">
                  <c:v>3+</c:v>
                </c:pt>
                <c:pt idx="3">
                  <c:v>4+</c:v>
                </c:pt>
                <c:pt idx="4">
                  <c:v>5+</c:v>
                </c:pt>
                <c:pt idx="5">
                  <c:v>6+</c:v>
                </c:pt>
                <c:pt idx="6">
                  <c:v>7+</c:v>
                </c:pt>
              </c:strCache>
            </c:strRef>
          </c:cat>
          <c:val>
            <c:numRef>
              <c:f>'Tab 6 - Setup Moment and Metric'!$F$28:$F$34</c:f>
              <c:numCache>
                <c:formatCode>0%</c:formatCode>
                <c:ptCount val="7"/>
                <c:pt idx="0">
                  <c:v>0.56980056980056981</c:v>
                </c:pt>
                <c:pt idx="1">
                  <c:v>0.5391229578675838</c:v>
                </c:pt>
                <c:pt idx="2">
                  <c:v>0.52777777777777779</c:v>
                </c:pt>
                <c:pt idx="3">
                  <c:v>0.51927437641723351</c:v>
                </c:pt>
                <c:pt idx="4">
                  <c:v>0.50350631136044877</c:v>
                </c:pt>
                <c:pt idx="5">
                  <c:v>0.49434571890145396</c:v>
                </c:pt>
                <c:pt idx="6">
                  <c:v>0.46875</c:v>
                </c:pt>
              </c:numCache>
            </c:numRef>
          </c:val>
          <c:smooth val="0"/>
          <c:extLst>
            <c:ext xmlns:c16="http://schemas.microsoft.com/office/drawing/2014/chart" uri="{C3380CC4-5D6E-409C-BE32-E72D297353CC}">
              <c16:uniqueId val="{00000000-6FE0-4463-BE1A-1E431324C9BC}"/>
            </c:ext>
          </c:extLst>
        </c:ser>
        <c:dLbls>
          <c:showLegendKey val="0"/>
          <c:showVal val="0"/>
          <c:showCatName val="0"/>
          <c:showSerName val="0"/>
          <c:showPercent val="0"/>
          <c:showBubbleSize val="0"/>
        </c:dLbls>
        <c:smooth val="0"/>
        <c:axId val="1008163847"/>
        <c:axId val="74297294"/>
      </c:lineChart>
      <c:catAx>
        <c:axId val="1008163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Taken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297294"/>
        <c:crosses val="autoZero"/>
        <c:auto val="1"/>
        <c:lblAlgn val="ctr"/>
        <c:lblOffset val="100"/>
        <c:noMultiLvlLbl val="1"/>
      </c:catAx>
      <c:valAx>
        <c:axId val="7429729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163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Overlap vs Users Invited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'Tab 6 - Setup Moment and Metric'!$F$36:$F$39</c:f>
              <c:strCache>
                <c:ptCount val="4"/>
                <c:pt idx="0">
                  <c:v>Setup Moment 3: Invite a team mate and had a back-and-forth direct convo</c:v>
                </c:pt>
                <c:pt idx="1">
                  <c:v>Setup Metric 3: # of users invited within 7-days</c:v>
                </c:pt>
                <c:pt idx="2">
                  <c:v>User</c:v>
                </c:pt>
                <c:pt idx="3">
                  <c:v>% Overlap</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'Tab 6 - Setup Moment and Metric'!$A$40:$A$46</c:f>
              <c:strCache>
                <c:ptCount val="7"/>
                <c:pt idx="0">
                  <c:v>1+</c:v>
                </c:pt>
                <c:pt idx="1">
                  <c:v>2+</c:v>
                </c:pt>
                <c:pt idx="2">
                  <c:v>3+</c:v>
                </c:pt>
                <c:pt idx="3">
                  <c:v>4+</c:v>
                </c:pt>
                <c:pt idx="4">
                  <c:v>5+</c:v>
                </c:pt>
                <c:pt idx="5">
                  <c:v>6+</c:v>
                </c:pt>
                <c:pt idx="6">
                  <c:v>7+</c:v>
                </c:pt>
              </c:strCache>
            </c:strRef>
          </c:cat>
          <c:val>
            <c:numRef>
              <c:f>'Tab 6 - Setup Moment and Metric'!$F$40:$F$46</c:f>
              <c:numCache>
                <c:formatCode>0%</c:formatCode>
                <c:ptCount val="7"/>
                <c:pt idx="0">
                  <c:v>0.70123839009287925</c:v>
                </c:pt>
                <c:pt idx="1">
                  <c:v>0.67777777777777781</c:v>
                </c:pt>
                <c:pt idx="2">
                  <c:v>0.66237942122186499</c:v>
                </c:pt>
                <c:pt idx="3">
                  <c:v>0.64067796610169492</c:v>
                </c:pt>
                <c:pt idx="4">
                  <c:v>0.5056338028169014</c:v>
                </c:pt>
                <c:pt idx="5">
                  <c:v>0.3754601226993865</c:v>
                </c:pt>
                <c:pt idx="6">
                  <c:v>0.28585657370517931</c:v>
                </c:pt>
              </c:numCache>
            </c:numRef>
          </c:val>
          <c:smooth val="0"/>
          <c:extLst>
            <c:ext xmlns:c16="http://schemas.microsoft.com/office/drawing/2014/chart" uri="{C3380CC4-5D6E-409C-BE32-E72D297353CC}">
              <c16:uniqueId val="{00000000-FB76-48A6-AAE3-AEEDE5E042EC}"/>
            </c:ext>
          </c:extLst>
        </c:ser>
        <c:dLbls>
          <c:showLegendKey val="0"/>
          <c:showVal val="0"/>
          <c:showCatName val="0"/>
          <c:showSerName val="0"/>
          <c:showPercent val="0"/>
          <c:showBubbleSize val="0"/>
        </c:dLbls>
        <c:smooth val="0"/>
        <c:axId val="1783147438"/>
        <c:axId val="773473696"/>
      </c:lineChart>
      <c:catAx>
        <c:axId val="178314743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Invited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473696"/>
        <c:crosses val="autoZero"/>
        <c:auto val="1"/>
        <c:lblAlgn val="ctr"/>
        <c:lblOffset val="100"/>
        <c:noMultiLvlLbl val="1"/>
      </c:catAx>
      <c:valAx>
        <c:axId val="7734736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Overlap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14743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7</xdr:col>
      <xdr:colOff>292100</xdr:colOff>
      <xdr:row>24</xdr:row>
      <xdr:rowOff>107949</xdr:rowOff>
    </xdr:from>
    <xdr:ext cx="3486150" cy="21748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260350</xdr:colOff>
      <xdr:row>37</xdr:row>
      <xdr:rowOff>31750</xdr:rowOff>
    </xdr:from>
    <xdr:ext cx="3581400" cy="210820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7</xdr:col>
      <xdr:colOff>7620</xdr:colOff>
      <xdr:row>12</xdr:row>
      <xdr:rowOff>139700</xdr:rowOff>
    </xdr:from>
    <xdr:to>
      <xdr:col>11</xdr:col>
      <xdr:colOff>31750</xdr:colOff>
      <xdr:row>24</xdr:row>
      <xdr:rowOff>44450</xdr:rowOff>
    </xdr:to>
    <xdr:pic>
      <xdr:nvPicPr>
        <xdr:cNvPr id="6" name="Picture 5">
          <a:extLst>
            <a:ext uri="{FF2B5EF4-FFF2-40B4-BE49-F238E27FC236}">
              <a16:creationId xmlns:a16="http://schemas.microsoft.com/office/drawing/2014/main" id="{99B1D357-3FAF-B54E-97C8-2E952828BA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32220" y="2432050"/>
          <a:ext cx="355473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952500</xdr:colOff>
      <xdr:row>23</xdr:row>
      <xdr:rowOff>190500</xdr:rowOff>
    </xdr:from>
    <xdr:ext cx="3933825" cy="2438400"/>
    <xdr:graphicFrame macro="">
      <xdr:nvGraphicFramePr>
        <xdr:cNvPr id="3" name="Chart 3"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35</xdr:row>
      <xdr:rowOff>190500</xdr:rowOff>
    </xdr:from>
    <xdr:ext cx="3933825" cy="2438400"/>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7</xdr:col>
      <xdr:colOff>91440</xdr:colOff>
      <xdr:row>12</xdr:row>
      <xdr:rowOff>144780</xdr:rowOff>
    </xdr:from>
    <xdr:to>
      <xdr:col>10</xdr:col>
      <xdr:colOff>695480</xdr:colOff>
      <xdr:row>22</xdr:row>
      <xdr:rowOff>114300</xdr:rowOff>
    </xdr:to>
    <xdr:pic>
      <xdr:nvPicPr>
        <xdr:cNvPr id="2" name="Picture 1">
          <a:extLst>
            <a:ext uri="{FF2B5EF4-FFF2-40B4-BE49-F238E27FC236}">
              <a16:creationId xmlns:a16="http://schemas.microsoft.com/office/drawing/2014/main" id="{63BD471B-D4AD-9894-4D59-EEC65C677DC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75020" y="2468880"/>
          <a:ext cx="3210080" cy="1988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23</xdr:row>
      <xdr:rowOff>0</xdr:rowOff>
    </xdr:from>
    <xdr:ext cx="3829050" cy="2362200"/>
    <xdr:graphicFrame macro="">
      <xdr:nvGraphicFramePr>
        <xdr:cNvPr id="5" name="Chart 5" title="Chart">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35</xdr:row>
      <xdr:rowOff>9525</xdr:rowOff>
    </xdr:from>
    <xdr:ext cx="3829050" cy="2362200"/>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7</xdr:col>
      <xdr:colOff>106680</xdr:colOff>
      <xdr:row>11</xdr:row>
      <xdr:rowOff>129540</xdr:rowOff>
    </xdr:from>
    <xdr:to>
      <xdr:col>10</xdr:col>
      <xdr:colOff>600935</xdr:colOff>
      <xdr:row>21</xdr:row>
      <xdr:rowOff>60960</xdr:rowOff>
    </xdr:to>
    <xdr:pic>
      <xdr:nvPicPr>
        <xdr:cNvPr id="2" name="Picture 1">
          <a:extLst>
            <a:ext uri="{FF2B5EF4-FFF2-40B4-BE49-F238E27FC236}">
              <a16:creationId xmlns:a16="http://schemas.microsoft.com/office/drawing/2014/main" id="{C6ABB6B9-E43D-9A36-8B06-EFDC628DE47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90260" y="2247900"/>
          <a:ext cx="3100295" cy="191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41:D49" headerRowCount="0">
  <tableColumns count="1">
    <tableColumn id="1" xr3:uid="{00000000-0010-0000-0000-000001000000}" name="Column1"/>
  </tableColumns>
  <tableStyleInfo name="Tab 8 - Segment Analysis-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F84:F89" headerRowCount="0">
  <tableColumns count="1">
    <tableColumn id="1" xr3:uid="{00000000-0010-0000-0900-000001000000}" name="Column1"/>
  </tableColumns>
  <tableStyleInfo name="Tab 8 - Segment Analysis-style 10"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H84:H89" headerRowCount="0">
  <tableColumns count="1">
    <tableColumn id="1" xr3:uid="{00000000-0010-0000-0A00-000001000000}" name="Column1"/>
  </tableColumns>
  <tableStyleInfo name="Tab 8 - Segment Analysis-style 11" showFirstColumn="1" showLastColumn="1" showRowStripes="1" showColumnStripes="0"/>
  <extLst>
    <ext uri="GoogleSheetsCustomDataVersion1">
      <go:sheetsCustomData xmlns:go="http://customooxmlschemas.google.com/" headerRowCount="1"/>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I84:I89" headerRowCount="0">
  <tableColumns count="1">
    <tableColumn id="1" xr3:uid="{00000000-0010-0000-0B00-000001000000}" name="Column1"/>
  </tableColumns>
  <tableStyleInfo name="Tab 8 - Segment Analysis-style 1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F41:F49" headerRowCount="0">
  <tableColumns count="1">
    <tableColumn id="1" xr3:uid="{00000000-0010-0000-0100-000001000000}" name="Column1"/>
  </tableColumns>
  <tableStyleInfo name="Tab 8 - Segment Analysi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41:H49" headerRowCount="0">
  <tableColumns count="1">
    <tableColumn id="1" xr3:uid="{00000000-0010-0000-0200-000001000000}" name="Column1"/>
  </tableColumns>
  <tableStyleInfo name="Tab 8 - Segment Analysi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41:I49" headerRowCount="0">
  <tableColumns count="1">
    <tableColumn id="1" xr3:uid="{00000000-0010-0000-0300-000001000000}" name="Column1"/>
  </tableColumns>
  <tableStyleInfo name="Tab 8 - Segment Analysi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D63:D70" headerRowCount="0">
  <tableColumns count="1">
    <tableColumn id="1" xr3:uid="{00000000-0010-0000-0400-000001000000}" name="Column1"/>
  </tableColumns>
  <tableStyleInfo name="Tab 8 - Segment Analysis-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F63:F70" headerRowCount="0">
  <tableColumns count="1">
    <tableColumn id="1" xr3:uid="{00000000-0010-0000-0500-000001000000}" name="Column1"/>
  </tableColumns>
  <tableStyleInfo name="Tab 8 - Segment Analysis-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H63:H70" headerRowCount="0">
  <tableColumns count="1">
    <tableColumn id="1" xr3:uid="{00000000-0010-0000-0600-000001000000}" name="Column1"/>
  </tableColumns>
  <tableStyleInfo name="Tab 8 - Segment Analysis-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63:I70" headerRowCount="0">
  <tableColumns count="1">
    <tableColumn id="1" xr3:uid="{00000000-0010-0000-0700-000001000000}" name="Column1"/>
  </tableColumns>
  <tableStyleInfo name="Tab 8 - Segment Analysis-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D84:D89" headerRowCount="0">
  <tableColumns count="1">
    <tableColumn id="1" xr3:uid="{00000000-0010-0000-0800-000001000000}" name="Column1"/>
  </tableColumns>
  <tableStyleInfo name="Tab 8 - Segment Analysis-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4"/>
  <sheetViews>
    <sheetView showGridLines="0" workbookViewId="0">
      <selection sqref="A1:C1"/>
    </sheetView>
  </sheetViews>
  <sheetFormatPr defaultColWidth="12.6328125" defaultRowHeight="15.75" customHeight="1"/>
  <cols>
    <col min="1" max="2" width="10.90625" customWidth="1"/>
    <col min="3" max="3" width="42.90625" customWidth="1"/>
  </cols>
  <sheetData>
    <row r="1" spans="1:3" ht="38">
      <c r="A1" s="163" t="s">
        <v>0</v>
      </c>
      <c r="B1" s="160"/>
      <c r="C1" s="161"/>
    </row>
    <row r="2" spans="1:3" ht="12.5">
      <c r="A2" s="164" t="s">
        <v>1</v>
      </c>
      <c r="B2" s="165"/>
      <c r="C2" s="166"/>
    </row>
    <row r="3" spans="1:3" ht="30.75" customHeight="1">
      <c r="A3" s="167"/>
      <c r="B3" s="168"/>
      <c r="C3" s="169"/>
    </row>
    <row r="4" spans="1:3" ht="30.75" customHeight="1">
      <c r="A4" s="170" t="str">
        <f>HYPERLINK("https://app.productboard.com/register","Step 1: Complete Tabs 1 - 2 in order by signing up for the free trial of productboard: https://app.productboard.com/register. 
")</f>
        <v xml:space="preserve">Step 1: Complete Tabs 1 - 2 in order by signing up for the free trial of productboard: https://app.productboard.com/register. 
</v>
      </c>
      <c r="B4" s="160"/>
      <c r="C4" s="161"/>
    </row>
    <row r="5" spans="1:3" ht="54.75" customHeight="1">
      <c r="A5" s="171" t="s">
        <v>2</v>
      </c>
      <c r="B5" s="168"/>
      <c r="C5" s="169"/>
    </row>
    <row r="6" spans="1:3" ht="99.75" customHeight="1">
      <c r="A6" s="171" t="s">
        <v>3</v>
      </c>
      <c r="B6" s="168"/>
      <c r="C6" s="169"/>
    </row>
    <row r="7" spans="1:3" ht="45.75" customHeight="1">
      <c r="A7" s="171" t="s">
        <v>4</v>
      </c>
      <c r="B7" s="168"/>
      <c r="C7" s="169"/>
    </row>
    <row r="8" spans="1:3" ht="56.25" customHeight="1">
      <c r="A8" s="171" t="s">
        <v>5</v>
      </c>
      <c r="B8" s="168"/>
      <c r="C8" s="169"/>
    </row>
    <row r="9" spans="1:3" ht="12.5">
      <c r="A9" s="159" t="s">
        <v>6</v>
      </c>
      <c r="B9" s="160"/>
      <c r="C9" s="161"/>
    </row>
    <row r="10" spans="1:3" ht="13">
      <c r="A10" s="162" t="s">
        <v>7</v>
      </c>
      <c r="B10" s="160"/>
      <c r="C10" s="161"/>
    </row>
    <row r="11" spans="1:3" ht="13">
      <c r="A11" s="1"/>
      <c r="B11" s="2"/>
      <c r="C11" s="3"/>
    </row>
    <row r="12" spans="1:3" ht="13">
      <c r="A12" s="4" t="s">
        <v>8</v>
      </c>
      <c r="B12" s="5" t="s">
        <v>9</v>
      </c>
      <c r="C12" s="4" t="s">
        <v>10</v>
      </c>
    </row>
    <row r="13" spans="1:3" ht="13">
      <c r="A13" s="6"/>
      <c r="B13" s="7"/>
      <c r="C13" s="4" t="s">
        <v>11</v>
      </c>
    </row>
    <row r="14" spans="1:3" ht="12.5">
      <c r="A14" s="8">
        <v>1</v>
      </c>
      <c r="B14" s="9" t="b">
        <v>0</v>
      </c>
      <c r="C14" s="10" t="s">
        <v>12</v>
      </c>
    </row>
    <row r="15" spans="1:3" ht="12.5">
      <c r="A15" s="8">
        <v>2</v>
      </c>
      <c r="B15" s="9" t="b">
        <v>0</v>
      </c>
      <c r="C15" s="10" t="s">
        <v>13</v>
      </c>
    </row>
    <row r="16" spans="1:3" ht="13">
      <c r="A16" s="6"/>
      <c r="B16" s="6"/>
      <c r="C16" s="4" t="s">
        <v>14</v>
      </c>
    </row>
    <row r="17" spans="1:3" ht="12.5">
      <c r="A17" s="11">
        <v>3</v>
      </c>
      <c r="B17" s="9" t="b">
        <v>0</v>
      </c>
      <c r="C17" s="10" t="s">
        <v>15</v>
      </c>
    </row>
    <row r="18" spans="1:3" ht="13">
      <c r="A18" s="12"/>
      <c r="B18" s="6"/>
      <c r="C18" s="4" t="s">
        <v>16</v>
      </c>
    </row>
    <row r="19" spans="1:3" ht="12.5">
      <c r="A19" s="11">
        <v>4</v>
      </c>
      <c r="B19" s="9" t="b">
        <v>0</v>
      </c>
      <c r="C19" s="10" t="s">
        <v>17</v>
      </c>
    </row>
    <row r="20" spans="1:3" ht="12.5">
      <c r="A20" s="11">
        <v>5</v>
      </c>
      <c r="B20" s="9" t="b">
        <v>0</v>
      </c>
      <c r="C20" s="10" t="s">
        <v>18</v>
      </c>
    </row>
    <row r="21" spans="1:3" ht="12.5">
      <c r="A21" s="11">
        <v>6</v>
      </c>
      <c r="B21" s="9" t="b">
        <v>0</v>
      </c>
      <c r="C21" s="10" t="s">
        <v>19</v>
      </c>
    </row>
    <row r="22" spans="1:3" ht="12.5">
      <c r="A22" s="11">
        <v>7</v>
      </c>
      <c r="B22" s="9" t="b">
        <v>0</v>
      </c>
      <c r="C22" s="10" t="s">
        <v>20</v>
      </c>
    </row>
    <row r="23" spans="1:3" ht="13">
      <c r="A23" s="12"/>
      <c r="B23" s="6"/>
      <c r="C23" s="4" t="s">
        <v>21</v>
      </c>
    </row>
    <row r="24" spans="1:3" ht="14">
      <c r="A24" s="11">
        <v>8</v>
      </c>
      <c r="B24" s="9" t="b">
        <v>0</v>
      </c>
      <c r="C24" s="13" t="s">
        <v>22</v>
      </c>
    </row>
  </sheetData>
  <mergeCells count="9">
    <mergeCell ref="A9:C9"/>
    <mergeCell ref="A10:C10"/>
    <mergeCell ref="A1:C1"/>
    <mergeCell ref="A2:C3"/>
    <mergeCell ref="A4:C4"/>
    <mergeCell ref="A5:C5"/>
    <mergeCell ref="A6:C6"/>
    <mergeCell ref="A7:C7"/>
    <mergeCell ref="A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33"/>
  <sheetViews>
    <sheetView showGridLines="0" workbookViewId="0"/>
  </sheetViews>
  <sheetFormatPr defaultColWidth="12.6328125" defaultRowHeight="15.75" customHeight="1"/>
  <cols>
    <col min="2" max="2" width="19.36328125" customWidth="1"/>
    <col min="12" max="12" width="25.36328125" customWidth="1"/>
    <col min="13" max="13" width="29.6328125" customWidth="1"/>
    <col min="14" max="14" width="35.453125" customWidth="1"/>
    <col min="15" max="15" width="25.453125" customWidth="1"/>
    <col min="16" max="16" width="25.1796875" customWidth="1"/>
    <col min="17" max="17" width="25" customWidth="1"/>
    <col min="18" max="18" width="25.36328125" customWidth="1"/>
    <col min="19" max="19" width="25.6328125" customWidth="1"/>
    <col min="20" max="20" width="25.453125" customWidth="1"/>
    <col min="21" max="21" width="28.08984375" customWidth="1"/>
    <col min="22" max="22" width="33.6328125" customWidth="1"/>
    <col min="23" max="23" width="47.08984375" customWidth="1"/>
  </cols>
  <sheetData>
    <row r="1" spans="1:23" ht="12.5">
      <c r="A1" s="184" t="s">
        <v>12</v>
      </c>
      <c r="B1" s="165"/>
      <c r="C1" s="165"/>
      <c r="D1" s="165"/>
      <c r="E1" s="165"/>
      <c r="F1" s="165"/>
      <c r="G1" s="165"/>
      <c r="H1" s="165"/>
      <c r="I1" s="165"/>
      <c r="J1" s="165"/>
      <c r="K1" s="165"/>
      <c r="L1" s="165"/>
      <c r="M1" s="165"/>
      <c r="N1" s="165"/>
      <c r="O1" s="165"/>
      <c r="P1" s="165"/>
      <c r="Q1" s="165"/>
      <c r="R1" s="165"/>
      <c r="S1" s="165"/>
      <c r="T1" s="165"/>
      <c r="U1" s="165"/>
      <c r="V1" s="165"/>
      <c r="W1" s="166"/>
    </row>
    <row r="2" spans="1:23" ht="12.5">
      <c r="A2" s="167"/>
      <c r="B2" s="168"/>
      <c r="C2" s="168"/>
      <c r="D2" s="168"/>
      <c r="E2" s="168"/>
      <c r="F2" s="168"/>
      <c r="G2" s="168"/>
      <c r="H2" s="168"/>
      <c r="I2" s="168"/>
      <c r="J2" s="168"/>
      <c r="K2" s="168"/>
      <c r="L2" s="168"/>
      <c r="M2" s="168"/>
      <c r="N2" s="168"/>
      <c r="O2" s="168"/>
      <c r="P2" s="168"/>
      <c r="Q2" s="168"/>
      <c r="R2" s="168"/>
      <c r="S2" s="168"/>
      <c r="T2" s="168"/>
      <c r="U2" s="168"/>
      <c r="V2" s="168"/>
      <c r="W2" s="169"/>
    </row>
    <row r="3" spans="1:23" ht="13">
      <c r="A3" s="183" t="s">
        <v>23</v>
      </c>
      <c r="B3" s="165"/>
      <c r="C3" s="165"/>
      <c r="D3" s="165"/>
      <c r="E3" s="165"/>
      <c r="F3" s="166"/>
      <c r="G3" s="14"/>
      <c r="H3" s="14"/>
      <c r="I3" s="14"/>
      <c r="J3" s="15"/>
      <c r="K3" s="15"/>
      <c r="L3" s="15"/>
      <c r="S3" s="15"/>
      <c r="T3" s="15"/>
      <c r="U3" s="14"/>
      <c r="V3" s="14"/>
      <c r="W3" s="14"/>
    </row>
    <row r="4" spans="1:23" ht="14.25" customHeight="1">
      <c r="A4" s="167"/>
      <c r="B4" s="168"/>
      <c r="C4" s="168"/>
      <c r="D4" s="168"/>
      <c r="E4" s="168"/>
      <c r="F4" s="169"/>
      <c r="G4" s="14"/>
      <c r="H4" s="14"/>
      <c r="I4" s="14"/>
      <c r="J4" s="14"/>
      <c r="K4" s="14"/>
      <c r="L4" s="14"/>
      <c r="S4" s="15"/>
      <c r="T4" s="15"/>
      <c r="U4" s="14"/>
      <c r="V4" s="14"/>
      <c r="W4" s="14"/>
    </row>
    <row r="5" spans="1:23" ht="21.75" customHeight="1">
      <c r="A5" s="171" t="s">
        <v>24</v>
      </c>
      <c r="B5" s="168"/>
      <c r="C5" s="168"/>
      <c r="D5" s="168"/>
      <c r="E5" s="168"/>
      <c r="F5" s="169"/>
      <c r="G5" s="14"/>
      <c r="H5" s="14"/>
      <c r="I5" s="14"/>
      <c r="J5" s="14"/>
      <c r="K5" s="14"/>
      <c r="L5" s="14"/>
      <c r="S5" s="15"/>
      <c r="T5" s="15"/>
      <c r="U5" s="14"/>
      <c r="V5" s="14"/>
      <c r="W5" s="14"/>
    </row>
    <row r="6" spans="1:23" ht="21" customHeight="1">
      <c r="A6" s="171" t="s">
        <v>25</v>
      </c>
      <c r="B6" s="168"/>
      <c r="C6" s="168"/>
      <c r="D6" s="168"/>
      <c r="E6" s="168"/>
      <c r="F6" s="169"/>
      <c r="G6" s="14"/>
      <c r="H6" s="14"/>
      <c r="I6" s="14"/>
      <c r="J6" s="14"/>
      <c r="K6" s="14"/>
      <c r="L6" s="14"/>
      <c r="S6" s="15"/>
      <c r="T6" s="15"/>
      <c r="U6" s="14"/>
      <c r="V6" s="14"/>
      <c r="W6" s="14"/>
    </row>
    <row r="7" spans="1:23" ht="30" customHeight="1">
      <c r="A7" s="171" t="s">
        <v>26</v>
      </c>
      <c r="B7" s="168"/>
      <c r="C7" s="168"/>
      <c r="D7" s="168"/>
      <c r="E7" s="168"/>
      <c r="F7" s="169"/>
      <c r="G7" s="14"/>
      <c r="H7" s="14"/>
      <c r="I7" s="14"/>
      <c r="J7" s="14"/>
      <c r="K7" s="14"/>
      <c r="L7" s="14"/>
      <c r="S7" s="15"/>
      <c r="T7" s="15"/>
      <c r="U7" s="14"/>
      <c r="V7" s="14"/>
      <c r="W7" s="14"/>
    </row>
    <row r="8" spans="1:23" ht="31.5" customHeight="1">
      <c r="A8" s="171" t="s">
        <v>27</v>
      </c>
      <c r="B8" s="168"/>
      <c r="C8" s="168"/>
      <c r="D8" s="168"/>
      <c r="E8" s="168"/>
      <c r="F8" s="169"/>
      <c r="G8" s="14"/>
      <c r="H8" s="14"/>
      <c r="I8" s="14"/>
      <c r="J8" s="14"/>
      <c r="K8" s="14"/>
      <c r="L8" s="14"/>
      <c r="S8" s="15"/>
      <c r="T8" s="15"/>
      <c r="U8" s="14"/>
      <c r="V8" s="14"/>
      <c r="W8" s="14"/>
    </row>
    <row r="9" spans="1:23" ht="68.25" customHeight="1">
      <c r="A9" s="182" t="s">
        <v>28</v>
      </c>
      <c r="B9" s="160"/>
      <c r="C9" s="160"/>
      <c r="D9" s="160"/>
      <c r="E9" s="160"/>
      <c r="F9" s="161"/>
      <c r="G9" s="14"/>
      <c r="H9" s="14"/>
      <c r="I9" s="14"/>
      <c r="J9" s="14"/>
      <c r="K9" s="14"/>
      <c r="L9" s="14"/>
      <c r="S9" s="15"/>
      <c r="T9" s="15"/>
      <c r="U9" s="14"/>
      <c r="V9" s="14"/>
      <c r="W9" s="14"/>
    </row>
    <row r="10" spans="1:23" ht="93.75" customHeight="1">
      <c r="A10" s="183" t="s">
        <v>29</v>
      </c>
      <c r="B10" s="165"/>
      <c r="C10" s="165"/>
      <c r="D10" s="165"/>
      <c r="E10" s="165"/>
      <c r="F10" s="166"/>
      <c r="G10" s="14"/>
      <c r="H10" s="14"/>
      <c r="I10" s="14"/>
      <c r="J10" s="14"/>
      <c r="K10" s="14"/>
      <c r="L10" s="14"/>
      <c r="S10" s="14"/>
      <c r="T10" s="14"/>
      <c r="U10" s="14"/>
      <c r="V10" s="14"/>
      <c r="W10" s="14"/>
    </row>
    <row r="11" spans="1:23" ht="17.25" customHeight="1">
      <c r="A11" s="181" t="s">
        <v>30</v>
      </c>
      <c r="B11" s="178"/>
      <c r="C11" s="178"/>
      <c r="D11" s="178"/>
      <c r="E11" s="178"/>
      <c r="F11" s="179"/>
      <c r="G11" s="14"/>
      <c r="H11" s="14"/>
      <c r="I11" s="14"/>
      <c r="J11" s="14"/>
      <c r="K11" s="14"/>
      <c r="L11" s="14"/>
      <c r="S11" s="14"/>
      <c r="T11" s="14"/>
      <c r="U11" s="14"/>
      <c r="V11" s="14"/>
      <c r="W11" s="14"/>
    </row>
    <row r="12" spans="1:23" ht="20.25" customHeight="1">
      <c r="A12" s="181" t="s">
        <v>31</v>
      </c>
      <c r="B12" s="178"/>
      <c r="C12" s="178"/>
      <c r="D12" s="178"/>
      <c r="E12" s="178"/>
      <c r="F12" s="179"/>
      <c r="G12" s="14"/>
      <c r="H12" s="14"/>
      <c r="I12" s="14"/>
      <c r="J12" s="14"/>
      <c r="K12" s="14"/>
      <c r="L12" s="14"/>
      <c r="S12" s="14"/>
      <c r="T12" s="14"/>
      <c r="U12" s="14"/>
      <c r="V12" s="14"/>
      <c r="W12" s="14"/>
    </row>
    <row r="13" spans="1:23" ht="29.25" customHeight="1">
      <c r="A13" s="177" t="s">
        <v>32</v>
      </c>
      <c r="B13" s="178"/>
      <c r="C13" s="178"/>
      <c r="D13" s="178"/>
      <c r="E13" s="178"/>
      <c r="F13" s="179"/>
      <c r="G13" s="14"/>
      <c r="H13" s="14"/>
      <c r="I13" s="14"/>
      <c r="J13" s="14"/>
      <c r="K13" s="14"/>
      <c r="L13" s="14"/>
      <c r="S13" s="14"/>
      <c r="T13" s="14"/>
      <c r="U13" s="14"/>
      <c r="V13" s="14"/>
      <c r="W13" s="14"/>
    </row>
    <row r="14" spans="1:23" ht="26.25" customHeight="1">
      <c r="A14" s="180" t="s">
        <v>33</v>
      </c>
      <c r="B14" s="178"/>
      <c r="C14" s="178"/>
      <c r="D14" s="178"/>
      <c r="E14" s="178"/>
      <c r="F14" s="179"/>
      <c r="G14" s="14"/>
      <c r="H14" s="14"/>
      <c r="I14" s="14"/>
      <c r="J14" s="14"/>
      <c r="K14" s="14"/>
      <c r="L14" s="14"/>
      <c r="S14" s="14"/>
      <c r="T14" s="14"/>
      <c r="U14" s="14"/>
      <c r="V14" s="14"/>
      <c r="W14" s="14"/>
    </row>
    <row r="15" spans="1:23" ht="24.75" customHeight="1">
      <c r="A15" s="181" t="s">
        <v>34</v>
      </c>
      <c r="B15" s="178"/>
      <c r="C15" s="178"/>
      <c r="D15" s="178"/>
      <c r="E15" s="178"/>
      <c r="F15" s="179"/>
      <c r="G15" s="14"/>
      <c r="H15" s="14"/>
      <c r="I15" s="14"/>
      <c r="J15" s="14"/>
      <c r="K15" s="14"/>
      <c r="L15" s="14"/>
      <c r="S15" s="14"/>
      <c r="T15" s="14"/>
      <c r="U15" s="14"/>
      <c r="V15" s="14"/>
      <c r="W15" s="14"/>
    </row>
    <row r="16" spans="1:23" ht="24.75" customHeight="1">
      <c r="A16" s="181" t="s">
        <v>35</v>
      </c>
      <c r="B16" s="178"/>
      <c r="C16" s="178"/>
      <c r="D16" s="178"/>
      <c r="E16" s="178"/>
      <c r="F16" s="179"/>
      <c r="G16" s="14"/>
      <c r="H16" s="14"/>
      <c r="I16" s="14"/>
      <c r="J16" s="14"/>
      <c r="K16" s="14"/>
      <c r="L16" s="14"/>
      <c r="S16" s="14"/>
      <c r="T16" s="14"/>
      <c r="U16" s="14"/>
      <c r="V16" s="14"/>
      <c r="W16" s="14"/>
    </row>
    <row r="17" spans="1:23" ht="24.75" customHeight="1">
      <c r="A17" s="173" t="s">
        <v>36</v>
      </c>
      <c r="B17" s="168"/>
      <c r="C17" s="168"/>
      <c r="D17" s="168"/>
      <c r="E17" s="168"/>
      <c r="F17" s="169"/>
      <c r="G17" s="14"/>
      <c r="H17" s="14"/>
      <c r="I17" s="14"/>
      <c r="J17" s="14"/>
      <c r="K17" s="14"/>
      <c r="L17" s="14"/>
      <c r="S17" s="14"/>
      <c r="T17" s="14"/>
      <c r="U17" s="14"/>
      <c r="V17" s="14"/>
      <c r="W17" s="14"/>
    </row>
    <row r="18" spans="1:23" ht="18.75" customHeight="1">
      <c r="A18" s="16" t="s">
        <v>37</v>
      </c>
      <c r="B18" s="17"/>
      <c r="C18" s="17"/>
      <c r="D18" s="17"/>
      <c r="E18" s="17"/>
      <c r="F18" s="18"/>
      <c r="G18" s="14"/>
      <c r="H18" s="14"/>
      <c r="I18" s="14"/>
      <c r="J18" s="14"/>
      <c r="K18" s="14"/>
      <c r="L18" s="14"/>
      <c r="S18" s="14"/>
      <c r="T18" s="14"/>
      <c r="U18" s="14"/>
      <c r="V18" s="14"/>
      <c r="W18" s="14"/>
    </row>
    <row r="19" spans="1:23" ht="13">
      <c r="A19" s="19" t="s">
        <v>38</v>
      </c>
      <c r="B19" s="19" t="s">
        <v>39</v>
      </c>
      <c r="C19" s="19" t="s">
        <v>40</v>
      </c>
      <c r="D19" s="19" t="s">
        <v>41</v>
      </c>
      <c r="E19" s="19" t="s">
        <v>42</v>
      </c>
      <c r="F19" s="19" t="s">
        <v>43</v>
      </c>
      <c r="G19" s="20" t="s">
        <v>44</v>
      </c>
      <c r="H19" s="20" t="s">
        <v>45</v>
      </c>
      <c r="I19" s="20" t="s">
        <v>46</v>
      </c>
      <c r="J19" s="20" t="s">
        <v>47</v>
      </c>
      <c r="K19" s="20" t="s">
        <v>48</v>
      </c>
      <c r="L19" s="20" t="s">
        <v>49</v>
      </c>
      <c r="M19" s="20" t="s">
        <v>50</v>
      </c>
      <c r="N19" s="20" t="s">
        <v>51</v>
      </c>
      <c r="O19" s="20" t="s">
        <v>52</v>
      </c>
      <c r="P19" s="20" t="s">
        <v>53</v>
      </c>
      <c r="Q19" s="20" t="s">
        <v>54</v>
      </c>
      <c r="R19" s="20" t="s">
        <v>55</v>
      </c>
      <c r="S19" s="20" t="s">
        <v>56</v>
      </c>
      <c r="T19" s="20" t="s">
        <v>57</v>
      </c>
      <c r="U19" s="20" t="s">
        <v>58</v>
      </c>
      <c r="V19" s="20" t="s">
        <v>59</v>
      </c>
      <c r="W19" s="20" t="s">
        <v>60</v>
      </c>
    </row>
    <row r="20" spans="1:23" ht="77">
      <c r="A20" s="21" t="s">
        <v>61</v>
      </c>
      <c r="B20" s="21" t="s">
        <v>62</v>
      </c>
      <c r="C20" s="21" t="s">
        <v>63</v>
      </c>
      <c r="D20" s="21" t="s">
        <v>64</v>
      </c>
      <c r="E20" s="21" t="s">
        <v>65</v>
      </c>
      <c r="F20" s="21" t="s">
        <v>66</v>
      </c>
      <c r="G20" s="21" t="s">
        <v>67</v>
      </c>
      <c r="H20" s="21" t="s">
        <v>68</v>
      </c>
      <c r="I20" s="174" t="s">
        <v>69</v>
      </c>
      <c r="J20" s="160"/>
      <c r="K20" s="160"/>
      <c r="L20" s="161"/>
      <c r="M20" s="21" t="s">
        <v>70</v>
      </c>
      <c r="N20" s="21" t="s">
        <v>71</v>
      </c>
      <c r="O20" s="21" t="s">
        <v>72</v>
      </c>
      <c r="P20" s="21" t="s">
        <v>73</v>
      </c>
      <c r="Q20" s="21" t="s">
        <v>74</v>
      </c>
      <c r="R20" s="21" t="s">
        <v>75</v>
      </c>
      <c r="S20" s="21" t="s">
        <v>76</v>
      </c>
      <c r="T20" s="21" t="s">
        <v>77</v>
      </c>
      <c r="U20" s="21" t="s">
        <v>78</v>
      </c>
      <c r="V20" s="21" t="s">
        <v>79</v>
      </c>
      <c r="W20" s="21" t="s">
        <v>80</v>
      </c>
    </row>
    <row r="21" spans="1:23" ht="75">
      <c r="A21" s="22">
        <v>1</v>
      </c>
      <c r="B21" s="23" t="s">
        <v>81</v>
      </c>
      <c r="C21" s="22">
        <f>3820*2</f>
        <v>7640</v>
      </c>
      <c r="D21" s="24">
        <v>0.11020000000000001</v>
      </c>
      <c r="E21" s="24">
        <f>(C21-C22)/C21</f>
        <v>0.88979057591623034</v>
      </c>
      <c r="F21" s="25" t="s">
        <v>82</v>
      </c>
      <c r="G21" s="26">
        <v>1</v>
      </c>
      <c r="H21" s="26">
        <v>0</v>
      </c>
      <c r="I21" s="175" t="s">
        <v>83</v>
      </c>
      <c r="J21" s="160"/>
      <c r="K21" s="160"/>
      <c r="L21" s="161"/>
      <c r="M21" s="27" t="s">
        <v>84</v>
      </c>
      <c r="N21" s="28" t="s">
        <v>85</v>
      </c>
      <c r="O21" s="28" t="s">
        <v>86</v>
      </c>
      <c r="P21" s="28" t="s">
        <v>87</v>
      </c>
      <c r="Q21" s="28" t="s">
        <v>87</v>
      </c>
      <c r="R21" s="28" t="s">
        <v>87</v>
      </c>
      <c r="S21" s="29" t="s">
        <v>88</v>
      </c>
      <c r="T21" s="30" t="s">
        <v>89</v>
      </c>
      <c r="U21" s="31"/>
      <c r="V21" s="31"/>
      <c r="W21" s="32" t="s">
        <v>90</v>
      </c>
    </row>
    <row r="22" spans="1:23" ht="200">
      <c r="A22" s="33">
        <v>2</v>
      </c>
      <c r="B22" s="10" t="s">
        <v>91</v>
      </c>
      <c r="C22" s="33">
        <f>421*2</f>
        <v>842</v>
      </c>
      <c r="D22" s="34">
        <f t="shared" ref="D22:D29" si="0">C23/C22</f>
        <v>0.93586698337292162</v>
      </c>
      <c r="E22" s="34">
        <f t="shared" ref="E22:E29" si="1">1-D22</f>
        <v>6.4133016627078376E-2</v>
      </c>
      <c r="F22" s="34">
        <f t="shared" ref="F22:F29" si="2">(C22)/$C$21</f>
        <v>0.11020942408376963</v>
      </c>
      <c r="G22" s="35">
        <v>3</v>
      </c>
      <c r="H22" s="35">
        <v>1</v>
      </c>
      <c r="I22" s="176" t="s">
        <v>92</v>
      </c>
      <c r="J22" s="160"/>
      <c r="K22" s="160"/>
      <c r="L22" s="161"/>
      <c r="M22" s="36" t="s">
        <v>93</v>
      </c>
      <c r="N22" s="37" t="s">
        <v>94</v>
      </c>
      <c r="O22" s="38" t="s">
        <v>95</v>
      </c>
      <c r="P22" s="37" t="s">
        <v>87</v>
      </c>
      <c r="Q22" s="37" t="s">
        <v>87</v>
      </c>
      <c r="R22" s="37" t="s">
        <v>87</v>
      </c>
      <c r="S22" s="39" t="s">
        <v>88</v>
      </c>
      <c r="T22" s="40" t="s">
        <v>89</v>
      </c>
      <c r="U22" s="9" t="s">
        <v>96</v>
      </c>
      <c r="V22" s="40"/>
      <c r="W22" s="38" t="s">
        <v>97</v>
      </c>
    </row>
    <row r="23" spans="1:23" ht="87.5">
      <c r="A23" s="33">
        <v>3</v>
      </c>
      <c r="B23" s="10" t="s">
        <v>98</v>
      </c>
      <c r="C23" s="33">
        <f>394*2</f>
        <v>788</v>
      </c>
      <c r="D23" s="34">
        <f t="shared" si="0"/>
        <v>0.97208121827411165</v>
      </c>
      <c r="E23" s="34">
        <f t="shared" si="1"/>
        <v>2.7918781725888353E-2</v>
      </c>
      <c r="F23" s="34">
        <f t="shared" si="2"/>
        <v>0.10314136125654451</v>
      </c>
      <c r="G23" s="35">
        <v>1</v>
      </c>
      <c r="H23" s="35">
        <v>0</v>
      </c>
      <c r="I23" s="172" t="s">
        <v>99</v>
      </c>
      <c r="J23" s="160"/>
      <c r="K23" s="160"/>
      <c r="L23" s="161"/>
      <c r="M23" s="36" t="s">
        <v>100</v>
      </c>
      <c r="N23" s="38" t="s">
        <v>101</v>
      </c>
      <c r="O23" s="41" t="s">
        <v>102</v>
      </c>
      <c r="P23" s="37" t="s">
        <v>87</v>
      </c>
      <c r="Q23" s="37" t="s">
        <v>87</v>
      </c>
      <c r="R23" s="37" t="s">
        <v>87</v>
      </c>
      <c r="S23" s="39" t="s">
        <v>88</v>
      </c>
      <c r="T23" s="40" t="s">
        <v>89</v>
      </c>
      <c r="U23" s="9" t="s">
        <v>96</v>
      </c>
      <c r="V23" s="40" t="s">
        <v>103</v>
      </c>
      <c r="W23" s="38" t="s">
        <v>104</v>
      </c>
    </row>
    <row r="24" spans="1:23" ht="100">
      <c r="A24" s="33">
        <v>4</v>
      </c>
      <c r="B24" s="10" t="s">
        <v>105</v>
      </c>
      <c r="C24" s="33">
        <f>383*2</f>
        <v>766</v>
      </c>
      <c r="D24" s="34">
        <f t="shared" si="0"/>
        <v>0.96866840731070492</v>
      </c>
      <c r="E24" s="34">
        <f t="shared" si="1"/>
        <v>3.1331592689295085E-2</v>
      </c>
      <c r="F24" s="34">
        <f t="shared" si="2"/>
        <v>0.10026178010471204</v>
      </c>
      <c r="G24" s="35">
        <v>1</v>
      </c>
      <c r="H24" s="35">
        <v>0</v>
      </c>
      <c r="I24" s="172" t="s">
        <v>106</v>
      </c>
      <c r="J24" s="160"/>
      <c r="K24" s="160"/>
      <c r="L24" s="161"/>
      <c r="M24" s="42" t="s">
        <v>107</v>
      </c>
      <c r="N24" s="41" t="s">
        <v>108</v>
      </c>
      <c r="O24" s="38" t="s">
        <v>109</v>
      </c>
      <c r="P24" s="37" t="s">
        <v>87</v>
      </c>
      <c r="Q24" s="37" t="s">
        <v>87</v>
      </c>
      <c r="R24" s="37" t="s">
        <v>87</v>
      </c>
      <c r="S24" s="39" t="s">
        <v>88</v>
      </c>
      <c r="T24" s="40" t="s">
        <v>89</v>
      </c>
      <c r="U24" s="9" t="s">
        <v>96</v>
      </c>
      <c r="V24" s="9" t="s">
        <v>110</v>
      </c>
      <c r="W24" s="38" t="s">
        <v>111</v>
      </c>
    </row>
    <row r="25" spans="1:23" ht="237.5">
      <c r="A25" s="33">
        <v>5</v>
      </c>
      <c r="B25" s="10" t="s">
        <v>112</v>
      </c>
      <c r="C25" s="33">
        <f>371*2</f>
        <v>742</v>
      </c>
      <c r="D25" s="34">
        <f t="shared" si="0"/>
        <v>0.98921832884097038</v>
      </c>
      <c r="E25" s="34">
        <f t="shared" si="1"/>
        <v>1.0781671159029615E-2</v>
      </c>
      <c r="F25" s="34">
        <f t="shared" si="2"/>
        <v>9.7120418848167536E-2</v>
      </c>
      <c r="G25" s="35">
        <v>4</v>
      </c>
      <c r="H25" s="35">
        <v>3</v>
      </c>
      <c r="I25" s="172" t="s">
        <v>113</v>
      </c>
      <c r="J25" s="160"/>
      <c r="K25" s="160"/>
      <c r="L25" s="161"/>
      <c r="M25" s="42" t="s">
        <v>114</v>
      </c>
      <c r="N25" s="41" t="s">
        <v>115</v>
      </c>
      <c r="O25" s="41" t="s">
        <v>116</v>
      </c>
      <c r="P25" s="37" t="s">
        <v>87</v>
      </c>
      <c r="Q25" s="37" t="s">
        <v>87</v>
      </c>
      <c r="R25" s="37" t="s">
        <v>87</v>
      </c>
      <c r="S25" s="39" t="s">
        <v>88</v>
      </c>
      <c r="T25" s="40" t="s">
        <v>89</v>
      </c>
      <c r="U25" s="9" t="s">
        <v>96</v>
      </c>
      <c r="V25" s="39" t="s">
        <v>117</v>
      </c>
      <c r="W25" s="38" t="s">
        <v>118</v>
      </c>
    </row>
    <row r="26" spans="1:23" ht="87.5">
      <c r="A26" s="33">
        <v>6</v>
      </c>
      <c r="B26" s="10" t="s">
        <v>119</v>
      </c>
      <c r="C26" s="33">
        <f>367*2</f>
        <v>734</v>
      </c>
      <c r="D26" s="34">
        <f t="shared" si="0"/>
        <v>0.86376021798365121</v>
      </c>
      <c r="E26" s="34">
        <f t="shared" si="1"/>
        <v>0.13623978201634879</v>
      </c>
      <c r="F26" s="34">
        <f t="shared" si="2"/>
        <v>9.6073298429319373E-2</v>
      </c>
      <c r="G26" s="35">
        <v>3</v>
      </c>
      <c r="H26" s="35">
        <v>2</v>
      </c>
      <c r="I26" s="172" t="s">
        <v>120</v>
      </c>
      <c r="J26" s="160"/>
      <c r="K26" s="160"/>
      <c r="L26" s="161"/>
      <c r="M26" s="42" t="s">
        <v>114</v>
      </c>
      <c r="N26" s="41" t="s">
        <v>121</v>
      </c>
      <c r="O26" s="41" t="s">
        <v>122</v>
      </c>
      <c r="P26" s="37" t="s">
        <v>87</v>
      </c>
      <c r="Q26" s="37" t="s">
        <v>87</v>
      </c>
      <c r="R26" s="37" t="s">
        <v>87</v>
      </c>
      <c r="S26" s="39" t="s">
        <v>88</v>
      </c>
      <c r="T26" s="40" t="s">
        <v>89</v>
      </c>
      <c r="U26" s="9" t="s">
        <v>96</v>
      </c>
      <c r="V26" s="43" t="s">
        <v>123</v>
      </c>
      <c r="W26" s="38" t="s">
        <v>124</v>
      </c>
    </row>
    <row r="27" spans="1:23" ht="112.5">
      <c r="A27" s="33">
        <v>7</v>
      </c>
      <c r="B27" s="10" t="s">
        <v>125</v>
      </c>
      <c r="C27" s="33">
        <f>317*2</f>
        <v>634</v>
      </c>
      <c r="D27" s="34">
        <f t="shared" si="0"/>
        <v>0.96845425867507884</v>
      </c>
      <c r="E27" s="34">
        <f t="shared" si="1"/>
        <v>3.1545741324921162E-2</v>
      </c>
      <c r="F27" s="34">
        <f t="shared" si="2"/>
        <v>8.2984293193717279E-2</v>
      </c>
      <c r="G27" s="35">
        <v>4</v>
      </c>
      <c r="H27" s="35">
        <v>3</v>
      </c>
      <c r="I27" s="172" t="s">
        <v>126</v>
      </c>
      <c r="J27" s="160"/>
      <c r="K27" s="160"/>
      <c r="L27" s="161"/>
      <c r="M27" s="42" t="s">
        <v>127</v>
      </c>
      <c r="N27" s="41" t="s">
        <v>128</v>
      </c>
      <c r="O27" s="41" t="s">
        <v>129</v>
      </c>
      <c r="P27" s="37" t="s">
        <v>87</v>
      </c>
      <c r="Q27" s="37" t="s">
        <v>87</v>
      </c>
      <c r="R27" s="37" t="s">
        <v>87</v>
      </c>
      <c r="S27" s="39" t="s">
        <v>88</v>
      </c>
      <c r="T27" s="40" t="s">
        <v>89</v>
      </c>
      <c r="U27" s="9" t="s">
        <v>96</v>
      </c>
      <c r="V27" s="40" t="s">
        <v>96</v>
      </c>
      <c r="W27" s="40" t="s">
        <v>130</v>
      </c>
    </row>
    <row r="28" spans="1:23" ht="100">
      <c r="A28" s="33">
        <v>8</v>
      </c>
      <c r="B28" s="10" t="s">
        <v>131</v>
      </c>
      <c r="C28" s="33">
        <f>307*2</f>
        <v>614</v>
      </c>
      <c r="D28" s="34">
        <f t="shared" si="0"/>
        <v>0.92182410423452765</v>
      </c>
      <c r="E28" s="34">
        <f t="shared" si="1"/>
        <v>7.8175895765472347E-2</v>
      </c>
      <c r="F28" s="34">
        <f t="shared" si="2"/>
        <v>8.0366492146596857E-2</v>
      </c>
      <c r="G28" s="35">
        <v>2</v>
      </c>
      <c r="H28" s="35">
        <v>1</v>
      </c>
      <c r="I28" s="172" t="s">
        <v>132</v>
      </c>
      <c r="J28" s="160"/>
      <c r="K28" s="160"/>
      <c r="L28" s="161"/>
      <c r="M28" s="42" t="s">
        <v>93</v>
      </c>
      <c r="N28" s="41" t="s">
        <v>133</v>
      </c>
      <c r="O28" s="41" t="s">
        <v>134</v>
      </c>
      <c r="P28" s="37" t="s">
        <v>87</v>
      </c>
      <c r="Q28" s="37" t="s">
        <v>87</v>
      </c>
      <c r="R28" s="37" t="s">
        <v>87</v>
      </c>
      <c r="S28" s="39" t="s">
        <v>88</v>
      </c>
      <c r="T28" s="40" t="s">
        <v>89</v>
      </c>
      <c r="U28" s="9" t="s">
        <v>96</v>
      </c>
      <c r="V28" s="9" t="s">
        <v>96</v>
      </c>
      <c r="W28" s="40" t="s">
        <v>135</v>
      </c>
    </row>
    <row r="29" spans="1:23" ht="37.5">
      <c r="A29" s="33">
        <v>9</v>
      </c>
      <c r="B29" s="10" t="s">
        <v>136</v>
      </c>
      <c r="C29" s="33">
        <f>283*2</f>
        <v>566</v>
      </c>
      <c r="D29" s="44">
        <f t="shared" si="0"/>
        <v>1</v>
      </c>
      <c r="E29" s="45">
        <f t="shared" si="1"/>
        <v>0</v>
      </c>
      <c r="F29" s="34">
        <f t="shared" si="2"/>
        <v>7.4083769633507851E-2</v>
      </c>
      <c r="G29" s="35">
        <v>7</v>
      </c>
      <c r="H29" s="35">
        <v>0</v>
      </c>
      <c r="I29" s="172" t="s">
        <v>137</v>
      </c>
      <c r="J29" s="160"/>
      <c r="K29" s="160"/>
      <c r="L29" s="161"/>
      <c r="M29" s="42" t="s">
        <v>138</v>
      </c>
      <c r="N29" s="41" t="s">
        <v>139</v>
      </c>
      <c r="O29" s="41" t="s">
        <v>140</v>
      </c>
      <c r="P29" s="37" t="s">
        <v>87</v>
      </c>
      <c r="Q29" s="37" t="s">
        <v>87</v>
      </c>
      <c r="R29" s="37" t="s">
        <v>87</v>
      </c>
      <c r="S29" s="39" t="s">
        <v>88</v>
      </c>
      <c r="T29" s="40" t="s">
        <v>89</v>
      </c>
      <c r="U29" s="9" t="s">
        <v>96</v>
      </c>
      <c r="V29" s="40" t="s">
        <v>96</v>
      </c>
      <c r="W29" s="40" t="s">
        <v>96</v>
      </c>
    </row>
    <row r="30" spans="1:23" ht="12.5">
      <c r="A30" s="46">
        <v>10</v>
      </c>
      <c r="B30" s="47" t="s">
        <v>141</v>
      </c>
      <c r="C30" s="48">
        <f>C29</f>
        <v>566</v>
      </c>
      <c r="D30" s="14"/>
      <c r="E30" s="49"/>
      <c r="F30" s="50"/>
      <c r="G30" s="51"/>
      <c r="H30" s="51"/>
      <c r="I30" s="14"/>
      <c r="J30" s="14"/>
      <c r="K30" s="14"/>
      <c r="L30" s="14"/>
      <c r="M30" s="14"/>
      <c r="N30" s="14"/>
      <c r="O30" s="14"/>
      <c r="P30" s="14"/>
      <c r="Q30" s="14"/>
      <c r="R30" s="14"/>
      <c r="S30" s="14"/>
      <c r="T30" s="14"/>
      <c r="U30" s="14"/>
      <c r="V30" s="14"/>
      <c r="W30" s="14"/>
    </row>
    <row r="31" spans="1:23" ht="12.5">
      <c r="A31" s="14"/>
      <c r="B31" s="14"/>
      <c r="C31" s="14"/>
      <c r="D31" s="14"/>
      <c r="E31" s="52"/>
      <c r="F31" s="47" t="s">
        <v>142</v>
      </c>
      <c r="G31" s="47" t="s">
        <v>143</v>
      </c>
      <c r="H31" s="47" t="s">
        <v>143</v>
      </c>
      <c r="I31" s="14"/>
      <c r="J31" s="14"/>
      <c r="K31" s="14"/>
      <c r="L31" s="14"/>
      <c r="M31" s="14"/>
      <c r="N31" s="14"/>
      <c r="O31" s="14"/>
      <c r="P31" s="14"/>
      <c r="Q31" s="14"/>
      <c r="R31" s="14"/>
      <c r="S31" s="14"/>
      <c r="T31" s="14"/>
      <c r="U31" s="14"/>
      <c r="V31" s="14"/>
      <c r="W31" s="14"/>
    </row>
    <row r="32" spans="1:23" ht="12.5">
      <c r="A32" s="14"/>
      <c r="B32" s="14"/>
      <c r="C32" s="14"/>
      <c r="D32" s="14"/>
      <c r="E32" s="52"/>
      <c r="F32" s="53">
        <f>AVERAGE(F21:F29)</f>
        <v>9.3030104712041872E-2</v>
      </c>
      <c r="G32" s="54">
        <f t="shared" ref="G32:H32" si="3">SUM(G21:G29)</f>
        <v>26</v>
      </c>
      <c r="H32" s="54">
        <f t="shared" si="3"/>
        <v>10</v>
      </c>
      <c r="I32" s="14"/>
      <c r="J32" s="14"/>
      <c r="K32" s="14"/>
      <c r="L32" s="14"/>
      <c r="M32" s="14"/>
      <c r="N32" s="14"/>
      <c r="O32" s="14"/>
      <c r="P32" s="14"/>
      <c r="Q32" s="14"/>
      <c r="R32" s="14"/>
      <c r="S32" s="14"/>
      <c r="T32" s="14"/>
      <c r="U32" s="14"/>
      <c r="V32" s="14"/>
      <c r="W32" s="14"/>
    </row>
    <row r="33" spans="1:23" ht="12.5">
      <c r="A33" s="14"/>
      <c r="B33" s="14"/>
      <c r="C33" s="14"/>
      <c r="D33" s="14"/>
      <c r="E33" s="14"/>
      <c r="F33" s="14"/>
      <c r="G33" s="14"/>
      <c r="H33" s="14"/>
      <c r="I33" s="14"/>
      <c r="J33" s="14"/>
      <c r="K33" s="14"/>
      <c r="L33" s="14"/>
      <c r="M33" s="14"/>
      <c r="N33" s="14"/>
      <c r="O33" s="14"/>
      <c r="P33" s="14"/>
      <c r="Q33" s="14"/>
      <c r="R33" s="14"/>
      <c r="S33" s="14"/>
      <c r="T33" s="14"/>
      <c r="U33" s="14"/>
      <c r="V33" s="14"/>
      <c r="W33" s="14"/>
    </row>
  </sheetData>
  <mergeCells count="25">
    <mergeCell ref="A1:W2"/>
    <mergeCell ref="A3:F4"/>
    <mergeCell ref="A5:F5"/>
    <mergeCell ref="A6:F6"/>
    <mergeCell ref="A7:F7"/>
    <mergeCell ref="A8:F8"/>
    <mergeCell ref="A9:F9"/>
    <mergeCell ref="A10:F10"/>
    <mergeCell ref="A11:F11"/>
    <mergeCell ref="A12:F12"/>
    <mergeCell ref="A13:F13"/>
    <mergeCell ref="A14:F14"/>
    <mergeCell ref="A15:F15"/>
    <mergeCell ref="A16:F16"/>
    <mergeCell ref="I26:L26"/>
    <mergeCell ref="I27:L27"/>
    <mergeCell ref="I28:L28"/>
    <mergeCell ref="I29:L29"/>
    <mergeCell ref="A17:F17"/>
    <mergeCell ref="I20:L20"/>
    <mergeCell ref="I21:L21"/>
    <mergeCell ref="I22:L22"/>
    <mergeCell ref="I23:L23"/>
    <mergeCell ref="I24:L24"/>
    <mergeCell ref="I25:L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3"/>
  <sheetViews>
    <sheetView showGridLines="0" topLeftCell="E9" workbookViewId="0">
      <selection activeCell="G19" sqref="G19"/>
    </sheetView>
  </sheetViews>
  <sheetFormatPr defaultColWidth="12.6328125" defaultRowHeight="15.75" customHeight="1"/>
  <cols>
    <col min="2" max="2" width="51.81640625" customWidth="1"/>
    <col min="3" max="3" width="20" customWidth="1"/>
    <col min="4" max="4" width="39" customWidth="1"/>
    <col min="5" max="5" width="38.1796875" customWidth="1"/>
    <col min="6" max="6" width="39" customWidth="1"/>
    <col min="7" max="7" width="37.90625" customWidth="1"/>
    <col min="8" max="8" width="38.36328125" customWidth="1"/>
    <col min="9" max="9" width="25.81640625" customWidth="1"/>
    <col min="10" max="10" width="20.08984375" customWidth="1"/>
    <col min="11" max="11" width="24.90625" customWidth="1"/>
    <col min="12" max="12" width="25" customWidth="1"/>
    <col min="13" max="13" width="14.08984375" customWidth="1"/>
  </cols>
  <sheetData>
    <row r="1" spans="1:16" ht="12.5">
      <c r="A1" s="184" t="s">
        <v>12</v>
      </c>
      <c r="B1" s="165"/>
      <c r="C1" s="165"/>
      <c r="D1" s="165"/>
      <c r="E1" s="165"/>
      <c r="F1" s="165"/>
      <c r="G1" s="165"/>
      <c r="H1" s="165"/>
      <c r="I1" s="165"/>
      <c r="J1" s="165"/>
      <c r="K1" s="165"/>
      <c r="L1" s="165"/>
      <c r="M1" s="165"/>
      <c r="N1" s="165"/>
      <c r="O1" s="165"/>
      <c r="P1" s="166"/>
    </row>
    <row r="2" spans="1:16" ht="12.5">
      <c r="A2" s="167"/>
      <c r="B2" s="168"/>
      <c r="C2" s="168"/>
      <c r="D2" s="168"/>
      <c r="E2" s="168"/>
      <c r="F2" s="168"/>
      <c r="G2" s="168"/>
      <c r="H2" s="168"/>
      <c r="I2" s="168"/>
      <c r="J2" s="168"/>
      <c r="K2" s="168"/>
      <c r="L2" s="168"/>
      <c r="M2" s="168"/>
      <c r="N2" s="168"/>
      <c r="O2" s="168"/>
      <c r="P2" s="169"/>
    </row>
    <row r="3" spans="1:16" ht="13">
      <c r="A3" s="183" t="s">
        <v>144</v>
      </c>
      <c r="B3" s="165"/>
      <c r="C3" s="165"/>
      <c r="D3" s="165"/>
      <c r="E3" s="165"/>
      <c r="F3" s="166"/>
      <c r="K3" s="15"/>
      <c r="L3" s="15"/>
      <c r="M3" s="14"/>
      <c r="N3" s="14"/>
      <c r="O3" s="14"/>
      <c r="P3" s="14"/>
    </row>
    <row r="4" spans="1:16" ht="13">
      <c r="A4" s="183" t="s">
        <v>145</v>
      </c>
      <c r="B4" s="165"/>
      <c r="C4" s="165"/>
      <c r="D4" s="165"/>
      <c r="E4" s="165"/>
      <c r="F4" s="166"/>
      <c r="K4" s="15"/>
      <c r="L4" s="15"/>
      <c r="M4" s="14"/>
      <c r="N4" s="14"/>
      <c r="O4" s="14"/>
      <c r="P4" s="14"/>
    </row>
    <row r="5" spans="1:16" ht="12.5">
      <c r="A5" s="186" t="s">
        <v>146</v>
      </c>
      <c r="B5" s="165"/>
      <c r="C5" s="165"/>
      <c r="D5" s="165"/>
      <c r="E5" s="165"/>
      <c r="F5" s="166"/>
      <c r="K5" s="14"/>
      <c r="L5" s="14"/>
      <c r="M5" s="14"/>
      <c r="N5" s="14"/>
      <c r="O5" s="14"/>
      <c r="P5" s="14"/>
    </row>
    <row r="6" spans="1:16" ht="15" customHeight="1">
      <c r="A6" s="185" t="s">
        <v>147</v>
      </c>
      <c r="B6" s="178"/>
      <c r="C6" s="178"/>
      <c r="D6" s="178"/>
      <c r="E6" s="178"/>
      <c r="F6" s="179"/>
      <c r="K6" s="14"/>
      <c r="L6" s="14"/>
      <c r="M6" s="14"/>
      <c r="N6" s="14"/>
      <c r="O6" s="14"/>
      <c r="P6" s="14"/>
    </row>
    <row r="7" spans="1:16" ht="15" customHeight="1">
      <c r="A7" s="185" t="s">
        <v>148</v>
      </c>
      <c r="B7" s="178"/>
      <c r="C7" s="178"/>
      <c r="D7" s="178"/>
      <c r="E7" s="178"/>
      <c r="F7" s="179"/>
      <c r="K7" s="14"/>
      <c r="L7" s="14"/>
      <c r="M7" s="14"/>
      <c r="N7" s="14"/>
      <c r="O7" s="14"/>
      <c r="P7" s="14"/>
    </row>
    <row r="8" spans="1:16" ht="15" customHeight="1">
      <c r="A8" s="185" t="s">
        <v>149</v>
      </c>
      <c r="B8" s="178"/>
      <c r="C8" s="178"/>
      <c r="D8" s="178"/>
      <c r="E8" s="178"/>
      <c r="F8" s="179"/>
      <c r="K8" s="14"/>
      <c r="L8" s="14"/>
      <c r="M8" s="14"/>
      <c r="N8" s="14"/>
      <c r="O8" s="14"/>
      <c r="P8" s="14"/>
    </row>
    <row r="9" spans="1:16" ht="15" customHeight="1">
      <c r="A9" s="185" t="s">
        <v>150</v>
      </c>
      <c r="B9" s="178"/>
      <c r="C9" s="178"/>
      <c r="D9" s="178"/>
      <c r="E9" s="178"/>
      <c r="F9" s="179"/>
      <c r="K9" s="14"/>
      <c r="L9" s="14"/>
      <c r="M9" s="14"/>
      <c r="N9" s="14"/>
      <c r="O9" s="14"/>
      <c r="P9" s="14"/>
    </row>
    <row r="10" spans="1:16" ht="15" customHeight="1">
      <c r="A10" s="185" t="s">
        <v>151</v>
      </c>
      <c r="B10" s="178"/>
      <c r="C10" s="178"/>
      <c r="D10" s="178"/>
      <c r="E10" s="178"/>
      <c r="F10" s="179"/>
      <c r="K10" s="14"/>
      <c r="L10" s="14"/>
      <c r="M10" s="14"/>
      <c r="N10" s="14"/>
      <c r="O10" s="14"/>
      <c r="P10" s="14"/>
    </row>
    <row r="11" spans="1:16" ht="15" customHeight="1">
      <c r="A11" s="185" t="s">
        <v>152</v>
      </c>
      <c r="B11" s="178"/>
      <c r="C11" s="178"/>
      <c r="D11" s="178"/>
      <c r="E11" s="178"/>
      <c r="F11" s="179"/>
      <c r="K11" s="14"/>
      <c r="L11" s="14"/>
      <c r="M11" s="14"/>
      <c r="N11" s="14"/>
      <c r="O11" s="14"/>
      <c r="P11" s="14"/>
    </row>
    <row r="12" spans="1:16" ht="15" customHeight="1">
      <c r="A12" s="185" t="s">
        <v>153</v>
      </c>
      <c r="B12" s="178"/>
      <c r="C12" s="178"/>
      <c r="D12" s="178"/>
      <c r="E12" s="178"/>
      <c r="F12" s="179"/>
      <c r="K12" s="14"/>
      <c r="L12" s="14"/>
      <c r="M12" s="14"/>
      <c r="N12" s="14"/>
      <c r="O12" s="14"/>
      <c r="P12" s="14"/>
    </row>
    <row r="13" spans="1:16" ht="15" customHeight="1">
      <c r="A13" s="185" t="s">
        <v>154</v>
      </c>
      <c r="B13" s="178"/>
      <c r="C13" s="178"/>
      <c r="D13" s="178"/>
      <c r="E13" s="178"/>
      <c r="F13" s="179"/>
      <c r="K13" s="14"/>
      <c r="L13" s="14"/>
      <c r="M13" s="14"/>
      <c r="N13" s="14"/>
      <c r="O13" s="14"/>
      <c r="P13" s="14"/>
    </row>
    <row r="14" spans="1:16" ht="15" customHeight="1">
      <c r="A14" s="185" t="s">
        <v>155</v>
      </c>
      <c r="B14" s="178"/>
      <c r="C14" s="178"/>
      <c r="D14" s="178"/>
      <c r="E14" s="178"/>
      <c r="F14" s="179"/>
      <c r="K14" s="14"/>
      <c r="L14" s="14"/>
      <c r="M14" s="14"/>
      <c r="N14" s="14"/>
      <c r="O14" s="14"/>
      <c r="P14" s="14"/>
    </row>
    <row r="15" spans="1:16" ht="15" customHeight="1">
      <c r="A15" s="55" t="s">
        <v>156</v>
      </c>
      <c r="B15" s="56"/>
      <c r="C15" s="56"/>
      <c r="D15" s="56"/>
      <c r="E15" s="56"/>
      <c r="F15" s="57"/>
      <c r="K15" s="14"/>
      <c r="L15" s="14"/>
      <c r="M15" s="14"/>
      <c r="N15" s="14"/>
      <c r="O15" s="14"/>
      <c r="P15" s="14"/>
    </row>
    <row r="16" spans="1:16" ht="15" customHeight="1">
      <c r="A16" s="16" t="s">
        <v>37</v>
      </c>
      <c r="B16" s="17"/>
      <c r="C16" s="17"/>
      <c r="D16" s="17"/>
      <c r="E16" s="17"/>
      <c r="F16" s="18"/>
      <c r="K16" s="14"/>
      <c r="L16" s="14"/>
      <c r="M16" s="14"/>
      <c r="N16" s="14"/>
      <c r="O16" s="14"/>
      <c r="P16" s="14"/>
    </row>
    <row r="17" spans="1:16" ht="15" customHeight="1">
      <c r="A17" s="10" t="s">
        <v>38</v>
      </c>
      <c r="B17" s="10" t="s">
        <v>157</v>
      </c>
      <c r="C17" s="10" t="s">
        <v>158</v>
      </c>
      <c r="D17" s="10" t="s">
        <v>41</v>
      </c>
      <c r="E17" s="58" t="s">
        <v>42</v>
      </c>
      <c r="F17" s="58" t="s">
        <v>43</v>
      </c>
      <c r="G17" s="58" t="s">
        <v>44</v>
      </c>
      <c r="H17" s="58" t="s">
        <v>45</v>
      </c>
      <c r="I17" s="58" t="s">
        <v>46</v>
      </c>
      <c r="J17" s="58" t="s">
        <v>47</v>
      </c>
      <c r="K17" s="10" t="s">
        <v>48</v>
      </c>
      <c r="L17" s="10" t="s">
        <v>49</v>
      </c>
      <c r="M17" s="10" t="s">
        <v>50</v>
      </c>
      <c r="N17" s="10" t="s">
        <v>51</v>
      </c>
      <c r="O17" s="10" t="s">
        <v>52</v>
      </c>
      <c r="P17" s="10" t="s">
        <v>53</v>
      </c>
    </row>
    <row r="18" spans="1:16" ht="52">
      <c r="A18" s="59"/>
      <c r="B18" s="60" t="s">
        <v>159</v>
      </c>
      <c r="C18" s="60" t="s">
        <v>160</v>
      </c>
      <c r="D18" s="60" t="s">
        <v>161</v>
      </c>
      <c r="E18" s="60" t="s">
        <v>162</v>
      </c>
      <c r="F18" s="60" t="s">
        <v>163</v>
      </c>
      <c r="G18" s="60" t="s">
        <v>164</v>
      </c>
      <c r="H18" s="60" t="s">
        <v>165</v>
      </c>
      <c r="I18" s="60" t="s">
        <v>166</v>
      </c>
      <c r="J18" s="60" t="s">
        <v>167</v>
      </c>
      <c r="K18" s="60" t="s">
        <v>168</v>
      </c>
      <c r="L18" s="60" t="s">
        <v>169</v>
      </c>
      <c r="M18" s="60" t="s">
        <v>170</v>
      </c>
      <c r="N18" s="60" t="s">
        <v>171</v>
      </c>
      <c r="O18" s="60" t="s">
        <v>172</v>
      </c>
      <c r="P18" s="60" t="s">
        <v>173</v>
      </c>
    </row>
    <row r="19" spans="1:16" ht="87.5">
      <c r="A19" s="61">
        <v>1</v>
      </c>
      <c r="B19" s="62" t="s">
        <v>174</v>
      </c>
      <c r="C19" s="62" t="s">
        <v>175</v>
      </c>
      <c r="D19" s="62" t="s">
        <v>176</v>
      </c>
      <c r="E19" s="62" t="s">
        <v>177</v>
      </c>
      <c r="F19" s="62" t="s">
        <v>178</v>
      </c>
      <c r="G19" s="62" t="s">
        <v>179</v>
      </c>
      <c r="H19" s="62" t="s">
        <v>180</v>
      </c>
      <c r="I19" s="62" t="s">
        <v>181</v>
      </c>
      <c r="J19" s="62" t="s">
        <v>182</v>
      </c>
      <c r="K19" s="63">
        <v>0.2</v>
      </c>
      <c r="L19" s="62" t="s">
        <v>183</v>
      </c>
      <c r="M19" s="64">
        <v>9</v>
      </c>
      <c r="N19" s="64">
        <v>9</v>
      </c>
      <c r="O19" s="64">
        <v>10</v>
      </c>
      <c r="P19" s="65">
        <f>AVERAGE(M19:O19)</f>
        <v>9.3333333333333339</v>
      </c>
    </row>
    <row r="20" spans="1:16" ht="100">
      <c r="A20" s="66">
        <v>2</v>
      </c>
      <c r="B20" s="67" t="s">
        <v>184</v>
      </c>
      <c r="C20" s="68" t="s">
        <v>185</v>
      </c>
      <c r="D20" s="67" t="s">
        <v>186</v>
      </c>
      <c r="E20" s="67" t="s">
        <v>187</v>
      </c>
      <c r="F20" s="67" t="s">
        <v>188</v>
      </c>
      <c r="G20" s="67" t="s">
        <v>189</v>
      </c>
      <c r="H20" s="67" t="s">
        <v>190</v>
      </c>
      <c r="I20" s="69" t="s">
        <v>191</v>
      </c>
      <c r="J20" s="68" t="s">
        <v>182</v>
      </c>
      <c r="K20" s="70">
        <v>0.5</v>
      </c>
      <c r="L20" s="69" t="s">
        <v>192</v>
      </c>
      <c r="M20" s="71">
        <v>7</v>
      </c>
      <c r="N20" s="71">
        <v>5</v>
      </c>
      <c r="O20" s="71">
        <v>10</v>
      </c>
      <c r="P20" s="72">
        <v>7.33</v>
      </c>
    </row>
    <row r="21" spans="1:16" ht="150">
      <c r="A21" s="66">
        <v>3</v>
      </c>
      <c r="B21" s="73" t="s">
        <v>193</v>
      </c>
      <c r="C21" s="68" t="s">
        <v>194</v>
      </c>
      <c r="D21" s="67" t="s">
        <v>195</v>
      </c>
      <c r="E21" s="67" t="s">
        <v>196</v>
      </c>
      <c r="F21" s="67" t="s">
        <v>197</v>
      </c>
      <c r="G21" s="67" t="s">
        <v>198</v>
      </c>
      <c r="H21" s="67" t="s">
        <v>199</v>
      </c>
      <c r="I21" s="69" t="s">
        <v>200</v>
      </c>
      <c r="J21" s="68" t="s">
        <v>201</v>
      </c>
      <c r="K21" s="70">
        <v>0.5</v>
      </c>
      <c r="L21" s="69" t="s">
        <v>202</v>
      </c>
      <c r="M21" s="71">
        <v>10</v>
      </c>
      <c r="N21" s="71">
        <v>8</v>
      </c>
      <c r="O21" s="71">
        <v>7</v>
      </c>
      <c r="P21" s="72">
        <v>8.33</v>
      </c>
    </row>
    <row r="22" spans="1:16" ht="112.5">
      <c r="A22" s="66">
        <v>4</v>
      </c>
      <c r="B22" s="73" t="s">
        <v>203</v>
      </c>
      <c r="C22" s="68" t="s">
        <v>204</v>
      </c>
      <c r="D22" s="67" t="s">
        <v>205</v>
      </c>
      <c r="E22" s="67" t="s">
        <v>206</v>
      </c>
      <c r="F22" s="67" t="s">
        <v>207</v>
      </c>
      <c r="G22" s="67" t="s">
        <v>208</v>
      </c>
      <c r="H22" s="67" t="s">
        <v>209</v>
      </c>
      <c r="I22" s="69" t="s">
        <v>210</v>
      </c>
      <c r="J22" s="68" t="s">
        <v>211</v>
      </c>
      <c r="K22" s="70">
        <v>0.3</v>
      </c>
      <c r="L22" s="69" t="s">
        <v>212</v>
      </c>
      <c r="M22" s="71">
        <v>8</v>
      </c>
      <c r="N22" s="71">
        <v>9</v>
      </c>
      <c r="O22" s="71">
        <v>9</v>
      </c>
      <c r="P22" s="72">
        <v>8.67</v>
      </c>
    </row>
    <row r="23" spans="1:16" ht="137.5">
      <c r="A23" s="66">
        <v>5</v>
      </c>
      <c r="B23" s="73" t="s">
        <v>213</v>
      </c>
      <c r="C23" s="68" t="s">
        <v>214</v>
      </c>
      <c r="D23" s="67" t="s">
        <v>215</v>
      </c>
      <c r="E23" s="67" t="s">
        <v>216</v>
      </c>
      <c r="F23" s="67" t="s">
        <v>217</v>
      </c>
      <c r="G23" s="67" t="s">
        <v>218</v>
      </c>
      <c r="H23" s="67" t="s">
        <v>219</v>
      </c>
      <c r="I23" s="69" t="s">
        <v>210</v>
      </c>
      <c r="J23" s="68" t="s">
        <v>211</v>
      </c>
      <c r="K23" s="70">
        <v>0.2</v>
      </c>
      <c r="L23" s="69" t="s">
        <v>220</v>
      </c>
      <c r="M23" s="71">
        <v>9</v>
      </c>
      <c r="N23" s="71">
        <v>4</v>
      </c>
      <c r="O23" s="71">
        <v>8</v>
      </c>
      <c r="P23" s="72">
        <v>7</v>
      </c>
    </row>
  </sheetData>
  <mergeCells count="13">
    <mergeCell ref="A14:F14"/>
    <mergeCell ref="A1:P2"/>
    <mergeCell ref="A3:F3"/>
    <mergeCell ref="A4:F4"/>
    <mergeCell ref="A5:F5"/>
    <mergeCell ref="A6:F6"/>
    <mergeCell ref="A7:F7"/>
    <mergeCell ref="A8:F8"/>
    <mergeCell ref="A9:F9"/>
    <mergeCell ref="A10:F10"/>
    <mergeCell ref="A11:F11"/>
    <mergeCell ref="A12:F12"/>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showGridLines="0" workbookViewId="0">
      <selection sqref="A1:B1"/>
    </sheetView>
  </sheetViews>
  <sheetFormatPr defaultColWidth="12.6328125" defaultRowHeight="15.75" customHeight="1"/>
  <cols>
    <col min="1" max="1" width="11.6328125" customWidth="1"/>
    <col min="2" max="2" width="78.08984375" customWidth="1"/>
  </cols>
  <sheetData>
    <row r="1" spans="1:2" ht="37.5">
      <c r="A1" s="193" t="s">
        <v>15</v>
      </c>
      <c r="B1" s="161"/>
    </row>
    <row r="2" spans="1:2" ht="44.25" customHeight="1">
      <c r="A2" s="194" t="s">
        <v>221</v>
      </c>
      <c r="B2" s="161"/>
    </row>
    <row r="3" spans="1:2" ht="77.25" customHeight="1">
      <c r="A3" s="191" t="s">
        <v>222</v>
      </c>
      <c r="B3" s="161"/>
    </row>
    <row r="4" spans="1:2" ht="66" customHeight="1">
      <c r="A4" s="191" t="s">
        <v>223</v>
      </c>
      <c r="B4" s="161"/>
    </row>
    <row r="5" spans="1:2" ht="43.5" customHeight="1">
      <c r="A5" s="186" t="s">
        <v>224</v>
      </c>
      <c r="B5" s="166"/>
    </row>
    <row r="6" spans="1:2" ht="21.75" customHeight="1">
      <c r="A6" s="187" t="str">
        <f>HYPERLINK("https://slack.com/get-started#/ ","Instructions: Signup for Slack at https://slack.com/get-started#/")</f>
        <v>Instructions: Signup for Slack at https://slack.com/get-started#/</v>
      </c>
      <c r="B6" s="166"/>
    </row>
    <row r="7" spans="1:2" ht="12.5">
      <c r="A7" s="188" t="s">
        <v>225</v>
      </c>
      <c r="B7" s="161"/>
    </row>
    <row r="8" spans="1:2" ht="12.5">
      <c r="A8" s="190" t="s">
        <v>226</v>
      </c>
      <c r="B8" s="179"/>
    </row>
    <row r="9" spans="1:2" ht="12.5">
      <c r="A9" s="191" t="s">
        <v>227</v>
      </c>
      <c r="B9" s="161"/>
    </row>
    <row r="10" spans="1:2" ht="12.5">
      <c r="A10" s="191" t="s">
        <v>228</v>
      </c>
      <c r="B10" s="161"/>
    </row>
    <row r="11" spans="1:2" ht="12.5">
      <c r="A11" s="191" t="s">
        <v>229</v>
      </c>
      <c r="B11" s="161"/>
    </row>
    <row r="12" spans="1:2" ht="12.5">
      <c r="A12" s="192" t="s">
        <v>230</v>
      </c>
      <c r="B12" s="179"/>
    </row>
    <row r="13" spans="1:2" ht="12.5">
      <c r="A13" s="192" t="s">
        <v>231</v>
      </c>
      <c r="B13" s="179"/>
    </row>
    <row r="14" spans="1:2" ht="12.5">
      <c r="A14" s="192" t="s">
        <v>232</v>
      </c>
      <c r="B14" s="179"/>
    </row>
    <row r="15" spans="1:2" ht="12.5">
      <c r="A15" s="10" t="s">
        <v>38</v>
      </c>
      <c r="B15" s="10" t="s">
        <v>157</v>
      </c>
    </row>
    <row r="16" spans="1:2" ht="13">
      <c r="A16" s="16" t="s">
        <v>37</v>
      </c>
      <c r="B16" s="75"/>
    </row>
    <row r="17" spans="1:2" ht="13">
      <c r="A17" s="189" t="s">
        <v>233</v>
      </c>
      <c r="B17" s="161"/>
    </row>
    <row r="18" spans="1:2" ht="12.5">
      <c r="A18" s="76">
        <v>1</v>
      </c>
      <c r="B18" s="77" t="s">
        <v>234</v>
      </c>
    </row>
    <row r="19" spans="1:2" ht="12.5">
      <c r="A19" s="76">
        <v>2</v>
      </c>
      <c r="B19" s="78" t="s">
        <v>235</v>
      </c>
    </row>
    <row r="20" spans="1:2" ht="12.5">
      <c r="A20" s="76">
        <v>3</v>
      </c>
      <c r="B20" s="78" t="s">
        <v>236</v>
      </c>
    </row>
    <row r="21" spans="1:2" ht="12.5">
      <c r="A21" s="76">
        <v>4</v>
      </c>
      <c r="B21" s="78" t="s">
        <v>237</v>
      </c>
    </row>
    <row r="22" spans="1:2" ht="12.5">
      <c r="A22" s="76">
        <v>5</v>
      </c>
      <c r="B22" s="78" t="s">
        <v>238</v>
      </c>
    </row>
    <row r="23" spans="1:2" ht="13">
      <c r="A23" s="189" t="s">
        <v>239</v>
      </c>
      <c r="B23" s="161"/>
    </row>
    <row r="24" spans="1:2" ht="12.5">
      <c r="A24" s="76">
        <v>1</v>
      </c>
      <c r="B24" s="77" t="s">
        <v>240</v>
      </c>
    </row>
    <row r="25" spans="1:2" ht="12.5">
      <c r="A25" s="76">
        <v>2</v>
      </c>
      <c r="B25" s="78" t="s">
        <v>241</v>
      </c>
    </row>
    <row r="26" spans="1:2" ht="12.5">
      <c r="A26" s="76">
        <v>3</v>
      </c>
      <c r="B26" s="78" t="s">
        <v>242</v>
      </c>
    </row>
    <row r="27" spans="1:2" ht="12.5">
      <c r="A27" s="76">
        <v>4</v>
      </c>
      <c r="B27" s="78" t="s">
        <v>243</v>
      </c>
    </row>
    <row r="28" spans="1:2" ht="12.5">
      <c r="A28" s="76">
        <v>5</v>
      </c>
      <c r="B28" s="78" t="s">
        <v>244</v>
      </c>
    </row>
    <row r="29" spans="1:2" ht="13">
      <c r="A29" s="189" t="s">
        <v>245</v>
      </c>
      <c r="B29" s="161"/>
    </row>
    <row r="30" spans="1:2" ht="12.5">
      <c r="A30" s="76">
        <v>1</v>
      </c>
      <c r="B30" s="77" t="s">
        <v>246</v>
      </c>
    </row>
    <row r="31" spans="1:2" ht="12.5">
      <c r="A31" s="76">
        <v>2</v>
      </c>
      <c r="B31" s="78" t="s">
        <v>247</v>
      </c>
    </row>
    <row r="32" spans="1:2" ht="12.5">
      <c r="A32" s="76">
        <v>3</v>
      </c>
      <c r="B32" s="78" t="s">
        <v>248</v>
      </c>
    </row>
    <row r="33" spans="1:2" ht="12.5">
      <c r="A33" s="76">
        <v>4</v>
      </c>
      <c r="B33" s="78" t="s">
        <v>249</v>
      </c>
    </row>
    <row r="34" spans="1:2" ht="12.5">
      <c r="A34" s="76">
        <v>5</v>
      </c>
      <c r="B34" s="78" t="s">
        <v>250</v>
      </c>
    </row>
  </sheetData>
  <mergeCells count="17">
    <mergeCell ref="A1:B1"/>
    <mergeCell ref="A2:B2"/>
    <mergeCell ref="A3:B3"/>
    <mergeCell ref="A4:B4"/>
    <mergeCell ref="A5:B5"/>
    <mergeCell ref="A6:B6"/>
    <mergeCell ref="A7:B7"/>
    <mergeCell ref="A17:B17"/>
    <mergeCell ref="A23:B23"/>
    <mergeCell ref="A29:B29"/>
    <mergeCell ref="A8:B8"/>
    <mergeCell ref="A9:B9"/>
    <mergeCell ref="A10:B10"/>
    <mergeCell ref="A11:B11"/>
    <mergeCell ref="A12:B12"/>
    <mergeCell ref="A13:B13"/>
    <mergeCell ref="A14: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65"/>
  <sheetViews>
    <sheetView showGridLines="0" topLeftCell="A10" workbookViewId="0">
      <selection activeCell="G31" sqref="G31"/>
    </sheetView>
  </sheetViews>
  <sheetFormatPr defaultColWidth="12.6328125" defaultRowHeight="15.75" customHeight="1"/>
  <cols>
    <col min="1" max="1" width="10.1796875" customWidth="1"/>
    <col min="2" max="2" width="14.90625" customWidth="1"/>
    <col min="3" max="4" width="15" customWidth="1"/>
    <col min="5" max="5" width="10.1796875" customWidth="1"/>
    <col min="18" max="18" width="14.6328125" customWidth="1"/>
    <col min="19" max="19" width="17.36328125" customWidth="1"/>
  </cols>
  <sheetData>
    <row r="1" spans="1:19" ht="37.5">
      <c r="A1" s="220" t="s">
        <v>17</v>
      </c>
      <c r="B1" s="160"/>
      <c r="C1" s="160"/>
      <c r="D1" s="160"/>
      <c r="E1" s="160"/>
      <c r="F1" s="160"/>
      <c r="G1" s="160"/>
      <c r="H1" s="160"/>
      <c r="I1" s="160"/>
      <c r="J1" s="160"/>
      <c r="K1" s="160"/>
      <c r="L1" s="160"/>
      <c r="M1" s="160"/>
      <c r="N1" s="160"/>
      <c r="O1" s="160"/>
      <c r="P1" s="160"/>
      <c r="Q1" s="160"/>
      <c r="R1" s="160"/>
      <c r="S1" s="161"/>
    </row>
    <row r="2" spans="1:19" ht="13">
      <c r="A2" s="194" t="s">
        <v>251</v>
      </c>
      <c r="B2" s="160"/>
      <c r="C2" s="160"/>
      <c r="D2" s="160"/>
      <c r="E2" s="160"/>
      <c r="F2" s="160"/>
      <c r="G2" s="160"/>
      <c r="H2" s="160"/>
      <c r="I2" s="161"/>
      <c r="J2" s="79"/>
      <c r="K2" s="79"/>
      <c r="L2" s="79"/>
      <c r="M2" s="79"/>
      <c r="N2" s="79"/>
      <c r="O2" s="80"/>
      <c r="Q2" s="81"/>
      <c r="R2" s="81"/>
    </row>
    <row r="3" spans="1:19" ht="13">
      <c r="A3" s="191" t="s">
        <v>252</v>
      </c>
      <c r="B3" s="160"/>
      <c r="C3" s="160"/>
      <c r="D3" s="160"/>
      <c r="E3" s="160"/>
      <c r="F3" s="160"/>
      <c r="G3" s="160"/>
      <c r="H3" s="160"/>
      <c r="I3" s="161"/>
      <c r="J3" s="79"/>
      <c r="K3" s="79"/>
      <c r="L3" s="79"/>
      <c r="M3" s="79"/>
      <c r="N3" s="79"/>
      <c r="O3" s="80"/>
      <c r="Q3" s="81"/>
      <c r="R3" s="81"/>
    </row>
    <row r="4" spans="1:19" ht="13">
      <c r="A4" s="171" t="s">
        <v>253</v>
      </c>
      <c r="B4" s="168"/>
      <c r="C4" s="168"/>
      <c r="D4" s="168"/>
      <c r="E4" s="168"/>
      <c r="F4" s="168"/>
      <c r="G4" s="168"/>
      <c r="H4" s="168"/>
      <c r="I4" s="169"/>
      <c r="J4" s="79"/>
      <c r="K4" s="79"/>
      <c r="L4" s="79"/>
      <c r="M4" s="79"/>
      <c r="N4" s="79"/>
      <c r="O4" s="80"/>
      <c r="Q4" s="81"/>
      <c r="R4" s="81"/>
    </row>
    <row r="5" spans="1:19" ht="13">
      <c r="A5" s="171" t="s">
        <v>254</v>
      </c>
      <c r="B5" s="168"/>
      <c r="C5" s="168"/>
      <c r="D5" s="168"/>
      <c r="E5" s="168"/>
      <c r="F5" s="168"/>
      <c r="G5" s="168"/>
      <c r="H5" s="168"/>
      <c r="I5" s="169"/>
      <c r="J5" s="79"/>
      <c r="K5" s="79"/>
      <c r="L5" s="79"/>
      <c r="M5" s="79"/>
      <c r="N5" s="79"/>
      <c r="O5" s="80"/>
      <c r="Q5" s="81"/>
      <c r="R5" s="81"/>
    </row>
    <row r="6" spans="1:19" ht="13">
      <c r="A6" s="173" t="s">
        <v>255</v>
      </c>
      <c r="B6" s="168"/>
      <c r="C6" s="168"/>
      <c r="D6" s="168"/>
      <c r="E6" s="168"/>
      <c r="F6" s="168"/>
      <c r="G6" s="168"/>
      <c r="H6" s="168"/>
      <c r="I6" s="169"/>
      <c r="J6" s="79"/>
      <c r="K6" s="79"/>
      <c r="L6" s="79"/>
      <c r="M6" s="79"/>
      <c r="N6" s="79"/>
      <c r="O6" s="80"/>
      <c r="Q6" s="81"/>
      <c r="R6" s="81"/>
    </row>
    <row r="7" spans="1:19" ht="13">
      <c r="A7" s="216" t="s">
        <v>256</v>
      </c>
      <c r="B7" s="165"/>
      <c r="C7" s="165"/>
      <c r="D7" s="165"/>
      <c r="E7" s="165"/>
      <c r="F7" s="165"/>
      <c r="G7" s="165"/>
      <c r="H7" s="165"/>
      <c r="I7" s="166"/>
      <c r="J7" s="82"/>
      <c r="K7" s="82"/>
      <c r="L7" s="82"/>
      <c r="M7" s="82"/>
      <c r="N7" s="82"/>
      <c r="O7" s="80"/>
      <c r="Q7" s="81"/>
      <c r="R7" s="81"/>
    </row>
    <row r="8" spans="1:19" ht="13">
      <c r="A8" s="208" t="s">
        <v>257</v>
      </c>
      <c r="B8" s="178"/>
      <c r="C8" s="178"/>
      <c r="D8" s="178"/>
      <c r="E8" s="178"/>
      <c r="F8" s="178"/>
      <c r="G8" s="178"/>
      <c r="H8" s="178"/>
      <c r="I8" s="179"/>
      <c r="J8" s="82"/>
      <c r="K8" s="82"/>
      <c r="L8" s="82"/>
      <c r="M8" s="82"/>
      <c r="N8" s="82"/>
      <c r="O8" s="80"/>
      <c r="Q8" s="81"/>
      <c r="R8" s="81"/>
    </row>
    <row r="9" spans="1:19" ht="13">
      <c r="A9" s="208" t="s">
        <v>258</v>
      </c>
      <c r="B9" s="178"/>
      <c r="C9" s="178"/>
      <c r="D9" s="178"/>
      <c r="E9" s="178"/>
      <c r="F9" s="178"/>
      <c r="G9" s="178"/>
      <c r="H9" s="178"/>
      <c r="I9" s="179"/>
      <c r="J9" s="82"/>
      <c r="K9" s="82"/>
      <c r="L9" s="82"/>
      <c r="M9" s="82"/>
      <c r="N9" s="82"/>
      <c r="O9" s="80"/>
      <c r="Q9" s="81"/>
      <c r="R9" s="81"/>
    </row>
    <row r="10" spans="1:19" ht="13">
      <c r="A10" s="208" t="s">
        <v>259</v>
      </c>
      <c r="B10" s="178"/>
      <c r="C10" s="178"/>
      <c r="D10" s="178"/>
      <c r="E10" s="178"/>
      <c r="F10" s="178"/>
      <c r="G10" s="178"/>
      <c r="H10" s="178"/>
      <c r="I10" s="179"/>
      <c r="J10" s="82"/>
      <c r="K10" s="82"/>
      <c r="L10" s="82"/>
      <c r="M10" s="82"/>
      <c r="N10" s="82"/>
      <c r="O10" s="80"/>
      <c r="Q10" s="81"/>
      <c r="R10" s="81"/>
    </row>
    <row r="11" spans="1:19" ht="13">
      <c r="A11" s="209" t="s">
        <v>260</v>
      </c>
      <c r="B11" s="168"/>
      <c r="C11" s="168"/>
      <c r="D11" s="168"/>
      <c r="E11" s="168"/>
      <c r="F11" s="168"/>
      <c r="G11" s="168"/>
      <c r="H11" s="168"/>
      <c r="I11" s="169"/>
      <c r="J11" s="82"/>
      <c r="K11" s="82"/>
      <c r="L11" s="82"/>
      <c r="M11" s="82"/>
      <c r="N11" s="82"/>
      <c r="O11" s="80"/>
      <c r="Q11" s="81"/>
      <c r="R11" s="81"/>
    </row>
    <row r="12" spans="1:19" ht="13">
      <c r="A12" s="210" t="s">
        <v>37</v>
      </c>
      <c r="B12" s="178"/>
      <c r="C12" s="178"/>
      <c r="D12" s="178"/>
      <c r="E12" s="178"/>
      <c r="F12" s="178"/>
      <c r="G12" s="178"/>
      <c r="H12" s="178"/>
      <c r="I12" s="178"/>
      <c r="J12" s="82"/>
      <c r="K12" s="82"/>
      <c r="L12" s="82"/>
      <c r="M12" s="82"/>
      <c r="N12" s="82"/>
      <c r="O12" s="80"/>
      <c r="Q12" s="81"/>
      <c r="R12" s="81"/>
    </row>
    <row r="13" spans="1:19" ht="13">
      <c r="A13" s="83"/>
      <c r="B13" s="83"/>
      <c r="C13" s="83"/>
      <c r="D13" s="83"/>
      <c r="E13" s="83"/>
      <c r="F13" s="83"/>
      <c r="G13" s="83"/>
      <c r="H13" s="83"/>
      <c r="I13" s="83"/>
      <c r="J13" s="83"/>
      <c r="K13" s="83"/>
      <c r="L13" s="83"/>
      <c r="M13" s="84"/>
      <c r="N13" s="84"/>
      <c r="O13" s="84"/>
      <c r="P13" s="85"/>
      <c r="Q13" s="86"/>
      <c r="R13" s="86"/>
      <c r="S13" s="85"/>
    </row>
    <row r="14" spans="1:19" ht="13">
      <c r="A14" s="207" t="s">
        <v>261</v>
      </c>
      <c r="B14" s="211"/>
      <c r="C14" s="211"/>
      <c r="D14" s="211"/>
      <c r="E14" s="211"/>
      <c r="F14" s="212"/>
      <c r="G14" s="87"/>
      <c r="H14" s="206"/>
      <c r="I14" s="165"/>
      <c r="J14" s="165"/>
      <c r="K14" s="166"/>
      <c r="L14" s="87"/>
      <c r="M14" s="80"/>
      <c r="N14" s="80"/>
      <c r="O14" s="80"/>
      <c r="Q14" s="81"/>
      <c r="R14" s="81"/>
    </row>
    <row r="15" spans="1:19" ht="13">
      <c r="A15" s="213" t="s">
        <v>262</v>
      </c>
      <c r="B15" s="214"/>
      <c r="C15" s="214"/>
      <c r="D15" s="214"/>
      <c r="E15" s="214"/>
      <c r="F15" s="215"/>
      <c r="G15" s="87"/>
      <c r="H15" s="199"/>
      <c r="I15" s="178"/>
      <c r="J15" s="178"/>
      <c r="K15" s="179"/>
      <c r="L15" s="87"/>
      <c r="M15" s="200" t="s">
        <v>263</v>
      </c>
      <c r="N15" s="165"/>
      <c r="O15" s="166"/>
      <c r="Q15" s="201" t="s">
        <v>264</v>
      </c>
      <c r="R15" s="166"/>
      <c r="S15" s="204" t="s">
        <v>265</v>
      </c>
    </row>
    <row r="16" spans="1:19" ht="13">
      <c r="A16" s="88" t="s">
        <v>266</v>
      </c>
      <c r="B16" s="217" t="s">
        <v>267</v>
      </c>
      <c r="C16" s="218"/>
      <c r="D16" s="218"/>
      <c r="E16" s="218"/>
      <c r="F16" s="219"/>
      <c r="G16" s="89"/>
      <c r="H16" s="199"/>
      <c r="I16" s="178"/>
      <c r="J16" s="178"/>
      <c r="K16" s="179"/>
      <c r="L16" s="89"/>
      <c r="M16" s="199"/>
      <c r="N16" s="178"/>
      <c r="O16" s="179"/>
      <c r="Q16" s="199"/>
      <c r="R16" s="179"/>
      <c r="S16" s="196"/>
    </row>
    <row r="17" spans="1:19" ht="39">
      <c r="A17" s="90" t="s">
        <v>268</v>
      </c>
      <c r="B17" s="91" t="s">
        <v>269</v>
      </c>
      <c r="C17" s="91" t="s">
        <v>270</v>
      </c>
      <c r="D17" s="91" t="s">
        <v>271</v>
      </c>
      <c r="E17" s="91" t="s">
        <v>272</v>
      </c>
      <c r="F17" s="91" t="s">
        <v>273</v>
      </c>
      <c r="G17" s="89"/>
      <c r="H17" s="199"/>
      <c r="I17" s="178"/>
      <c r="J17" s="178"/>
      <c r="K17" s="179"/>
      <c r="M17" s="199"/>
      <c r="N17" s="178"/>
      <c r="O17" s="179"/>
      <c r="Q17" s="167"/>
      <c r="R17" s="169"/>
      <c r="S17" s="197"/>
    </row>
    <row r="18" spans="1:19" ht="14">
      <c r="A18" s="92">
        <v>100</v>
      </c>
      <c r="B18" s="93">
        <f>997-200</f>
        <v>797</v>
      </c>
      <c r="C18" s="93">
        <f>139+0</f>
        <v>139</v>
      </c>
      <c r="D18" s="94">
        <f>358</f>
        <v>358</v>
      </c>
      <c r="E18" s="95">
        <f t="shared" ref="E18:E24" si="0">B18+C18</f>
        <v>936</v>
      </c>
      <c r="F18" s="96">
        <v>0.38</v>
      </c>
      <c r="G18" s="97"/>
      <c r="H18" s="199"/>
      <c r="I18" s="178"/>
      <c r="J18" s="178"/>
      <c r="K18" s="179"/>
      <c r="L18" s="97"/>
      <c r="M18" s="199"/>
      <c r="N18" s="178"/>
      <c r="O18" s="179"/>
      <c r="Q18" s="98"/>
      <c r="R18" s="81"/>
      <c r="S18" s="99"/>
    </row>
    <row r="19" spans="1:19" ht="13">
      <c r="A19" s="100">
        <v>500</v>
      </c>
      <c r="B19" s="22">
        <f>620-200</f>
        <v>420</v>
      </c>
      <c r="C19" s="22">
        <v>146</v>
      </c>
      <c r="D19" s="22">
        <v>282</v>
      </c>
      <c r="E19" s="101">
        <f t="shared" si="0"/>
        <v>566</v>
      </c>
      <c r="F19" s="102">
        <f t="shared" ref="F19:F24" si="1">D19/E19</f>
        <v>0.49823321554770317</v>
      </c>
      <c r="G19" s="103"/>
      <c r="H19" s="199"/>
      <c r="I19" s="178"/>
      <c r="J19" s="178"/>
      <c r="K19" s="179"/>
      <c r="L19" s="103"/>
      <c r="M19" s="199"/>
      <c r="N19" s="178"/>
      <c r="O19" s="179"/>
      <c r="Q19" s="195" t="s">
        <v>274</v>
      </c>
      <c r="R19" s="203" t="s">
        <v>275</v>
      </c>
      <c r="S19" s="166"/>
    </row>
    <row r="20" spans="1:19" ht="13">
      <c r="A20" s="92">
        <v>1000</v>
      </c>
      <c r="B20" s="93">
        <f>565-200</f>
        <v>365</v>
      </c>
      <c r="C20" s="93">
        <v>158</v>
      </c>
      <c r="D20" s="93">
        <v>249</v>
      </c>
      <c r="E20" s="95">
        <f t="shared" si="0"/>
        <v>523</v>
      </c>
      <c r="F20" s="102">
        <f t="shared" si="1"/>
        <v>0.47609942638623326</v>
      </c>
      <c r="G20" s="103"/>
      <c r="H20" s="199"/>
      <c r="I20" s="178"/>
      <c r="J20" s="178"/>
      <c r="K20" s="179"/>
      <c r="L20" s="103"/>
      <c r="M20" s="199"/>
      <c r="N20" s="178"/>
      <c r="O20" s="179"/>
      <c r="Q20" s="196"/>
      <c r="R20" s="199"/>
      <c r="S20" s="179"/>
    </row>
    <row r="21" spans="1:19" ht="13">
      <c r="A21" s="100">
        <v>2000</v>
      </c>
      <c r="B21" s="22">
        <f>432-200</f>
        <v>232</v>
      </c>
      <c r="C21" s="22">
        <v>171</v>
      </c>
      <c r="D21" s="22">
        <v>222</v>
      </c>
      <c r="E21" s="101">
        <f t="shared" si="0"/>
        <v>403</v>
      </c>
      <c r="F21" s="102">
        <f t="shared" si="1"/>
        <v>0.5508684863523573</v>
      </c>
      <c r="G21" s="103"/>
      <c r="H21" s="199"/>
      <c r="I21" s="178"/>
      <c r="J21" s="178"/>
      <c r="K21" s="179"/>
      <c r="L21" s="103"/>
      <c r="M21" s="199"/>
      <c r="N21" s="178"/>
      <c r="O21" s="179"/>
      <c r="Q21" s="196"/>
      <c r="R21" s="199"/>
      <c r="S21" s="179"/>
    </row>
    <row r="22" spans="1:19" ht="13">
      <c r="A22" s="92">
        <v>5000</v>
      </c>
      <c r="B22" s="93">
        <v>185</v>
      </c>
      <c r="C22" s="93">
        <v>190</v>
      </c>
      <c r="D22" s="93">
        <v>210</v>
      </c>
      <c r="E22" s="95">
        <f t="shared" si="0"/>
        <v>375</v>
      </c>
      <c r="F22" s="102">
        <f t="shared" si="1"/>
        <v>0.56000000000000005</v>
      </c>
      <c r="G22" s="103"/>
      <c r="H22" s="199"/>
      <c r="I22" s="178"/>
      <c r="J22" s="178"/>
      <c r="K22" s="179"/>
      <c r="L22" s="103"/>
      <c r="M22" s="199"/>
      <c r="N22" s="178"/>
      <c r="O22" s="179"/>
      <c r="P22" s="104"/>
      <c r="Q22" s="196"/>
      <c r="R22" s="199"/>
      <c r="S22" s="179"/>
    </row>
    <row r="23" spans="1:19" ht="13">
      <c r="A23" s="100">
        <v>10000</v>
      </c>
      <c r="B23" s="22">
        <v>150</v>
      </c>
      <c r="C23" s="22">
        <v>200</v>
      </c>
      <c r="D23" s="22">
        <v>200</v>
      </c>
      <c r="E23" s="101">
        <f t="shared" si="0"/>
        <v>350</v>
      </c>
      <c r="F23" s="102">
        <f t="shared" si="1"/>
        <v>0.5714285714285714</v>
      </c>
      <c r="G23" s="103"/>
      <c r="H23" s="199"/>
      <c r="I23" s="178"/>
      <c r="J23" s="178"/>
      <c r="K23" s="179"/>
      <c r="L23" s="103"/>
      <c r="M23" s="199"/>
      <c r="N23" s="178"/>
      <c r="O23" s="179"/>
      <c r="P23" s="104"/>
      <c r="Q23" s="196"/>
      <c r="R23" s="199"/>
      <c r="S23" s="179"/>
    </row>
    <row r="24" spans="1:19" ht="13">
      <c r="A24" s="92">
        <v>20000</v>
      </c>
      <c r="B24" s="93">
        <v>120</v>
      </c>
      <c r="C24" s="93">
        <v>210</v>
      </c>
      <c r="D24" s="93">
        <v>190</v>
      </c>
      <c r="E24" s="95">
        <f t="shared" si="0"/>
        <v>330</v>
      </c>
      <c r="F24" s="102">
        <f t="shared" si="1"/>
        <v>0.5757575757575758</v>
      </c>
      <c r="G24" s="103"/>
      <c r="H24" s="167"/>
      <c r="I24" s="168"/>
      <c r="J24" s="168"/>
      <c r="K24" s="169"/>
      <c r="L24" s="103"/>
      <c r="M24" s="167"/>
      <c r="N24" s="168"/>
      <c r="O24" s="169"/>
      <c r="P24" s="104"/>
      <c r="Q24" s="197"/>
      <c r="R24" s="167"/>
      <c r="S24" s="169"/>
    </row>
    <row r="25" spans="1:19" ht="13">
      <c r="A25" s="83"/>
      <c r="B25" s="83"/>
      <c r="C25" s="83"/>
      <c r="D25" s="83"/>
      <c r="E25" s="83"/>
      <c r="F25" s="83"/>
      <c r="G25" s="83"/>
      <c r="H25" s="83"/>
      <c r="I25" s="83"/>
      <c r="J25" s="83"/>
      <c r="K25" s="83"/>
      <c r="L25" s="83"/>
      <c r="M25" s="84"/>
      <c r="N25" s="84"/>
      <c r="O25" s="84"/>
      <c r="P25" s="85"/>
      <c r="Q25" s="86"/>
      <c r="R25" s="86"/>
      <c r="S25" s="85"/>
    </row>
    <row r="26" spans="1:19" ht="13">
      <c r="A26" s="207" t="s">
        <v>276</v>
      </c>
      <c r="B26" s="160"/>
      <c r="C26" s="160"/>
      <c r="D26" s="160"/>
      <c r="E26" s="160"/>
      <c r="F26" s="161"/>
      <c r="H26" s="206"/>
      <c r="I26" s="165"/>
      <c r="J26" s="165"/>
      <c r="K26" s="166"/>
      <c r="M26" s="80"/>
      <c r="N26" s="80"/>
      <c r="O26" s="80"/>
      <c r="Q26" s="81"/>
      <c r="R26" s="81"/>
      <c r="S26" s="81"/>
    </row>
    <row r="27" spans="1:19" ht="13">
      <c r="A27" s="207" t="s">
        <v>277</v>
      </c>
      <c r="B27" s="160"/>
      <c r="C27" s="160"/>
      <c r="D27" s="160"/>
      <c r="E27" s="160"/>
      <c r="F27" s="161"/>
      <c r="H27" s="199"/>
      <c r="I27" s="178"/>
      <c r="J27" s="178"/>
      <c r="K27" s="179"/>
      <c r="M27" s="200" t="s">
        <v>278</v>
      </c>
      <c r="N27" s="165"/>
      <c r="O27" s="166"/>
      <c r="Q27" s="201" t="s">
        <v>264</v>
      </c>
      <c r="R27" s="166"/>
      <c r="S27" s="202" t="s">
        <v>279</v>
      </c>
    </row>
    <row r="28" spans="1:19" ht="13">
      <c r="A28" s="4" t="s">
        <v>280</v>
      </c>
      <c r="B28" s="207" t="s">
        <v>267</v>
      </c>
      <c r="C28" s="160"/>
      <c r="D28" s="160"/>
      <c r="E28" s="160"/>
      <c r="F28" s="161"/>
      <c r="G28" s="89"/>
      <c r="H28" s="199"/>
      <c r="I28" s="178"/>
      <c r="J28" s="178"/>
      <c r="K28" s="179"/>
      <c r="L28" s="89"/>
      <c r="M28" s="199"/>
      <c r="N28" s="178"/>
      <c r="O28" s="179"/>
      <c r="Q28" s="199"/>
      <c r="R28" s="179"/>
      <c r="S28" s="196"/>
    </row>
    <row r="29" spans="1:19" ht="39">
      <c r="A29" s="105" t="s">
        <v>281</v>
      </c>
      <c r="B29" s="106" t="s">
        <v>269</v>
      </c>
      <c r="C29" s="106" t="s">
        <v>270</v>
      </c>
      <c r="D29" s="106" t="s">
        <v>271</v>
      </c>
      <c r="E29" s="106" t="s">
        <v>272</v>
      </c>
      <c r="F29" s="106" t="s">
        <v>273</v>
      </c>
      <c r="H29" s="199"/>
      <c r="I29" s="178"/>
      <c r="J29" s="178"/>
      <c r="K29" s="179"/>
      <c r="M29" s="199"/>
      <c r="N29" s="178"/>
      <c r="O29" s="179"/>
      <c r="Q29" s="167"/>
      <c r="R29" s="169"/>
      <c r="S29" s="197"/>
    </row>
    <row r="30" spans="1:19" ht="14">
      <c r="A30" s="107" t="s">
        <v>282</v>
      </c>
      <c r="B30" s="33">
        <f>954+150</f>
        <v>1104</v>
      </c>
      <c r="C30" s="33">
        <f>192</f>
        <v>192</v>
      </c>
      <c r="D30" s="108">
        <f>303+150</f>
        <v>453</v>
      </c>
      <c r="E30" s="109">
        <f t="shared" ref="E30:E36" si="2">B30+C30</f>
        <v>1296</v>
      </c>
      <c r="F30" s="102">
        <f t="shared" ref="F30:F36" si="3">D30/E30</f>
        <v>0.34953703703703703</v>
      </c>
      <c r="H30" s="199"/>
      <c r="I30" s="178"/>
      <c r="J30" s="178"/>
      <c r="K30" s="179"/>
      <c r="M30" s="199"/>
      <c r="N30" s="178"/>
      <c r="O30" s="179"/>
      <c r="Q30" s="98"/>
      <c r="R30" s="81"/>
      <c r="S30" s="99"/>
    </row>
    <row r="31" spans="1:19" ht="13">
      <c r="A31" s="107" t="s">
        <v>283</v>
      </c>
      <c r="B31" s="33">
        <f>540+150</f>
        <v>690</v>
      </c>
      <c r="C31" s="33">
        <f>223+150</f>
        <v>373</v>
      </c>
      <c r="D31" s="33">
        <f>277+150</f>
        <v>427</v>
      </c>
      <c r="E31" s="109">
        <f t="shared" si="2"/>
        <v>1063</v>
      </c>
      <c r="F31" s="102">
        <f t="shared" si="3"/>
        <v>0.40169332079021636</v>
      </c>
      <c r="H31" s="199"/>
      <c r="I31" s="178"/>
      <c r="J31" s="178"/>
      <c r="K31" s="179"/>
      <c r="M31" s="199"/>
      <c r="N31" s="178"/>
      <c r="O31" s="179"/>
      <c r="Q31" s="195" t="s">
        <v>274</v>
      </c>
      <c r="R31" s="203" t="s">
        <v>284</v>
      </c>
      <c r="S31" s="166"/>
    </row>
    <row r="32" spans="1:19" ht="13">
      <c r="A32" s="107" t="s">
        <v>285</v>
      </c>
      <c r="B32" s="33">
        <f>402+150</f>
        <v>552</v>
      </c>
      <c r="C32" s="33">
        <f>238+120</f>
        <v>358</v>
      </c>
      <c r="D32" s="33">
        <f>262+150</f>
        <v>412</v>
      </c>
      <c r="E32" s="109">
        <f t="shared" si="2"/>
        <v>910</v>
      </c>
      <c r="F32" s="102">
        <f t="shared" si="3"/>
        <v>0.45274725274725275</v>
      </c>
      <c r="H32" s="199"/>
      <c r="I32" s="178"/>
      <c r="J32" s="178"/>
      <c r="K32" s="179"/>
      <c r="M32" s="199"/>
      <c r="N32" s="178"/>
      <c r="O32" s="179"/>
      <c r="Q32" s="196"/>
      <c r="R32" s="199"/>
      <c r="S32" s="179"/>
    </row>
    <row r="33" spans="1:19" ht="13">
      <c r="A33" s="107" t="s">
        <v>286</v>
      </c>
      <c r="B33" s="33">
        <f>310+150</f>
        <v>460</v>
      </c>
      <c r="C33" s="33">
        <f>272+100</f>
        <v>372</v>
      </c>
      <c r="D33" s="33">
        <f>228+150</f>
        <v>378</v>
      </c>
      <c r="E33" s="109">
        <f t="shared" si="2"/>
        <v>832</v>
      </c>
      <c r="F33" s="102">
        <f t="shared" si="3"/>
        <v>0.45432692307692307</v>
      </c>
      <c r="H33" s="199"/>
      <c r="I33" s="178"/>
      <c r="J33" s="178"/>
      <c r="K33" s="179"/>
      <c r="M33" s="199"/>
      <c r="N33" s="178"/>
      <c r="O33" s="179"/>
      <c r="Q33" s="196"/>
      <c r="R33" s="199"/>
      <c r="S33" s="179"/>
    </row>
    <row r="34" spans="1:19" ht="13">
      <c r="A34" s="107" t="s">
        <v>287</v>
      </c>
      <c r="B34" s="33">
        <f>278+150</f>
        <v>428</v>
      </c>
      <c r="C34" s="33">
        <f>291+100</f>
        <v>391</v>
      </c>
      <c r="D34" s="33">
        <f>209+150</f>
        <v>359</v>
      </c>
      <c r="E34" s="109">
        <f t="shared" si="2"/>
        <v>819</v>
      </c>
      <c r="F34" s="102">
        <f t="shared" si="3"/>
        <v>0.43833943833943834</v>
      </c>
      <c r="H34" s="199"/>
      <c r="I34" s="178"/>
      <c r="J34" s="178"/>
      <c r="K34" s="179"/>
      <c r="M34" s="199"/>
      <c r="N34" s="178"/>
      <c r="O34" s="179"/>
      <c r="P34" s="104"/>
      <c r="Q34" s="196"/>
      <c r="R34" s="199"/>
      <c r="S34" s="179"/>
    </row>
    <row r="35" spans="1:19" ht="13">
      <c r="A35" s="107" t="s">
        <v>288</v>
      </c>
      <c r="B35" s="33">
        <f>202+150</f>
        <v>352</v>
      </c>
      <c r="C35" s="33">
        <f>334</f>
        <v>334</v>
      </c>
      <c r="D35" s="33">
        <f>156+150</f>
        <v>306</v>
      </c>
      <c r="E35" s="109">
        <f t="shared" si="2"/>
        <v>686</v>
      </c>
      <c r="F35" s="102">
        <f t="shared" si="3"/>
        <v>0.44606413994169097</v>
      </c>
      <c r="H35" s="199"/>
      <c r="I35" s="178"/>
      <c r="J35" s="178"/>
      <c r="K35" s="179"/>
      <c r="M35" s="199"/>
      <c r="N35" s="178"/>
      <c r="O35" s="179"/>
      <c r="P35" s="104"/>
      <c r="Q35" s="196"/>
      <c r="R35" s="199"/>
      <c r="S35" s="179"/>
    </row>
    <row r="36" spans="1:19" ht="13">
      <c r="A36" s="107" t="s">
        <v>289</v>
      </c>
      <c r="B36" s="33">
        <f>160+150</f>
        <v>310</v>
      </c>
      <c r="C36" s="33">
        <f>363</f>
        <v>363</v>
      </c>
      <c r="D36" s="33">
        <f>137+150</f>
        <v>287</v>
      </c>
      <c r="E36" s="109">
        <f t="shared" si="2"/>
        <v>673</v>
      </c>
      <c r="F36" s="102">
        <f t="shared" si="3"/>
        <v>0.4264487369985141</v>
      </c>
      <c r="H36" s="167"/>
      <c r="I36" s="168"/>
      <c r="J36" s="168"/>
      <c r="K36" s="169"/>
      <c r="M36" s="167"/>
      <c r="N36" s="168"/>
      <c r="O36" s="169"/>
      <c r="P36" s="104"/>
      <c r="Q36" s="197"/>
      <c r="R36" s="167"/>
      <c r="S36" s="169"/>
    </row>
    <row r="37" spans="1:19" ht="13">
      <c r="A37" s="83"/>
      <c r="B37" s="83"/>
      <c r="C37" s="83"/>
      <c r="D37" s="83"/>
      <c r="E37" s="83"/>
      <c r="F37" s="83"/>
      <c r="G37" s="83"/>
      <c r="H37" s="83"/>
      <c r="I37" s="83"/>
      <c r="J37" s="83"/>
      <c r="K37" s="83"/>
      <c r="L37" s="83"/>
      <c r="M37" s="84"/>
      <c r="N37" s="84"/>
      <c r="O37" s="84"/>
      <c r="P37" s="85"/>
      <c r="Q37" s="86"/>
      <c r="R37" s="86"/>
      <c r="S37" s="85"/>
    </row>
    <row r="38" spans="1:19" ht="13">
      <c r="A38" s="207" t="s">
        <v>290</v>
      </c>
      <c r="B38" s="160"/>
      <c r="C38" s="160"/>
      <c r="D38" s="160"/>
      <c r="E38" s="160"/>
      <c r="F38" s="161"/>
      <c r="H38" s="206"/>
      <c r="I38" s="165"/>
      <c r="J38" s="165"/>
      <c r="K38" s="166"/>
      <c r="M38" s="80"/>
      <c r="N38" s="80"/>
      <c r="O38" s="80"/>
      <c r="Q38" s="81"/>
      <c r="R38" s="81"/>
      <c r="S38" s="81"/>
    </row>
    <row r="39" spans="1:19" ht="13">
      <c r="A39" s="207" t="s">
        <v>291</v>
      </c>
      <c r="B39" s="160"/>
      <c r="C39" s="160"/>
      <c r="D39" s="160"/>
      <c r="E39" s="160"/>
      <c r="F39" s="161"/>
      <c r="H39" s="199"/>
      <c r="I39" s="178"/>
      <c r="J39" s="178"/>
      <c r="K39" s="179"/>
      <c r="M39" s="200" t="s">
        <v>292</v>
      </c>
      <c r="N39" s="165"/>
      <c r="O39" s="166"/>
      <c r="Q39" s="201" t="s">
        <v>264</v>
      </c>
      <c r="R39" s="166"/>
      <c r="S39" s="202" t="s">
        <v>293</v>
      </c>
    </row>
    <row r="40" spans="1:19" ht="13">
      <c r="A40" s="4" t="s">
        <v>266</v>
      </c>
      <c r="B40" s="207" t="s">
        <v>267</v>
      </c>
      <c r="C40" s="160"/>
      <c r="D40" s="160"/>
      <c r="E40" s="160"/>
      <c r="F40" s="161"/>
      <c r="G40" s="89"/>
      <c r="H40" s="199"/>
      <c r="I40" s="178"/>
      <c r="J40" s="178"/>
      <c r="K40" s="179"/>
      <c r="L40" s="89"/>
      <c r="M40" s="199"/>
      <c r="N40" s="178"/>
      <c r="O40" s="179"/>
      <c r="Q40" s="199"/>
      <c r="R40" s="179"/>
      <c r="S40" s="196"/>
    </row>
    <row r="41" spans="1:19" ht="39">
      <c r="A41" s="105" t="s">
        <v>294</v>
      </c>
      <c r="B41" s="106" t="s">
        <v>269</v>
      </c>
      <c r="C41" s="106" t="s">
        <v>270</v>
      </c>
      <c r="D41" s="106" t="s">
        <v>271</v>
      </c>
      <c r="E41" s="106" t="s">
        <v>272</v>
      </c>
      <c r="F41" s="106" t="s">
        <v>273</v>
      </c>
      <c r="H41" s="199"/>
      <c r="I41" s="178"/>
      <c r="J41" s="178"/>
      <c r="K41" s="179"/>
      <c r="M41" s="199"/>
      <c r="N41" s="178"/>
      <c r="O41" s="179"/>
      <c r="Q41" s="167"/>
      <c r="R41" s="169"/>
      <c r="S41" s="197"/>
    </row>
    <row r="42" spans="1:19" ht="14">
      <c r="A42" s="107" t="s">
        <v>282</v>
      </c>
      <c r="B42" s="33">
        <f>997-600</f>
        <v>397</v>
      </c>
      <c r="C42" s="33">
        <v>139</v>
      </c>
      <c r="D42" s="108">
        <v>250</v>
      </c>
      <c r="E42" s="109">
        <f t="shared" ref="E42:E48" si="4">B42+C42</f>
        <v>536</v>
      </c>
      <c r="F42" s="102">
        <f t="shared" ref="F42:F48" si="5">D42/E42</f>
        <v>0.46641791044776121</v>
      </c>
      <c r="H42" s="199"/>
      <c r="I42" s="178"/>
      <c r="J42" s="178"/>
      <c r="K42" s="179"/>
      <c r="M42" s="199"/>
      <c r="N42" s="178"/>
      <c r="O42" s="179"/>
      <c r="Q42" s="98"/>
      <c r="R42" s="81"/>
      <c r="S42" s="99"/>
    </row>
    <row r="43" spans="1:19" ht="13">
      <c r="A43" s="107" t="s">
        <v>283</v>
      </c>
      <c r="B43" s="33">
        <f>620-350</f>
        <v>270</v>
      </c>
      <c r="C43" s="33">
        <v>146</v>
      </c>
      <c r="D43" s="33">
        <v>190</v>
      </c>
      <c r="E43" s="109">
        <f t="shared" si="4"/>
        <v>416</v>
      </c>
      <c r="F43" s="102">
        <f t="shared" si="5"/>
        <v>0.45673076923076922</v>
      </c>
      <c r="H43" s="199"/>
      <c r="I43" s="178"/>
      <c r="J43" s="178"/>
      <c r="K43" s="179"/>
      <c r="M43" s="199"/>
      <c r="N43" s="178"/>
      <c r="O43" s="179"/>
      <c r="Q43" s="195" t="s">
        <v>274</v>
      </c>
      <c r="R43" s="203" t="s">
        <v>295</v>
      </c>
      <c r="S43" s="166"/>
    </row>
    <row r="44" spans="1:19" ht="13">
      <c r="A44" s="107" t="s">
        <v>285</v>
      </c>
      <c r="B44" s="33">
        <f>565-350</f>
        <v>215</v>
      </c>
      <c r="C44" s="33">
        <v>158</v>
      </c>
      <c r="D44" s="33">
        <v>170</v>
      </c>
      <c r="E44" s="109">
        <f t="shared" si="4"/>
        <v>373</v>
      </c>
      <c r="F44" s="102">
        <f t="shared" si="5"/>
        <v>0.45576407506702415</v>
      </c>
      <c r="H44" s="199"/>
      <c r="I44" s="178"/>
      <c r="J44" s="178"/>
      <c r="K44" s="179"/>
      <c r="M44" s="199"/>
      <c r="N44" s="178"/>
      <c r="O44" s="179"/>
      <c r="Q44" s="196"/>
      <c r="R44" s="199"/>
      <c r="S44" s="179"/>
    </row>
    <row r="45" spans="1:19" ht="13">
      <c r="A45" s="107" t="s">
        <v>286</v>
      </c>
      <c r="B45" s="33">
        <f>432-280</f>
        <v>152</v>
      </c>
      <c r="C45" s="33">
        <v>171</v>
      </c>
      <c r="D45" s="33">
        <v>145</v>
      </c>
      <c r="E45" s="109">
        <f t="shared" si="4"/>
        <v>323</v>
      </c>
      <c r="F45" s="102">
        <f t="shared" si="5"/>
        <v>0.44891640866873067</v>
      </c>
      <c r="H45" s="199"/>
      <c r="I45" s="178"/>
      <c r="J45" s="178"/>
      <c r="K45" s="179"/>
      <c r="M45" s="199"/>
      <c r="N45" s="178"/>
      <c r="O45" s="179"/>
      <c r="Q45" s="196"/>
      <c r="R45" s="199"/>
      <c r="S45" s="179"/>
    </row>
    <row r="46" spans="1:19" ht="13">
      <c r="A46" s="107" t="s">
        <v>287</v>
      </c>
      <c r="B46" s="33">
        <f>294-190</f>
        <v>104</v>
      </c>
      <c r="C46" s="33">
        <v>179</v>
      </c>
      <c r="D46" s="33">
        <v>122</v>
      </c>
      <c r="E46" s="109">
        <f t="shared" si="4"/>
        <v>283</v>
      </c>
      <c r="F46" s="102">
        <f t="shared" si="5"/>
        <v>0.43109540636042404</v>
      </c>
      <c r="H46" s="199"/>
      <c r="I46" s="178"/>
      <c r="J46" s="178"/>
      <c r="K46" s="179"/>
      <c r="M46" s="199"/>
      <c r="N46" s="178"/>
      <c r="O46" s="179"/>
      <c r="P46" s="104"/>
      <c r="Q46" s="196"/>
      <c r="R46" s="199"/>
      <c r="S46" s="179"/>
    </row>
    <row r="47" spans="1:19" ht="13">
      <c r="A47" s="107" t="s">
        <v>288</v>
      </c>
      <c r="B47" s="33">
        <f>209-150</f>
        <v>59</v>
      </c>
      <c r="C47" s="33">
        <v>192</v>
      </c>
      <c r="D47" s="33">
        <v>109</v>
      </c>
      <c r="E47" s="109">
        <f t="shared" si="4"/>
        <v>251</v>
      </c>
      <c r="F47" s="102">
        <f t="shared" si="5"/>
        <v>0.43426294820717132</v>
      </c>
      <c r="H47" s="199"/>
      <c r="I47" s="178"/>
      <c r="J47" s="178"/>
      <c r="K47" s="179"/>
      <c r="M47" s="199"/>
      <c r="N47" s="178"/>
      <c r="O47" s="179"/>
      <c r="P47" s="104"/>
      <c r="Q47" s="196"/>
      <c r="R47" s="199"/>
      <c r="S47" s="179"/>
    </row>
    <row r="48" spans="1:19" ht="13">
      <c r="A48" s="107" t="s">
        <v>289</v>
      </c>
      <c r="B48" s="33">
        <f>144-120</f>
        <v>24</v>
      </c>
      <c r="C48" s="33">
        <v>214</v>
      </c>
      <c r="D48" s="33">
        <v>102</v>
      </c>
      <c r="E48" s="109">
        <f t="shared" si="4"/>
        <v>238</v>
      </c>
      <c r="F48" s="102">
        <f t="shared" si="5"/>
        <v>0.42857142857142855</v>
      </c>
      <c r="H48" s="167"/>
      <c r="I48" s="168"/>
      <c r="J48" s="168"/>
      <c r="K48" s="169"/>
      <c r="M48" s="167"/>
      <c r="N48" s="168"/>
      <c r="O48" s="169"/>
      <c r="P48" s="104"/>
      <c r="Q48" s="197"/>
      <c r="R48" s="167"/>
      <c r="S48" s="169"/>
    </row>
    <row r="49" spans="1:19" ht="13">
      <c r="A49" s="83"/>
      <c r="B49" s="83"/>
      <c r="C49" s="83"/>
      <c r="D49" s="83"/>
      <c r="E49" s="83"/>
      <c r="F49" s="83"/>
      <c r="G49" s="83"/>
      <c r="H49" s="83"/>
      <c r="I49" s="83"/>
      <c r="J49" s="83"/>
      <c r="K49" s="83"/>
      <c r="L49" s="83"/>
      <c r="M49" s="84"/>
      <c r="N49" s="84"/>
      <c r="O49" s="84"/>
      <c r="P49" s="85"/>
      <c r="Q49" s="86"/>
      <c r="R49" s="86"/>
      <c r="S49" s="85"/>
    </row>
    <row r="50" spans="1:19" ht="14">
      <c r="D50" s="97"/>
      <c r="P50" s="104"/>
      <c r="Q50" s="110"/>
      <c r="R50" s="111" t="s">
        <v>296</v>
      </c>
      <c r="S50" s="111" t="s">
        <v>297</v>
      </c>
    </row>
    <row r="51" spans="1:19" ht="12.5">
      <c r="D51" s="103"/>
      <c r="P51" s="201" t="s">
        <v>298</v>
      </c>
      <c r="Q51" s="166"/>
      <c r="R51" s="205" t="s">
        <v>299</v>
      </c>
      <c r="S51" s="205" t="s">
        <v>300</v>
      </c>
    </row>
    <row r="52" spans="1:19" ht="12.5">
      <c r="D52" s="103"/>
      <c r="P52" s="199"/>
      <c r="Q52" s="179"/>
      <c r="R52" s="196"/>
      <c r="S52" s="196"/>
    </row>
    <row r="53" spans="1:19" ht="12.5">
      <c r="D53" s="103"/>
      <c r="P53" s="199"/>
      <c r="Q53" s="179"/>
      <c r="R53" s="196"/>
      <c r="S53" s="196"/>
    </row>
    <row r="54" spans="1:19" ht="12.5">
      <c r="D54" s="103"/>
      <c r="P54" s="199"/>
      <c r="Q54" s="179"/>
      <c r="R54" s="196"/>
      <c r="S54" s="196"/>
    </row>
    <row r="55" spans="1:19" ht="12.5">
      <c r="D55" s="103"/>
      <c r="P55" s="199"/>
      <c r="Q55" s="179"/>
      <c r="R55" s="196"/>
      <c r="S55" s="196"/>
    </row>
    <row r="56" spans="1:19" ht="12.5">
      <c r="D56" s="103"/>
      <c r="P56" s="167"/>
      <c r="Q56" s="169"/>
      <c r="R56" s="197"/>
      <c r="S56" s="197"/>
    </row>
    <row r="57" spans="1:19" ht="13">
      <c r="D57" s="103"/>
      <c r="Q57" s="81"/>
      <c r="R57" s="81"/>
      <c r="S57" s="81"/>
    </row>
    <row r="58" spans="1:19" ht="13">
      <c r="D58" s="103"/>
      <c r="Q58" s="81"/>
      <c r="R58" s="81"/>
      <c r="S58" s="81"/>
    </row>
    <row r="59" spans="1:19" ht="12.5">
      <c r="D59" s="103"/>
      <c r="Q59" s="195" t="s">
        <v>301</v>
      </c>
      <c r="R59" s="198" t="s">
        <v>302</v>
      </c>
      <c r="S59" s="166"/>
    </row>
    <row r="60" spans="1:19" ht="12.5">
      <c r="D60" s="103"/>
      <c r="Q60" s="196"/>
      <c r="R60" s="199"/>
      <c r="S60" s="179"/>
    </row>
    <row r="61" spans="1:19" ht="12.5">
      <c r="Q61" s="196"/>
      <c r="R61" s="199"/>
      <c r="S61" s="179"/>
    </row>
    <row r="62" spans="1:19" ht="12.5">
      <c r="Q62" s="196"/>
      <c r="R62" s="199"/>
      <c r="S62" s="179"/>
    </row>
    <row r="63" spans="1:19" ht="12.5">
      <c r="Q63" s="196"/>
      <c r="R63" s="199"/>
      <c r="S63" s="179"/>
    </row>
    <row r="64" spans="1:19" ht="30" customHeight="1">
      <c r="Q64" s="197"/>
      <c r="R64" s="167"/>
      <c r="S64" s="169"/>
    </row>
    <row r="65" spans="1:19" ht="13">
      <c r="A65" s="83"/>
      <c r="B65" s="83"/>
      <c r="C65" s="83"/>
      <c r="D65" s="83"/>
      <c r="E65" s="83"/>
      <c r="F65" s="83"/>
      <c r="G65" s="83"/>
      <c r="H65" s="83"/>
      <c r="I65" s="83"/>
      <c r="J65" s="83"/>
      <c r="K65" s="83"/>
      <c r="L65" s="83"/>
      <c r="M65" s="84"/>
      <c r="N65" s="84"/>
      <c r="O65" s="84"/>
      <c r="P65" s="85"/>
      <c r="Q65" s="86"/>
      <c r="R65" s="86"/>
      <c r="S65" s="85"/>
    </row>
  </sheetData>
  <mergeCells count="44">
    <mergeCell ref="A1:S1"/>
    <mergeCell ref="A2:I2"/>
    <mergeCell ref="A3:I3"/>
    <mergeCell ref="A4:I4"/>
    <mergeCell ref="A5:I5"/>
    <mergeCell ref="A6:I6"/>
    <mergeCell ref="A7:I7"/>
    <mergeCell ref="B16:F16"/>
    <mergeCell ref="A26:F26"/>
    <mergeCell ref="A27:F27"/>
    <mergeCell ref="B28:F28"/>
    <mergeCell ref="A38:F38"/>
    <mergeCell ref="A39:F39"/>
    <mergeCell ref="B40:F40"/>
    <mergeCell ref="A8:I8"/>
    <mergeCell ref="A9:I9"/>
    <mergeCell ref="A10:I10"/>
    <mergeCell ref="A11:I11"/>
    <mergeCell ref="A12:I12"/>
    <mergeCell ref="A14:F14"/>
    <mergeCell ref="A15:F15"/>
    <mergeCell ref="H26:K36"/>
    <mergeCell ref="H38:K48"/>
    <mergeCell ref="H14:K24"/>
    <mergeCell ref="M15:O24"/>
    <mergeCell ref="Q15:R17"/>
    <mergeCell ref="S15:S17"/>
    <mergeCell ref="R19:S24"/>
    <mergeCell ref="S27:S29"/>
    <mergeCell ref="R31:S36"/>
    <mergeCell ref="P51:Q56"/>
    <mergeCell ref="R51:R56"/>
    <mergeCell ref="S51:S56"/>
    <mergeCell ref="Q19:Q24"/>
    <mergeCell ref="Q27:R29"/>
    <mergeCell ref="Q59:Q64"/>
    <mergeCell ref="R59:S64"/>
    <mergeCell ref="M27:O36"/>
    <mergeCell ref="Q31:Q36"/>
    <mergeCell ref="M39:O48"/>
    <mergeCell ref="Q39:R41"/>
    <mergeCell ref="S39:S41"/>
    <mergeCell ref="Q43:Q48"/>
    <mergeCell ref="R43:S4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63"/>
  <sheetViews>
    <sheetView showGridLines="0" topLeftCell="A40" workbookViewId="0">
      <selection activeCell="H13" sqref="H13:K23"/>
    </sheetView>
  </sheetViews>
  <sheetFormatPr defaultColWidth="12.6328125" defaultRowHeight="15.75" customHeight="1"/>
  <cols>
    <col min="2" max="2" width="10.08984375" customWidth="1"/>
    <col min="3" max="3" width="15.1796875" customWidth="1"/>
    <col min="4" max="4" width="15.81640625" customWidth="1"/>
    <col min="5" max="5" width="7.90625" customWidth="1"/>
    <col min="6" max="6" width="10" customWidth="1"/>
  </cols>
  <sheetData>
    <row r="1" spans="1:19" ht="37.5">
      <c r="A1" s="220" t="s">
        <v>18</v>
      </c>
      <c r="B1" s="160"/>
      <c r="C1" s="160"/>
      <c r="D1" s="160"/>
      <c r="E1" s="160"/>
      <c r="F1" s="160"/>
      <c r="G1" s="160"/>
      <c r="H1" s="160"/>
      <c r="I1" s="160"/>
      <c r="J1" s="160"/>
      <c r="K1" s="160"/>
      <c r="L1" s="160"/>
      <c r="M1" s="160"/>
      <c r="N1" s="160"/>
      <c r="O1" s="160"/>
      <c r="P1" s="160"/>
      <c r="Q1" s="160"/>
      <c r="R1" s="160"/>
      <c r="S1" s="161"/>
    </row>
    <row r="2" spans="1:19" ht="13">
      <c r="A2" s="194" t="s">
        <v>303</v>
      </c>
      <c r="B2" s="160"/>
      <c r="C2" s="160"/>
      <c r="D2" s="160"/>
      <c r="E2" s="160"/>
      <c r="F2" s="160"/>
      <c r="G2" s="160"/>
      <c r="H2" s="160"/>
      <c r="I2" s="161"/>
      <c r="O2" s="112"/>
      <c r="P2" s="80"/>
      <c r="R2" s="81"/>
      <c r="S2" s="81"/>
    </row>
    <row r="3" spans="1:19" ht="13">
      <c r="A3" s="191" t="s">
        <v>304</v>
      </c>
      <c r="B3" s="160"/>
      <c r="C3" s="160"/>
      <c r="D3" s="160"/>
      <c r="E3" s="160"/>
      <c r="F3" s="160"/>
      <c r="G3" s="160"/>
      <c r="H3" s="160"/>
      <c r="I3" s="161"/>
      <c r="O3" s="112"/>
      <c r="P3" s="80"/>
      <c r="R3" s="81"/>
      <c r="S3" s="81"/>
    </row>
    <row r="4" spans="1:19" ht="13">
      <c r="A4" s="171" t="s">
        <v>305</v>
      </c>
      <c r="B4" s="168"/>
      <c r="C4" s="168"/>
      <c r="D4" s="168"/>
      <c r="E4" s="168"/>
      <c r="F4" s="168"/>
      <c r="G4" s="168"/>
      <c r="H4" s="168"/>
      <c r="I4" s="169"/>
      <c r="O4" s="112"/>
      <c r="P4" s="80"/>
      <c r="R4" s="81"/>
      <c r="S4" s="81"/>
    </row>
    <row r="5" spans="1:19" ht="13">
      <c r="A5" s="194" t="s">
        <v>306</v>
      </c>
      <c r="B5" s="160"/>
      <c r="C5" s="160"/>
      <c r="D5" s="160"/>
      <c r="E5" s="160"/>
      <c r="F5" s="160"/>
      <c r="G5" s="160"/>
      <c r="H5" s="160"/>
      <c r="I5" s="161"/>
      <c r="O5" s="112"/>
      <c r="P5" s="80"/>
      <c r="R5" s="81"/>
      <c r="S5" s="81"/>
    </row>
    <row r="6" spans="1:19" ht="13">
      <c r="A6" s="222" t="s">
        <v>307</v>
      </c>
      <c r="B6" s="160"/>
      <c r="C6" s="160"/>
      <c r="D6" s="160"/>
      <c r="E6" s="160"/>
      <c r="F6" s="160"/>
      <c r="G6" s="160"/>
      <c r="H6" s="160"/>
      <c r="I6" s="161"/>
      <c r="O6" s="112"/>
      <c r="P6" s="80"/>
      <c r="R6" s="81"/>
      <c r="S6" s="81"/>
    </row>
    <row r="7" spans="1:19" ht="13">
      <c r="A7" s="222" t="s">
        <v>308</v>
      </c>
      <c r="B7" s="160"/>
      <c r="C7" s="160"/>
      <c r="D7" s="160"/>
      <c r="E7" s="160"/>
      <c r="F7" s="160"/>
      <c r="G7" s="160"/>
      <c r="H7" s="160"/>
      <c r="I7" s="161"/>
      <c r="O7" s="112"/>
      <c r="P7" s="80"/>
      <c r="R7" s="81"/>
      <c r="S7" s="81"/>
    </row>
    <row r="8" spans="1:19" ht="13">
      <c r="A8" s="222" t="s">
        <v>309</v>
      </c>
      <c r="B8" s="160"/>
      <c r="C8" s="160"/>
      <c r="D8" s="160"/>
      <c r="E8" s="160"/>
      <c r="F8" s="160"/>
      <c r="G8" s="160"/>
      <c r="H8" s="160"/>
      <c r="I8" s="161"/>
      <c r="O8" s="112"/>
      <c r="P8" s="80"/>
      <c r="R8" s="81"/>
      <c r="S8" s="81"/>
    </row>
    <row r="9" spans="1:19" ht="13">
      <c r="A9" s="222" t="s">
        <v>310</v>
      </c>
      <c r="B9" s="160"/>
      <c r="C9" s="160"/>
      <c r="D9" s="160"/>
      <c r="E9" s="160"/>
      <c r="F9" s="160"/>
      <c r="G9" s="160"/>
      <c r="H9" s="160"/>
      <c r="I9" s="161"/>
      <c r="O9" s="112"/>
      <c r="P9" s="80"/>
      <c r="R9" s="81"/>
      <c r="S9" s="81"/>
    </row>
    <row r="10" spans="1:19" ht="13">
      <c r="A10" s="222" t="s">
        <v>311</v>
      </c>
      <c r="B10" s="160"/>
      <c r="C10" s="160"/>
      <c r="D10" s="160"/>
      <c r="E10" s="160"/>
      <c r="F10" s="160"/>
      <c r="G10" s="160"/>
      <c r="H10" s="160"/>
      <c r="I10" s="161"/>
      <c r="O10" s="112"/>
      <c r="P10" s="80"/>
      <c r="R10" s="81"/>
      <c r="S10" s="81"/>
    </row>
    <row r="11" spans="1:19" ht="13">
      <c r="A11" s="210" t="s">
        <v>37</v>
      </c>
      <c r="B11" s="178"/>
      <c r="C11" s="178"/>
      <c r="D11" s="178"/>
      <c r="E11" s="178"/>
      <c r="F11" s="178"/>
      <c r="G11" s="178"/>
      <c r="H11" s="178"/>
      <c r="I11" s="178"/>
      <c r="J11" s="87"/>
      <c r="K11" s="87"/>
      <c r="L11" s="87"/>
      <c r="M11" s="87"/>
      <c r="N11" s="87"/>
      <c r="O11" s="87"/>
      <c r="P11" s="80"/>
      <c r="R11" s="81"/>
      <c r="S11" s="81"/>
    </row>
    <row r="12" spans="1:19" ht="13">
      <c r="A12" s="87"/>
      <c r="B12" s="87"/>
      <c r="C12" s="87"/>
      <c r="D12" s="87"/>
      <c r="E12" s="87"/>
      <c r="F12" s="87"/>
      <c r="G12" s="87"/>
      <c r="H12" s="87"/>
      <c r="I12" s="87"/>
      <c r="J12" s="87"/>
      <c r="K12" s="87"/>
      <c r="L12" s="87"/>
      <c r="M12" s="87"/>
      <c r="N12" s="87"/>
      <c r="O12" s="87"/>
      <c r="P12" s="80"/>
      <c r="R12" s="81"/>
      <c r="S12" s="81"/>
    </row>
    <row r="13" spans="1:19" ht="13">
      <c r="A13" s="207" t="s">
        <v>312</v>
      </c>
      <c r="B13" s="160"/>
      <c r="C13" s="160"/>
      <c r="D13" s="160"/>
      <c r="E13" s="160"/>
      <c r="F13" s="161"/>
      <c r="H13" s="206"/>
      <c r="I13" s="165"/>
      <c r="J13" s="165"/>
      <c r="K13" s="166"/>
      <c r="L13" s="80"/>
      <c r="M13" s="80"/>
      <c r="N13" s="80"/>
      <c r="O13" s="80"/>
    </row>
    <row r="14" spans="1:19" ht="13">
      <c r="A14" s="207" t="s">
        <v>313</v>
      </c>
      <c r="B14" s="160"/>
      <c r="C14" s="160"/>
      <c r="D14" s="160"/>
      <c r="E14" s="160"/>
      <c r="F14" s="161"/>
      <c r="H14" s="199"/>
      <c r="I14" s="178"/>
      <c r="J14" s="178"/>
      <c r="K14" s="179"/>
      <c r="M14" s="200" t="s">
        <v>314</v>
      </c>
      <c r="N14" s="165"/>
      <c r="O14" s="166"/>
      <c r="Q14" s="201" t="s">
        <v>315</v>
      </c>
      <c r="R14" s="165"/>
      <c r="S14" s="202" t="s">
        <v>316</v>
      </c>
    </row>
    <row r="15" spans="1:19" ht="13">
      <c r="A15" s="4" t="s">
        <v>317</v>
      </c>
      <c r="B15" s="207" t="s">
        <v>267</v>
      </c>
      <c r="C15" s="160"/>
      <c r="D15" s="160"/>
      <c r="E15" s="160"/>
      <c r="F15" s="161"/>
      <c r="H15" s="199"/>
      <c r="I15" s="178"/>
      <c r="J15" s="178"/>
      <c r="K15" s="179"/>
      <c r="L15" s="80"/>
      <c r="M15" s="199"/>
      <c r="N15" s="178"/>
      <c r="O15" s="179"/>
      <c r="Q15" s="199"/>
      <c r="R15" s="178"/>
      <c r="S15" s="196"/>
    </row>
    <row r="16" spans="1:19" ht="39">
      <c r="A16" s="105" t="s">
        <v>318</v>
      </c>
      <c r="B16" s="106" t="s">
        <v>269</v>
      </c>
      <c r="C16" s="106" t="s">
        <v>270</v>
      </c>
      <c r="D16" s="106" t="s">
        <v>271</v>
      </c>
      <c r="E16" s="106" t="s">
        <v>272</v>
      </c>
      <c r="F16" s="106" t="s">
        <v>273</v>
      </c>
      <c r="G16" s="113"/>
      <c r="H16" s="199"/>
      <c r="I16" s="178"/>
      <c r="J16" s="178"/>
      <c r="K16" s="179"/>
      <c r="L16" s="80"/>
      <c r="M16" s="199"/>
      <c r="N16" s="178"/>
      <c r="O16" s="179"/>
      <c r="Q16" s="199"/>
      <c r="R16" s="178"/>
      <c r="S16" s="197"/>
    </row>
    <row r="17" spans="1:19" ht="14">
      <c r="A17" s="107" t="s">
        <v>282</v>
      </c>
      <c r="B17" s="33">
        <f>954-750</f>
        <v>204</v>
      </c>
      <c r="C17" s="33">
        <f>192+150</f>
        <v>342</v>
      </c>
      <c r="D17" s="108">
        <f>303+150</f>
        <v>453</v>
      </c>
      <c r="E17" s="109">
        <f t="shared" ref="E17:E23" si="0">B17+C17</f>
        <v>546</v>
      </c>
      <c r="F17" s="114">
        <v>0.83</v>
      </c>
      <c r="H17" s="199"/>
      <c r="I17" s="178"/>
      <c r="J17" s="178"/>
      <c r="K17" s="179"/>
      <c r="L17" s="80"/>
      <c r="M17" s="199"/>
      <c r="N17" s="178"/>
      <c r="O17" s="179"/>
      <c r="Q17" s="98"/>
      <c r="R17" s="81"/>
      <c r="S17" s="99"/>
    </row>
    <row r="18" spans="1:19" ht="13">
      <c r="A18" s="107" t="s">
        <v>283</v>
      </c>
      <c r="B18" s="33">
        <f>540-370</f>
        <v>170</v>
      </c>
      <c r="C18" s="33">
        <v>360</v>
      </c>
      <c r="D18" s="33">
        <f>277+150</f>
        <v>427</v>
      </c>
      <c r="E18" s="109">
        <f t="shared" si="0"/>
        <v>530</v>
      </c>
      <c r="F18" s="102">
        <f t="shared" ref="F18:F23" si="1">D18/E18</f>
        <v>0.80566037735849061</v>
      </c>
      <c r="H18" s="199"/>
      <c r="I18" s="178"/>
      <c r="J18" s="178"/>
      <c r="K18" s="179"/>
      <c r="L18" s="80"/>
      <c r="M18" s="199"/>
      <c r="N18" s="178"/>
      <c r="O18" s="179"/>
      <c r="Q18" s="195" t="s">
        <v>274</v>
      </c>
      <c r="R18" s="203" t="s">
        <v>319</v>
      </c>
      <c r="S18" s="166"/>
    </row>
    <row r="19" spans="1:19" ht="13">
      <c r="A19" s="107" t="s">
        <v>285</v>
      </c>
      <c r="B19" s="33">
        <f>402-250</f>
        <v>152</v>
      </c>
      <c r="C19" s="33">
        <v>370</v>
      </c>
      <c r="D19" s="33">
        <f>262+150</f>
        <v>412</v>
      </c>
      <c r="E19" s="109">
        <f t="shared" si="0"/>
        <v>522</v>
      </c>
      <c r="F19" s="102">
        <f t="shared" si="1"/>
        <v>0.78927203065134099</v>
      </c>
      <c r="H19" s="199"/>
      <c r="I19" s="178"/>
      <c r="J19" s="178"/>
      <c r="K19" s="179"/>
      <c r="L19" s="80"/>
      <c r="M19" s="199"/>
      <c r="N19" s="178"/>
      <c r="O19" s="179"/>
      <c r="Q19" s="196"/>
      <c r="R19" s="199"/>
      <c r="S19" s="179"/>
    </row>
    <row r="20" spans="1:19" ht="13">
      <c r="A20" s="107" t="s">
        <v>286</v>
      </c>
      <c r="B20" s="33">
        <f>310-200</f>
        <v>110</v>
      </c>
      <c r="C20" s="33">
        <v>380</v>
      </c>
      <c r="D20" s="33">
        <f>228+150</f>
        <v>378</v>
      </c>
      <c r="E20" s="109">
        <f t="shared" si="0"/>
        <v>490</v>
      </c>
      <c r="F20" s="102">
        <f t="shared" si="1"/>
        <v>0.77142857142857146</v>
      </c>
      <c r="H20" s="199"/>
      <c r="I20" s="178"/>
      <c r="J20" s="178"/>
      <c r="K20" s="179"/>
      <c r="L20" s="80"/>
      <c r="M20" s="199"/>
      <c r="N20" s="178"/>
      <c r="O20" s="179"/>
      <c r="Q20" s="196"/>
      <c r="R20" s="199"/>
      <c r="S20" s="179"/>
    </row>
    <row r="21" spans="1:19" ht="13">
      <c r="A21" s="107" t="s">
        <v>287</v>
      </c>
      <c r="B21" s="33">
        <v>90</v>
      </c>
      <c r="C21" s="33">
        <v>520</v>
      </c>
      <c r="D21" s="33">
        <f>209+150</f>
        <v>359</v>
      </c>
      <c r="E21" s="109">
        <f t="shared" si="0"/>
        <v>610</v>
      </c>
      <c r="F21" s="102">
        <f t="shared" si="1"/>
        <v>0.58852459016393444</v>
      </c>
      <c r="H21" s="199"/>
      <c r="I21" s="178"/>
      <c r="J21" s="178"/>
      <c r="K21" s="179"/>
      <c r="L21" s="80"/>
      <c r="M21" s="199"/>
      <c r="N21" s="178"/>
      <c r="O21" s="179"/>
      <c r="P21" s="104"/>
      <c r="Q21" s="196"/>
      <c r="R21" s="199"/>
      <c r="S21" s="179"/>
    </row>
    <row r="22" spans="1:19" ht="13">
      <c r="A22" s="107" t="s">
        <v>288</v>
      </c>
      <c r="B22" s="33">
        <v>65</v>
      </c>
      <c r="C22" s="33">
        <v>650</v>
      </c>
      <c r="D22" s="33">
        <f>156+150</f>
        <v>306</v>
      </c>
      <c r="E22" s="109">
        <f t="shared" si="0"/>
        <v>715</v>
      </c>
      <c r="F22" s="102">
        <f t="shared" si="1"/>
        <v>0.42797202797202799</v>
      </c>
      <c r="H22" s="199"/>
      <c r="I22" s="178"/>
      <c r="J22" s="178"/>
      <c r="K22" s="179"/>
      <c r="L22" s="80"/>
      <c r="M22" s="199"/>
      <c r="N22" s="178"/>
      <c r="O22" s="179"/>
      <c r="P22" s="104"/>
      <c r="Q22" s="196"/>
      <c r="R22" s="199"/>
      <c r="S22" s="179"/>
    </row>
    <row r="23" spans="1:19" ht="13">
      <c r="A23" s="107" t="s">
        <v>289</v>
      </c>
      <c r="B23" s="33">
        <v>30</v>
      </c>
      <c r="C23" s="33">
        <v>874</v>
      </c>
      <c r="D23" s="33">
        <f>137+150</f>
        <v>287</v>
      </c>
      <c r="E23" s="109">
        <f t="shared" si="0"/>
        <v>904</v>
      </c>
      <c r="F23" s="102">
        <f t="shared" si="1"/>
        <v>0.31747787610619471</v>
      </c>
      <c r="H23" s="167"/>
      <c r="I23" s="168"/>
      <c r="J23" s="168"/>
      <c r="K23" s="169"/>
      <c r="L23" s="80"/>
      <c r="M23" s="167"/>
      <c r="N23" s="168"/>
      <c r="O23" s="169"/>
      <c r="P23" s="104"/>
      <c r="Q23" s="197"/>
      <c r="R23" s="167"/>
      <c r="S23" s="169"/>
    </row>
    <row r="24" spans="1:19" ht="12.5">
      <c r="A24" s="113"/>
      <c r="C24" s="103"/>
    </row>
    <row r="25" spans="1:19" ht="13">
      <c r="A25" s="207" t="s">
        <v>320</v>
      </c>
      <c r="B25" s="160"/>
      <c r="C25" s="160"/>
      <c r="D25" s="160"/>
      <c r="E25" s="160"/>
      <c r="F25" s="161"/>
      <c r="H25" s="206"/>
      <c r="I25" s="165"/>
      <c r="J25" s="165"/>
      <c r="K25" s="166"/>
      <c r="L25" s="80"/>
      <c r="M25" s="80"/>
      <c r="N25" s="80"/>
      <c r="O25" s="80"/>
    </row>
    <row r="26" spans="1:19" ht="13">
      <c r="A26" s="207" t="s">
        <v>321</v>
      </c>
      <c r="B26" s="160"/>
      <c r="C26" s="160"/>
      <c r="D26" s="160"/>
      <c r="E26" s="160"/>
      <c r="F26" s="161"/>
      <c r="H26" s="199"/>
      <c r="I26" s="178"/>
      <c r="J26" s="178"/>
      <c r="K26" s="179"/>
      <c r="L26" s="80"/>
      <c r="M26" s="200" t="s">
        <v>322</v>
      </c>
      <c r="N26" s="165"/>
      <c r="O26" s="166"/>
      <c r="Q26" s="201" t="s">
        <v>315</v>
      </c>
      <c r="R26" s="166"/>
      <c r="S26" s="202" t="s">
        <v>323</v>
      </c>
    </row>
    <row r="27" spans="1:19" ht="13">
      <c r="A27" s="4" t="s">
        <v>317</v>
      </c>
      <c r="B27" s="207" t="s">
        <v>267</v>
      </c>
      <c r="C27" s="160"/>
      <c r="D27" s="160"/>
      <c r="E27" s="160"/>
      <c r="F27" s="161"/>
      <c r="H27" s="199"/>
      <c r="I27" s="178"/>
      <c r="J27" s="178"/>
      <c r="K27" s="179"/>
      <c r="L27" s="80"/>
      <c r="M27" s="199"/>
      <c r="N27" s="178"/>
      <c r="O27" s="179"/>
      <c r="Q27" s="199"/>
      <c r="R27" s="179"/>
      <c r="S27" s="196"/>
    </row>
    <row r="28" spans="1:19" ht="39">
      <c r="A28" s="105" t="s">
        <v>318</v>
      </c>
      <c r="B28" s="106" t="s">
        <v>269</v>
      </c>
      <c r="C28" s="106" t="s">
        <v>270</v>
      </c>
      <c r="D28" s="106" t="s">
        <v>271</v>
      </c>
      <c r="E28" s="106" t="s">
        <v>272</v>
      </c>
      <c r="F28" s="106" t="s">
        <v>273</v>
      </c>
      <c r="G28" s="113"/>
      <c r="H28" s="199"/>
      <c r="I28" s="178"/>
      <c r="J28" s="178"/>
      <c r="K28" s="179"/>
      <c r="L28" s="80"/>
      <c r="M28" s="199"/>
      <c r="N28" s="178"/>
      <c r="O28" s="179"/>
      <c r="Q28" s="167"/>
      <c r="R28" s="169"/>
      <c r="S28" s="197"/>
    </row>
    <row r="29" spans="1:19" ht="14">
      <c r="A29" s="107" t="s">
        <v>282</v>
      </c>
      <c r="B29" s="33">
        <f>954+150</f>
        <v>1104</v>
      </c>
      <c r="C29" s="33">
        <v>200</v>
      </c>
      <c r="D29" s="108">
        <v>800</v>
      </c>
      <c r="E29" s="109">
        <f t="shared" ref="E29:E35" si="2">B29+C29</f>
        <v>1304</v>
      </c>
      <c r="F29" s="102">
        <f t="shared" ref="F29:F35" si="3">D29/E29</f>
        <v>0.61349693251533743</v>
      </c>
      <c r="H29" s="199"/>
      <c r="I29" s="178"/>
      <c r="J29" s="178"/>
      <c r="K29" s="179"/>
      <c r="L29" s="80"/>
      <c r="M29" s="199"/>
      <c r="N29" s="178"/>
      <c r="O29" s="179"/>
      <c r="Q29" s="98"/>
      <c r="R29" s="81"/>
      <c r="S29" s="99"/>
    </row>
    <row r="30" spans="1:19" ht="13">
      <c r="A30" s="107" t="s">
        <v>283</v>
      </c>
      <c r="B30" s="33">
        <f>540+150</f>
        <v>690</v>
      </c>
      <c r="C30" s="33">
        <f>223+150</f>
        <v>373</v>
      </c>
      <c r="D30" s="33">
        <f>277+150+200</f>
        <v>627</v>
      </c>
      <c r="E30" s="109">
        <f t="shared" si="2"/>
        <v>1063</v>
      </c>
      <c r="F30" s="102">
        <f t="shared" si="3"/>
        <v>0.58984007525870175</v>
      </c>
      <c r="H30" s="199"/>
      <c r="I30" s="178"/>
      <c r="J30" s="178"/>
      <c r="K30" s="179"/>
      <c r="L30" s="80"/>
      <c r="M30" s="199"/>
      <c r="N30" s="178"/>
      <c r="O30" s="179"/>
      <c r="Q30" s="195" t="s">
        <v>274</v>
      </c>
      <c r="R30" s="221" t="s">
        <v>324</v>
      </c>
      <c r="S30" s="166"/>
    </row>
    <row r="31" spans="1:19" ht="13">
      <c r="A31" s="107" t="s">
        <v>285</v>
      </c>
      <c r="B31" s="33">
        <f>402+150</f>
        <v>552</v>
      </c>
      <c r="C31" s="33">
        <f>238+150</f>
        <v>388</v>
      </c>
      <c r="D31" s="33">
        <f>262+150+120</f>
        <v>532</v>
      </c>
      <c r="E31" s="109">
        <f t="shared" si="2"/>
        <v>940</v>
      </c>
      <c r="F31" s="102">
        <f t="shared" si="3"/>
        <v>0.56595744680851068</v>
      </c>
      <c r="H31" s="199"/>
      <c r="I31" s="178"/>
      <c r="J31" s="178"/>
      <c r="K31" s="179"/>
      <c r="L31" s="80"/>
      <c r="M31" s="199"/>
      <c r="N31" s="178"/>
      <c r="O31" s="179"/>
      <c r="Q31" s="196"/>
      <c r="R31" s="199"/>
      <c r="S31" s="179"/>
    </row>
    <row r="32" spans="1:19" ht="13">
      <c r="A32" s="107" t="s">
        <v>286</v>
      </c>
      <c r="B32" s="33">
        <f>310+150</f>
        <v>460</v>
      </c>
      <c r="C32" s="33">
        <f>272+150-50</f>
        <v>372</v>
      </c>
      <c r="D32" s="33">
        <f>228+150+80</f>
        <v>458</v>
      </c>
      <c r="E32" s="109">
        <f t="shared" si="2"/>
        <v>832</v>
      </c>
      <c r="F32" s="102">
        <f t="shared" si="3"/>
        <v>0.55048076923076927</v>
      </c>
      <c r="H32" s="199"/>
      <c r="I32" s="178"/>
      <c r="J32" s="178"/>
      <c r="K32" s="179"/>
      <c r="L32" s="80"/>
      <c r="M32" s="199"/>
      <c r="N32" s="178"/>
      <c r="O32" s="179"/>
      <c r="Q32" s="196"/>
      <c r="R32" s="199"/>
      <c r="S32" s="179"/>
    </row>
    <row r="33" spans="1:19" ht="13">
      <c r="A33" s="107" t="s">
        <v>287</v>
      </c>
      <c r="B33" s="33">
        <f>278+150</f>
        <v>428</v>
      </c>
      <c r="C33" s="33">
        <f>291+150</f>
        <v>441</v>
      </c>
      <c r="D33" s="33">
        <f>209+150</f>
        <v>359</v>
      </c>
      <c r="E33" s="109">
        <f t="shared" si="2"/>
        <v>869</v>
      </c>
      <c r="F33" s="102">
        <f t="shared" si="3"/>
        <v>0.41311852704257768</v>
      </c>
      <c r="H33" s="199"/>
      <c r="I33" s="178"/>
      <c r="J33" s="178"/>
      <c r="K33" s="179"/>
      <c r="L33" s="80"/>
      <c r="M33" s="199"/>
      <c r="N33" s="178"/>
      <c r="O33" s="179"/>
      <c r="P33" s="104"/>
      <c r="Q33" s="196"/>
      <c r="R33" s="199"/>
      <c r="S33" s="179"/>
    </row>
    <row r="34" spans="1:19" ht="13">
      <c r="A34" s="107" t="s">
        <v>288</v>
      </c>
      <c r="B34" s="33">
        <f>202+150</f>
        <v>352</v>
      </c>
      <c r="C34" s="33">
        <f>334+150</f>
        <v>484</v>
      </c>
      <c r="D34" s="33">
        <f>156+150</f>
        <v>306</v>
      </c>
      <c r="E34" s="109">
        <f t="shared" si="2"/>
        <v>836</v>
      </c>
      <c r="F34" s="102">
        <f t="shared" si="3"/>
        <v>0.36602870813397131</v>
      </c>
      <c r="H34" s="199"/>
      <c r="I34" s="178"/>
      <c r="J34" s="178"/>
      <c r="K34" s="179"/>
      <c r="L34" s="80"/>
      <c r="M34" s="199"/>
      <c r="N34" s="178"/>
      <c r="O34" s="179"/>
      <c r="P34" s="104"/>
      <c r="Q34" s="196"/>
      <c r="R34" s="199"/>
      <c r="S34" s="179"/>
    </row>
    <row r="35" spans="1:19" ht="13">
      <c r="A35" s="107" t="s">
        <v>289</v>
      </c>
      <c r="B35" s="33">
        <f>160+150</f>
        <v>310</v>
      </c>
      <c r="C35" s="33">
        <f>363+150</f>
        <v>513</v>
      </c>
      <c r="D35" s="33">
        <f>137+150-100</f>
        <v>187</v>
      </c>
      <c r="E35" s="109">
        <f t="shared" si="2"/>
        <v>823</v>
      </c>
      <c r="F35" s="102">
        <f t="shared" si="3"/>
        <v>0.22721749696233293</v>
      </c>
      <c r="H35" s="167"/>
      <c r="I35" s="168"/>
      <c r="J35" s="168"/>
      <c r="K35" s="169"/>
      <c r="L35" s="80"/>
      <c r="M35" s="167"/>
      <c r="N35" s="168"/>
      <c r="O35" s="169"/>
      <c r="P35" s="104"/>
      <c r="Q35" s="197"/>
      <c r="R35" s="167"/>
      <c r="S35" s="169"/>
    </row>
    <row r="36" spans="1:19" ht="12.5">
      <c r="A36" s="113"/>
    </row>
    <row r="37" spans="1:19" ht="13">
      <c r="A37" s="207" t="s">
        <v>325</v>
      </c>
      <c r="B37" s="160"/>
      <c r="C37" s="160"/>
      <c r="D37" s="160"/>
      <c r="E37" s="160"/>
      <c r="F37" s="161"/>
      <c r="H37" s="206"/>
      <c r="I37" s="165"/>
      <c r="J37" s="165"/>
      <c r="K37" s="166"/>
      <c r="L37" s="80"/>
      <c r="M37" s="80"/>
      <c r="N37" s="80"/>
      <c r="O37" s="80"/>
    </row>
    <row r="38" spans="1:19" ht="13">
      <c r="A38" s="207" t="s">
        <v>326</v>
      </c>
      <c r="B38" s="160"/>
      <c r="C38" s="160"/>
      <c r="D38" s="160"/>
      <c r="E38" s="160"/>
      <c r="F38" s="161"/>
      <c r="H38" s="199"/>
      <c r="I38" s="178"/>
      <c r="J38" s="178"/>
      <c r="K38" s="179"/>
      <c r="L38" s="80"/>
      <c r="M38" s="200" t="s">
        <v>327</v>
      </c>
      <c r="N38" s="165"/>
      <c r="O38" s="166"/>
      <c r="Q38" s="201" t="s">
        <v>315</v>
      </c>
      <c r="R38" s="165"/>
      <c r="S38" s="204" t="s">
        <v>328</v>
      </c>
    </row>
    <row r="39" spans="1:19" ht="13">
      <c r="A39" s="4" t="s">
        <v>317</v>
      </c>
      <c r="B39" s="207" t="s">
        <v>267</v>
      </c>
      <c r="C39" s="160"/>
      <c r="D39" s="160"/>
      <c r="E39" s="160"/>
      <c r="F39" s="161"/>
      <c r="H39" s="199"/>
      <c r="I39" s="178"/>
      <c r="J39" s="178"/>
      <c r="K39" s="179"/>
      <c r="L39" s="80"/>
      <c r="M39" s="199"/>
      <c r="N39" s="178"/>
      <c r="O39" s="179"/>
      <c r="Q39" s="199"/>
      <c r="R39" s="178"/>
      <c r="S39" s="196"/>
    </row>
    <row r="40" spans="1:19" ht="39">
      <c r="A40" s="105" t="s">
        <v>318</v>
      </c>
      <c r="B40" s="106" t="s">
        <v>269</v>
      </c>
      <c r="C40" s="106" t="s">
        <v>270</v>
      </c>
      <c r="D40" s="106" t="s">
        <v>271</v>
      </c>
      <c r="E40" s="106" t="s">
        <v>272</v>
      </c>
      <c r="F40" s="106" t="s">
        <v>273</v>
      </c>
      <c r="G40" s="113"/>
      <c r="H40" s="199"/>
      <c r="I40" s="178"/>
      <c r="J40" s="178"/>
      <c r="K40" s="179"/>
      <c r="L40" s="80"/>
      <c r="M40" s="199"/>
      <c r="N40" s="178"/>
      <c r="O40" s="179"/>
      <c r="Q40" s="199"/>
      <c r="R40" s="178"/>
      <c r="S40" s="197"/>
    </row>
    <row r="41" spans="1:19" ht="14">
      <c r="A41" s="107" t="s">
        <v>282</v>
      </c>
      <c r="B41" s="33">
        <f>954+150</f>
        <v>1104</v>
      </c>
      <c r="C41" s="33">
        <f>192+150</f>
        <v>342</v>
      </c>
      <c r="D41" s="108">
        <f>303+300</f>
        <v>603</v>
      </c>
      <c r="E41" s="109">
        <f t="shared" ref="E41:E47" si="4">B41+C41</f>
        <v>1446</v>
      </c>
      <c r="F41" s="102">
        <f t="shared" ref="F41:F47" si="5">D41/E41</f>
        <v>0.4170124481327801</v>
      </c>
      <c r="H41" s="199"/>
      <c r="I41" s="178"/>
      <c r="J41" s="178"/>
      <c r="K41" s="179"/>
      <c r="L41" s="80"/>
      <c r="M41" s="199"/>
      <c r="N41" s="178"/>
      <c r="O41" s="179"/>
      <c r="Q41" s="98"/>
      <c r="R41" s="81"/>
      <c r="S41" s="99"/>
    </row>
    <row r="42" spans="1:19" ht="13">
      <c r="A42" s="107" t="s">
        <v>283</v>
      </c>
      <c r="B42" s="33">
        <f>540+150</f>
        <v>690</v>
      </c>
      <c r="C42" s="33">
        <f>223+150</f>
        <v>373</v>
      </c>
      <c r="D42" s="33">
        <f>277+150</f>
        <v>427</v>
      </c>
      <c r="E42" s="109">
        <f t="shared" si="4"/>
        <v>1063</v>
      </c>
      <c r="F42" s="102">
        <f t="shared" si="5"/>
        <v>0.40169332079021636</v>
      </c>
      <c r="H42" s="199"/>
      <c r="I42" s="178"/>
      <c r="J42" s="178"/>
      <c r="K42" s="179"/>
      <c r="L42" s="80"/>
      <c r="M42" s="199"/>
      <c r="N42" s="178"/>
      <c r="O42" s="179"/>
      <c r="Q42" s="195" t="s">
        <v>274</v>
      </c>
      <c r="R42" s="203" t="s">
        <v>329</v>
      </c>
      <c r="S42" s="166"/>
    </row>
    <row r="43" spans="1:19" ht="13">
      <c r="A43" s="107" t="s">
        <v>285</v>
      </c>
      <c r="B43" s="33">
        <f>402+150</f>
        <v>552</v>
      </c>
      <c r="C43" s="33">
        <f>238+150</f>
        <v>388</v>
      </c>
      <c r="D43" s="33">
        <f>262+150</f>
        <v>412</v>
      </c>
      <c r="E43" s="109">
        <f t="shared" si="4"/>
        <v>940</v>
      </c>
      <c r="F43" s="102">
        <f t="shared" si="5"/>
        <v>0.43829787234042555</v>
      </c>
      <c r="H43" s="199"/>
      <c r="I43" s="178"/>
      <c r="J43" s="178"/>
      <c r="K43" s="179"/>
      <c r="L43" s="80"/>
      <c r="M43" s="199"/>
      <c r="N43" s="178"/>
      <c r="O43" s="179"/>
      <c r="Q43" s="196"/>
      <c r="R43" s="199"/>
      <c r="S43" s="179"/>
    </row>
    <row r="44" spans="1:19" ht="13">
      <c r="A44" s="107" t="s">
        <v>286</v>
      </c>
      <c r="B44" s="33">
        <f>310+150</f>
        <v>460</v>
      </c>
      <c r="C44" s="33">
        <f>272+150</f>
        <v>422</v>
      </c>
      <c r="D44" s="33">
        <f>228+150</f>
        <v>378</v>
      </c>
      <c r="E44" s="109">
        <f t="shared" si="4"/>
        <v>882</v>
      </c>
      <c r="F44" s="102">
        <f t="shared" si="5"/>
        <v>0.42857142857142855</v>
      </c>
      <c r="H44" s="199"/>
      <c r="I44" s="178"/>
      <c r="J44" s="178"/>
      <c r="K44" s="179"/>
      <c r="L44" s="80"/>
      <c r="M44" s="199"/>
      <c r="N44" s="178"/>
      <c r="O44" s="179"/>
      <c r="Q44" s="196"/>
      <c r="R44" s="199"/>
      <c r="S44" s="179"/>
    </row>
    <row r="45" spans="1:19" ht="13">
      <c r="A45" s="107" t="s">
        <v>287</v>
      </c>
      <c r="B45" s="33">
        <f>278+150</f>
        <v>428</v>
      </c>
      <c r="C45" s="33">
        <f>291+150</f>
        <v>441</v>
      </c>
      <c r="D45" s="33">
        <f>209+150</f>
        <v>359</v>
      </c>
      <c r="E45" s="109">
        <f t="shared" si="4"/>
        <v>869</v>
      </c>
      <c r="F45" s="102">
        <f t="shared" si="5"/>
        <v>0.41311852704257768</v>
      </c>
      <c r="H45" s="199"/>
      <c r="I45" s="178"/>
      <c r="J45" s="178"/>
      <c r="K45" s="179"/>
      <c r="L45" s="80"/>
      <c r="M45" s="199"/>
      <c r="N45" s="178"/>
      <c r="O45" s="179"/>
      <c r="P45" s="104"/>
      <c r="Q45" s="196"/>
      <c r="R45" s="199"/>
      <c r="S45" s="179"/>
    </row>
    <row r="46" spans="1:19" ht="13">
      <c r="A46" s="107" t="s">
        <v>288</v>
      </c>
      <c r="B46" s="33">
        <f>202+150</f>
        <v>352</v>
      </c>
      <c r="C46" s="33">
        <f>334+150</f>
        <v>484</v>
      </c>
      <c r="D46" s="33">
        <f>156+150</f>
        <v>306</v>
      </c>
      <c r="E46" s="109">
        <f t="shared" si="4"/>
        <v>836</v>
      </c>
      <c r="F46" s="102">
        <f t="shared" si="5"/>
        <v>0.36602870813397131</v>
      </c>
      <c r="H46" s="199"/>
      <c r="I46" s="178"/>
      <c r="J46" s="178"/>
      <c r="K46" s="179"/>
      <c r="L46" s="80"/>
      <c r="M46" s="199"/>
      <c r="N46" s="178"/>
      <c r="O46" s="179"/>
      <c r="P46" s="104"/>
      <c r="Q46" s="196"/>
      <c r="R46" s="199"/>
      <c r="S46" s="179"/>
    </row>
    <row r="47" spans="1:19" ht="13">
      <c r="A47" s="107" t="s">
        <v>289</v>
      </c>
      <c r="B47" s="33">
        <f>160+150</f>
        <v>310</v>
      </c>
      <c r="C47" s="33">
        <f>363+150</f>
        <v>513</v>
      </c>
      <c r="D47" s="33">
        <f>137+150</f>
        <v>287</v>
      </c>
      <c r="E47" s="109">
        <f t="shared" si="4"/>
        <v>823</v>
      </c>
      <c r="F47" s="102">
        <f t="shared" si="5"/>
        <v>0.34872417982989062</v>
      </c>
      <c r="H47" s="167"/>
      <c r="I47" s="168"/>
      <c r="J47" s="168"/>
      <c r="K47" s="169"/>
      <c r="L47" s="80"/>
      <c r="M47" s="167"/>
      <c r="N47" s="168"/>
      <c r="O47" s="169"/>
      <c r="P47" s="104"/>
      <c r="Q47" s="197"/>
      <c r="R47" s="167"/>
      <c r="S47" s="169"/>
    </row>
    <row r="48" spans="1:19" ht="12.5">
      <c r="A48" s="113"/>
    </row>
    <row r="49" spans="1:19" ht="13">
      <c r="A49" s="113"/>
      <c r="R49" s="89" t="s">
        <v>296</v>
      </c>
      <c r="S49" s="89" t="s">
        <v>297</v>
      </c>
    </row>
    <row r="50" spans="1:19" ht="12.5">
      <c r="A50" s="113"/>
      <c r="P50" s="201" t="s">
        <v>330</v>
      </c>
      <c r="Q50" s="166"/>
      <c r="R50" s="205" t="s">
        <v>331</v>
      </c>
      <c r="S50" s="205" t="s">
        <v>332</v>
      </c>
    </row>
    <row r="51" spans="1:19" ht="12.5">
      <c r="A51" s="113"/>
      <c r="P51" s="199"/>
      <c r="Q51" s="179"/>
      <c r="R51" s="196"/>
      <c r="S51" s="196"/>
    </row>
    <row r="52" spans="1:19" ht="12.5">
      <c r="A52" s="113"/>
      <c r="P52" s="199"/>
      <c r="Q52" s="179"/>
      <c r="R52" s="196"/>
      <c r="S52" s="196"/>
    </row>
    <row r="53" spans="1:19" ht="12.5">
      <c r="A53" s="113"/>
      <c r="P53" s="199"/>
      <c r="Q53" s="179"/>
      <c r="R53" s="196"/>
      <c r="S53" s="196"/>
    </row>
    <row r="54" spans="1:19" ht="12.5">
      <c r="A54" s="113"/>
      <c r="P54" s="199"/>
      <c r="Q54" s="179"/>
      <c r="R54" s="196"/>
      <c r="S54" s="196"/>
    </row>
    <row r="55" spans="1:19" ht="12.5">
      <c r="A55" s="113"/>
      <c r="P55" s="167"/>
      <c r="Q55" s="169"/>
      <c r="R55" s="197"/>
      <c r="S55" s="197"/>
    </row>
    <row r="56" spans="1:19" ht="13">
      <c r="A56" s="113"/>
      <c r="Q56" s="81"/>
      <c r="R56" s="81"/>
      <c r="S56" s="81"/>
    </row>
    <row r="57" spans="1:19" ht="13">
      <c r="A57" s="113"/>
      <c r="Q57" s="81"/>
      <c r="R57" s="81"/>
      <c r="S57" s="81"/>
    </row>
    <row r="58" spans="1:19" ht="12.5">
      <c r="A58" s="113"/>
      <c r="Q58" s="195" t="s">
        <v>333</v>
      </c>
      <c r="R58" s="203" t="s">
        <v>334</v>
      </c>
      <c r="S58" s="166"/>
    </row>
    <row r="59" spans="1:19" ht="12.5">
      <c r="A59" s="113"/>
      <c r="Q59" s="196"/>
      <c r="R59" s="199"/>
      <c r="S59" s="179"/>
    </row>
    <row r="60" spans="1:19" ht="12.5">
      <c r="A60" s="113"/>
      <c r="Q60" s="196"/>
      <c r="R60" s="199"/>
      <c r="S60" s="179"/>
    </row>
    <row r="61" spans="1:19" ht="12.5">
      <c r="A61" s="113"/>
      <c r="Q61" s="196"/>
      <c r="R61" s="199"/>
      <c r="S61" s="179"/>
    </row>
    <row r="62" spans="1:19" ht="12.5">
      <c r="A62" s="113"/>
      <c r="Q62" s="196"/>
      <c r="R62" s="199"/>
      <c r="S62" s="179"/>
    </row>
    <row r="63" spans="1:19" ht="35.25" customHeight="1">
      <c r="A63" s="113"/>
      <c r="Q63" s="197"/>
      <c r="R63" s="167"/>
      <c r="S63" s="169"/>
    </row>
  </sheetData>
  <mergeCells count="43">
    <mergeCell ref="R50:R55"/>
    <mergeCell ref="S50:S55"/>
    <mergeCell ref="Q58:Q63"/>
    <mergeCell ref="R58:S63"/>
    <mergeCell ref="Q18:Q23"/>
    <mergeCell ref="Q30:Q35"/>
    <mergeCell ref="Q38:R40"/>
    <mergeCell ref="S38:S40"/>
    <mergeCell ref="Q42:Q47"/>
    <mergeCell ref="R42:S47"/>
    <mergeCell ref="P50:Q55"/>
    <mergeCell ref="A1:S1"/>
    <mergeCell ref="A2:I2"/>
    <mergeCell ref="A3:I3"/>
    <mergeCell ref="A4:I4"/>
    <mergeCell ref="A5:I5"/>
    <mergeCell ref="A6:I6"/>
    <mergeCell ref="A7:I7"/>
    <mergeCell ref="B15:F15"/>
    <mergeCell ref="A25:F25"/>
    <mergeCell ref="A14:F14"/>
    <mergeCell ref="A8:I8"/>
    <mergeCell ref="A9:I9"/>
    <mergeCell ref="A10:I10"/>
    <mergeCell ref="A11:I11"/>
    <mergeCell ref="A13:F13"/>
    <mergeCell ref="A26:F26"/>
    <mergeCell ref="M14:O23"/>
    <mergeCell ref="Q14:R16"/>
    <mergeCell ref="S14:S16"/>
    <mergeCell ref="R18:S23"/>
    <mergeCell ref="M26:O35"/>
    <mergeCell ref="Q26:R28"/>
    <mergeCell ref="S26:S28"/>
    <mergeCell ref="R30:S35"/>
    <mergeCell ref="B27:F27"/>
    <mergeCell ref="H13:K23"/>
    <mergeCell ref="H25:K35"/>
    <mergeCell ref="A37:F37"/>
    <mergeCell ref="H37:K47"/>
    <mergeCell ref="A38:F38"/>
    <mergeCell ref="M38:O47"/>
    <mergeCell ref="B39:F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2"/>
  <sheetViews>
    <sheetView showGridLines="0" topLeftCell="A36" workbookViewId="0">
      <selection activeCell="L10" sqref="L10"/>
    </sheetView>
  </sheetViews>
  <sheetFormatPr defaultColWidth="12.6328125" defaultRowHeight="15.75" customHeight="1"/>
  <cols>
    <col min="2" max="2" width="10.08984375" customWidth="1"/>
    <col min="3" max="3" width="15.1796875" customWidth="1"/>
    <col min="4" max="4" width="15.81640625" customWidth="1"/>
    <col min="5" max="5" width="7.90625" customWidth="1"/>
    <col min="6" max="6" width="10" customWidth="1"/>
    <col min="19" max="19" width="23.6328125" customWidth="1"/>
  </cols>
  <sheetData>
    <row r="1" spans="1:19" ht="15.75" customHeight="1">
      <c r="A1" s="220" t="s">
        <v>19</v>
      </c>
      <c r="B1" s="160"/>
      <c r="C1" s="160"/>
      <c r="D1" s="160"/>
      <c r="E1" s="160"/>
      <c r="F1" s="160"/>
      <c r="G1" s="160"/>
      <c r="H1" s="160"/>
      <c r="I1" s="160"/>
      <c r="J1" s="160"/>
      <c r="K1" s="160"/>
      <c r="L1" s="160"/>
      <c r="M1" s="160"/>
      <c r="N1" s="160"/>
      <c r="O1" s="160"/>
      <c r="P1" s="160"/>
      <c r="Q1" s="160"/>
      <c r="R1" s="160"/>
      <c r="S1" s="161"/>
    </row>
    <row r="2" spans="1:19" ht="13">
      <c r="A2" s="194" t="s">
        <v>335</v>
      </c>
      <c r="B2" s="160"/>
      <c r="C2" s="160"/>
      <c r="D2" s="160"/>
      <c r="E2" s="160"/>
      <c r="F2" s="160"/>
      <c r="G2" s="160"/>
      <c r="H2" s="160"/>
      <c r="I2" s="160"/>
      <c r="J2" s="161"/>
      <c r="K2" s="79"/>
      <c r="L2" s="79"/>
      <c r="M2" s="79"/>
      <c r="N2" s="79"/>
      <c r="O2" s="79"/>
      <c r="P2" s="80"/>
      <c r="R2" s="81"/>
      <c r="S2" s="81"/>
    </row>
    <row r="3" spans="1:19" ht="13">
      <c r="A3" s="191" t="s">
        <v>336</v>
      </c>
      <c r="B3" s="160"/>
      <c r="C3" s="160"/>
      <c r="D3" s="160"/>
      <c r="E3" s="160"/>
      <c r="F3" s="160"/>
      <c r="G3" s="160"/>
      <c r="H3" s="160"/>
      <c r="I3" s="160"/>
      <c r="J3" s="161"/>
      <c r="K3" s="79"/>
      <c r="L3" s="79"/>
      <c r="M3" s="79"/>
      <c r="N3" s="79"/>
      <c r="O3" s="79"/>
      <c r="P3" s="80"/>
      <c r="R3" s="81"/>
      <c r="S3" s="81"/>
    </row>
    <row r="4" spans="1:19" ht="13">
      <c r="A4" s="171" t="s">
        <v>337</v>
      </c>
      <c r="B4" s="168"/>
      <c r="C4" s="168"/>
      <c r="D4" s="168"/>
      <c r="E4" s="168"/>
      <c r="F4" s="168"/>
      <c r="G4" s="168"/>
      <c r="H4" s="168"/>
      <c r="I4" s="168"/>
      <c r="J4" s="169"/>
      <c r="K4" s="79"/>
      <c r="L4" s="79"/>
      <c r="M4" s="79"/>
      <c r="N4" s="79"/>
      <c r="O4" s="79"/>
      <c r="P4" s="80"/>
      <c r="R4" s="81"/>
      <c r="S4" s="81"/>
    </row>
    <row r="5" spans="1:19" ht="13">
      <c r="A5" s="194" t="s">
        <v>338</v>
      </c>
      <c r="B5" s="160"/>
      <c r="C5" s="160"/>
      <c r="D5" s="160"/>
      <c r="E5" s="160"/>
      <c r="F5" s="160"/>
      <c r="G5" s="160"/>
      <c r="H5" s="160"/>
      <c r="I5" s="160"/>
      <c r="J5" s="161"/>
      <c r="K5" s="79"/>
      <c r="L5" s="79"/>
      <c r="M5" s="79"/>
      <c r="N5" s="79"/>
      <c r="O5" s="79"/>
      <c r="P5" s="80"/>
      <c r="R5" s="81"/>
      <c r="S5" s="81"/>
    </row>
    <row r="6" spans="1:19" ht="13">
      <c r="A6" s="222" t="s">
        <v>339</v>
      </c>
      <c r="B6" s="160"/>
      <c r="C6" s="160"/>
      <c r="D6" s="160"/>
      <c r="E6" s="160"/>
      <c r="F6" s="160"/>
      <c r="G6" s="160"/>
      <c r="H6" s="160"/>
      <c r="I6" s="160"/>
      <c r="J6" s="161"/>
      <c r="K6" s="82"/>
      <c r="L6" s="82"/>
      <c r="M6" s="82"/>
      <c r="N6" s="82"/>
      <c r="O6" s="82"/>
      <c r="P6" s="80"/>
      <c r="R6" s="81"/>
      <c r="S6" s="81"/>
    </row>
    <row r="7" spans="1:19" ht="13">
      <c r="A7" s="222" t="s">
        <v>340</v>
      </c>
      <c r="B7" s="160"/>
      <c r="C7" s="160"/>
      <c r="D7" s="160"/>
      <c r="E7" s="160"/>
      <c r="F7" s="160"/>
      <c r="G7" s="160"/>
      <c r="H7" s="160"/>
      <c r="I7" s="160"/>
      <c r="J7" s="161"/>
      <c r="K7" s="82"/>
      <c r="L7" s="82"/>
      <c r="M7" s="82"/>
      <c r="N7" s="82"/>
      <c r="O7" s="82"/>
      <c r="P7" s="80"/>
      <c r="R7" s="81"/>
      <c r="S7" s="81"/>
    </row>
    <row r="8" spans="1:19" ht="13">
      <c r="A8" s="222" t="s">
        <v>341</v>
      </c>
      <c r="B8" s="160"/>
      <c r="C8" s="160"/>
      <c r="D8" s="160"/>
      <c r="E8" s="160"/>
      <c r="F8" s="160"/>
      <c r="G8" s="160"/>
      <c r="H8" s="160"/>
      <c r="I8" s="160"/>
      <c r="J8" s="161"/>
      <c r="K8" s="82"/>
      <c r="L8" s="82"/>
      <c r="M8" s="82"/>
      <c r="N8" s="82"/>
      <c r="O8" s="82"/>
      <c r="P8" s="80"/>
      <c r="R8" s="81"/>
      <c r="S8" s="81"/>
    </row>
    <row r="9" spans="1:19" ht="13">
      <c r="A9" s="222" t="s">
        <v>342</v>
      </c>
      <c r="B9" s="160"/>
      <c r="C9" s="160"/>
      <c r="D9" s="160"/>
      <c r="E9" s="160"/>
      <c r="F9" s="160"/>
      <c r="G9" s="160"/>
      <c r="H9" s="160"/>
      <c r="I9" s="160"/>
      <c r="J9" s="161"/>
      <c r="K9" s="82"/>
      <c r="L9" s="82"/>
      <c r="M9" s="82"/>
      <c r="N9" s="82"/>
      <c r="O9" s="82"/>
      <c r="P9" s="80"/>
      <c r="R9" s="81"/>
      <c r="S9" s="81"/>
    </row>
    <row r="10" spans="1:19" ht="15.75" customHeight="1">
      <c r="A10" s="222" t="s">
        <v>343</v>
      </c>
      <c r="B10" s="160"/>
      <c r="C10" s="160"/>
      <c r="D10" s="160"/>
      <c r="E10" s="160"/>
      <c r="F10" s="160"/>
      <c r="G10" s="160"/>
      <c r="H10" s="160"/>
      <c r="I10" s="160"/>
      <c r="J10" s="161"/>
      <c r="K10" s="82"/>
      <c r="M10" s="82"/>
      <c r="N10" s="82"/>
      <c r="O10" s="82"/>
      <c r="P10" s="80"/>
    </row>
    <row r="11" spans="1:19" ht="13">
      <c r="A11" s="210" t="s">
        <v>37</v>
      </c>
      <c r="B11" s="178"/>
      <c r="C11" s="178"/>
      <c r="D11" s="178"/>
      <c r="E11" s="178"/>
      <c r="F11" s="178"/>
      <c r="G11" s="178"/>
      <c r="H11" s="178"/>
      <c r="I11" s="178"/>
      <c r="J11" s="87"/>
      <c r="K11" s="87"/>
      <c r="L11" s="87"/>
      <c r="M11" s="87"/>
      <c r="N11" s="87"/>
      <c r="O11" s="87"/>
      <c r="P11" s="80"/>
      <c r="R11" s="81"/>
      <c r="S11" s="81"/>
    </row>
    <row r="12" spans="1:19" ht="13">
      <c r="A12" s="207" t="s">
        <v>344</v>
      </c>
      <c r="B12" s="160"/>
      <c r="C12" s="160"/>
      <c r="D12" s="160"/>
      <c r="E12" s="160"/>
      <c r="F12" s="161"/>
      <c r="H12" s="223"/>
      <c r="I12" s="165"/>
      <c r="J12" s="165"/>
      <c r="K12" s="166"/>
      <c r="L12" s="80"/>
      <c r="M12" s="80"/>
      <c r="N12" s="80"/>
      <c r="O12" s="80"/>
    </row>
    <row r="13" spans="1:19" ht="13">
      <c r="A13" s="207" t="s">
        <v>345</v>
      </c>
      <c r="B13" s="160"/>
      <c r="C13" s="160"/>
      <c r="D13" s="160"/>
      <c r="E13" s="160"/>
      <c r="F13" s="161"/>
      <c r="H13" s="199"/>
      <c r="I13" s="178"/>
      <c r="J13" s="178"/>
      <c r="K13" s="179"/>
      <c r="L13" s="80"/>
      <c r="M13" s="200" t="s">
        <v>346</v>
      </c>
      <c r="N13" s="165"/>
      <c r="O13" s="166"/>
      <c r="Q13" s="201" t="s">
        <v>347</v>
      </c>
      <c r="R13" s="166"/>
      <c r="S13" s="202" t="s">
        <v>348</v>
      </c>
    </row>
    <row r="14" spans="1:19" ht="13">
      <c r="A14" s="4" t="s">
        <v>317</v>
      </c>
      <c r="B14" s="207" t="s">
        <v>267</v>
      </c>
      <c r="C14" s="160"/>
      <c r="D14" s="160"/>
      <c r="E14" s="160"/>
      <c r="F14" s="161"/>
      <c r="H14" s="199"/>
      <c r="I14" s="178"/>
      <c r="J14" s="178"/>
      <c r="K14" s="179"/>
      <c r="L14" s="80"/>
      <c r="M14" s="199"/>
      <c r="N14" s="178"/>
      <c r="O14" s="179"/>
      <c r="Q14" s="199"/>
      <c r="R14" s="179"/>
      <c r="S14" s="196"/>
    </row>
    <row r="15" spans="1:19" ht="39">
      <c r="A15" s="105" t="s">
        <v>318</v>
      </c>
      <c r="B15" s="106" t="s">
        <v>269</v>
      </c>
      <c r="C15" s="106" t="s">
        <v>270</v>
      </c>
      <c r="D15" s="106" t="s">
        <v>271</v>
      </c>
      <c r="E15" s="106" t="s">
        <v>272</v>
      </c>
      <c r="F15" s="106" t="s">
        <v>273</v>
      </c>
      <c r="G15" s="113"/>
      <c r="H15" s="199"/>
      <c r="I15" s="178"/>
      <c r="J15" s="178"/>
      <c r="K15" s="179"/>
      <c r="L15" s="80"/>
      <c r="M15" s="199"/>
      <c r="N15" s="178"/>
      <c r="O15" s="179"/>
      <c r="Q15" s="167"/>
      <c r="R15" s="169"/>
      <c r="S15" s="197"/>
    </row>
    <row r="16" spans="1:19" ht="14">
      <c r="A16" s="107" t="s">
        <v>282</v>
      </c>
      <c r="B16" s="33">
        <f>954+150+100</f>
        <v>1204</v>
      </c>
      <c r="C16" s="33">
        <f>192+150</f>
        <v>342</v>
      </c>
      <c r="D16" s="108">
        <f>303+300</f>
        <v>603</v>
      </c>
      <c r="E16" s="109">
        <f t="shared" ref="E16:E22" si="0">B16+C16</f>
        <v>1546</v>
      </c>
      <c r="F16" s="96">
        <v>0.39</v>
      </c>
      <c r="H16" s="199"/>
      <c r="I16" s="178"/>
      <c r="J16" s="178"/>
      <c r="K16" s="179"/>
      <c r="L16" s="80"/>
      <c r="M16" s="199"/>
      <c r="N16" s="178"/>
      <c r="O16" s="179"/>
      <c r="Q16" s="98"/>
      <c r="R16" s="81"/>
      <c r="S16" s="99"/>
    </row>
    <row r="17" spans="1:19" ht="13">
      <c r="A17" s="107" t="s">
        <v>283</v>
      </c>
      <c r="B17" s="33">
        <f>540+150+100</f>
        <v>790</v>
      </c>
      <c r="C17" s="33">
        <f>223+150</f>
        <v>373</v>
      </c>
      <c r="D17" s="33">
        <f>277+150</f>
        <v>427</v>
      </c>
      <c r="E17" s="109">
        <f t="shared" si="0"/>
        <v>1163</v>
      </c>
      <c r="F17" s="102">
        <f t="shared" ref="F17:F22" si="1">D17/E17</f>
        <v>0.36715391229578676</v>
      </c>
      <c r="H17" s="199"/>
      <c r="I17" s="178"/>
      <c r="J17" s="178"/>
      <c r="K17" s="179"/>
      <c r="L17" s="80"/>
      <c r="M17" s="199"/>
      <c r="N17" s="178"/>
      <c r="O17" s="179"/>
      <c r="Q17" s="195" t="s">
        <v>274</v>
      </c>
      <c r="R17" s="203" t="s">
        <v>349</v>
      </c>
      <c r="S17" s="166"/>
    </row>
    <row r="18" spans="1:19" ht="13">
      <c r="A18" s="107" t="s">
        <v>285</v>
      </c>
      <c r="B18" s="33">
        <f>402+150+100</f>
        <v>652</v>
      </c>
      <c r="C18" s="33">
        <f>238+150</f>
        <v>388</v>
      </c>
      <c r="D18" s="33">
        <f>262+150</f>
        <v>412</v>
      </c>
      <c r="E18" s="109">
        <f t="shared" si="0"/>
        <v>1040</v>
      </c>
      <c r="F18" s="102">
        <f t="shared" si="1"/>
        <v>0.39615384615384613</v>
      </c>
      <c r="H18" s="199"/>
      <c r="I18" s="178"/>
      <c r="J18" s="178"/>
      <c r="K18" s="179"/>
      <c r="L18" s="80"/>
      <c r="M18" s="199"/>
      <c r="N18" s="178"/>
      <c r="O18" s="179"/>
      <c r="Q18" s="196"/>
      <c r="R18" s="199"/>
      <c r="S18" s="179"/>
    </row>
    <row r="19" spans="1:19" ht="13">
      <c r="A19" s="107" t="s">
        <v>286</v>
      </c>
      <c r="B19" s="33">
        <f>310+150+100</f>
        <v>560</v>
      </c>
      <c r="C19" s="33">
        <f>272+150</f>
        <v>422</v>
      </c>
      <c r="D19" s="33">
        <f>228+150</f>
        <v>378</v>
      </c>
      <c r="E19" s="109">
        <f t="shared" si="0"/>
        <v>982</v>
      </c>
      <c r="F19" s="102">
        <f t="shared" si="1"/>
        <v>0.38492871690427699</v>
      </c>
      <c r="H19" s="199"/>
      <c r="I19" s="178"/>
      <c r="J19" s="178"/>
      <c r="K19" s="179"/>
      <c r="L19" s="80"/>
      <c r="M19" s="199"/>
      <c r="N19" s="178"/>
      <c r="O19" s="179"/>
      <c r="Q19" s="196"/>
      <c r="R19" s="199"/>
      <c r="S19" s="179"/>
    </row>
    <row r="20" spans="1:19" ht="13">
      <c r="A20" s="107" t="s">
        <v>287</v>
      </c>
      <c r="B20" s="33">
        <f>278+150+100</f>
        <v>528</v>
      </c>
      <c r="C20" s="33">
        <f>291+150</f>
        <v>441</v>
      </c>
      <c r="D20" s="33">
        <f>209+150</f>
        <v>359</v>
      </c>
      <c r="E20" s="109">
        <f t="shared" si="0"/>
        <v>969</v>
      </c>
      <c r="F20" s="102">
        <f t="shared" si="1"/>
        <v>0.37048503611971106</v>
      </c>
      <c r="H20" s="199"/>
      <c r="I20" s="178"/>
      <c r="J20" s="178"/>
      <c r="K20" s="179"/>
      <c r="L20" s="80"/>
      <c r="M20" s="199"/>
      <c r="N20" s="178"/>
      <c r="O20" s="179"/>
      <c r="P20" s="104"/>
      <c r="Q20" s="196"/>
      <c r="R20" s="199"/>
      <c r="S20" s="179"/>
    </row>
    <row r="21" spans="1:19" ht="13">
      <c r="A21" s="107" t="s">
        <v>288</v>
      </c>
      <c r="B21" s="33">
        <f>202+150+100</f>
        <v>452</v>
      </c>
      <c r="C21" s="33">
        <f>334+150</f>
        <v>484</v>
      </c>
      <c r="D21" s="33">
        <f>156+150</f>
        <v>306</v>
      </c>
      <c r="E21" s="109">
        <f t="shared" si="0"/>
        <v>936</v>
      </c>
      <c r="F21" s="102">
        <f t="shared" si="1"/>
        <v>0.32692307692307693</v>
      </c>
      <c r="H21" s="199"/>
      <c r="I21" s="178"/>
      <c r="J21" s="178"/>
      <c r="K21" s="179"/>
      <c r="L21" s="80"/>
      <c r="M21" s="199"/>
      <c r="N21" s="178"/>
      <c r="O21" s="179"/>
      <c r="P21" s="104"/>
      <c r="Q21" s="196"/>
      <c r="R21" s="199"/>
      <c r="S21" s="179"/>
    </row>
    <row r="22" spans="1:19" ht="13">
      <c r="A22" s="107" t="s">
        <v>289</v>
      </c>
      <c r="B22" s="33">
        <f>160+150+100</f>
        <v>410</v>
      </c>
      <c r="C22" s="33">
        <f>363+150</f>
        <v>513</v>
      </c>
      <c r="D22" s="33">
        <f>137+150</f>
        <v>287</v>
      </c>
      <c r="E22" s="109">
        <f t="shared" si="0"/>
        <v>923</v>
      </c>
      <c r="F22" s="102">
        <f t="shared" si="1"/>
        <v>0.31094257854821233</v>
      </c>
      <c r="H22" s="167"/>
      <c r="I22" s="168"/>
      <c r="J22" s="168"/>
      <c r="K22" s="169"/>
      <c r="L22" s="80"/>
      <c r="M22" s="167"/>
      <c r="N22" s="168"/>
      <c r="O22" s="169"/>
      <c r="P22" s="104"/>
      <c r="Q22" s="197"/>
      <c r="R22" s="167"/>
      <c r="S22" s="169"/>
    </row>
    <row r="23" spans="1:19" ht="12.5">
      <c r="A23" s="113"/>
      <c r="C23" s="103"/>
    </row>
    <row r="24" spans="1:19" ht="13">
      <c r="A24" s="207" t="s">
        <v>350</v>
      </c>
      <c r="B24" s="160"/>
      <c r="C24" s="160"/>
      <c r="D24" s="160"/>
      <c r="E24" s="160"/>
      <c r="F24" s="161"/>
      <c r="H24" s="223"/>
      <c r="I24" s="165"/>
      <c r="J24" s="165"/>
      <c r="K24" s="166"/>
      <c r="L24" s="80"/>
      <c r="M24" s="80"/>
      <c r="N24" s="80"/>
      <c r="O24" s="80"/>
    </row>
    <row r="25" spans="1:19" ht="13">
      <c r="A25" s="207" t="s">
        <v>351</v>
      </c>
      <c r="B25" s="160"/>
      <c r="C25" s="160"/>
      <c r="D25" s="160"/>
      <c r="E25" s="160"/>
      <c r="F25" s="161"/>
      <c r="H25" s="199"/>
      <c r="I25" s="178"/>
      <c r="J25" s="178"/>
      <c r="K25" s="179"/>
      <c r="L25" s="80"/>
      <c r="M25" s="200" t="s">
        <v>352</v>
      </c>
      <c r="N25" s="165"/>
      <c r="O25" s="166"/>
      <c r="Q25" s="201" t="s">
        <v>347</v>
      </c>
      <c r="R25" s="166"/>
      <c r="S25" s="204" t="s">
        <v>353</v>
      </c>
    </row>
    <row r="26" spans="1:19" ht="13">
      <c r="A26" s="4" t="s">
        <v>317</v>
      </c>
      <c r="B26" s="207" t="s">
        <v>267</v>
      </c>
      <c r="C26" s="160"/>
      <c r="D26" s="160"/>
      <c r="E26" s="160"/>
      <c r="F26" s="161"/>
      <c r="H26" s="199"/>
      <c r="I26" s="178"/>
      <c r="J26" s="178"/>
      <c r="K26" s="179"/>
      <c r="L26" s="80"/>
      <c r="M26" s="199"/>
      <c r="N26" s="178"/>
      <c r="O26" s="179"/>
      <c r="Q26" s="199"/>
      <c r="R26" s="179"/>
      <c r="S26" s="196"/>
    </row>
    <row r="27" spans="1:19" ht="39">
      <c r="A27" s="105" t="s">
        <v>318</v>
      </c>
      <c r="B27" s="106" t="s">
        <v>269</v>
      </c>
      <c r="C27" s="106" t="s">
        <v>270</v>
      </c>
      <c r="D27" s="106" t="s">
        <v>271</v>
      </c>
      <c r="E27" s="106" t="s">
        <v>272</v>
      </c>
      <c r="F27" s="106" t="s">
        <v>273</v>
      </c>
      <c r="G27" s="113"/>
      <c r="H27" s="199"/>
      <c r="I27" s="178"/>
      <c r="J27" s="178"/>
      <c r="K27" s="179"/>
      <c r="L27" s="80"/>
      <c r="M27" s="199"/>
      <c r="N27" s="178"/>
      <c r="O27" s="179"/>
      <c r="Q27" s="167"/>
      <c r="R27" s="169"/>
      <c r="S27" s="197"/>
    </row>
    <row r="28" spans="1:19" ht="14">
      <c r="A28" s="107" t="s">
        <v>282</v>
      </c>
      <c r="B28" s="33">
        <f>954+150+100</f>
        <v>1204</v>
      </c>
      <c r="C28" s="33">
        <v>200</v>
      </c>
      <c r="D28" s="108">
        <v>800</v>
      </c>
      <c r="E28" s="109">
        <f t="shared" ref="E28:E34" si="2">B28+C28</f>
        <v>1404</v>
      </c>
      <c r="F28" s="102">
        <f t="shared" ref="F28:F34" si="3">D28/E28</f>
        <v>0.56980056980056981</v>
      </c>
      <c r="H28" s="199"/>
      <c r="I28" s="178"/>
      <c r="J28" s="178"/>
      <c r="K28" s="179"/>
      <c r="L28" s="80"/>
      <c r="M28" s="199"/>
      <c r="N28" s="178"/>
      <c r="O28" s="179"/>
      <c r="Q28" s="98"/>
      <c r="R28" s="81"/>
      <c r="S28" s="99"/>
    </row>
    <row r="29" spans="1:19" ht="13">
      <c r="A29" s="107" t="s">
        <v>283</v>
      </c>
      <c r="B29" s="33">
        <f>540+150+100</f>
        <v>790</v>
      </c>
      <c r="C29" s="33">
        <f>223+150</f>
        <v>373</v>
      </c>
      <c r="D29" s="33">
        <f>277+150+200</f>
        <v>627</v>
      </c>
      <c r="E29" s="109">
        <f t="shared" si="2"/>
        <v>1163</v>
      </c>
      <c r="F29" s="102">
        <f t="shared" si="3"/>
        <v>0.5391229578675838</v>
      </c>
      <c r="H29" s="199"/>
      <c r="I29" s="178"/>
      <c r="J29" s="178"/>
      <c r="K29" s="179"/>
      <c r="L29" s="80"/>
      <c r="M29" s="199"/>
      <c r="N29" s="178"/>
      <c r="O29" s="179"/>
      <c r="Q29" s="195" t="s">
        <v>274</v>
      </c>
      <c r="R29" s="198" t="s">
        <v>354</v>
      </c>
      <c r="S29" s="166"/>
    </row>
    <row r="30" spans="1:19" ht="13">
      <c r="A30" s="107" t="s">
        <v>285</v>
      </c>
      <c r="B30" s="33">
        <v>620</v>
      </c>
      <c r="C30" s="33">
        <f>238+150</f>
        <v>388</v>
      </c>
      <c r="D30" s="33">
        <f>262+150+120</f>
        <v>532</v>
      </c>
      <c r="E30" s="109">
        <f t="shared" si="2"/>
        <v>1008</v>
      </c>
      <c r="F30" s="102">
        <f t="shared" si="3"/>
        <v>0.52777777777777779</v>
      </c>
      <c r="H30" s="199"/>
      <c r="I30" s="178"/>
      <c r="J30" s="178"/>
      <c r="K30" s="179"/>
      <c r="L30" s="80"/>
      <c r="M30" s="199"/>
      <c r="N30" s="178"/>
      <c r="O30" s="179"/>
      <c r="Q30" s="196"/>
      <c r="R30" s="199"/>
      <c r="S30" s="179"/>
    </row>
    <row r="31" spans="1:19" ht="13">
      <c r="A31" s="107" t="s">
        <v>286</v>
      </c>
      <c r="B31" s="33">
        <v>510</v>
      </c>
      <c r="C31" s="33">
        <f>272+150-50</f>
        <v>372</v>
      </c>
      <c r="D31" s="33">
        <f>228+150+80</f>
        <v>458</v>
      </c>
      <c r="E31" s="109">
        <f t="shared" si="2"/>
        <v>882</v>
      </c>
      <c r="F31" s="102">
        <f t="shared" si="3"/>
        <v>0.51927437641723351</v>
      </c>
      <c r="H31" s="199"/>
      <c r="I31" s="178"/>
      <c r="J31" s="178"/>
      <c r="K31" s="179"/>
      <c r="L31" s="80"/>
      <c r="M31" s="199"/>
      <c r="N31" s="178"/>
      <c r="O31" s="179"/>
      <c r="Q31" s="196"/>
      <c r="R31" s="199"/>
      <c r="S31" s="179"/>
    </row>
    <row r="32" spans="1:19" ht="13">
      <c r="A32" s="107" t="s">
        <v>287</v>
      </c>
      <c r="B32" s="33">
        <v>272</v>
      </c>
      <c r="C32" s="33">
        <f>291+150</f>
        <v>441</v>
      </c>
      <c r="D32" s="33">
        <f>209+150</f>
        <v>359</v>
      </c>
      <c r="E32" s="109">
        <f t="shared" si="2"/>
        <v>713</v>
      </c>
      <c r="F32" s="102">
        <f t="shared" si="3"/>
        <v>0.50350631136044877</v>
      </c>
      <c r="H32" s="199"/>
      <c r="I32" s="178"/>
      <c r="J32" s="178"/>
      <c r="K32" s="179"/>
      <c r="L32" s="80"/>
      <c r="M32" s="199"/>
      <c r="N32" s="178"/>
      <c r="O32" s="179"/>
      <c r="P32" s="104"/>
      <c r="Q32" s="196"/>
      <c r="R32" s="199"/>
      <c r="S32" s="179"/>
    </row>
    <row r="33" spans="1:19" ht="13">
      <c r="A33" s="107" t="s">
        <v>288</v>
      </c>
      <c r="B33" s="33">
        <v>135</v>
      </c>
      <c r="C33" s="33">
        <f>334+150</f>
        <v>484</v>
      </c>
      <c r="D33" s="33">
        <f>156+150</f>
        <v>306</v>
      </c>
      <c r="E33" s="109">
        <f t="shared" si="2"/>
        <v>619</v>
      </c>
      <c r="F33" s="102">
        <f t="shared" si="3"/>
        <v>0.49434571890145396</v>
      </c>
      <c r="H33" s="199"/>
      <c r="I33" s="178"/>
      <c r="J33" s="178"/>
      <c r="K33" s="179"/>
      <c r="L33" s="80"/>
      <c r="M33" s="199"/>
      <c r="N33" s="178"/>
      <c r="O33" s="179"/>
      <c r="P33" s="104"/>
      <c r="Q33" s="196"/>
      <c r="R33" s="199"/>
      <c r="S33" s="179"/>
    </row>
    <row r="34" spans="1:19" ht="13">
      <c r="A34" s="107" t="s">
        <v>289</v>
      </c>
      <c r="B34" s="33">
        <v>50</v>
      </c>
      <c r="C34" s="33">
        <v>590</v>
      </c>
      <c r="D34" s="33">
        <v>300</v>
      </c>
      <c r="E34" s="109">
        <f t="shared" si="2"/>
        <v>640</v>
      </c>
      <c r="F34" s="102">
        <f t="shared" si="3"/>
        <v>0.46875</v>
      </c>
      <c r="H34" s="167"/>
      <c r="I34" s="168"/>
      <c r="J34" s="168"/>
      <c r="K34" s="169"/>
      <c r="L34" s="80"/>
      <c r="M34" s="167"/>
      <c r="N34" s="168"/>
      <c r="O34" s="169"/>
      <c r="P34" s="104"/>
      <c r="Q34" s="197"/>
      <c r="R34" s="167"/>
      <c r="S34" s="169"/>
    </row>
    <row r="35" spans="1:19" ht="12.5">
      <c r="A35" s="113"/>
    </row>
    <row r="36" spans="1:19" ht="13">
      <c r="A36" s="207" t="s">
        <v>355</v>
      </c>
      <c r="B36" s="160"/>
      <c r="C36" s="160"/>
      <c r="D36" s="160"/>
      <c r="E36" s="160"/>
      <c r="F36" s="161"/>
      <c r="H36" s="223"/>
      <c r="I36" s="165"/>
      <c r="J36" s="165"/>
      <c r="K36" s="166"/>
      <c r="L36" s="80"/>
      <c r="M36" s="80"/>
      <c r="N36" s="80"/>
      <c r="O36" s="80"/>
    </row>
    <row r="37" spans="1:19" ht="13">
      <c r="A37" s="207" t="s">
        <v>356</v>
      </c>
      <c r="B37" s="160"/>
      <c r="C37" s="160"/>
      <c r="D37" s="160"/>
      <c r="E37" s="160"/>
      <c r="F37" s="161"/>
      <c r="H37" s="199"/>
      <c r="I37" s="178"/>
      <c r="J37" s="178"/>
      <c r="K37" s="179"/>
      <c r="L37" s="80"/>
      <c r="M37" s="200" t="s">
        <v>357</v>
      </c>
      <c r="N37" s="165"/>
      <c r="O37" s="166"/>
      <c r="Q37" s="201" t="s">
        <v>347</v>
      </c>
      <c r="R37" s="166"/>
      <c r="S37" s="202" t="s">
        <v>358</v>
      </c>
    </row>
    <row r="38" spans="1:19" ht="13">
      <c r="A38" s="4" t="s">
        <v>317</v>
      </c>
      <c r="B38" s="207" t="s">
        <v>267</v>
      </c>
      <c r="C38" s="160"/>
      <c r="D38" s="160"/>
      <c r="E38" s="160"/>
      <c r="F38" s="161"/>
      <c r="H38" s="199"/>
      <c r="I38" s="178"/>
      <c r="J38" s="178"/>
      <c r="K38" s="179"/>
      <c r="L38" s="80"/>
      <c r="M38" s="199"/>
      <c r="N38" s="178"/>
      <c r="O38" s="179"/>
      <c r="Q38" s="199"/>
      <c r="R38" s="179"/>
      <c r="S38" s="196"/>
    </row>
    <row r="39" spans="1:19" ht="39">
      <c r="A39" s="105" t="s">
        <v>359</v>
      </c>
      <c r="B39" s="106" t="s">
        <v>269</v>
      </c>
      <c r="C39" s="106" t="s">
        <v>270</v>
      </c>
      <c r="D39" s="106" t="s">
        <v>271</v>
      </c>
      <c r="E39" s="106" t="s">
        <v>272</v>
      </c>
      <c r="F39" s="106" t="s">
        <v>273</v>
      </c>
      <c r="G39" s="113"/>
      <c r="H39" s="199"/>
      <c r="I39" s="178"/>
      <c r="J39" s="178"/>
      <c r="K39" s="179"/>
      <c r="L39" s="80"/>
      <c r="M39" s="199"/>
      <c r="N39" s="178"/>
      <c r="O39" s="179"/>
      <c r="Q39" s="167"/>
      <c r="R39" s="169"/>
      <c r="S39" s="197"/>
    </row>
    <row r="40" spans="1:19" ht="14">
      <c r="A40" s="107" t="s">
        <v>282</v>
      </c>
      <c r="B40" s="33">
        <f>954-750+100</f>
        <v>304</v>
      </c>
      <c r="C40" s="33">
        <f>192+150</f>
        <v>342</v>
      </c>
      <c r="D40" s="108">
        <f>303+150</f>
        <v>453</v>
      </c>
      <c r="E40" s="109">
        <f t="shared" ref="E40:E46" si="4">B40+C40</f>
        <v>646</v>
      </c>
      <c r="F40" s="102">
        <f t="shared" ref="F40:F46" si="5">D40/E40</f>
        <v>0.70123839009287925</v>
      </c>
      <c r="H40" s="199"/>
      <c r="I40" s="178"/>
      <c r="J40" s="178"/>
      <c r="K40" s="179"/>
      <c r="L40" s="80"/>
      <c r="M40" s="199"/>
      <c r="N40" s="178"/>
      <c r="O40" s="179"/>
      <c r="Q40" s="98"/>
      <c r="R40" s="81"/>
      <c r="S40" s="99"/>
    </row>
    <row r="41" spans="1:19" ht="13">
      <c r="A41" s="107" t="s">
        <v>283</v>
      </c>
      <c r="B41" s="33">
        <f>540-370+100</f>
        <v>270</v>
      </c>
      <c r="C41" s="33">
        <v>360</v>
      </c>
      <c r="D41" s="33">
        <f>277+150</f>
        <v>427</v>
      </c>
      <c r="E41" s="109">
        <f t="shared" si="4"/>
        <v>630</v>
      </c>
      <c r="F41" s="102">
        <f t="shared" si="5"/>
        <v>0.67777777777777781</v>
      </c>
      <c r="H41" s="199"/>
      <c r="I41" s="178"/>
      <c r="J41" s="178"/>
      <c r="K41" s="179"/>
      <c r="L41" s="80"/>
      <c r="M41" s="199"/>
      <c r="N41" s="178"/>
      <c r="O41" s="179"/>
      <c r="Q41" s="195" t="s">
        <v>274</v>
      </c>
      <c r="R41" s="198" t="s">
        <v>360</v>
      </c>
      <c r="S41" s="166"/>
    </row>
    <row r="42" spans="1:19" ht="13">
      <c r="A42" s="107" t="s">
        <v>285</v>
      </c>
      <c r="B42" s="33">
        <f>402-250+100</f>
        <v>252</v>
      </c>
      <c r="C42" s="33">
        <v>370</v>
      </c>
      <c r="D42" s="33">
        <f>262+150</f>
        <v>412</v>
      </c>
      <c r="E42" s="109">
        <f t="shared" si="4"/>
        <v>622</v>
      </c>
      <c r="F42" s="102">
        <f t="shared" si="5"/>
        <v>0.66237942122186499</v>
      </c>
      <c r="H42" s="199"/>
      <c r="I42" s="178"/>
      <c r="J42" s="178"/>
      <c r="K42" s="179"/>
      <c r="L42" s="80"/>
      <c r="M42" s="199"/>
      <c r="N42" s="178"/>
      <c r="O42" s="179"/>
      <c r="Q42" s="196"/>
      <c r="R42" s="199"/>
      <c r="S42" s="179"/>
    </row>
    <row r="43" spans="1:19" ht="13">
      <c r="A43" s="107" t="s">
        <v>286</v>
      </c>
      <c r="B43" s="33">
        <f>310-200+100</f>
        <v>210</v>
      </c>
      <c r="C43" s="33">
        <v>380</v>
      </c>
      <c r="D43" s="33">
        <f>228+150</f>
        <v>378</v>
      </c>
      <c r="E43" s="109">
        <f t="shared" si="4"/>
        <v>590</v>
      </c>
      <c r="F43" s="102">
        <f t="shared" si="5"/>
        <v>0.64067796610169492</v>
      </c>
      <c r="H43" s="199"/>
      <c r="I43" s="178"/>
      <c r="J43" s="178"/>
      <c r="K43" s="179"/>
      <c r="L43" s="80"/>
      <c r="M43" s="199"/>
      <c r="N43" s="178"/>
      <c r="O43" s="179"/>
      <c r="Q43" s="196"/>
      <c r="R43" s="199"/>
      <c r="S43" s="179"/>
    </row>
    <row r="44" spans="1:19" ht="13">
      <c r="A44" s="107" t="s">
        <v>287</v>
      </c>
      <c r="B44" s="33">
        <f>90+100</f>
        <v>190</v>
      </c>
      <c r="C44" s="33">
        <v>520</v>
      </c>
      <c r="D44" s="33">
        <f>209+150</f>
        <v>359</v>
      </c>
      <c r="E44" s="109">
        <f t="shared" si="4"/>
        <v>710</v>
      </c>
      <c r="F44" s="102">
        <f t="shared" si="5"/>
        <v>0.5056338028169014</v>
      </c>
      <c r="H44" s="199"/>
      <c r="I44" s="178"/>
      <c r="J44" s="178"/>
      <c r="K44" s="179"/>
      <c r="L44" s="80"/>
      <c r="M44" s="199"/>
      <c r="N44" s="178"/>
      <c r="O44" s="179"/>
      <c r="P44" s="104"/>
      <c r="Q44" s="196"/>
      <c r="R44" s="199"/>
      <c r="S44" s="179"/>
    </row>
    <row r="45" spans="1:19" ht="13">
      <c r="A45" s="107" t="s">
        <v>288</v>
      </c>
      <c r="B45" s="33">
        <f>65+100</f>
        <v>165</v>
      </c>
      <c r="C45" s="33">
        <v>650</v>
      </c>
      <c r="D45" s="33">
        <f>156+150</f>
        <v>306</v>
      </c>
      <c r="E45" s="109">
        <f t="shared" si="4"/>
        <v>815</v>
      </c>
      <c r="F45" s="102">
        <f t="shared" si="5"/>
        <v>0.3754601226993865</v>
      </c>
      <c r="H45" s="199"/>
      <c r="I45" s="178"/>
      <c r="J45" s="178"/>
      <c r="K45" s="179"/>
      <c r="L45" s="80"/>
      <c r="M45" s="199"/>
      <c r="N45" s="178"/>
      <c r="O45" s="179"/>
      <c r="P45" s="104"/>
      <c r="Q45" s="196"/>
      <c r="R45" s="199"/>
      <c r="S45" s="179"/>
    </row>
    <row r="46" spans="1:19" ht="13">
      <c r="A46" s="107" t="s">
        <v>289</v>
      </c>
      <c r="B46" s="33">
        <f>30+100</f>
        <v>130</v>
      </c>
      <c r="C46" s="33">
        <v>874</v>
      </c>
      <c r="D46" s="33">
        <f>137+150</f>
        <v>287</v>
      </c>
      <c r="E46" s="109">
        <f t="shared" si="4"/>
        <v>1004</v>
      </c>
      <c r="F46" s="102">
        <f t="shared" si="5"/>
        <v>0.28585657370517931</v>
      </c>
      <c r="H46" s="167"/>
      <c r="I46" s="168"/>
      <c r="J46" s="168"/>
      <c r="K46" s="169"/>
      <c r="L46" s="80"/>
      <c r="M46" s="167"/>
      <c r="N46" s="168"/>
      <c r="O46" s="169"/>
      <c r="P46" s="104"/>
      <c r="Q46" s="197"/>
      <c r="R46" s="167"/>
      <c r="S46" s="169"/>
    </row>
    <row r="47" spans="1:19" ht="12.5">
      <c r="A47" s="113"/>
    </row>
    <row r="48" spans="1:19" ht="12.5">
      <c r="A48" s="113"/>
      <c r="R48" s="111" t="s">
        <v>296</v>
      </c>
      <c r="S48" s="111" t="s">
        <v>297</v>
      </c>
    </row>
    <row r="49" spans="1:19" ht="14">
      <c r="A49" s="113"/>
      <c r="B49" s="103"/>
      <c r="C49" s="103"/>
      <c r="D49" s="97"/>
      <c r="E49" s="115"/>
      <c r="F49" s="116"/>
      <c r="P49" s="201" t="s">
        <v>361</v>
      </c>
      <c r="Q49" s="166"/>
      <c r="R49" s="205" t="s">
        <v>362</v>
      </c>
      <c r="S49" s="205" t="s">
        <v>363</v>
      </c>
    </row>
    <row r="50" spans="1:19" ht="12.5">
      <c r="A50" s="113"/>
      <c r="B50" s="103"/>
      <c r="C50" s="103"/>
      <c r="D50" s="103"/>
      <c r="E50" s="115"/>
      <c r="F50" s="116"/>
      <c r="P50" s="199"/>
      <c r="Q50" s="179"/>
      <c r="R50" s="196"/>
      <c r="S50" s="196"/>
    </row>
    <row r="51" spans="1:19" ht="12.5">
      <c r="A51" s="113"/>
      <c r="B51" s="103"/>
      <c r="C51" s="103"/>
      <c r="D51" s="103"/>
      <c r="E51" s="115"/>
      <c r="F51" s="116"/>
      <c r="P51" s="199"/>
      <c r="Q51" s="179"/>
      <c r="R51" s="196"/>
      <c r="S51" s="196"/>
    </row>
    <row r="52" spans="1:19" ht="12.5">
      <c r="A52" s="113"/>
      <c r="B52" s="103"/>
      <c r="C52" s="103"/>
      <c r="D52" s="103"/>
      <c r="E52" s="115"/>
      <c r="F52" s="116"/>
      <c r="P52" s="199"/>
      <c r="Q52" s="179"/>
      <c r="R52" s="196"/>
      <c r="S52" s="196"/>
    </row>
    <row r="53" spans="1:19" ht="12.5">
      <c r="A53" s="113"/>
      <c r="B53" s="103"/>
      <c r="C53" s="103"/>
      <c r="D53" s="103"/>
      <c r="E53" s="115"/>
      <c r="F53" s="116"/>
      <c r="P53" s="199"/>
      <c r="Q53" s="179"/>
      <c r="R53" s="196"/>
      <c r="S53" s="196"/>
    </row>
    <row r="54" spans="1:19" ht="12.5">
      <c r="A54" s="113"/>
      <c r="B54" s="103"/>
      <c r="C54" s="103"/>
      <c r="D54" s="103"/>
      <c r="E54" s="115"/>
      <c r="F54" s="116"/>
      <c r="P54" s="167"/>
      <c r="Q54" s="169"/>
      <c r="R54" s="197"/>
      <c r="S54" s="197"/>
    </row>
    <row r="55" spans="1:19" ht="13">
      <c r="A55" s="113"/>
      <c r="B55" s="103"/>
      <c r="C55" s="103"/>
      <c r="D55" s="103"/>
      <c r="E55" s="115"/>
      <c r="F55" s="116"/>
      <c r="Q55" s="81"/>
      <c r="R55" s="81"/>
      <c r="S55" s="81"/>
    </row>
    <row r="56" spans="1:19" ht="13">
      <c r="A56" s="113"/>
      <c r="Q56" s="81"/>
      <c r="R56" s="81"/>
      <c r="S56" s="81"/>
    </row>
    <row r="57" spans="1:19" ht="12.5">
      <c r="A57" s="113"/>
      <c r="Q57" s="195" t="s">
        <v>364</v>
      </c>
      <c r="R57" s="203" t="s">
        <v>365</v>
      </c>
      <c r="S57" s="166"/>
    </row>
    <row r="58" spans="1:19" ht="12.5">
      <c r="A58" s="113"/>
      <c r="Q58" s="196"/>
      <c r="R58" s="199"/>
      <c r="S58" s="179"/>
    </row>
    <row r="59" spans="1:19" ht="12.5">
      <c r="A59" s="113"/>
      <c r="Q59" s="196"/>
      <c r="R59" s="199"/>
      <c r="S59" s="179"/>
    </row>
    <row r="60" spans="1:19" ht="12.5">
      <c r="A60" s="113"/>
      <c r="Q60" s="196"/>
      <c r="R60" s="199"/>
      <c r="S60" s="179"/>
    </row>
    <row r="61" spans="1:19" ht="12.5">
      <c r="A61" s="113"/>
      <c r="Q61" s="196"/>
      <c r="R61" s="199"/>
      <c r="S61" s="179"/>
    </row>
    <row r="62" spans="1:19" ht="12.5">
      <c r="A62" s="113"/>
      <c r="Q62" s="197"/>
      <c r="R62" s="167"/>
      <c r="S62" s="169"/>
    </row>
  </sheetData>
  <mergeCells count="43">
    <mergeCell ref="R49:R54"/>
    <mergeCell ref="S49:S54"/>
    <mergeCell ref="Q57:Q62"/>
    <mergeCell ref="R57:S62"/>
    <mergeCell ref="Q17:Q22"/>
    <mergeCell ref="Q29:Q34"/>
    <mergeCell ref="Q37:R39"/>
    <mergeCell ref="S37:S39"/>
    <mergeCell ref="Q41:Q46"/>
    <mergeCell ref="R41:S46"/>
    <mergeCell ref="P49:Q54"/>
    <mergeCell ref="S25:S27"/>
    <mergeCell ref="A1:S1"/>
    <mergeCell ref="A2:J2"/>
    <mergeCell ref="A3:J3"/>
    <mergeCell ref="A4:J4"/>
    <mergeCell ref="A5:J5"/>
    <mergeCell ref="A6:J6"/>
    <mergeCell ref="A7:J7"/>
    <mergeCell ref="B14:F14"/>
    <mergeCell ref="A24:F24"/>
    <mergeCell ref="A13:F13"/>
    <mergeCell ref="A8:J8"/>
    <mergeCell ref="A9:J9"/>
    <mergeCell ref="A10:J10"/>
    <mergeCell ref="A11:I11"/>
    <mergeCell ref="A12:F12"/>
    <mergeCell ref="A25:F25"/>
    <mergeCell ref="M13:O22"/>
    <mergeCell ref="Q13:R15"/>
    <mergeCell ref="S13:S15"/>
    <mergeCell ref="R17:S22"/>
    <mergeCell ref="M25:O34"/>
    <mergeCell ref="Q25:R27"/>
    <mergeCell ref="R29:S34"/>
    <mergeCell ref="B26:F26"/>
    <mergeCell ref="H12:K22"/>
    <mergeCell ref="H24:K34"/>
    <mergeCell ref="A36:F36"/>
    <mergeCell ref="H36:K46"/>
    <mergeCell ref="A37:F37"/>
    <mergeCell ref="M37:O46"/>
    <mergeCell ref="B38:F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
  <sheetViews>
    <sheetView topLeftCell="B17" workbookViewId="0">
      <selection sqref="A1:B1"/>
    </sheetView>
  </sheetViews>
  <sheetFormatPr defaultColWidth="12.6328125" defaultRowHeight="15.75" customHeight="1"/>
  <cols>
    <col min="1" max="1" width="66.36328125" customWidth="1"/>
    <col min="2" max="3" width="49.6328125" customWidth="1"/>
    <col min="4" max="4" width="69.81640625" customWidth="1"/>
  </cols>
  <sheetData>
    <row r="1" spans="1:4" ht="37.5">
      <c r="A1" s="193" t="s">
        <v>20</v>
      </c>
      <c r="B1" s="161"/>
      <c r="C1" s="117"/>
      <c r="D1" s="118" t="s">
        <v>366</v>
      </c>
    </row>
    <row r="2" spans="1:4" ht="13">
      <c r="A2" s="194" t="s">
        <v>367</v>
      </c>
      <c r="B2" s="161"/>
      <c r="C2" s="79"/>
      <c r="D2" s="119" t="str">
        <f>'Tab 3 - Activation Hypothesis'!A17</f>
        <v>Moment that lead to Habit:</v>
      </c>
    </row>
    <row r="3" spans="1:4" ht="12.5">
      <c r="A3" s="190" t="s">
        <v>368</v>
      </c>
      <c r="B3" s="179"/>
      <c r="C3" s="74"/>
      <c r="D3" s="120" t="str">
        <f>CONCATENATE('Tab 3 - Activation Hypothesis'!A18," ",'Tab 3 - Activation Hypothesis'!B18)</f>
        <v>1 Only use Slack, not email, for internal messages</v>
      </c>
    </row>
    <row r="4" spans="1:4" ht="13">
      <c r="A4" s="79"/>
      <c r="B4" s="79"/>
      <c r="C4" s="79"/>
      <c r="D4" s="120" t="str">
        <f>CONCATENATE('Tab 3 - Activation Hypothesis'!A19," ",'Tab 3 - Activation Hypothesis'!B19)</f>
        <v xml:space="preserve">2 Using slack for real time communications &amp; collaboration on ongoing projects </v>
      </c>
    </row>
    <row r="5" spans="1:4" ht="13">
      <c r="A5" s="173" t="s">
        <v>369</v>
      </c>
      <c r="B5" s="169"/>
      <c r="C5" s="79"/>
      <c r="D5" s="120" t="str">
        <f>CONCATENATE('Tab 3 - Activation Hypothesis'!A20," ",'Tab 3 - Activation Hypothesis'!B20)</f>
        <v>3 Schedule daily stand up meetings where team members can share the progress</v>
      </c>
    </row>
    <row r="6" spans="1:4" ht="12.5">
      <c r="A6" s="188" t="s">
        <v>370</v>
      </c>
      <c r="B6" s="161"/>
      <c r="C6" s="121"/>
      <c r="D6" s="120" t="str">
        <f>CONCATENATE('Tab 3 - Activation Hypothesis'!A21," ",'Tab 3 - Activation Hypothesis'!B21)</f>
        <v>4 Hosting regular knowledge sharing sessions with the team</v>
      </c>
    </row>
    <row r="7" spans="1:4" ht="13">
      <c r="A7" s="224" t="s">
        <v>371</v>
      </c>
      <c r="B7" s="161"/>
      <c r="C7" s="82"/>
      <c r="D7" s="120" t="str">
        <f>CONCATENATE('Tab 3 - Activation Hypothesis'!A22," ",'Tab 3 - Activation Hypothesis'!B22)</f>
        <v>5 Integrate task management and track progress</v>
      </c>
    </row>
    <row r="8" spans="1:4" ht="13">
      <c r="A8" s="224" t="s">
        <v>372</v>
      </c>
      <c r="B8" s="161"/>
      <c r="C8" s="82"/>
      <c r="D8" s="119" t="str">
        <f>'Tab 3 - Activation Hypothesis'!A23</f>
        <v>Moment that lead to Aha:</v>
      </c>
    </row>
    <row r="9" spans="1:4" ht="13">
      <c r="A9" s="224" t="s">
        <v>373</v>
      </c>
      <c r="B9" s="161"/>
      <c r="C9" s="82"/>
      <c r="D9" s="120" t="str">
        <f>CONCATENATE('Tab 3 - Activation Hypothesis'!A24," ",'Tab 3 - Activation Hypothesis'!B24)</f>
        <v>1 Getting notifications from team on a group channel</v>
      </c>
    </row>
    <row r="10" spans="1:4" ht="25.5">
      <c r="A10" s="225" t="s">
        <v>374</v>
      </c>
      <c r="B10" s="178"/>
      <c r="C10" s="87"/>
      <c r="D10" s="120" t="str">
        <f>CONCATENATE('Tab 3 - Activation Hypothesis'!A25," ",'Tab 3 - Activation Hypothesis'!B25)</f>
        <v>2 Users can instantly communicate with the team members, share files can collaborate in real time</v>
      </c>
    </row>
    <row r="11" spans="1:4" ht="25.5">
      <c r="A11" s="122" t="s">
        <v>233</v>
      </c>
      <c r="B11" s="122" t="s">
        <v>375</v>
      </c>
      <c r="C11" s="122" t="s">
        <v>376</v>
      </c>
      <c r="D11" s="120" t="str">
        <f>CONCATENATE('Tab 3 - Activation Hypothesis'!A26," ",'Tab 3 - Activation Hypothesis'!B26)</f>
        <v>3 Users can access their past history of conversations, files and any shared resources</v>
      </c>
    </row>
    <row r="12" spans="1:4" ht="98.25" customHeight="1">
      <c r="A12" s="123" t="str">
        <f>'Tab 4 - Habit Moment and Metric'!R51</f>
        <v xml:space="preserve">look for a communication tool outside of email to engage with teammates      </v>
      </c>
      <c r="B12" s="123" t="str">
        <f>'Tab 4 - Habit Moment and Metric'!S51</f>
        <v>number of Team Slack Messages Sent in 7-days</v>
      </c>
      <c r="C12" s="124" t="s">
        <v>377</v>
      </c>
      <c r="D12" s="120" t="str">
        <f>CONCATENATE('Tab 3 - Activation Hypothesis'!A27," ",'Tab 3 - Activation Hypothesis'!B27)</f>
        <v xml:space="preserve">4 Slack helps you to connect your favorite tools seamlessly </v>
      </c>
    </row>
    <row r="13" spans="1:4" ht="25.5">
      <c r="A13" s="122" t="s">
        <v>239</v>
      </c>
      <c r="B13" s="122" t="s">
        <v>378</v>
      </c>
      <c r="C13" s="122"/>
      <c r="D13" s="120" t="str">
        <f>CONCATENATE('Tab 3 - Activation Hypothesis'!A28," ",'Tab 3 - Activation Hypothesis'!B28)</f>
        <v>5 Can customize notification settings and preferences which can lead to improving productivity</v>
      </c>
    </row>
    <row r="14" spans="1:4" ht="107.25" customHeight="1">
      <c r="A14" s="123" t="str">
        <f>'Tab 5 - Aha Moment and Metric A'!R50</f>
        <v>Engaging with a message in a group channel</v>
      </c>
      <c r="B14" s="123" t="str">
        <f>'Tab 5 - Aha Moment and Metric A'!S50</f>
        <v>Sending 1st message in a group channel within X days</v>
      </c>
      <c r="C14" s="124" t="s">
        <v>379</v>
      </c>
      <c r="D14" s="125" t="str">
        <f>'Tab 3 - Activation Hypothesis'!A29</f>
        <v>Moment that lead to Setup:</v>
      </c>
    </row>
    <row r="15" spans="1:4" ht="13">
      <c r="A15" s="122" t="s">
        <v>380</v>
      </c>
      <c r="B15" s="122" t="s">
        <v>381</v>
      </c>
      <c r="C15" s="122"/>
      <c r="D15" s="120" t="str">
        <f>CONCATENATE('Tab 3 - Activation Hypothesis'!A30," ",'Tab 3 - Activation Hypothesis'!B30)</f>
        <v>1 Engage in a frequency faster than email while being mobile</v>
      </c>
    </row>
    <row r="16" spans="1:4" ht="102" customHeight="1">
      <c r="A16" s="126" t="str">
        <f>'Tab 6 - Setup Moment and Metric'!R49</f>
        <v>Invite a team mate and had a back-and-forth direct convo</v>
      </c>
      <c r="B16" s="126" t="str">
        <f>'Tab 6 - Setup Moment and Metric'!S49</f>
        <v># of users invited within 7 days</v>
      </c>
      <c r="C16" s="124" t="s">
        <v>382</v>
      </c>
      <c r="D16" s="120" t="str">
        <f>CONCATENATE('Tab 3 - Activation Hypothesis'!A31," ",'Tab 3 - Activation Hypothesis'!B31)</f>
        <v>2 Users undergo seamless onboarding process including tutorials, guided tours and resources</v>
      </c>
    </row>
    <row r="17" spans="1:4" ht="21.75" customHeight="1">
      <c r="A17" s="127"/>
      <c r="B17" s="127"/>
      <c r="C17" s="127"/>
      <c r="D17" s="120" t="str">
        <f>CONCATENATE('Tab 3 - Activation Hypothesis'!A32," ",'Tab 3 - Activation Hypothesis'!B32)</f>
        <v>3 Slack can help in integration with other tools and services for seamless data sharing, automation etc</v>
      </c>
    </row>
    <row r="18" spans="1:4" ht="21.75" customHeight="1">
      <c r="A18" s="127"/>
      <c r="B18" s="127"/>
      <c r="C18" s="127"/>
      <c r="D18" s="120" t="str">
        <f>CONCATENATE('Tab 3 - Activation Hypothesis'!A33," ",'Tab 3 - Activation Hypothesis'!B33)</f>
        <v xml:space="preserve">4 Users can setup their workspace with personalised channels, user groups </v>
      </c>
    </row>
    <row r="19" spans="1:4" ht="21.75" customHeight="1">
      <c r="A19" s="127"/>
      <c r="B19" s="127"/>
      <c r="C19" s="127"/>
      <c r="D19" s="120" t="str">
        <f>CONCATENATE('Tab 3 - Activation Hypothesis'!A34," ",'Tab 3 - Activation Hypothesis'!B34)</f>
        <v>5 Users can create organised channels based on projects, teams etc</v>
      </c>
    </row>
  </sheetData>
  <mergeCells count="9">
    <mergeCell ref="A9:B9"/>
    <mergeCell ref="A10:B10"/>
    <mergeCell ref="A1:B1"/>
    <mergeCell ref="A2:B2"/>
    <mergeCell ref="A3:B3"/>
    <mergeCell ref="A5:B5"/>
    <mergeCell ref="A6:B6"/>
    <mergeCell ref="A7:B7"/>
    <mergeCell ref="A8:B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8"/>
  <sheetViews>
    <sheetView showGridLines="0" tabSelected="1" topLeftCell="A101" workbookViewId="0">
      <selection sqref="A1:N1"/>
    </sheetView>
  </sheetViews>
  <sheetFormatPr defaultColWidth="12.6328125" defaultRowHeight="15.75" customHeight="1"/>
  <cols>
    <col min="1" max="1" width="16.1796875" customWidth="1"/>
    <col min="2" max="2" width="9.6328125" customWidth="1"/>
    <col min="3" max="3" width="13.08984375" customWidth="1"/>
    <col min="4" max="4" width="17.1796875" customWidth="1"/>
    <col min="5" max="5" width="11.453125" customWidth="1"/>
    <col min="6" max="6" width="17" customWidth="1"/>
    <col min="7" max="7" width="12.81640625" customWidth="1"/>
  </cols>
  <sheetData>
    <row r="1" spans="1:14" ht="37.5">
      <c r="A1" s="193" t="s">
        <v>22</v>
      </c>
      <c r="B1" s="160"/>
      <c r="C1" s="160"/>
      <c r="D1" s="160"/>
      <c r="E1" s="160"/>
      <c r="F1" s="160"/>
      <c r="G1" s="160"/>
      <c r="H1" s="160"/>
      <c r="I1" s="160"/>
      <c r="J1" s="160"/>
      <c r="K1" s="160"/>
      <c r="L1" s="160"/>
      <c r="M1" s="160"/>
      <c r="N1" s="161"/>
    </row>
    <row r="2" spans="1:14" ht="12.5">
      <c r="A2" s="194" t="s">
        <v>383</v>
      </c>
      <c r="B2" s="160"/>
      <c r="C2" s="160"/>
      <c r="D2" s="160"/>
      <c r="E2" s="160"/>
      <c r="F2" s="160"/>
      <c r="G2" s="160"/>
      <c r="H2" s="160"/>
      <c r="I2" s="160"/>
      <c r="J2" s="161"/>
      <c r="M2" s="128"/>
      <c r="N2" s="128"/>
    </row>
    <row r="3" spans="1:14" ht="12.5">
      <c r="A3" s="171" t="s">
        <v>384</v>
      </c>
      <c r="B3" s="168"/>
      <c r="C3" s="168"/>
      <c r="D3" s="168"/>
      <c r="E3" s="168"/>
      <c r="F3" s="168"/>
      <c r="G3" s="168"/>
      <c r="H3" s="168"/>
      <c r="I3" s="168"/>
      <c r="J3" s="169"/>
      <c r="M3" s="128"/>
      <c r="N3" s="128"/>
    </row>
    <row r="4" spans="1:14" ht="12.5">
      <c r="A4" s="171" t="s">
        <v>385</v>
      </c>
      <c r="B4" s="168"/>
      <c r="C4" s="168"/>
      <c r="D4" s="168"/>
      <c r="E4" s="168"/>
      <c r="F4" s="168"/>
      <c r="G4" s="168"/>
      <c r="H4" s="168"/>
      <c r="I4" s="168"/>
      <c r="J4" s="169"/>
      <c r="M4" s="128"/>
      <c r="N4" s="128"/>
    </row>
    <row r="5" spans="1:14" ht="12.5">
      <c r="A5" s="171" t="s">
        <v>386</v>
      </c>
      <c r="B5" s="168"/>
      <c r="C5" s="168"/>
      <c r="D5" s="168"/>
      <c r="E5" s="168"/>
      <c r="F5" s="168"/>
      <c r="G5" s="168"/>
      <c r="H5" s="168"/>
      <c r="I5" s="168"/>
      <c r="J5" s="169"/>
      <c r="M5" s="128"/>
      <c r="N5" s="128"/>
    </row>
    <row r="6" spans="1:14" ht="12.5">
      <c r="A6" s="194" t="s">
        <v>387</v>
      </c>
      <c r="B6" s="160"/>
      <c r="C6" s="160"/>
      <c r="D6" s="160"/>
      <c r="E6" s="160"/>
      <c r="F6" s="160"/>
      <c r="G6" s="160"/>
      <c r="H6" s="160"/>
      <c r="I6" s="160"/>
      <c r="J6" s="161"/>
      <c r="M6" s="128"/>
      <c r="N6" s="128"/>
    </row>
    <row r="7" spans="1:14" ht="12.5">
      <c r="A7" s="188" t="s">
        <v>388</v>
      </c>
      <c r="B7" s="160"/>
      <c r="C7" s="160"/>
      <c r="D7" s="160"/>
      <c r="E7" s="160"/>
      <c r="F7" s="160"/>
      <c r="G7" s="160"/>
      <c r="H7" s="160"/>
      <c r="I7" s="160"/>
      <c r="J7" s="161"/>
      <c r="M7" s="128"/>
      <c r="N7" s="128"/>
    </row>
    <row r="8" spans="1:14" ht="12.5">
      <c r="A8" s="191" t="s">
        <v>389</v>
      </c>
      <c r="B8" s="160"/>
      <c r="C8" s="160"/>
      <c r="D8" s="160"/>
      <c r="E8" s="160"/>
      <c r="F8" s="160"/>
      <c r="G8" s="160"/>
      <c r="H8" s="160"/>
      <c r="I8" s="160"/>
      <c r="J8" s="161"/>
      <c r="M8" s="128"/>
      <c r="N8" s="128"/>
    </row>
    <row r="9" spans="1:14" ht="12.5">
      <c r="A9" s="191" t="s">
        <v>390</v>
      </c>
      <c r="B9" s="160"/>
      <c r="C9" s="160"/>
      <c r="D9" s="160"/>
      <c r="E9" s="160"/>
      <c r="F9" s="160"/>
      <c r="G9" s="160"/>
      <c r="H9" s="160"/>
      <c r="I9" s="160"/>
      <c r="J9" s="161"/>
      <c r="M9" s="128"/>
      <c r="N9" s="128"/>
    </row>
    <row r="10" spans="1:14" ht="12.5">
      <c r="A10" s="222" t="s">
        <v>391</v>
      </c>
      <c r="B10" s="160"/>
      <c r="C10" s="160"/>
      <c r="D10" s="160"/>
      <c r="E10" s="160"/>
      <c r="F10" s="160"/>
      <c r="G10" s="160"/>
      <c r="H10" s="160"/>
      <c r="I10" s="160"/>
      <c r="J10" s="161"/>
      <c r="M10" s="128"/>
      <c r="N10" s="128"/>
    </row>
    <row r="11" spans="1:14" ht="12.5">
      <c r="A11" s="222" t="s">
        <v>392</v>
      </c>
      <c r="B11" s="160"/>
      <c r="C11" s="160"/>
      <c r="D11" s="160"/>
      <c r="E11" s="160"/>
      <c r="F11" s="160"/>
      <c r="G11" s="160"/>
      <c r="H11" s="160"/>
      <c r="I11" s="160"/>
      <c r="J11" s="161"/>
      <c r="M11" s="128"/>
      <c r="N11" s="128"/>
    </row>
    <row r="12" spans="1:14" ht="13">
      <c r="A12" s="222" t="s">
        <v>393</v>
      </c>
      <c r="B12" s="160"/>
      <c r="C12" s="160"/>
      <c r="D12" s="160"/>
      <c r="E12" s="160"/>
      <c r="F12" s="160"/>
      <c r="G12" s="160"/>
      <c r="H12" s="160"/>
      <c r="I12" s="160"/>
      <c r="J12" s="161"/>
      <c r="M12" s="128"/>
      <c r="N12" s="128"/>
    </row>
    <row r="13" spans="1:14" ht="12.5">
      <c r="A13" s="222" t="s">
        <v>394</v>
      </c>
      <c r="B13" s="160"/>
      <c r="C13" s="160"/>
      <c r="D13" s="160"/>
      <c r="E13" s="160"/>
      <c r="F13" s="160"/>
      <c r="G13" s="160"/>
      <c r="H13" s="160"/>
      <c r="I13" s="160"/>
      <c r="J13" s="161"/>
      <c r="M13" s="128"/>
      <c r="N13" s="128"/>
    </row>
    <row r="14" spans="1:14" ht="12.5">
      <c r="A14" s="222" t="s">
        <v>395</v>
      </c>
      <c r="B14" s="160"/>
      <c r="C14" s="160"/>
      <c r="D14" s="160"/>
      <c r="E14" s="160"/>
      <c r="F14" s="160"/>
      <c r="G14" s="160"/>
      <c r="H14" s="160"/>
      <c r="I14" s="160"/>
      <c r="J14" s="161"/>
      <c r="M14" s="128"/>
      <c r="N14" s="128"/>
    </row>
    <row r="15" spans="1:14" ht="13">
      <c r="A15" s="232" t="s">
        <v>396</v>
      </c>
      <c r="B15" s="178"/>
      <c r="C15" s="178"/>
      <c r="D15" s="178"/>
      <c r="E15" s="178"/>
      <c r="F15" s="178"/>
      <c r="G15" s="178"/>
      <c r="H15" s="178"/>
      <c r="I15" s="178"/>
      <c r="J15" s="178"/>
      <c r="K15" s="87"/>
      <c r="L15" s="128"/>
      <c r="M15" s="128"/>
      <c r="N15" s="128"/>
    </row>
    <row r="16" spans="1:14" ht="14.5">
      <c r="A16" s="231" t="s">
        <v>397</v>
      </c>
      <c r="B16" s="160"/>
      <c r="C16" s="160"/>
      <c r="D16" s="160"/>
      <c r="E16" s="160"/>
      <c r="F16" s="160"/>
      <c r="G16" s="160"/>
      <c r="H16" s="160"/>
      <c r="I16" s="161"/>
      <c r="J16" s="129"/>
      <c r="K16" s="233" t="s">
        <v>69</v>
      </c>
      <c r="L16" s="178"/>
      <c r="M16" s="178"/>
      <c r="N16" s="178"/>
    </row>
    <row r="17" spans="1:14" ht="43.5">
      <c r="A17" s="130" t="s">
        <v>398</v>
      </c>
      <c r="B17" s="130" t="s">
        <v>399</v>
      </c>
      <c r="C17" s="231" t="s">
        <v>20</v>
      </c>
      <c r="D17" s="160"/>
      <c r="E17" s="160"/>
      <c r="F17" s="160"/>
      <c r="G17" s="161"/>
      <c r="H17" s="228" t="s">
        <v>400</v>
      </c>
      <c r="I17" s="229" t="s">
        <v>401</v>
      </c>
      <c r="J17" s="129"/>
      <c r="K17" s="178"/>
      <c r="L17" s="178"/>
      <c r="M17" s="178"/>
      <c r="N17" s="178"/>
    </row>
    <row r="18" spans="1:14" ht="14.5">
      <c r="A18" s="131" t="s">
        <v>402</v>
      </c>
      <c r="B18" s="132">
        <f>SUM(B19:B26)</f>
        <v>920.6</v>
      </c>
      <c r="C18" s="133" t="s">
        <v>403</v>
      </c>
      <c r="D18" s="133" t="s">
        <v>404</v>
      </c>
      <c r="E18" s="133" t="s">
        <v>405</v>
      </c>
      <c r="F18" s="133" t="s">
        <v>406</v>
      </c>
      <c r="G18" s="133" t="s">
        <v>407</v>
      </c>
      <c r="H18" s="197"/>
      <c r="I18" s="197"/>
      <c r="J18" s="129"/>
      <c r="K18" s="230" t="s">
        <v>408</v>
      </c>
      <c r="L18" s="165"/>
      <c r="M18" s="165"/>
      <c r="N18" s="166"/>
    </row>
    <row r="19" spans="1:14" ht="14.5">
      <c r="A19" s="134" t="s">
        <v>409</v>
      </c>
      <c r="B19" s="135">
        <f>310*0.9</f>
        <v>279</v>
      </c>
      <c r="C19" s="136">
        <v>0.85</v>
      </c>
      <c r="D19" s="137">
        <v>0.92</v>
      </c>
      <c r="E19" s="138">
        <v>0.78</v>
      </c>
      <c r="F19" s="137">
        <v>0.87</v>
      </c>
      <c r="G19" s="139">
        <v>0.68</v>
      </c>
      <c r="H19" s="140">
        <v>126</v>
      </c>
      <c r="I19" s="141">
        <v>0.45</v>
      </c>
      <c r="J19" s="129"/>
      <c r="K19" s="199"/>
      <c r="L19" s="178"/>
      <c r="M19" s="178"/>
      <c r="N19" s="179"/>
    </row>
    <row r="20" spans="1:14" ht="14.5">
      <c r="A20" s="134" t="s">
        <v>410</v>
      </c>
      <c r="B20" s="135">
        <f>206*0.8</f>
        <v>164.8</v>
      </c>
      <c r="C20" s="142">
        <v>0.76</v>
      </c>
      <c r="D20" s="143">
        <f t="shared" ref="D20:D27" si="0">E20/C20</f>
        <v>0.9078947368421052</v>
      </c>
      <c r="E20" s="144">
        <v>0.69</v>
      </c>
      <c r="F20" s="143">
        <f t="shared" ref="F20:F27" si="1">G20/E20</f>
        <v>0.91304347826086962</v>
      </c>
      <c r="G20" s="145">
        <v>0.63</v>
      </c>
      <c r="H20" s="146">
        <f t="shared" ref="H20:H27" si="2">B20*C20*E20*G20</f>
        <v>54.445305600000005</v>
      </c>
      <c r="I20" s="143">
        <f t="shared" ref="I20:I27" si="3">H20/B20</f>
        <v>0.330372</v>
      </c>
      <c r="J20" s="129"/>
      <c r="K20" s="199"/>
      <c r="L20" s="178"/>
      <c r="M20" s="178"/>
      <c r="N20" s="179"/>
    </row>
    <row r="21" spans="1:14" ht="14.5">
      <c r="A21" s="134" t="s">
        <v>411</v>
      </c>
      <c r="B21" s="135">
        <f>172*0.8</f>
        <v>137.6</v>
      </c>
      <c r="C21" s="147">
        <v>0.8</v>
      </c>
      <c r="D21" s="143">
        <f t="shared" si="0"/>
        <v>0.95</v>
      </c>
      <c r="E21" s="142">
        <v>0.76</v>
      </c>
      <c r="F21" s="143">
        <f t="shared" si="1"/>
        <v>0.92105263157894735</v>
      </c>
      <c r="G21" s="148">
        <v>0.7</v>
      </c>
      <c r="H21" s="146">
        <f t="shared" si="2"/>
        <v>58.562559999999991</v>
      </c>
      <c r="I21" s="143">
        <f t="shared" si="3"/>
        <v>0.42559999999999992</v>
      </c>
      <c r="J21" s="129"/>
      <c r="K21" s="199"/>
      <c r="L21" s="178"/>
      <c r="M21" s="178"/>
      <c r="N21" s="179"/>
    </row>
    <row r="22" spans="1:14" ht="14.5">
      <c r="A22" s="134" t="s">
        <v>412</v>
      </c>
      <c r="B22" s="135">
        <f>138*0.8</f>
        <v>110.4</v>
      </c>
      <c r="C22" s="142">
        <v>0.76</v>
      </c>
      <c r="D22" s="143">
        <f t="shared" si="0"/>
        <v>0.9078947368421052</v>
      </c>
      <c r="E22" s="144">
        <v>0.69</v>
      </c>
      <c r="F22" s="143">
        <f t="shared" si="1"/>
        <v>0.86956521739130443</v>
      </c>
      <c r="G22" s="149">
        <v>0.6</v>
      </c>
      <c r="H22" s="146">
        <f t="shared" si="2"/>
        <v>34.736255999999997</v>
      </c>
      <c r="I22" s="143">
        <f t="shared" si="3"/>
        <v>0.31463999999999998</v>
      </c>
      <c r="J22" s="129"/>
      <c r="K22" s="199"/>
      <c r="L22" s="178"/>
      <c r="M22" s="178"/>
      <c r="N22" s="179"/>
    </row>
    <row r="23" spans="1:14" ht="14.5">
      <c r="A23" s="134" t="s">
        <v>413</v>
      </c>
      <c r="B23" s="135">
        <f>112*0.8</f>
        <v>89.600000000000009</v>
      </c>
      <c r="C23" s="147">
        <v>0.8</v>
      </c>
      <c r="D23" s="143">
        <f t="shared" si="0"/>
        <v>0.9375</v>
      </c>
      <c r="E23" s="150">
        <v>0.75</v>
      </c>
      <c r="F23" s="143">
        <f t="shared" si="1"/>
        <v>0.88</v>
      </c>
      <c r="G23" s="151">
        <v>0.66</v>
      </c>
      <c r="H23" s="146">
        <f t="shared" si="2"/>
        <v>35.481600000000007</v>
      </c>
      <c r="I23" s="143">
        <f t="shared" si="3"/>
        <v>0.39600000000000002</v>
      </c>
      <c r="J23" s="129"/>
      <c r="K23" s="199"/>
      <c r="L23" s="178"/>
      <c r="M23" s="178"/>
      <c r="N23" s="179"/>
    </row>
    <row r="24" spans="1:14" ht="14.5">
      <c r="A24" s="134" t="s">
        <v>414</v>
      </c>
      <c r="B24" s="135">
        <f>92*0.8</f>
        <v>73.600000000000009</v>
      </c>
      <c r="C24" s="148">
        <v>0.7</v>
      </c>
      <c r="D24" s="143">
        <f t="shared" si="0"/>
        <v>0.932247899159664</v>
      </c>
      <c r="E24" s="152">
        <v>0.65257352941176472</v>
      </c>
      <c r="F24" s="143">
        <f t="shared" si="1"/>
        <v>0.87887323943661966</v>
      </c>
      <c r="G24" s="153">
        <v>0.57352941176470584</v>
      </c>
      <c r="H24" s="146">
        <f t="shared" si="2"/>
        <v>19.282396193771628</v>
      </c>
      <c r="I24" s="143">
        <f t="shared" si="3"/>
        <v>0.26198907871972316</v>
      </c>
      <c r="J24" s="129"/>
      <c r="K24" s="199"/>
      <c r="L24" s="178"/>
      <c r="M24" s="178"/>
      <c r="N24" s="179"/>
    </row>
    <row r="25" spans="1:14" ht="14.5">
      <c r="A25" s="134" t="s">
        <v>415</v>
      </c>
      <c r="B25" s="135">
        <f>58*0.8</f>
        <v>46.400000000000006</v>
      </c>
      <c r="C25" s="139">
        <v>0.68</v>
      </c>
      <c r="D25" s="143">
        <f t="shared" si="0"/>
        <v>0.88235294117647045</v>
      </c>
      <c r="E25" s="149">
        <v>0.6</v>
      </c>
      <c r="F25" s="143">
        <f t="shared" si="1"/>
        <v>0.91666666666666674</v>
      </c>
      <c r="G25" s="154">
        <v>0.55000000000000004</v>
      </c>
      <c r="H25" s="146">
        <f t="shared" si="2"/>
        <v>10.412160000000004</v>
      </c>
      <c r="I25" s="143">
        <f t="shared" si="3"/>
        <v>0.22440000000000004</v>
      </c>
      <c r="J25" s="129"/>
      <c r="K25" s="199"/>
      <c r="L25" s="178"/>
      <c r="M25" s="178"/>
      <c r="N25" s="179"/>
    </row>
    <row r="26" spans="1:14" ht="14.5">
      <c r="A26" s="134" t="s">
        <v>416</v>
      </c>
      <c r="B26" s="135">
        <f>24*0.8</f>
        <v>19.200000000000003</v>
      </c>
      <c r="C26" s="144">
        <v>0.69</v>
      </c>
      <c r="D26" s="143">
        <f t="shared" si="0"/>
        <v>0.92753623188405809</v>
      </c>
      <c r="E26" s="155">
        <v>0.64</v>
      </c>
      <c r="F26" s="143">
        <f t="shared" si="1"/>
        <v>0.9375</v>
      </c>
      <c r="G26" s="149">
        <v>0.6</v>
      </c>
      <c r="H26" s="146">
        <f t="shared" si="2"/>
        <v>5.0872320000000002</v>
      </c>
      <c r="I26" s="143">
        <f t="shared" si="3"/>
        <v>0.26495999999999997</v>
      </c>
      <c r="J26" s="129"/>
      <c r="K26" s="199"/>
      <c r="L26" s="178"/>
      <c r="M26" s="178"/>
      <c r="N26" s="179"/>
    </row>
    <row r="27" spans="1:14" ht="14.5">
      <c r="A27" s="156" t="s">
        <v>142</v>
      </c>
      <c r="B27" s="157">
        <f t="shared" ref="B27:C27" si="4">AVERAGE(B19:B26)</f>
        <v>115.075</v>
      </c>
      <c r="C27" s="158">
        <f t="shared" si="4"/>
        <v>0.75499999999999989</v>
      </c>
      <c r="D27" s="143">
        <f t="shared" si="0"/>
        <v>0.92095588235294112</v>
      </c>
      <c r="E27" s="158">
        <f>AVERAGE(E19:E26)</f>
        <v>0.69532169117647047</v>
      </c>
      <c r="F27" s="143">
        <f t="shared" si="1"/>
        <v>0.89770128616938316</v>
      </c>
      <c r="G27" s="158">
        <f>AVERAGE(G19:G26)</f>
        <v>0.62419117647058819</v>
      </c>
      <c r="H27" s="146">
        <f t="shared" si="2"/>
        <v>37.707812438835326</v>
      </c>
      <c r="I27" s="143">
        <f t="shared" si="3"/>
        <v>0.32768031665292485</v>
      </c>
      <c r="J27" s="129"/>
      <c r="K27" s="167"/>
      <c r="L27" s="168"/>
      <c r="M27" s="168"/>
      <c r="N27" s="169"/>
    </row>
    <row r="28" spans="1:14" ht="13">
      <c r="A28" s="128"/>
      <c r="B28" s="128"/>
      <c r="C28" s="128"/>
      <c r="D28" s="128"/>
      <c r="E28" s="128"/>
      <c r="F28" s="128"/>
      <c r="G28" s="128"/>
      <c r="H28" s="128"/>
      <c r="I28" s="128"/>
      <c r="J28" s="129"/>
      <c r="K28" s="128"/>
      <c r="L28" s="128"/>
      <c r="M28" s="128"/>
      <c r="N28" s="128"/>
    </row>
    <row r="29" spans="1:14" ht="12.5">
      <c r="A29" s="226" t="s">
        <v>417</v>
      </c>
      <c r="B29" s="166"/>
      <c r="C29" s="226" t="s">
        <v>418</v>
      </c>
      <c r="D29" s="166"/>
      <c r="E29" s="226" t="s">
        <v>419</v>
      </c>
      <c r="F29" s="166"/>
      <c r="G29" s="226" t="s">
        <v>420</v>
      </c>
      <c r="H29" s="165"/>
      <c r="I29" s="165"/>
      <c r="J29" s="165"/>
      <c r="K29" s="165"/>
      <c r="L29" s="165"/>
      <c r="M29" s="165"/>
      <c r="N29" s="166"/>
    </row>
    <row r="30" spans="1:14" ht="12.5">
      <c r="A30" s="167"/>
      <c r="B30" s="169"/>
      <c r="C30" s="167"/>
      <c r="D30" s="169"/>
      <c r="E30" s="167"/>
      <c r="F30" s="169"/>
      <c r="G30" s="167"/>
      <c r="H30" s="168"/>
      <c r="I30" s="168"/>
      <c r="J30" s="168"/>
      <c r="K30" s="168"/>
      <c r="L30" s="168"/>
      <c r="M30" s="168"/>
      <c r="N30" s="169"/>
    </row>
    <row r="31" spans="1:14" ht="12.5">
      <c r="A31" s="227" t="s">
        <v>421</v>
      </c>
      <c r="B31" s="166"/>
      <c r="C31" s="227" t="s">
        <v>422</v>
      </c>
      <c r="D31" s="166"/>
      <c r="E31" s="227" t="s">
        <v>423</v>
      </c>
      <c r="F31" s="166"/>
      <c r="G31" s="227" t="s">
        <v>424</v>
      </c>
      <c r="H31" s="165"/>
      <c r="I31" s="165"/>
      <c r="J31" s="165"/>
      <c r="K31" s="165"/>
      <c r="L31" s="165"/>
      <c r="M31" s="165"/>
      <c r="N31" s="166"/>
    </row>
    <row r="32" spans="1:14" ht="12.5">
      <c r="A32" s="199"/>
      <c r="B32" s="179"/>
      <c r="C32" s="199"/>
      <c r="D32" s="179"/>
      <c r="E32" s="199"/>
      <c r="F32" s="179"/>
      <c r="G32" s="199"/>
      <c r="H32" s="178"/>
      <c r="I32" s="178"/>
      <c r="J32" s="178"/>
      <c r="K32" s="178"/>
      <c r="L32" s="178"/>
      <c r="M32" s="178"/>
      <c r="N32" s="179"/>
    </row>
    <row r="33" spans="1:14" ht="12.5">
      <c r="A33" s="199"/>
      <c r="B33" s="179"/>
      <c r="C33" s="199"/>
      <c r="D33" s="179"/>
      <c r="E33" s="199"/>
      <c r="F33" s="179"/>
      <c r="G33" s="199"/>
      <c r="H33" s="178"/>
      <c r="I33" s="178"/>
      <c r="J33" s="178"/>
      <c r="K33" s="178"/>
      <c r="L33" s="178"/>
      <c r="M33" s="178"/>
      <c r="N33" s="179"/>
    </row>
    <row r="34" spans="1:14" ht="12.5">
      <c r="A34" s="199"/>
      <c r="B34" s="179"/>
      <c r="C34" s="199"/>
      <c r="D34" s="179"/>
      <c r="E34" s="199"/>
      <c r="F34" s="179"/>
      <c r="G34" s="199"/>
      <c r="H34" s="178"/>
      <c r="I34" s="178"/>
      <c r="J34" s="178"/>
      <c r="K34" s="178"/>
      <c r="L34" s="178"/>
      <c r="M34" s="178"/>
      <c r="N34" s="179"/>
    </row>
    <row r="35" spans="1:14" ht="12.5">
      <c r="A35" s="199"/>
      <c r="B35" s="179"/>
      <c r="C35" s="199"/>
      <c r="D35" s="179"/>
      <c r="E35" s="199"/>
      <c r="F35" s="179"/>
      <c r="G35" s="199"/>
      <c r="H35" s="178"/>
      <c r="I35" s="178"/>
      <c r="J35" s="178"/>
      <c r="K35" s="178"/>
      <c r="L35" s="178"/>
      <c r="M35" s="178"/>
      <c r="N35" s="179"/>
    </row>
    <row r="36" spans="1:14" ht="29.25" customHeight="1">
      <c r="A36" s="167"/>
      <c r="B36" s="169"/>
      <c r="C36" s="167"/>
      <c r="D36" s="169"/>
      <c r="E36" s="167"/>
      <c r="F36" s="169"/>
      <c r="G36" s="167"/>
      <c r="H36" s="168"/>
      <c r="I36" s="168"/>
      <c r="J36" s="168"/>
      <c r="K36" s="168"/>
      <c r="L36" s="168"/>
      <c r="M36" s="168"/>
      <c r="N36" s="169"/>
    </row>
    <row r="37" spans="1:14" ht="12.5">
      <c r="A37" s="128"/>
      <c r="B37" s="128"/>
      <c r="C37" s="128"/>
      <c r="D37" s="128"/>
      <c r="E37" s="128"/>
      <c r="F37" s="128"/>
      <c r="G37" s="128"/>
      <c r="H37" s="128"/>
      <c r="I37" s="128"/>
      <c r="J37" s="128"/>
      <c r="K37" s="128"/>
      <c r="L37" s="128"/>
      <c r="M37" s="128"/>
      <c r="N37" s="128"/>
    </row>
    <row r="38" spans="1:14" ht="14.5">
      <c r="A38" s="231" t="s">
        <v>425</v>
      </c>
      <c r="B38" s="160"/>
      <c r="C38" s="160"/>
      <c r="D38" s="160"/>
      <c r="E38" s="160"/>
      <c r="F38" s="160"/>
      <c r="G38" s="160"/>
      <c r="H38" s="160"/>
      <c r="I38" s="161"/>
      <c r="J38" s="129"/>
      <c r="K38" s="233" t="s">
        <v>69</v>
      </c>
      <c r="L38" s="178"/>
      <c r="M38" s="178"/>
      <c r="N38" s="178"/>
    </row>
    <row r="39" spans="1:14" ht="29">
      <c r="A39" s="130" t="s">
        <v>426</v>
      </c>
      <c r="B39" s="130" t="s">
        <v>427</v>
      </c>
      <c r="C39" s="231"/>
      <c r="D39" s="160"/>
      <c r="E39" s="160"/>
      <c r="F39" s="160"/>
      <c r="G39" s="161"/>
      <c r="H39" s="228" t="s">
        <v>400</v>
      </c>
      <c r="I39" s="229" t="s">
        <v>401</v>
      </c>
      <c r="J39" s="129"/>
      <c r="K39" s="178"/>
      <c r="L39" s="178"/>
      <c r="M39" s="178"/>
      <c r="N39" s="178"/>
    </row>
    <row r="40" spans="1:14" ht="14.5">
      <c r="A40" s="131" t="s">
        <v>402</v>
      </c>
      <c r="B40" s="132">
        <f>SUM(B41:B48)</f>
        <v>1450</v>
      </c>
      <c r="C40" s="133" t="s">
        <v>403</v>
      </c>
      <c r="D40" s="133" t="s">
        <v>404</v>
      </c>
      <c r="E40" s="133" t="s">
        <v>405</v>
      </c>
      <c r="F40" s="133" t="s">
        <v>406</v>
      </c>
      <c r="G40" s="133" t="s">
        <v>407</v>
      </c>
      <c r="H40" s="197"/>
      <c r="I40" s="197"/>
      <c r="J40" s="128"/>
      <c r="K40" s="230" t="s">
        <v>428</v>
      </c>
      <c r="L40" s="165"/>
      <c r="M40" s="165"/>
      <c r="N40" s="166"/>
    </row>
    <row r="41" spans="1:14" ht="14.5">
      <c r="A41" s="134" t="s">
        <v>429</v>
      </c>
      <c r="B41" s="135">
        <v>280</v>
      </c>
      <c r="C41" s="136">
        <v>0.64</v>
      </c>
      <c r="D41" s="143">
        <f t="shared" ref="D41:D49" si="5">E41/C41</f>
        <v>0.92187499999999989</v>
      </c>
      <c r="E41" s="138">
        <v>0.59</v>
      </c>
      <c r="F41" s="143">
        <f t="shared" ref="F41:F49" si="6">G41/E41</f>
        <v>0.86440677966101698</v>
      </c>
      <c r="G41" s="139">
        <v>0.51</v>
      </c>
      <c r="H41" s="146">
        <f t="shared" ref="H41:H49" si="7">B41*C41*E41*G41</f>
        <v>53.921280000000003</v>
      </c>
      <c r="I41" s="143">
        <f t="shared" ref="I41:I49" si="8">H41/B41</f>
        <v>0.192576</v>
      </c>
      <c r="J41" s="128"/>
      <c r="K41" s="199"/>
      <c r="L41" s="178"/>
      <c r="M41" s="178"/>
      <c r="N41" s="179"/>
    </row>
    <row r="42" spans="1:14" ht="14.5">
      <c r="A42" s="134" t="s">
        <v>430</v>
      </c>
      <c r="B42" s="135">
        <v>370</v>
      </c>
      <c r="C42" s="142">
        <v>0.74</v>
      </c>
      <c r="D42" s="143">
        <f t="shared" si="5"/>
        <v>0.93243243243243235</v>
      </c>
      <c r="E42" s="144">
        <v>0.69</v>
      </c>
      <c r="F42" s="143">
        <f t="shared" si="6"/>
        <v>0.89855072463768126</v>
      </c>
      <c r="G42" s="145">
        <v>0.62</v>
      </c>
      <c r="H42" s="146">
        <f t="shared" si="7"/>
        <v>117.13164</v>
      </c>
      <c r="I42" s="143">
        <f t="shared" si="8"/>
        <v>0.31657200000000002</v>
      </c>
      <c r="J42" s="128"/>
      <c r="K42" s="199"/>
      <c r="L42" s="178"/>
      <c r="M42" s="178"/>
      <c r="N42" s="179"/>
    </row>
    <row r="43" spans="1:14" ht="14.5">
      <c r="A43" s="134" t="s">
        <v>431</v>
      </c>
      <c r="B43" s="135">
        <v>200</v>
      </c>
      <c r="C43" s="147">
        <v>0.78</v>
      </c>
      <c r="D43" s="143">
        <f t="shared" si="5"/>
        <v>0.91025641025641013</v>
      </c>
      <c r="E43" s="142">
        <v>0.71</v>
      </c>
      <c r="F43" s="143">
        <f t="shared" si="6"/>
        <v>0.92957746478873249</v>
      </c>
      <c r="G43" s="148">
        <v>0.66</v>
      </c>
      <c r="H43" s="146">
        <f t="shared" si="7"/>
        <v>73.101599999999991</v>
      </c>
      <c r="I43" s="143">
        <f t="shared" si="8"/>
        <v>0.36550799999999994</v>
      </c>
      <c r="J43" s="128"/>
      <c r="K43" s="199"/>
      <c r="L43" s="178"/>
      <c r="M43" s="178"/>
      <c r="N43" s="179"/>
    </row>
    <row r="44" spans="1:14" ht="14.5">
      <c r="A44" s="134" t="s">
        <v>432</v>
      </c>
      <c r="B44" s="135">
        <v>175</v>
      </c>
      <c r="C44" s="142">
        <v>0.81</v>
      </c>
      <c r="D44" s="143">
        <f t="shared" si="5"/>
        <v>0.92592592592592582</v>
      </c>
      <c r="E44" s="144">
        <v>0.75</v>
      </c>
      <c r="F44" s="143">
        <f t="shared" si="6"/>
        <v>0.94666666666666666</v>
      </c>
      <c r="G44" s="149">
        <v>0.71</v>
      </c>
      <c r="H44" s="146">
        <f t="shared" si="7"/>
        <v>75.481875000000002</v>
      </c>
      <c r="I44" s="143">
        <f t="shared" si="8"/>
        <v>0.43132500000000001</v>
      </c>
      <c r="J44" s="128"/>
      <c r="K44" s="199"/>
      <c r="L44" s="178"/>
      <c r="M44" s="178"/>
      <c r="N44" s="179"/>
    </row>
    <row r="45" spans="1:14" ht="14.5">
      <c r="A45" s="134" t="s">
        <v>433</v>
      </c>
      <c r="B45" s="135">
        <v>120</v>
      </c>
      <c r="C45" s="147">
        <v>0.75</v>
      </c>
      <c r="D45" s="143">
        <f t="shared" si="5"/>
        <v>0.93333333333333324</v>
      </c>
      <c r="E45" s="150">
        <v>0.7</v>
      </c>
      <c r="F45" s="143">
        <f t="shared" si="6"/>
        <v>0.88571428571428579</v>
      </c>
      <c r="G45" s="151">
        <v>0.62</v>
      </c>
      <c r="H45" s="146">
        <f t="shared" si="7"/>
        <v>39.059999999999995</v>
      </c>
      <c r="I45" s="143">
        <f t="shared" si="8"/>
        <v>0.32549999999999996</v>
      </c>
      <c r="J45" s="128"/>
      <c r="K45" s="199"/>
      <c r="L45" s="178"/>
      <c r="M45" s="178"/>
      <c r="N45" s="179"/>
    </row>
    <row r="46" spans="1:14" ht="14.5">
      <c r="A46" s="134" t="s">
        <v>434</v>
      </c>
      <c r="B46" s="135">
        <v>75</v>
      </c>
      <c r="C46" s="148">
        <v>0.68</v>
      </c>
      <c r="D46" s="143">
        <f t="shared" si="5"/>
        <v>0.97058823529411764</v>
      </c>
      <c r="E46" s="152">
        <v>0.66</v>
      </c>
      <c r="F46" s="143">
        <f t="shared" si="6"/>
        <v>0.83333333333333337</v>
      </c>
      <c r="G46" s="153">
        <v>0.55000000000000004</v>
      </c>
      <c r="H46" s="146">
        <f t="shared" si="7"/>
        <v>18.513000000000005</v>
      </c>
      <c r="I46" s="143">
        <f t="shared" si="8"/>
        <v>0.24684000000000006</v>
      </c>
      <c r="J46" s="128"/>
      <c r="K46" s="199"/>
      <c r="L46" s="178"/>
      <c r="M46" s="178"/>
      <c r="N46" s="179"/>
    </row>
    <row r="47" spans="1:14" ht="14.5">
      <c r="A47" s="134" t="s">
        <v>435</v>
      </c>
      <c r="B47" s="135">
        <v>130</v>
      </c>
      <c r="C47" s="139">
        <v>0.72</v>
      </c>
      <c r="D47" s="143">
        <f t="shared" si="5"/>
        <v>0.93055555555555569</v>
      </c>
      <c r="E47" s="149">
        <v>0.67</v>
      </c>
      <c r="F47" s="143">
        <f t="shared" si="6"/>
        <v>0.9850746268656716</v>
      </c>
      <c r="G47" s="154">
        <v>0.66</v>
      </c>
      <c r="H47" s="146">
        <f t="shared" si="7"/>
        <v>41.389920000000004</v>
      </c>
      <c r="I47" s="143">
        <f t="shared" si="8"/>
        <v>0.318384</v>
      </c>
      <c r="J47" s="128"/>
      <c r="K47" s="199"/>
      <c r="L47" s="178"/>
      <c r="M47" s="178"/>
      <c r="N47" s="179"/>
    </row>
    <row r="48" spans="1:14" ht="14.5">
      <c r="A48" s="134" t="s">
        <v>436</v>
      </c>
      <c r="B48" s="135">
        <v>100</v>
      </c>
      <c r="C48" s="144">
        <v>0.7</v>
      </c>
      <c r="D48" s="143">
        <f t="shared" si="5"/>
        <v>0.9</v>
      </c>
      <c r="E48" s="155">
        <v>0.63</v>
      </c>
      <c r="F48" s="143">
        <f t="shared" si="6"/>
        <v>0.90476190476190466</v>
      </c>
      <c r="G48" s="149">
        <v>0.56999999999999995</v>
      </c>
      <c r="H48" s="146">
        <f t="shared" si="7"/>
        <v>25.136999999999997</v>
      </c>
      <c r="I48" s="143">
        <f t="shared" si="8"/>
        <v>0.25136999999999998</v>
      </c>
      <c r="J48" s="128"/>
      <c r="K48" s="199"/>
      <c r="L48" s="178"/>
      <c r="M48" s="178"/>
      <c r="N48" s="179"/>
    </row>
    <row r="49" spans="1:14" ht="14.5">
      <c r="A49" s="156" t="s">
        <v>142</v>
      </c>
      <c r="B49" s="157">
        <f t="shared" ref="B49:C49" si="9">AVERAGE(B41:B48)</f>
        <v>181.25</v>
      </c>
      <c r="C49" s="158">
        <f t="shared" si="9"/>
        <v>0.72750000000000004</v>
      </c>
      <c r="D49" s="143">
        <f t="shared" si="5"/>
        <v>0.92783505154639156</v>
      </c>
      <c r="E49" s="158">
        <f>AVERAGE(E41:E48)</f>
        <v>0.67499999999999993</v>
      </c>
      <c r="F49" s="143">
        <f t="shared" si="6"/>
        <v>0.90740740740740755</v>
      </c>
      <c r="G49" s="158">
        <f>AVERAGE(G41:G48)</f>
        <v>0.61250000000000004</v>
      </c>
      <c r="H49" s="146">
        <f t="shared" si="7"/>
        <v>54.515610351562501</v>
      </c>
      <c r="I49" s="143">
        <f t="shared" si="8"/>
        <v>0.30077578124999998</v>
      </c>
      <c r="J49" s="128"/>
      <c r="K49" s="167"/>
      <c r="L49" s="168"/>
      <c r="M49" s="168"/>
      <c r="N49" s="169"/>
    </row>
    <row r="50" spans="1:14" ht="12.5">
      <c r="A50" s="128"/>
      <c r="B50" s="128"/>
      <c r="C50" s="128"/>
      <c r="D50" s="128"/>
      <c r="E50" s="128"/>
      <c r="F50" s="128"/>
      <c r="G50" s="128"/>
      <c r="H50" s="128"/>
      <c r="I50" s="128"/>
      <c r="J50" s="128"/>
      <c r="K50" s="128"/>
      <c r="L50" s="128"/>
      <c r="M50" s="128"/>
      <c r="N50" s="128"/>
    </row>
    <row r="51" spans="1:14" ht="12.5">
      <c r="A51" s="226" t="s">
        <v>437</v>
      </c>
      <c r="B51" s="166"/>
      <c r="C51" s="226" t="s">
        <v>438</v>
      </c>
      <c r="D51" s="166"/>
      <c r="E51" s="226" t="s">
        <v>419</v>
      </c>
      <c r="F51" s="166"/>
      <c r="G51" s="226" t="s">
        <v>420</v>
      </c>
      <c r="H51" s="165"/>
      <c r="I51" s="165"/>
      <c r="J51" s="165"/>
      <c r="K51" s="165"/>
      <c r="L51" s="165"/>
      <c r="M51" s="165"/>
      <c r="N51" s="166"/>
    </row>
    <row r="52" spans="1:14" ht="12.5">
      <c r="A52" s="167"/>
      <c r="B52" s="169"/>
      <c r="C52" s="167"/>
      <c r="D52" s="169"/>
      <c r="E52" s="167"/>
      <c r="F52" s="169"/>
      <c r="G52" s="167"/>
      <c r="H52" s="168"/>
      <c r="I52" s="168"/>
      <c r="J52" s="168"/>
      <c r="K52" s="168"/>
      <c r="L52" s="168"/>
      <c r="M52" s="168"/>
      <c r="N52" s="169"/>
    </row>
    <row r="53" spans="1:14" ht="12.5">
      <c r="A53" s="227" t="s">
        <v>439</v>
      </c>
      <c r="B53" s="166"/>
      <c r="C53" s="227" t="s">
        <v>440</v>
      </c>
      <c r="D53" s="166"/>
      <c r="E53" s="227" t="s">
        <v>441</v>
      </c>
      <c r="F53" s="166"/>
      <c r="G53" s="227" t="s">
        <v>442</v>
      </c>
      <c r="H53" s="165"/>
      <c r="I53" s="165"/>
      <c r="J53" s="165"/>
      <c r="K53" s="165"/>
      <c r="L53" s="165"/>
      <c r="M53" s="165"/>
      <c r="N53" s="166"/>
    </row>
    <row r="54" spans="1:14" ht="12.5">
      <c r="A54" s="199"/>
      <c r="B54" s="179"/>
      <c r="C54" s="199"/>
      <c r="D54" s="179"/>
      <c r="E54" s="199"/>
      <c r="F54" s="179"/>
      <c r="G54" s="199"/>
      <c r="H54" s="178"/>
      <c r="I54" s="178"/>
      <c r="J54" s="178"/>
      <c r="K54" s="178"/>
      <c r="L54" s="178"/>
      <c r="M54" s="178"/>
      <c r="N54" s="179"/>
    </row>
    <row r="55" spans="1:14" ht="12.5">
      <c r="A55" s="199"/>
      <c r="B55" s="179"/>
      <c r="C55" s="199"/>
      <c r="D55" s="179"/>
      <c r="E55" s="199"/>
      <c r="F55" s="179"/>
      <c r="G55" s="199"/>
      <c r="H55" s="178"/>
      <c r="I55" s="178"/>
      <c r="J55" s="178"/>
      <c r="K55" s="178"/>
      <c r="L55" s="178"/>
      <c r="M55" s="178"/>
      <c r="N55" s="179"/>
    </row>
    <row r="56" spans="1:14" ht="12.5">
      <c r="A56" s="199"/>
      <c r="B56" s="179"/>
      <c r="C56" s="199"/>
      <c r="D56" s="179"/>
      <c r="E56" s="199"/>
      <c r="F56" s="179"/>
      <c r="G56" s="199"/>
      <c r="H56" s="178"/>
      <c r="I56" s="178"/>
      <c r="J56" s="178"/>
      <c r="K56" s="178"/>
      <c r="L56" s="178"/>
      <c r="M56" s="178"/>
      <c r="N56" s="179"/>
    </row>
    <row r="57" spans="1:14" ht="12.5">
      <c r="A57" s="199"/>
      <c r="B57" s="179"/>
      <c r="C57" s="199"/>
      <c r="D57" s="179"/>
      <c r="E57" s="199"/>
      <c r="F57" s="179"/>
      <c r="G57" s="199"/>
      <c r="H57" s="178"/>
      <c r="I57" s="178"/>
      <c r="J57" s="178"/>
      <c r="K57" s="178"/>
      <c r="L57" s="178"/>
      <c r="M57" s="178"/>
      <c r="N57" s="179"/>
    </row>
    <row r="58" spans="1:14" ht="54.75" customHeight="1">
      <c r="A58" s="167"/>
      <c r="B58" s="169"/>
      <c r="C58" s="167"/>
      <c r="D58" s="169"/>
      <c r="E58" s="167"/>
      <c r="F58" s="169"/>
      <c r="G58" s="167"/>
      <c r="H58" s="168"/>
      <c r="I58" s="168"/>
      <c r="J58" s="168"/>
      <c r="K58" s="168"/>
      <c r="L58" s="168"/>
      <c r="M58" s="168"/>
      <c r="N58" s="169"/>
    </row>
    <row r="59" spans="1:14" ht="12.5">
      <c r="A59" s="128"/>
      <c r="B59" s="128"/>
      <c r="C59" s="128"/>
      <c r="D59" s="128"/>
      <c r="E59" s="128"/>
      <c r="F59" s="128"/>
      <c r="G59" s="128"/>
      <c r="H59" s="128"/>
      <c r="I59" s="128"/>
      <c r="J59" s="128"/>
      <c r="K59" s="128"/>
      <c r="L59" s="128"/>
      <c r="M59" s="128"/>
      <c r="N59" s="128"/>
    </row>
    <row r="60" spans="1:14" ht="14.5">
      <c r="A60" s="231" t="s">
        <v>443</v>
      </c>
      <c r="B60" s="160"/>
      <c r="C60" s="160"/>
      <c r="D60" s="160"/>
      <c r="E60" s="160"/>
      <c r="F60" s="160"/>
      <c r="G60" s="160"/>
      <c r="H60" s="160"/>
      <c r="I60" s="161"/>
      <c r="J60" s="129"/>
      <c r="K60" s="233" t="s">
        <v>69</v>
      </c>
      <c r="L60" s="178"/>
      <c r="M60" s="178"/>
      <c r="N60" s="178"/>
    </row>
    <row r="61" spans="1:14" ht="29">
      <c r="A61" s="130" t="s">
        <v>444</v>
      </c>
      <c r="B61" s="130" t="s">
        <v>427</v>
      </c>
      <c r="C61" s="231"/>
      <c r="D61" s="160"/>
      <c r="E61" s="160"/>
      <c r="F61" s="160"/>
      <c r="G61" s="161"/>
      <c r="H61" s="228" t="s">
        <v>400</v>
      </c>
      <c r="I61" s="229" t="s">
        <v>401</v>
      </c>
      <c r="J61" s="129"/>
      <c r="K61" s="178"/>
      <c r="L61" s="178"/>
      <c r="M61" s="178"/>
      <c r="N61" s="178"/>
    </row>
    <row r="62" spans="1:14" ht="14.5">
      <c r="A62" s="131" t="s">
        <v>402</v>
      </c>
      <c r="B62" s="132">
        <f>SUM(B63:B69)</f>
        <v>1500</v>
      </c>
      <c r="C62" s="133" t="s">
        <v>403</v>
      </c>
      <c r="D62" s="133" t="s">
        <v>404</v>
      </c>
      <c r="E62" s="133" t="s">
        <v>405</v>
      </c>
      <c r="F62" s="133" t="s">
        <v>404</v>
      </c>
      <c r="G62" s="133" t="s">
        <v>407</v>
      </c>
      <c r="H62" s="197"/>
      <c r="I62" s="197"/>
      <c r="J62" s="128"/>
      <c r="K62" s="230" t="s">
        <v>445</v>
      </c>
      <c r="L62" s="165"/>
      <c r="M62" s="165"/>
      <c r="N62" s="166"/>
    </row>
    <row r="63" spans="1:14" ht="14.5">
      <c r="A63" s="134" t="s">
        <v>446</v>
      </c>
      <c r="B63" s="135">
        <v>100</v>
      </c>
      <c r="C63" s="136">
        <v>0.59</v>
      </c>
      <c r="D63" s="143">
        <f t="shared" ref="D63:D70" si="10">E63/C63</f>
        <v>0.93220338983050854</v>
      </c>
      <c r="E63" s="138">
        <v>0.55000000000000004</v>
      </c>
      <c r="F63" s="143">
        <f t="shared" ref="F63:F70" si="11">G63/E63</f>
        <v>0.87272727272727257</v>
      </c>
      <c r="G63" s="139">
        <v>0.48</v>
      </c>
      <c r="H63" s="146">
        <f t="shared" ref="H63:H70" si="12">B63*C63*E63*G63</f>
        <v>15.576000000000001</v>
      </c>
      <c r="I63" s="143">
        <f t="shared" ref="I63:I70" si="13">H63/B63</f>
        <v>0.15576000000000001</v>
      </c>
      <c r="J63" s="128"/>
      <c r="K63" s="199"/>
      <c r="L63" s="178"/>
      <c r="M63" s="178"/>
      <c r="N63" s="179"/>
    </row>
    <row r="64" spans="1:14" ht="14.5">
      <c r="A64" s="134" t="s">
        <v>447</v>
      </c>
      <c r="B64" s="135">
        <v>250</v>
      </c>
      <c r="C64" s="142">
        <v>0.62</v>
      </c>
      <c r="D64" s="143">
        <f t="shared" si="10"/>
        <v>0.9838709677419355</v>
      </c>
      <c r="E64" s="144">
        <v>0.61</v>
      </c>
      <c r="F64" s="143">
        <f t="shared" si="11"/>
        <v>0.83606557377049184</v>
      </c>
      <c r="G64" s="145">
        <v>0.51</v>
      </c>
      <c r="H64" s="146">
        <f t="shared" si="12"/>
        <v>48.220500000000001</v>
      </c>
      <c r="I64" s="143">
        <f t="shared" si="13"/>
        <v>0.192882</v>
      </c>
      <c r="J64" s="128"/>
      <c r="K64" s="199"/>
      <c r="L64" s="178"/>
      <c r="M64" s="178"/>
      <c r="N64" s="179"/>
    </row>
    <row r="65" spans="1:14" ht="14.5">
      <c r="A65" s="134" t="s">
        <v>448</v>
      </c>
      <c r="B65" s="135">
        <v>210</v>
      </c>
      <c r="C65" s="147">
        <v>0.7</v>
      </c>
      <c r="D65" s="143">
        <f t="shared" si="10"/>
        <v>0.87142857142857144</v>
      </c>
      <c r="E65" s="142">
        <v>0.61</v>
      </c>
      <c r="F65" s="143">
        <f t="shared" si="11"/>
        <v>0.90163934426229519</v>
      </c>
      <c r="G65" s="148">
        <v>0.55000000000000004</v>
      </c>
      <c r="H65" s="146">
        <f t="shared" si="12"/>
        <v>49.318500000000007</v>
      </c>
      <c r="I65" s="143">
        <f t="shared" si="13"/>
        <v>0.23485000000000003</v>
      </c>
      <c r="J65" s="128"/>
      <c r="K65" s="199"/>
      <c r="L65" s="178"/>
      <c r="M65" s="178"/>
      <c r="N65" s="179"/>
    </row>
    <row r="66" spans="1:14" ht="14.5">
      <c r="A66" s="134" t="s">
        <v>449</v>
      </c>
      <c r="B66" s="135">
        <v>250</v>
      </c>
      <c r="C66" s="142">
        <v>0.83</v>
      </c>
      <c r="D66" s="143">
        <f t="shared" si="10"/>
        <v>0.9156626506024097</v>
      </c>
      <c r="E66" s="144">
        <v>0.76</v>
      </c>
      <c r="F66" s="143">
        <f t="shared" si="11"/>
        <v>0.92105263157894735</v>
      </c>
      <c r="G66" s="149">
        <v>0.7</v>
      </c>
      <c r="H66" s="146">
        <f t="shared" si="12"/>
        <v>110.38999999999999</v>
      </c>
      <c r="I66" s="143">
        <f t="shared" si="13"/>
        <v>0.44155999999999995</v>
      </c>
      <c r="J66" s="128"/>
      <c r="K66" s="199"/>
      <c r="L66" s="178"/>
      <c r="M66" s="178"/>
      <c r="N66" s="179"/>
    </row>
    <row r="67" spans="1:14" ht="14.5">
      <c r="A67" s="134" t="s">
        <v>450</v>
      </c>
      <c r="B67" s="135">
        <v>220</v>
      </c>
      <c r="C67" s="147">
        <v>0.86</v>
      </c>
      <c r="D67" s="143">
        <f t="shared" si="10"/>
        <v>0.90697674418604657</v>
      </c>
      <c r="E67" s="150">
        <v>0.78</v>
      </c>
      <c r="F67" s="143">
        <f t="shared" si="11"/>
        <v>0.93589743589743579</v>
      </c>
      <c r="G67" s="151">
        <v>0.73</v>
      </c>
      <c r="H67" s="146">
        <f t="shared" si="12"/>
        <v>107.73047999999999</v>
      </c>
      <c r="I67" s="143">
        <f t="shared" si="13"/>
        <v>0.48968399999999995</v>
      </c>
      <c r="J67" s="128"/>
      <c r="K67" s="199"/>
      <c r="L67" s="178"/>
      <c r="M67" s="178"/>
      <c r="N67" s="179"/>
    </row>
    <row r="68" spans="1:14" ht="14.5">
      <c r="A68" s="134" t="s">
        <v>451</v>
      </c>
      <c r="B68" s="135">
        <v>270</v>
      </c>
      <c r="C68" s="148">
        <v>0.87206396801599195</v>
      </c>
      <c r="D68" s="143">
        <f t="shared" si="10"/>
        <v>0.92883094555873935</v>
      </c>
      <c r="E68" s="152">
        <v>0.81</v>
      </c>
      <c r="F68" s="143">
        <f t="shared" si="11"/>
        <v>0.90123456790123446</v>
      </c>
      <c r="G68" s="153">
        <v>0.73</v>
      </c>
      <c r="H68" s="146">
        <f t="shared" si="12"/>
        <v>139.22588455772114</v>
      </c>
      <c r="I68" s="143">
        <f t="shared" si="13"/>
        <v>0.51565142428785604</v>
      </c>
      <c r="J68" s="128"/>
      <c r="K68" s="199"/>
      <c r="L68" s="178"/>
      <c r="M68" s="178"/>
      <c r="N68" s="179"/>
    </row>
    <row r="69" spans="1:14" ht="14.5">
      <c r="A69" s="134" t="s">
        <v>452</v>
      </c>
      <c r="B69" s="135">
        <v>200</v>
      </c>
      <c r="C69" s="139">
        <v>0.88</v>
      </c>
      <c r="D69" s="143">
        <f t="shared" si="10"/>
        <v>0.90909090909090917</v>
      </c>
      <c r="E69" s="149">
        <v>0.8</v>
      </c>
      <c r="F69" s="143">
        <f t="shared" si="11"/>
        <v>0.88749999999999996</v>
      </c>
      <c r="G69" s="154">
        <v>0.71</v>
      </c>
      <c r="H69" s="146">
        <f t="shared" si="12"/>
        <v>99.968000000000004</v>
      </c>
      <c r="I69" s="143">
        <f t="shared" si="13"/>
        <v>0.49984000000000001</v>
      </c>
      <c r="J69" s="128"/>
      <c r="K69" s="199"/>
      <c r="L69" s="178"/>
      <c r="M69" s="178"/>
      <c r="N69" s="179"/>
    </row>
    <row r="70" spans="1:14" ht="14.5">
      <c r="A70" s="131" t="s">
        <v>142</v>
      </c>
      <c r="B70" s="157">
        <f t="shared" ref="B70:C70" si="14">AVERAGE(B63:B69)</f>
        <v>214.28571428571428</v>
      </c>
      <c r="C70" s="158">
        <f t="shared" si="14"/>
        <v>0.76458056685942732</v>
      </c>
      <c r="D70" s="143">
        <f t="shared" si="10"/>
        <v>0.91927152392086287</v>
      </c>
      <c r="E70" s="158">
        <f>AVERAGE(E63:E69)</f>
        <v>0.70285714285714296</v>
      </c>
      <c r="F70" s="143">
        <f t="shared" si="11"/>
        <v>0.89634146341463405</v>
      </c>
      <c r="G70" s="158">
        <f>AVERAGE(G63:G69)</f>
        <v>0.63</v>
      </c>
      <c r="H70" s="146">
        <f t="shared" si="12"/>
        <v>72.547773215433097</v>
      </c>
      <c r="I70" s="143">
        <f t="shared" si="13"/>
        <v>0.33855627500535446</v>
      </c>
      <c r="J70" s="128"/>
      <c r="K70" s="167"/>
      <c r="L70" s="168"/>
      <c r="M70" s="168"/>
      <c r="N70" s="169"/>
    </row>
    <row r="71" spans="1:14" ht="12.5">
      <c r="A71" s="128"/>
      <c r="B71" s="128"/>
      <c r="C71" s="128"/>
      <c r="D71" s="128"/>
      <c r="E71" s="128"/>
      <c r="F71" s="128"/>
      <c r="G71" s="128"/>
      <c r="H71" s="128"/>
      <c r="I71" s="128"/>
      <c r="J71" s="128"/>
      <c r="K71" s="128"/>
      <c r="L71" s="128"/>
      <c r="M71" s="128"/>
      <c r="N71" s="128"/>
    </row>
    <row r="72" spans="1:14" ht="12.5">
      <c r="A72" s="226" t="s">
        <v>453</v>
      </c>
      <c r="B72" s="166"/>
      <c r="C72" s="226" t="s">
        <v>454</v>
      </c>
      <c r="D72" s="166"/>
      <c r="E72" s="226" t="s">
        <v>419</v>
      </c>
      <c r="F72" s="166"/>
      <c r="G72" s="226" t="s">
        <v>420</v>
      </c>
      <c r="H72" s="165"/>
      <c r="I72" s="165"/>
      <c r="J72" s="165"/>
      <c r="K72" s="165"/>
      <c r="L72" s="165"/>
      <c r="M72" s="165"/>
      <c r="N72" s="166"/>
    </row>
    <row r="73" spans="1:14" ht="12.5">
      <c r="A73" s="167"/>
      <c r="B73" s="169"/>
      <c r="C73" s="167"/>
      <c r="D73" s="169"/>
      <c r="E73" s="167"/>
      <c r="F73" s="169"/>
      <c r="G73" s="167"/>
      <c r="H73" s="168"/>
      <c r="I73" s="168"/>
      <c r="J73" s="168"/>
      <c r="K73" s="168"/>
      <c r="L73" s="168"/>
      <c r="M73" s="168"/>
      <c r="N73" s="169"/>
    </row>
    <row r="74" spans="1:14" ht="12.5">
      <c r="A74" s="227" t="s">
        <v>455</v>
      </c>
      <c r="B74" s="166"/>
      <c r="C74" s="227" t="s">
        <v>456</v>
      </c>
      <c r="D74" s="166"/>
      <c r="E74" s="227" t="s">
        <v>457</v>
      </c>
      <c r="F74" s="166"/>
      <c r="G74" s="227" t="s">
        <v>458</v>
      </c>
      <c r="H74" s="165"/>
      <c r="I74" s="165"/>
      <c r="J74" s="165"/>
      <c r="K74" s="165"/>
      <c r="L74" s="165"/>
      <c r="M74" s="165"/>
      <c r="N74" s="166"/>
    </row>
    <row r="75" spans="1:14" ht="12.5">
      <c r="A75" s="199"/>
      <c r="B75" s="179"/>
      <c r="C75" s="199"/>
      <c r="D75" s="179"/>
      <c r="E75" s="199"/>
      <c r="F75" s="179"/>
      <c r="G75" s="199"/>
      <c r="H75" s="178"/>
      <c r="I75" s="178"/>
      <c r="J75" s="178"/>
      <c r="K75" s="178"/>
      <c r="L75" s="178"/>
      <c r="M75" s="178"/>
      <c r="N75" s="179"/>
    </row>
    <row r="76" spans="1:14" ht="12.5">
      <c r="A76" s="199"/>
      <c r="B76" s="179"/>
      <c r="C76" s="199"/>
      <c r="D76" s="179"/>
      <c r="E76" s="199"/>
      <c r="F76" s="179"/>
      <c r="G76" s="199"/>
      <c r="H76" s="178"/>
      <c r="I76" s="178"/>
      <c r="J76" s="178"/>
      <c r="K76" s="178"/>
      <c r="L76" s="178"/>
      <c r="M76" s="178"/>
      <c r="N76" s="179"/>
    </row>
    <row r="77" spans="1:14" ht="12.5">
      <c r="A77" s="199"/>
      <c r="B77" s="179"/>
      <c r="C77" s="199"/>
      <c r="D77" s="179"/>
      <c r="E77" s="199"/>
      <c r="F77" s="179"/>
      <c r="G77" s="199"/>
      <c r="H77" s="178"/>
      <c r="I77" s="178"/>
      <c r="J77" s="178"/>
      <c r="K77" s="178"/>
      <c r="L77" s="178"/>
      <c r="M77" s="178"/>
      <c r="N77" s="179"/>
    </row>
    <row r="78" spans="1:14" ht="12.5">
      <c r="A78" s="199"/>
      <c r="B78" s="179"/>
      <c r="C78" s="199"/>
      <c r="D78" s="179"/>
      <c r="E78" s="199"/>
      <c r="F78" s="179"/>
      <c r="G78" s="199"/>
      <c r="H78" s="178"/>
      <c r="I78" s="178"/>
      <c r="J78" s="178"/>
      <c r="K78" s="178"/>
      <c r="L78" s="178"/>
      <c r="M78" s="178"/>
      <c r="N78" s="179"/>
    </row>
    <row r="79" spans="1:14" ht="26.25" customHeight="1">
      <c r="A79" s="167"/>
      <c r="B79" s="169"/>
      <c r="C79" s="167"/>
      <c r="D79" s="169"/>
      <c r="E79" s="167"/>
      <c r="F79" s="169"/>
      <c r="G79" s="167"/>
      <c r="H79" s="168"/>
      <c r="I79" s="168"/>
      <c r="J79" s="168"/>
      <c r="K79" s="168"/>
      <c r="L79" s="168"/>
      <c r="M79" s="168"/>
      <c r="N79" s="169"/>
    </row>
    <row r="80" spans="1:14" ht="12.5">
      <c r="A80" s="128"/>
      <c r="B80" s="128"/>
      <c r="C80" s="128"/>
      <c r="D80" s="128"/>
      <c r="E80" s="128"/>
      <c r="F80" s="128"/>
      <c r="G80" s="128"/>
      <c r="H80" s="128"/>
      <c r="I80" s="128"/>
      <c r="J80" s="128"/>
      <c r="K80" s="128"/>
      <c r="L80" s="128"/>
      <c r="M80" s="128"/>
      <c r="N80" s="128"/>
    </row>
    <row r="81" spans="1:14" ht="14.5">
      <c r="A81" s="231" t="s">
        <v>459</v>
      </c>
      <c r="B81" s="160"/>
      <c r="C81" s="160"/>
      <c r="D81" s="160"/>
      <c r="E81" s="160"/>
      <c r="F81" s="160"/>
      <c r="G81" s="160"/>
      <c r="H81" s="160"/>
      <c r="I81" s="161"/>
      <c r="J81" s="129"/>
      <c r="K81" s="233" t="s">
        <v>69</v>
      </c>
      <c r="L81" s="178"/>
      <c r="M81" s="178"/>
      <c r="N81" s="178"/>
    </row>
    <row r="82" spans="1:14" ht="29">
      <c r="A82" s="130" t="s">
        <v>460</v>
      </c>
      <c r="B82" s="130" t="s">
        <v>427</v>
      </c>
      <c r="C82" s="231"/>
      <c r="D82" s="160"/>
      <c r="E82" s="160"/>
      <c r="F82" s="160"/>
      <c r="G82" s="161"/>
      <c r="H82" s="228" t="s">
        <v>400</v>
      </c>
      <c r="I82" s="229" t="s">
        <v>401</v>
      </c>
      <c r="J82" s="129"/>
      <c r="K82" s="178"/>
      <c r="L82" s="178"/>
      <c r="M82" s="178"/>
      <c r="N82" s="178"/>
    </row>
    <row r="83" spans="1:14" ht="14.5">
      <c r="A83" s="131" t="s">
        <v>402</v>
      </c>
      <c r="B83" s="132">
        <f>SUM(B84:B88)</f>
        <v>1490</v>
      </c>
      <c r="C83" s="133" t="s">
        <v>403</v>
      </c>
      <c r="D83" s="133" t="s">
        <v>404</v>
      </c>
      <c r="E83" s="133" t="s">
        <v>405</v>
      </c>
      <c r="F83" s="133" t="s">
        <v>404</v>
      </c>
      <c r="G83" s="133" t="s">
        <v>407</v>
      </c>
      <c r="H83" s="197"/>
      <c r="I83" s="197"/>
      <c r="J83" s="128"/>
      <c r="K83" s="230" t="s">
        <v>461</v>
      </c>
      <c r="L83" s="165"/>
      <c r="M83" s="165"/>
      <c r="N83" s="166"/>
    </row>
    <row r="84" spans="1:14" ht="14.5">
      <c r="A84" s="134" t="s">
        <v>462</v>
      </c>
      <c r="B84" s="135">
        <v>250</v>
      </c>
      <c r="C84" s="136">
        <v>0.72</v>
      </c>
      <c r="D84" s="143">
        <f t="shared" ref="D84:D89" si="15">E84/C84</f>
        <v>0.94444444444444453</v>
      </c>
      <c r="E84" s="138">
        <v>0.68</v>
      </c>
      <c r="F84" s="143">
        <f t="shared" ref="F84:F89" si="16">G84/E84</f>
        <v>0.88235294117647045</v>
      </c>
      <c r="G84" s="139">
        <v>0.6</v>
      </c>
      <c r="H84" s="146">
        <f t="shared" ref="H84:H89" si="17">B84*C84*E84*G84</f>
        <v>73.44</v>
      </c>
      <c r="I84" s="143">
        <f t="shared" ref="I84:I89" si="18">H84/B84</f>
        <v>0.29375999999999997</v>
      </c>
      <c r="J84" s="128"/>
      <c r="K84" s="199"/>
      <c r="L84" s="178"/>
      <c r="M84" s="178"/>
      <c r="N84" s="179"/>
    </row>
    <row r="85" spans="1:14" ht="14.5">
      <c r="A85" s="134" t="s">
        <v>463</v>
      </c>
      <c r="B85" s="135">
        <v>310</v>
      </c>
      <c r="C85" s="142">
        <v>0.76</v>
      </c>
      <c r="D85" s="143">
        <f t="shared" si="15"/>
        <v>0.92105263157894735</v>
      </c>
      <c r="E85" s="144">
        <v>0.7</v>
      </c>
      <c r="F85" s="143">
        <f t="shared" si="16"/>
        <v>0.84285714285714286</v>
      </c>
      <c r="G85" s="145">
        <v>0.59</v>
      </c>
      <c r="H85" s="146">
        <f t="shared" si="17"/>
        <v>97.302799999999991</v>
      </c>
      <c r="I85" s="143">
        <f t="shared" si="18"/>
        <v>0.31387999999999999</v>
      </c>
      <c r="J85" s="128"/>
      <c r="K85" s="199"/>
      <c r="L85" s="178"/>
      <c r="M85" s="178"/>
      <c r="N85" s="179"/>
    </row>
    <row r="86" spans="1:14" ht="14.5">
      <c r="A86" s="134" t="s">
        <v>464</v>
      </c>
      <c r="B86" s="135">
        <v>390</v>
      </c>
      <c r="C86" s="147">
        <v>0.8</v>
      </c>
      <c r="D86" s="143">
        <f t="shared" si="15"/>
        <v>0.91249999999999998</v>
      </c>
      <c r="E86" s="142">
        <v>0.73</v>
      </c>
      <c r="F86" s="143">
        <f t="shared" si="16"/>
        <v>0.8904109589041096</v>
      </c>
      <c r="G86" s="148">
        <v>0.65</v>
      </c>
      <c r="H86" s="146">
        <f t="shared" si="17"/>
        <v>148.04400000000001</v>
      </c>
      <c r="I86" s="143">
        <f t="shared" si="18"/>
        <v>0.37960000000000005</v>
      </c>
      <c r="J86" s="128"/>
      <c r="K86" s="199"/>
      <c r="L86" s="178"/>
      <c r="M86" s="178"/>
      <c r="N86" s="179"/>
    </row>
    <row r="87" spans="1:14" ht="14.5">
      <c r="A87" s="134" t="s">
        <v>465</v>
      </c>
      <c r="B87" s="135">
        <v>430</v>
      </c>
      <c r="C87" s="142">
        <v>0.83</v>
      </c>
      <c r="D87" s="143">
        <f t="shared" si="15"/>
        <v>0.93975903614457834</v>
      </c>
      <c r="E87" s="144">
        <v>0.78</v>
      </c>
      <c r="F87" s="143">
        <f t="shared" si="16"/>
        <v>0.91025641025641013</v>
      </c>
      <c r="G87" s="149">
        <v>0.71</v>
      </c>
      <c r="H87" s="146">
        <f t="shared" si="17"/>
        <v>197.65122</v>
      </c>
      <c r="I87" s="143">
        <f t="shared" si="18"/>
        <v>0.45965400000000001</v>
      </c>
      <c r="J87" s="128"/>
      <c r="K87" s="199"/>
      <c r="L87" s="178"/>
      <c r="M87" s="178"/>
      <c r="N87" s="179"/>
    </row>
    <row r="88" spans="1:14" ht="14.5">
      <c r="A88" s="134" t="s">
        <v>466</v>
      </c>
      <c r="B88" s="135">
        <v>110</v>
      </c>
      <c r="C88" s="147">
        <v>0.7</v>
      </c>
      <c r="D88" s="143">
        <f t="shared" si="15"/>
        <v>0.94285714285714295</v>
      </c>
      <c r="E88" s="150">
        <v>0.66</v>
      </c>
      <c r="F88" s="143">
        <f t="shared" si="16"/>
        <v>0.87878787878787867</v>
      </c>
      <c r="G88" s="151">
        <v>0.57999999999999996</v>
      </c>
      <c r="H88" s="146">
        <f t="shared" si="17"/>
        <v>29.475599999999996</v>
      </c>
      <c r="I88" s="143">
        <f t="shared" si="18"/>
        <v>0.26795999999999998</v>
      </c>
      <c r="J88" s="128"/>
      <c r="K88" s="199"/>
      <c r="L88" s="178"/>
      <c r="M88" s="178"/>
      <c r="N88" s="179"/>
    </row>
    <row r="89" spans="1:14" ht="14.5">
      <c r="A89" s="131" t="s">
        <v>142</v>
      </c>
      <c r="B89" s="132">
        <f t="shared" ref="B89:C89" si="19">AVERAGE(B84:B88)</f>
        <v>298</v>
      </c>
      <c r="C89" s="158">
        <f t="shared" si="19"/>
        <v>0.76200000000000012</v>
      </c>
      <c r="D89" s="143">
        <f t="shared" si="15"/>
        <v>0.93175853018372679</v>
      </c>
      <c r="E89" s="158">
        <f>AVERAGE(E84:E88)</f>
        <v>0.71</v>
      </c>
      <c r="F89" s="143">
        <f t="shared" si="16"/>
        <v>0.88169014084507047</v>
      </c>
      <c r="G89" s="158">
        <f>AVERAGE(G84:G88)</f>
        <v>0.626</v>
      </c>
      <c r="H89" s="146">
        <f t="shared" si="17"/>
        <v>100.92619896000002</v>
      </c>
      <c r="I89" s="143">
        <f t="shared" si="18"/>
        <v>0.33867852000000009</v>
      </c>
      <c r="J89" s="128"/>
      <c r="K89" s="167"/>
      <c r="L89" s="168"/>
      <c r="M89" s="168"/>
      <c r="N89" s="169"/>
    </row>
    <row r="90" spans="1:14" ht="12.5">
      <c r="A90" s="128"/>
      <c r="B90" s="128"/>
      <c r="C90" s="128"/>
      <c r="D90" s="128"/>
      <c r="E90" s="128"/>
      <c r="F90" s="128"/>
      <c r="G90" s="128"/>
      <c r="H90" s="128"/>
      <c r="I90" s="128"/>
      <c r="J90" s="128"/>
      <c r="K90" s="128"/>
      <c r="L90" s="128"/>
      <c r="M90" s="128"/>
      <c r="N90" s="128"/>
    </row>
    <row r="91" spans="1:14" ht="12.5">
      <c r="A91" s="226" t="s">
        <v>467</v>
      </c>
      <c r="B91" s="166"/>
      <c r="C91" s="226" t="s">
        <v>468</v>
      </c>
      <c r="D91" s="166"/>
      <c r="E91" s="226" t="s">
        <v>419</v>
      </c>
      <c r="F91" s="166"/>
      <c r="G91" s="226" t="s">
        <v>420</v>
      </c>
      <c r="H91" s="165"/>
      <c r="I91" s="165"/>
      <c r="J91" s="165"/>
      <c r="K91" s="165"/>
      <c r="L91" s="165"/>
      <c r="M91" s="165"/>
      <c r="N91" s="166"/>
    </row>
    <row r="92" spans="1:14" ht="12.5">
      <c r="A92" s="167"/>
      <c r="B92" s="169"/>
      <c r="C92" s="167"/>
      <c r="D92" s="169"/>
      <c r="E92" s="167"/>
      <c r="F92" s="169"/>
      <c r="G92" s="167"/>
      <c r="H92" s="168"/>
      <c r="I92" s="168"/>
      <c r="J92" s="168"/>
      <c r="K92" s="168"/>
      <c r="L92" s="168"/>
      <c r="M92" s="168"/>
      <c r="N92" s="169"/>
    </row>
    <row r="93" spans="1:14" ht="12.5">
      <c r="A93" s="227" t="s">
        <v>469</v>
      </c>
      <c r="B93" s="166"/>
      <c r="C93" s="227" t="s">
        <v>470</v>
      </c>
      <c r="D93" s="166"/>
      <c r="E93" s="227" t="s">
        <v>457</v>
      </c>
      <c r="F93" s="166"/>
      <c r="G93" s="227" t="s">
        <v>471</v>
      </c>
      <c r="H93" s="165"/>
      <c r="I93" s="165"/>
      <c r="J93" s="165"/>
      <c r="K93" s="165"/>
      <c r="L93" s="165"/>
      <c r="M93" s="165"/>
      <c r="N93" s="166"/>
    </row>
    <row r="94" spans="1:14" ht="12.5">
      <c r="A94" s="199"/>
      <c r="B94" s="179"/>
      <c r="C94" s="199"/>
      <c r="D94" s="179"/>
      <c r="E94" s="199"/>
      <c r="F94" s="179"/>
      <c r="G94" s="199"/>
      <c r="H94" s="178"/>
      <c r="I94" s="178"/>
      <c r="J94" s="178"/>
      <c r="K94" s="178"/>
      <c r="L94" s="178"/>
      <c r="M94" s="178"/>
      <c r="N94" s="179"/>
    </row>
    <row r="95" spans="1:14" ht="12.5">
      <c r="A95" s="199"/>
      <c r="B95" s="179"/>
      <c r="C95" s="199"/>
      <c r="D95" s="179"/>
      <c r="E95" s="199"/>
      <c r="F95" s="179"/>
      <c r="G95" s="199"/>
      <c r="H95" s="178"/>
      <c r="I95" s="178"/>
      <c r="J95" s="178"/>
      <c r="K95" s="178"/>
      <c r="L95" s="178"/>
      <c r="M95" s="178"/>
      <c r="N95" s="179"/>
    </row>
    <row r="96" spans="1:14" ht="12.5">
      <c r="A96" s="199"/>
      <c r="B96" s="179"/>
      <c r="C96" s="199"/>
      <c r="D96" s="179"/>
      <c r="E96" s="199"/>
      <c r="F96" s="179"/>
      <c r="G96" s="199"/>
      <c r="H96" s="178"/>
      <c r="I96" s="178"/>
      <c r="J96" s="178"/>
      <c r="K96" s="178"/>
      <c r="L96" s="178"/>
      <c r="M96" s="178"/>
      <c r="N96" s="179"/>
    </row>
    <row r="97" spans="1:14" ht="12.5">
      <c r="A97" s="199"/>
      <c r="B97" s="179"/>
      <c r="C97" s="199"/>
      <c r="D97" s="179"/>
      <c r="E97" s="199"/>
      <c r="F97" s="179"/>
      <c r="G97" s="199"/>
      <c r="H97" s="178"/>
      <c r="I97" s="178"/>
      <c r="J97" s="178"/>
      <c r="K97" s="178"/>
      <c r="L97" s="178"/>
      <c r="M97" s="178"/>
      <c r="N97" s="179"/>
    </row>
    <row r="98" spans="1:14" ht="52.5" customHeight="1">
      <c r="A98" s="167"/>
      <c r="B98" s="169"/>
      <c r="C98" s="167"/>
      <c r="D98" s="169"/>
      <c r="E98" s="167"/>
      <c r="F98" s="169"/>
      <c r="G98" s="167"/>
      <c r="H98" s="168"/>
      <c r="I98" s="168"/>
      <c r="J98" s="168"/>
      <c r="K98" s="168"/>
      <c r="L98" s="168"/>
      <c r="M98" s="168"/>
      <c r="N98" s="169"/>
    </row>
  </sheetData>
  <mergeCells count="71">
    <mergeCell ref="C74:D79"/>
    <mergeCell ref="E74:F79"/>
    <mergeCell ref="G74:N79"/>
    <mergeCell ref="G53:N58"/>
    <mergeCell ref="A60:I60"/>
    <mergeCell ref="K60:N61"/>
    <mergeCell ref="C61:G61"/>
    <mergeCell ref="H61:H62"/>
    <mergeCell ref="I61:I62"/>
    <mergeCell ref="K62:N70"/>
    <mergeCell ref="A53:B58"/>
    <mergeCell ref="C53:D58"/>
    <mergeCell ref="E53:F58"/>
    <mergeCell ref="A11:J11"/>
    <mergeCell ref="A12:J12"/>
    <mergeCell ref="A13:J13"/>
    <mergeCell ref="A72:B73"/>
    <mergeCell ref="C72:D73"/>
    <mergeCell ref="E72:F73"/>
    <mergeCell ref="G72:N73"/>
    <mergeCell ref="A51:B52"/>
    <mergeCell ref="C51:D52"/>
    <mergeCell ref="E51:F52"/>
    <mergeCell ref="K38:N39"/>
    <mergeCell ref="C39:G39"/>
    <mergeCell ref="H39:H40"/>
    <mergeCell ref="I39:I40"/>
    <mergeCell ref="K40:N49"/>
    <mergeCell ref="A6:J6"/>
    <mergeCell ref="A7:J7"/>
    <mergeCell ref="A8:J8"/>
    <mergeCell ref="A9:J9"/>
    <mergeCell ref="A10:J10"/>
    <mergeCell ref="A1:N1"/>
    <mergeCell ref="A2:J2"/>
    <mergeCell ref="A3:J3"/>
    <mergeCell ref="A4:J4"/>
    <mergeCell ref="A5:J5"/>
    <mergeCell ref="A14:J14"/>
    <mergeCell ref="A15:J15"/>
    <mergeCell ref="A16:I16"/>
    <mergeCell ref="K16:N17"/>
    <mergeCell ref="C17:G17"/>
    <mergeCell ref="H17:H18"/>
    <mergeCell ref="I17:I18"/>
    <mergeCell ref="K18:N27"/>
    <mergeCell ref="E31:F36"/>
    <mergeCell ref="A38:I38"/>
    <mergeCell ref="A29:B30"/>
    <mergeCell ref="C29:D30"/>
    <mergeCell ref="E29:F30"/>
    <mergeCell ref="G29:N30"/>
    <mergeCell ref="A31:B36"/>
    <mergeCell ref="C31:D36"/>
    <mergeCell ref="G31:N36"/>
    <mergeCell ref="G51:N52"/>
    <mergeCell ref="A93:B98"/>
    <mergeCell ref="C93:D98"/>
    <mergeCell ref="E93:F98"/>
    <mergeCell ref="G93:N98"/>
    <mergeCell ref="H82:H83"/>
    <mergeCell ref="I82:I83"/>
    <mergeCell ref="K83:N89"/>
    <mergeCell ref="A91:B92"/>
    <mergeCell ref="C91:D92"/>
    <mergeCell ref="E91:F92"/>
    <mergeCell ref="G91:N92"/>
    <mergeCell ref="A81:I81"/>
    <mergeCell ref="K81:N82"/>
    <mergeCell ref="C82:G82"/>
    <mergeCell ref="A74:B79"/>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Deliverables</vt:lpstr>
      <vt:lpstr>Tab 1 - Measure drop-offs</vt:lpstr>
      <vt:lpstr>Tab 2 - Signup Experiments</vt:lpstr>
      <vt:lpstr>Tab 3 - Activation Hypothesis</vt:lpstr>
      <vt:lpstr>Tab 4 - Habit Moment and Metric</vt:lpstr>
      <vt:lpstr>Tab 5 - Aha Moment and Metric A</vt:lpstr>
      <vt:lpstr>Tab 6 - Setup Moment and Metric</vt:lpstr>
      <vt:lpstr>Tab 7 - Activation Funnel</vt:lpstr>
      <vt:lpstr>Tab 8 -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Ops User 84</cp:lastModifiedBy>
  <dcterms:modified xsi:type="dcterms:W3CDTF">2024-04-10T06:58:21Z</dcterms:modified>
</cp:coreProperties>
</file>