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<sst xmlns="http://schemas.openxmlformats.org/spreadsheetml/2006/main" count="21" uniqueCount="21">
  <si>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Name</t>
  </si>
  <si>
    <t>Open</t>
  </si>
  <si>
    <t>High</t>
  </si>
  <si>
    <t>Low</t>
  </si>
  <si>
    <t>Prev Close</t>
  </si>
  <si>
    <t>LTP</t>
  </si>
  <si>
    <t>Change</t>
  </si>
  <si>
    <t>Change %</t>
  </si>
  <si>
    <t>Volume</t>
  </si>
  <si>
    <t>52 High</t>
  </si>
  <si>
    <t>52 Low</t>
  </si>
  <si>
    <t>MarketCap</t>
  </si>
  <si>
    <t>PE</t>
  </si>
  <si>
    <t>IRFC</t>
  </si>
  <si>
    <t>BAJFINANCE</t>
  </si>
  <si>
    <t>TATAMOTORS</t>
  </si>
  <si>
    <t>HDFCLIFE</t>
  </si>
  <si>
    <t>TATACONSUM</t>
  </si>
  <si>
    <t>MCX</t>
  </si>
  <si>
    <t>CDSL</t>
  </si>
  <si>
    <t>CAMS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</si>
</sst>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 &quot;Day %&quot;"/>
    <numFmt numFmtId="165" formatCode="# &quot;Day Chart&quot;"/>
    <numFmt numFmtId="166" formatCode="[color50]+#,##0.00;[red]-#,##0.00;-"/>
    <numFmt numFmtId="167" formatCode="[color50]+#,##0.00%;[red]-#,##0.00%;-"/>
    <numFmt numFmtId="168" formatCode="#,##0,,, &quot;Cr&quot;"/>
    <numFmt numFmtId="169" formatCode="#,##0 &quot;X&quot;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4" xfId="0" applyAlignment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165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4" xfId="0" applyAlignment="1" applyFont="1" applyNumberForma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0" fillId="0" fontId="1" numFmtId="167" xfId="0" applyAlignment="1" applyFont="1" applyNumberFormat="1">
      <alignment horizontal="center" vertical="center"/>
    </xf>
    <xf borderId="0" fillId="0" fontId="1" numFmtId="3" xfId="0" applyAlignment="1" applyFont="1" applyNumberFormat="1">
      <alignment horizontal="center" vertical="center"/>
    </xf>
    <xf borderId="0" fillId="0" fontId="1" numFmtId="168" xfId="0" applyAlignment="1" applyFont="1" applyNumberFormat="1">
      <alignment horizontal="center" vertical="center"/>
    </xf>
    <xf borderId="0" fillId="0" fontId="1" numFmtId="16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4" xfId="0" applyAlignment="1" applyFont="1" applyNumberForma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Y9" displayName="Table_1" name="Table_1" id="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3">
        <v>5.0</v>
      </c>
      <c r="O1" s="3">
        <v>30.0</v>
      </c>
      <c r="P1" s="4">
        <v>200.0</v>
      </c>
      <c r="Q1" s="5"/>
      <c r="R1" s="5"/>
      <c r="S1" s="5"/>
      <c r="T1" s="5"/>
      <c r="U1" s="5"/>
      <c r="V1" s="5"/>
      <c r="W1" s="5"/>
      <c r="X1" s="5"/>
      <c r="Y1" s="5"/>
    </row>
    <row r="2">
      <c r="A2" s="1" t="s">
        <v>13</v>
      </c>
      <c r="B2" s="6">
        <f>IFERROR(__xludf.DUMMYFUNCTION("GOOGLEFINANCE(A2,""priceopen"")"),124.34)</f>
        <v>124.34</v>
      </c>
      <c r="C2" s="6">
        <f>IFERROR(__xludf.DUMMYFUNCTION("GOOGLEFINANCE(A2,""High"")"),126.85)</f>
        <v>126.85</v>
      </c>
      <c r="D2" s="6">
        <f>IFERROR(__xludf.DUMMYFUNCTION("GOOGLEFINANCE(A2,""low"")"),124.0)</f>
        <v>124</v>
      </c>
      <c r="E2" s="6">
        <f>IFERROR(__xludf.DUMMYFUNCTION("GOOGLEFINANCE(A2,""Closeyest"")"),124.47)</f>
        <v>124.47</v>
      </c>
      <c r="F2" s="6">
        <f>IFERROR(__xludf.DUMMYFUNCTION("GOOGLEFINANCE(A2,""price"")"),124.4)</f>
        <v>124.4</v>
      </c>
      <c r="G2" s="7">
        <f>IFERROR(__xludf.DUMMYFUNCTION("GOOGLEFINANCE(A2,""change"")"),-0.07)</f>
        <v>-0.07</v>
      </c>
      <c r="H2" s="8">
        <f>IFERROR(__xludf.DUMMYFUNCTION("GOOGLEFINANCE(A2,""changepct"")/100"),-6.0E-4)</f>
        <v>-0.0006</v>
      </c>
      <c r="I2" s="9">
        <f>IFERROR(__xludf.DUMMYFUNCTION("GOOGLEFINANCE(A2,""volume"")"),1.3475446E7)</f>
        <v>13475446</v>
      </c>
      <c r="J2" s="6">
        <f>IFERROR(__xludf.DUMMYFUNCTION("GOOGLEFINANCE(A2,""high52"")"),229.0)</f>
        <v>229</v>
      </c>
      <c r="K2" s="6">
        <f>IFERROR(__xludf.DUMMYFUNCTION("GOOGLEFINANCE(A2,""low52"")"),108.04)</f>
        <v>108.04</v>
      </c>
      <c r="L2" s="10">
        <f>IFERROR(__xludf.DUMMYFUNCTION("GOOGLEFINANCE(A2,""marketcap"")"),1.62401982646E12)</f>
        <v>1624019826460</v>
      </c>
      <c r="M2" s="11">
        <f>IFERROR(__xludf.DUMMYFUNCTION("GOOGLEFINANCE(A2,""pe"")"),24.98)</f>
        <v>24.98</v>
      </c>
      <c r="N2" s="8">
        <f>IFERROR(__xludf.DUMMYFUNCTION("F2/ INDEX(GOOGLEFINANCE(A2,""price"",WORKDAY(TODAY(),-$N$1)),2,2)-1"),-0.021781866792482507)</f>
        <v>-0.02178186679</v>
      </c>
      <c r="O2" s="8">
        <f>IFERROR(__xludf.DUMMYFUNCTION("F2/ INDEX(GOOGLEFINANCE(A2,""price"",WORKDAY(TODAY(),-$O$1)),2,2)-1"),-0.06325301204819278)</f>
        <v>-0.06325301205</v>
      </c>
      <c r="P2" s="5" t="str">
        <f>IFERROR(__xludf.DUMMYFUNCTION("SPARKLINE(INDEX(GOOGLEFINANCE(A2,""PRICE"",WORKDAY(TODAY(),-$P$1),TODAY()),,2),{""charttype"",""column"";""color"",""green""})"),"")</f>
        <v/>
      </c>
      <c r="Q2" s="5"/>
      <c r="R2" s="5"/>
      <c r="S2" s="5"/>
      <c r="T2" s="5"/>
      <c r="U2" s="5"/>
      <c r="V2" s="5"/>
      <c r="W2" s="5"/>
      <c r="X2" s="5"/>
      <c r="Y2" s="5"/>
    </row>
    <row r="3">
      <c r="A3" s="1" t="s">
        <v>14</v>
      </c>
      <c r="B3" s="6">
        <f>IFERROR(__xludf.DUMMYFUNCTION("GOOGLEFINANCE(A3,""priceopen"")"),8575.5)</f>
        <v>8575.5</v>
      </c>
      <c r="C3" s="6">
        <f>IFERROR(__xludf.DUMMYFUNCTION("GOOGLEFINANCE(A3,""High"")"),8915.0)</f>
        <v>8915</v>
      </c>
      <c r="D3" s="6">
        <f>IFERROR(__xludf.DUMMYFUNCTION("GOOGLEFINANCE(A3,""low"")"),8566.0)</f>
        <v>8566</v>
      </c>
      <c r="E3" s="6">
        <f>IFERROR(__xludf.DUMMYFUNCTION("GOOGLEFINANCE(A3,""Closeyest"")"),8634.5)</f>
        <v>8634.5</v>
      </c>
      <c r="F3" s="6">
        <f>IFERROR(__xludf.DUMMYFUNCTION("GOOGLEFINANCE(A3,""price"")"),8868.0)</f>
        <v>8868</v>
      </c>
      <c r="G3" s="7">
        <f>IFERROR(__xludf.DUMMYFUNCTION("GOOGLEFINANCE(A3,""change"")"),233.5)</f>
        <v>233.5</v>
      </c>
      <c r="H3" s="8">
        <f>IFERROR(__xludf.DUMMYFUNCTION("GOOGLEFINANCE(A3,""changepct"")/100"),0.027000000000000003)</f>
        <v>0.027</v>
      </c>
      <c r="I3" s="9">
        <f>IFERROR(__xludf.DUMMYFUNCTION("GOOGLEFINANCE(A3,""volume"")"),2202675.0)</f>
        <v>2202675</v>
      </c>
      <c r="J3" s="6">
        <f>IFERROR(__xludf.DUMMYFUNCTION("GOOGLEFINANCE(A3,""high52"")"),9660.0)</f>
        <v>9660</v>
      </c>
      <c r="K3" s="6">
        <f>IFERROR(__xludf.DUMMYFUNCTION("GOOGLEFINANCE(A3,""low52"")"),6375.7)</f>
        <v>6375.7</v>
      </c>
      <c r="L3" s="10">
        <f>IFERROR(__xludf.DUMMYFUNCTION("GOOGLEFINANCE(A3,""marketcap"")"),5.501029879725E12)</f>
        <v>5501029879725</v>
      </c>
      <c r="M3" s="11">
        <f>IFERROR(__xludf.DUMMYFUNCTION("GOOGLEFINANCE(A3,""pe"")"),33.06)</f>
        <v>33.06</v>
      </c>
      <c r="N3" s="8">
        <f>IFERROR(__xludf.DUMMYFUNCTION("F3/ INDEX(GOOGLEFINANCE(A3,""price"",WORKDAY(TODAY(),-$N$1)),2,2)-1"),-0.024744308808973936)</f>
        <v>-0.02474430881</v>
      </c>
      <c r="O3" s="8">
        <f>IFERROR(__xludf.DUMMYFUNCTION("F3/ INDEX(GOOGLEFINANCE(A3,""price"",WORKDAY(TODAY(),-$O$1)),2,2)-1"),-0.02442780842789638)</f>
        <v>-0.02442780843</v>
      </c>
      <c r="P3" s="5" t="str">
        <f>IFERROR(__xludf.DUMMYFUNCTION("SPARKLINE(INDEX(GOOGLEFINANCE(A3,""PRICE"",WORKDAY(TODAY(),-$P$1),TODAY()),,2),{""charttype"",""column"";""color"",""green""})"),"")</f>
        <v/>
      </c>
      <c r="Q3" s="5"/>
      <c r="R3" s="5"/>
      <c r="S3" s="5"/>
      <c r="T3" s="5"/>
      <c r="U3" s="5"/>
      <c r="V3" s="5"/>
      <c r="W3" s="5"/>
      <c r="X3" s="5"/>
      <c r="Y3" s="5"/>
    </row>
    <row r="4">
      <c r="A4" s="1" t="s">
        <v>15</v>
      </c>
      <c r="B4" s="6">
        <f>IFERROR(__xludf.DUMMYFUNCTION("GOOGLEFINANCE(A4,""priceopen"")"),641.0)</f>
        <v>641</v>
      </c>
      <c r="C4" s="6">
        <f>IFERROR(__xludf.DUMMYFUNCTION("GOOGLEFINANCE(A4,""High"")"),661.35)</f>
        <v>661.35</v>
      </c>
      <c r="D4" s="6">
        <f>IFERROR(__xludf.DUMMYFUNCTION("GOOGLEFINANCE(A4,""low"")"),635.55)</f>
        <v>635.55</v>
      </c>
      <c r="E4" s="6">
        <f>IFERROR(__xludf.DUMMYFUNCTION("GOOGLEFINANCE(A4,""Closeyest"")"),644.25)</f>
        <v>644.25</v>
      </c>
      <c r="F4" s="6">
        <f>IFERROR(__xludf.DUMMYFUNCTION("GOOGLEFINANCE(A4,""price"")"),652.0)</f>
        <v>652</v>
      </c>
      <c r="G4" s="7">
        <f>IFERROR(__xludf.DUMMYFUNCTION("GOOGLEFINANCE(A4,""change"")"),7.75)</f>
        <v>7.75</v>
      </c>
      <c r="H4" s="8">
        <f>IFERROR(__xludf.DUMMYFUNCTION("GOOGLEFINANCE(A4,""changepct"")/100"),0.012)</f>
        <v>0.012</v>
      </c>
      <c r="I4" s="9">
        <f>IFERROR(__xludf.DUMMYFUNCTION("GOOGLEFINANCE(A4,""volume"")"),1.3141726E7)</f>
        <v>13141726</v>
      </c>
      <c r="J4" s="6">
        <f>IFERROR(__xludf.DUMMYFUNCTION("GOOGLEFINANCE(A4,""high52"")"),1179.0)</f>
        <v>1179</v>
      </c>
      <c r="K4" s="6">
        <f>IFERROR(__xludf.DUMMYFUNCTION("GOOGLEFINANCE(A4,""low52"")"),535.75)</f>
        <v>535.75</v>
      </c>
      <c r="L4" s="10">
        <f>IFERROR(__xludf.DUMMYFUNCTION("GOOGLEFINANCE(A4,""marketcap"")"),2.400059462109E12)</f>
        <v>2400059462109</v>
      </c>
      <c r="M4" s="11">
        <f>IFERROR(__xludf.DUMMYFUNCTION("GOOGLEFINANCE(A4,""pe"")"),5.72)</f>
        <v>5.72</v>
      </c>
      <c r="N4" s="8">
        <f>IFERROR(__xludf.DUMMYFUNCTION("F4/ INDEX(GOOGLEFINANCE(A4,""price"",WORKDAY(TODAY(),-$N$1)),2,2)-1"),-0.02417121903764119)</f>
        <v>-0.02417121904</v>
      </c>
      <c r="O4" s="8">
        <f>IFERROR(__xludf.DUMMYFUNCTION("F4/ INDEX(GOOGLEFINANCE(A4,""price"",WORKDAY(TODAY(),-$O$1)),2,2)-1"),-0.08619481429572529)</f>
        <v>-0.0861948143</v>
      </c>
      <c r="P4" s="5" t="str">
        <f>IFERROR(__xludf.DUMMYFUNCTION("SPARKLINE(INDEX(GOOGLEFINANCE(A4,""PRICE"",WORKDAY(TODAY(),-$P$1),TODAY()),,2),{""charttype"",""column"";""color"",""green""})"),"")</f>
        <v/>
      </c>
      <c r="Q4" s="5"/>
      <c r="R4" s="5"/>
      <c r="S4" s="5"/>
      <c r="T4" s="5"/>
      <c r="U4" s="5"/>
      <c r="V4" s="5"/>
      <c r="W4" s="5"/>
      <c r="X4" s="5"/>
      <c r="Y4" s="5"/>
    </row>
    <row r="5">
      <c r="A5" s="1" t="s">
        <v>16</v>
      </c>
      <c r="B5" s="6">
        <f>IFERROR(__xludf.DUMMYFUNCTION("GOOGLEFINANCE(A5,""priceopen"")"),743.7)</f>
        <v>743.7</v>
      </c>
      <c r="C5" s="6">
        <f>IFERROR(__xludf.DUMMYFUNCTION("GOOGLEFINANCE(A5,""High"")"),749.35)</f>
        <v>749.35</v>
      </c>
      <c r="D5" s="6">
        <f>IFERROR(__xludf.DUMMYFUNCTION("GOOGLEFINANCE(A5,""low"")"),726.45)</f>
        <v>726.45</v>
      </c>
      <c r="E5" s="6">
        <f>IFERROR(__xludf.DUMMYFUNCTION("GOOGLEFINANCE(A5,""Closeyest"")"),743.7)</f>
        <v>743.7</v>
      </c>
      <c r="F5" s="6">
        <f>IFERROR(__xludf.DUMMYFUNCTION("GOOGLEFINANCE(A5,""price"")"),726.5)</f>
        <v>726.5</v>
      </c>
      <c r="G5" s="7">
        <f>IFERROR(__xludf.DUMMYFUNCTION("GOOGLEFINANCE(A5,""change"")"),-17.2)</f>
        <v>-17.2</v>
      </c>
      <c r="H5" s="8">
        <f>IFERROR(__xludf.DUMMYFUNCTION("GOOGLEFINANCE(A5,""changepct"")/100"),-0.0231)</f>
        <v>-0.0231</v>
      </c>
      <c r="I5" s="9">
        <f>IFERROR(__xludf.DUMMYFUNCTION("GOOGLEFINANCE(A5,""volume"")"),3286801.0)</f>
        <v>3286801</v>
      </c>
      <c r="J5" s="6">
        <f>IFERROR(__xludf.DUMMYFUNCTION("GOOGLEFINANCE(A5,""high52"")"),761.2)</f>
        <v>761.2</v>
      </c>
      <c r="K5" s="6">
        <f>IFERROR(__xludf.DUMMYFUNCTION("GOOGLEFINANCE(A5,""low52"")"),511.4)</f>
        <v>511.4</v>
      </c>
      <c r="L5" s="10">
        <f>IFERROR(__xludf.DUMMYFUNCTION("GOOGLEFINANCE(A5,""marketcap"")"),1.554832823403E12)</f>
        <v>1554832823403</v>
      </c>
      <c r="M5" s="11">
        <f>IFERROR(__xludf.DUMMYFUNCTION("GOOGLEFINANCE(A5,""pe"")"),86.39)</f>
        <v>86.39</v>
      </c>
      <c r="N5" s="8">
        <f>IFERROR(__xludf.DUMMYFUNCTION("F5/ INDEX(GOOGLEFINANCE(A5,""price"",WORKDAY(TODAY(),-$N$1)),2,2)-1"),0.0220158964619821)</f>
        <v>0.02201589646</v>
      </c>
      <c r="O5" s="8">
        <f>IFERROR(__xludf.DUMMYFUNCTION("F5/ INDEX(GOOGLEFINANCE(A5,""price"",WORKDAY(TODAY(),-$O$1)),2,2)-1"),0.0685394911016326)</f>
        <v>0.0685394911</v>
      </c>
      <c r="P5" s="5" t="str">
        <f>IFERROR(__xludf.DUMMYFUNCTION("SPARKLINE(INDEX(GOOGLEFINANCE(A5,""PRICE"",WORKDAY(TODAY(),-$P$1),TODAY()),,2),{""charttype"",""column"";""color"",""green""})"),"")</f>
        <v/>
      </c>
      <c r="Q5" s="5"/>
      <c r="R5" s="5"/>
      <c r="S5" s="5"/>
      <c r="T5" s="5"/>
      <c r="U5" s="5"/>
      <c r="V5" s="5"/>
      <c r="W5" s="5"/>
      <c r="X5" s="5"/>
      <c r="Y5" s="5"/>
    </row>
    <row r="6">
      <c r="A6" s="1" t="s">
        <v>17</v>
      </c>
      <c r="B6" s="6">
        <f>IFERROR(__xludf.DUMMYFUNCTION("GOOGLEFINANCE(A6,""priceopen"")"),1157.0)</f>
        <v>1157</v>
      </c>
      <c r="C6" s="6">
        <f>IFERROR(__xludf.DUMMYFUNCTION("GOOGLEFINANCE(A6,""High"")"),1176.2)</f>
        <v>1176.2</v>
      </c>
      <c r="D6" s="6">
        <f>IFERROR(__xludf.DUMMYFUNCTION("GOOGLEFINANCE(A6,""low"")"),1151.0)</f>
        <v>1151</v>
      </c>
      <c r="E6" s="6">
        <f>IFERROR(__xludf.DUMMYFUNCTION("GOOGLEFINANCE(A6,""Closeyest"")"),1165.8)</f>
        <v>1165.8</v>
      </c>
      <c r="F6" s="6">
        <f>IFERROR(__xludf.DUMMYFUNCTION("GOOGLEFINANCE(A6,""price"")"),1153.0)</f>
        <v>1153</v>
      </c>
      <c r="G6" s="7">
        <f>IFERROR(__xludf.DUMMYFUNCTION("GOOGLEFINANCE(A6,""change"")"),-12.8)</f>
        <v>-12.8</v>
      </c>
      <c r="H6" s="8">
        <f>IFERROR(__xludf.DUMMYFUNCTION("GOOGLEFINANCE(A6,""changepct"")/100"),-0.011000000000000001)</f>
        <v>-0.011</v>
      </c>
      <c r="I6" s="9">
        <f>IFERROR(__xludf.DUMMYFUNCTION("GOOGLEFINANCE(A6,""volume"")"),1042342.0)</f>
        <v>1042342</v>
      </c>
      <c r="J6" s="6">
        <f>IFERROR(__xludf.DUMMYFUNCTION("GOOGLEFINANCE(A6,""high52"")"),1247.37)</f>
        <v>1247.37</v>
      </c>
      <c r="K6" s="6">
        <f>IFERROR(__xludf.DUMMYFUNCTION("GOOGLEFINANCE(A6,""low52"")"),882.9)</f>
        <v>882.9</v>
      </c>
      <c r="L6" s="10">
        <f>IFERROR(__xludf.DUMMYFUNCTION("GOOGLEFINANCE(A6,""marketcap"")"),1.1408913093E12)</f>
        <v>1140891309300</v>
      </c>
      <c r="M6" s="11">
        <f>IFERROR(__xludf.DUMMYFUNCTION("GOOGLEFINANCE(A6,""pe"")"),88.28)</f>
        <v>88.28</v>
      </c>
      <c r="N6" s="8">
        <f>IFERROR(__xludf.DUMMYFUNCTION("F6/ INDEX(GOOGLEFINANCE(A6,""price"",WORKDAY(TODAY(),-$N$1)),2,2)-1"),-0.0019044321329639846)</f>
        <v>-0.001904432133</v>
      </c>
      <c r="O6" s="8">
        <f>IFERROR(__xludf.DUMMYFUNCTION("F6/ INDEX(GOOGLEFINANCE(A6,""price"",WORKDAY(TODAY(),-$O$1)),2,2)-1"),0.18810860940800644)</f>
        <v>0.1881086094</v>
      </c>
      <c r="P6" s="5" t="str">
        <f>IFERROR(__xludf.DUMMYFUNCTION("SPARKLINE(INDEX(GOOGLEFINANCE(A6,""PRICE"",WORKDAY(TODAY(),-$P$1),TODAY()),,2),{""charttype"",""column"";""color"",""green""})"),"")</f>
        <v/>
      </c>
      <c r="Q6" s="5"/>
      <c r="R6" s="5"/>
      <c r="S6" s="5"/>
      <c r="T6" s="5"/>
      <c r="U6" s="5"/>
      <c r="V6" s="5"/>
      <c r="W6" s="5"/>
      <c r="X6" s="5"/>
      <c r="Y6" s="5"/>
    </row>
    <row r="7">
      <c r="A7" s="1" t="s">
        <v>18</v>
      </c>
      <c r="B7" s="6">
        <f>IFERROR(__xludf.DUMMYFUNCTION("GOOGLEFINANCE(A7,""priceopen"")"),20134.97)</f>
        <v>20134.97</v>
      </c>
      <c r="C7" s="6">
        <f>IFERROR(__xludf.DUMMYFUNCTION("GOOGLEFINANCE(A7,""High"")"),20275.07)</f>
        <v>20275.07</v>
      </c>
      <c r="D7" s="6">
        <f>IFERROR(__xludf.DUMMYFUNCTION("GOOGLEFINANCE(A7,""low"")"),20118.55)</f>
        <v>20118.55</v>
      </c>
      <c r="E7" s="6">
        <f>IFERROR(__xludf.DUMMYFUNCTION("GOOGLEFINANCE(A7,""Closeyest"")"),20134.97)</f>
        <v>20134.97</v>
      </c>
      <c r="F7" s="6">
        <f>IFERROR(__xludf.DUMMYFUNCTION("GOOGLEFINANCE(A7,""price"")"),20240.51)</f>
        <v>20240.51</v>
      </c>
      <c r="G7" s="7">
        <f>IFERROR(__xludf.DUMMYFUNCTION("GOOGLEFINANCE(A7,""change"")"),105.54)</f>
        <v>105.54</v>
      </c>
      <c r="H7" s="8">
        <f>IFERROR(__xludf.DUMMYFUNCTION("GOOGLEFINANCE(A7,""changepct"")/100"),0.0052)</f>
        <v>0.0052</v>
      </c>
      <c r="I7" s="9">
        <f>IFERROR(__xludf.DUMMYFUNCTION("GOOGLEFINANCE(A7,""volume"")"),0.0)</f>
        <v>0</v>
      </c>
      <c r="J7" s="6">
        <f>IFERROR(__xludf.DUMMYFUNCTION("GOOGLEFINANCE(A7,""high52"")"),21786.21)</f>
        <v>21786.21</v>
      </c>
      <c r="K7" s="6">
        <f>IFERROR(__xludf.DUMMYFUNCTION("GOOGLEFINANCE(A7,""low52"")"),17392.49)</f>
        <v>17392.49</v>
      </c>
      <c r="L7" s="10" t="str">
        <f>IFERROR(__xludf.DUMMYFUNCTION("GOOGLEFINANCE(A7,""marketcap"")"),"#N/A")</f>
        <v>#N/A</v>
      </c>
      <c r="M7" s="11" t="str">
        <f>IFERROR(__xludf.DUMMYFUNCTION("GOOGLEFINANCE(A7,""pe"")"),"#N/A")</f>
        <v>#N/A</v>
      </c>
      <c r="N7" s="8">
        <f>IFERROR(__xludf.DUMMYFUNCTION("F7/ INDEX(GOOGLEFINANCE(A7,""price"",WORKDAY(TODAY(),-$N$1)),2,2)-1"),0.025702733094447705)</f>
        <v>0.02570273309</v>
      </c>
      <c r="O7" s="8">
        <f>IFERROR(__xludf.DUMMYFUNCTION("F7/ INDEX(GOOGLEFINANCE(A7,""price"",WORKDAY(TODAY(),-$O$1)),2,2)-1"),0.015965923835596252)</f>
        <v>0.01596592384</v>
      </c>
      <c r="P7" s="5" t="str">
        <f>IFERROR(__xludf.DUMMYFUNCTION("SPARKLINE(INDEX(GOOGLEFINANCE(A7,""PRICE"",WORKDAY(TODAY(),-$P$1),TODAY()),,2),{""charttype"",""column"";""color"",""green""})"),"")</f>
        <v/>
      </c>
      <c r="Q7" s="5"/>
      <c r="R7" s="5"/>
      <c r="S7" s="5"/>
      <c r="T7" s="5"/>
      <c r="U7" s="5"/>
      <c r="V7" s="5"/>
      <c r="W7" s="5"/>
      <c r="X7" s="5"/>
      <c r="Y7" s="5"/>
    </row>
    <row r="8">
      <c r="A8" s="1" t="s">
        <v>19</v>
      </c>
      <c r="B8" s="6">
        <f>IFERROR(__xludf.DUMMYFUNCTION("GOOGLEFINANCE(A8,""priceopen"")"),1320.0)</f>
        <v>1320</v>
      </c>
      <c r="C8" s="6">
        <f>IFERROR(__xludf.DUMMYFUNCTION("GOOGLEFINANCE(A8,""High"")"),1334.5)</f>
        <v>1334.5</v>
      </c>
      <c r="D8" s="6">
        <f>IFERROR(__xludf.DUMMYFUNCTION("GOOGLEFINANCE(A8,""low"")"),1311.1)</f>
        <v>1311.1</v>
      </c>
      <c r="E8" s="6">
        <f>IFERROR(__xludf.DUMMYFUNCTION("GOOGLEFINANCE(A8,""Closeyest"")"),1320.0)</f>
        <v>1320</v>
      </c>
      <c r="F8" s="6">
        <f>IFERROR(__xludf.DUMMYFUNCTION("GOOGLEFINANCE(A8,""price"")"),1324.7)</f>
        <v>1324.7</v>
      </c>
      <c r="G8" s="7">
        <f>IFERROR(__xludf.DUMMYFUNCTION("GOOGLEFINANCE(A8,""change"")"),4.7)</f>
        <v>4.7</v>
      </c>
      <c r="H8" s="8">
        <f>IFERROR(__xludf.DUMMYFUNCTION("GOOGLEFINANCE(A8,""changepct"")/100"),0.0036)</f>
        <v>0.0036</v>
      </c>
      <c r="I8" s="9">
        <f>IFERROR(__xludf.DUMMYFUNCTION("GOOGLEFINANCE(A8,""volume"")"),3877045.0)</f>
        <v>3877045</v>
      </c>
      <c r="J8" s="6">
        <f>IFERROR(__xludf.DUMMYFUNCTION("GOOGLEFINANCE(A8,""high52"")"),1989.8)</f>
        <v>1989.8</v>
      </c>
      <c r="K8" s="6">
        <f>IFERROR(__xludf.DUMMYFUNCTION("GOOGLEFINANCE(A8,""low52"")"),917.63)</f>
        <v>917.63</v>
      </c>
      <c r="L8" s="10">
        <f>IFERROR(__xludf.DUMMYFUNCTION("GOOGLEFINANCE(A8,""marketcap"")"),2.775938E11)</f>
        <v>277593800000</v>
      </c>
      <c r="M8" s="11">
        <f>IFERROR(__xludf.DUMMYFUNCTION("GOOGLEFINANCE(A8,""pe"")"),49.83)</f>
        <v>49.83</v>
      </c>
      <c r="N8" s="8">
        <f>IFERROR(__xludf.DUMMYFUNCTION("F8/ INDEX(GOOGLEFINANCE(A8,""price"",WORKDAY(TODAY(),-$N$1)),2,2)-1"),-0.010753491150772843)</f>
        <v>-0.01075349115</v>
      </c>
      <c r="O8" s="8">
        <f>IFERROR(__xludf.DUMMYFUNCTION("F8/ INDEX(GOOGLEFINANCE(A8,""price"",WORKDAY(TODAY(),-$O$1)),2,2)-1"),0.07215410141232659)</f>
        <v>0.07215410141</v>
      </c>
      <c r="P8" s="5" t="str">
        <f>IFERROR(__xludf.DUMMYFUNCTION("SPARKLINE(INDEX(GOOGLEFINANCE(A8,""PRICE"",WORKDAY(TODAY(),-$P$1),TODAY()),,2),{""charttype"",""column"";""color"",""green""})"),"")</f>
        <v/>
      </c>
      <c r="Q8" s="5"/>
      <c r="R8" s="5"/>
      <c r="S8" s="5"/>
      <c r="T8" s="5"/>
      <c r="U8" s="5"/>
      <c r="V8" s="5"/>
      <c r="W8" s="5"/>
      <c r="X8" s="5"/>
      <c r="Y8" s="5"/>
    </row>
    <row r="9">
      <c r="A9" s="1" t="s">
        <v>20</v>
      </c>
      <c r="B9" s="6">
        <f>IFERROR(__xludf.DUMMYFUNCTION("GOOGLEFINANCE(A9,""priceopen"")"),3906.3)</f>
        <v>3906.3</v>
      </c>
      <c r="C9" s="6">
        <f>IFERROR(__xludf.DUMMYFUNCTION("GOOGLEFINANCE(A9,""High"")"),3935.0)</f>
        <v>3935</v>
      </c>
      <c r="D9" s="6">
        <f>IFERROR(__xludf.DUMMYFUNCTION("GOOGLEFINANCE(A9,""low"")"),3825.0)</f>
        <v>3825</v>
      </c>
      <c r="E9" s="6">
        <f>IFERROR(__xludf.DUMMYFUNCTION("GOOGLEFINANCE(A9,""Closeyest"")"),3906.3)</f>
        <v>3906.3</v>
      </c>
      <c r="F9" s="6">
        <f>IFERROR(__xludf.DUMMYFUNCTION("GOOGLEFINANCE(A9,""price"")"),3828.5)</f>
        <v>3828.5</v>
      </c>
      <c r="G9" s="7">
        <f>IFERROR(__xludf.DUMMYFUNCTION("GOOGLEFINANCE(A9,""change"")"),-77.8)</f>
        <v>-77.8</v>
      </c>
      <c r="H9" s="8">
        <f>IFERROR(__xludf.DUMMYFUNCTION("GOOGLEFINANCE(A9,""changepct"")/100"),-0.0199)</f>
        <v>-0.0199</v>
      </c>
      <c r="I9" s="9">
        <f>IFERROR(__xludf.DUMMYFUNCTION("GOOGLEFINANCE(A9,""volume"")"),223499.0)</f>
        <v>223499</v>
      </c>
      <c r="J9" s="6">
        <f>IFERROR(__xludf.DUMMYFUNCTION("GOOGLEFINANCE(A9,""high52"")"),5367.5)</f>
        <v>5367.5</v>
      </c>
      <c r="K9" s="6">
        <f>IFERROR(__xludf.DUMMYFUNCTION("GOOGLEFINANCE(A9,""low52"")"),3030.05)</f>
        <v>3030.05</v>
      </c>
      <c r="L9" s="10">
        <f>IFERROR(__xludf.DUMMYFUNCTION("GOOGLEFINANCE(A9,""marketcap"")"),1.90147263602E11)</f>
        <v>190147263602</v>
      </c>
      <c r="M9" s="11">
        <f>IFERROR(__xludf.DUMMYFUNCTION("GOOGLEFINANCE(A9,""pe"")"),41.14)</f>
        <v>41.14</v>
      </c>
      <c r="N9" s="8">
        <f>IFERROR(__xludf.DUMMYFUNCTION("F9/ INDEX(GOOGLEFINANCE(A9,""price"",WORKDAY(TODAY(),-$N$1)),2,2)-1"),-0.029309601683527253)</f>
        <v>-0.02930960168</v>
      </c>
      <c r="O9" s="8">
        <f>IFERROR(__xludf.DUMMYFUNCTION("F9/ INDEX(GOOGLEFINANCE(A9,""price"",WORKDAY(TODAY(),-$O$1)),2,2)-1"),0.0042230615885006095)</f>
        <v>0.004223061589</v>
      </c>
      <c r="P9" s="5" t="str">
        <f>IFERROR(__xludf.DUMMYFUNCTION("SPARKLINE(INDEX(GOOGLEFINANCE(A9,""PRICE"",WORKDAY(TODAY(),-$P$1),TODAY()),,2),{""charttype"",""column"";""color"",""green""})"),"")</f>
        <v/>
      </c>
      <c r="Q9" s="5"/>
      <c r="R9" s="5"/>
      <c r="S9" s="5"/>
      <c r="T9" s="5"/>
      <c r="U9" s="5"/>
      <c r="V9" s="5"/>
      <c r="W9" s="5"/>
      <c r="X9" s="5"/>
      <c r="Y9" s="5"/>
    </row>
    <row r="10">
      <c r="A10" s="12"/>
      <c r="B10" s="13"/>
      <c r="C10" s="13"/>
      <c r="D10" s="13"/>
      <c r="E10" s="13"/>
      <c r="F10" s="13"/>
      <c r="G10" s="12"/>
      <c r="H10" s="12"/>
      <c r="I10" s="13"/>
      <c r="J10" s="13"/>
      <c r="K10" s="13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2"/>
      <c r="B11" s="13"/>
      <c r="C11" s="13"/>
      <c r="D11" s="13"/>
      <c r="E11" s="13"/>
      <c r="F11" s="13"/>
      <c r="G11" s="12"/>
      <c r="H11" s="12"/>
      <c r="I11" s="13"/>
      <c r="J11" s="13"/>
      <c r="K11" s="13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2"/>
      <c r="B12" s="13"/>
      <c r="C12" s="13"/>
      <c r="D12" s="13"/>
      <c r="E12" s="13"/>
      <c r="F12" s="13"/>
      <c r="G12" s="12"/>
      <c r="H12" s="12"/>
      <c r="I12" s="13"/>
      <c r="J12" s="13"/>
      <c r="K12" s="13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2"/>
      <c r="B13" s="13"/>
      <c r="C13" s="13"/>
      <c r="D13" s="13"/>
      <c r="E13" s="13"/>
      <c r="F13" s="13"/>
      <c r="G13" s="12"/>
      <c r="H13" s="12"/>
      <c r="I13" s="13"/>
      <c r="J13" s="13"/>
      <c r="K13" s="13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2"/>
      <c r="B14" s="13"/>
      <c r="C14" s="13"/>
      <c r="D14" s="13"/>
      <c r="E14" s="13"/>
      <c r="F14" s="13"/>
      <c r="G14" s="12"/>
      <c r="H14" s="12"/>
      <c r="I14" s="13"/>
      <c r="J14" s="13"/>
      <c r="K14" s="13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2"/>
      <c r="B15" s="13"/>
      <c r="C15" s="13"/>
      <c r="D15" s="13"/>
      <c r="E15" s="13"/>
      <c r="F15" s="13"/>
      <c r="G15" s="12"/>
      <c r="H15" s="12"/>
      <c r="I15" s="13"/>
      <c r="J15" s="13"/>
      <c r="K15" s="13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2"/>
      <c r="B16" s="13"/>
      <c r="C16" s="13"/>
      <c r="D16" s="13"/>
      <c r="E16" s="13"/>
      <c r="F16" s="13"/>
      <c r="G16" s="12"/>
      <c r="H16" s="12"/>
      <c r="I16" s="13"/>
      <c r="J16" s="13"/>
      <c r="K16" s="1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2"/>
      <c r="B17" s="13"/>
      <c r="C17" s="13"/>
      <c r="D17" s="13"/>
      <c r="E17" s="13"/>
      <c r="F17" s="13"/>
      <c r="G17" s="12"/>
      <c r="H17" s="12"/>
      <c r="I17" s="13"/>
      <c r="J17" s="13"/>
      <c r="K17" s="1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2"/>
      <c r="B18" s="13"/>
      <c r="C18" s="13"/>
      <c r="D18" s="13"/>
      <c r="E18" s="13"/>
      <c r="F18" s="13"/>
      <c r="G18" s="12"/>
      <c r="H18" s="12"/>
      <c r="I18" s="13"/>
      <c r="J18" s="13"/>
      <c r="K18" s="13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2"/>
      <c r="B19" s="13"/>
      <c r="C19" s="13"/>
      <c r="D19" s="13"/>
      <c r="E19" s="13"/>
      <c r="F19" s="13"/>
      <c r="G19" s="12"/>
      <c r="H19" s="12"/>
      <c r="I19" s="13"/>
      <c r="J19" s="13"/>
      <c r="K19" s="13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2"/>
      <c r="B20" s="13"/>
      <c r="C20" s="13"/>
      <c r="D20" s="13"/>
      <c r="E20" s="13"/>
      <c r="F20" s="13"/>
      <c r="G20" s="12"/>
      <c r="H20" s="12"/>
      <c r="I20" s="13"/>
      <c r="J20" s="13"/>
      <c r="K20" s="13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2"/>
      <c r="B21" s="13"/>
      <c r="C21" s="13"/>
      <c r="D21" s="13"/>
      <c r="E21" s="13"/>
      <c r="F21" s="13"/>
      <c r="G21" s="12"/>
      <c r="H21" s="12"/>
      <c r="I21" s="13"/>
      <c r="J21" s="13"/>
      <c r="K21" s="13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2"/>
      <c r="B22" s="13"/>
      <c r="C22" s="13"/>
      <c r="D22" s="13"/>
      <c r="E22" s="13"/>
      <c r="F22" s="13"/>
      <c r="G22" s="12"/>
      <c r="H22" s="12"/>
      <c r="I22" s="13"/>
      <c r="J22" s="13"/>
      <c r="K22" s="13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2"/>
      <c r="B23" s="13"/>
      <c r="C23" s="13"/>
      <c r="D23" s="13"/>
      <c r="E23" s="13"/>
      <c r="F23" s="13"/>
      <c r="G23" s="12"/>
      <c r="H23" s="12"/>
      <c r="I23" s="13"/>
      <c r="J23" s="13"/>
      <c r="K23" s="13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2"/>
      <c r="B24" s="13"/>
      <c r="C24" s="13"/>
      <c r="D24" s="13"/>
      <c r="E24" s="13"/>
      <c r="F24" s="13"/>
      <c r="G24" s="12"/>
      <c r="H24" s="12"/>
      <c r="I24" s="13"/>
      <c r="J24" s="13"/>
      <c r="K24" s="13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2"/>
      <c r="B25" s="13"/>
      <c r="C25" s="13"/>
      <c r="D25" s="13"/>
      <c r="E25" s="13"/>
      <c r="F25" s="13"/>
      <c r="G25" s="12"/>
      <c r="H25" s="12"/>
      <c r="I25" s="13"/>
      <c r="J25" s="13"/>
      <c r="K25" s="13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2"/>
      <c r="B26" s="13"/>
      <c r="C26" s="13"/>
      <c r="D26" s="13"/>
      <c r="E26" s="13"/>
      <c r="F26" s="13"/>
      <c r="G26" s="12"/>
      <c r="H26" s="12"/>
      <c r="I26" s="13"/>
      <c r="J26" s="13"/>
      <c r="K26" s="13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2"/>
      <c r="B27" s="13"/>
      <c r="C27" s="13"/>
      <c r="D27" s="13"/>
      <c r="E27" s="13"/>
      <c r="F27" s="13"/>
      <c r="G27" s="12"/>
      <c r="H27" s="12"/>
      <c r="I27" s="13"/>
      <c r="J27" s="13"/>
      <c r="K27" s="13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2"/>
      <c r="B28" s="13"/>
      <c r="C28" s="13"/>
      <c r="D28" s="13"/>
      <c r="E28" s="13"/>
      <c r="F28" s="13"/>
      <c r="G28" s="12"/>
      <c r="H28" s="12"/>
      <c r="I28" s="13"/>
      <c r="J28" s="13"/>
      <c r="K28" s="13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2"/>
      <c r="B29" s="12"/>
      <c r="C29" s="12"/>
      <c r="D29" s="12"/>
      <c r="E29" s="12"/>
      <c r="F29" s="12"/>
      <c r="G29" s="12"/>
      <c r="H29" s="12"/>
      <c r="I29" s="13"/>
      <c r="J29" s="13"/>
      <c r="K29" s="13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</sheetData>
  <drawing r:id="rId1"/>
  <tableParts count="1">
    <tablePart r:id="rId3"/>
  </tableParts>
</worksheet>
</file>